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dc01f91e43520c4/Documenten/HMSM/Jaar 4/Intership/JUYO/.Converter/e.g. file spier/"/>
    </mc:Choice>
  </mc:AlternateContent>
  <xr:revisionPtr revIDLastSave="127" documentId="13_ncr:1_{29457EDB-7FBB-4363-939E-234616F5B543}" xr6:coauthVersionLast="47" xr6:coauthVersionMax="47" xr10:uidLastSave="{A96CE991-4253-47BB-A848-4BE9881EAEB5}"/>
  <bookViews>
    <workbookView xWindow="3285" yWindow="3285" windowWidth="21600" windowHeight="11295" tabRatio="767" firstSheet="11" activeTab="11" xr2:uid="{00000000-000D-0000-FFFF-FFFF00000000}"/>
  </bookViews>
  <sheets>
    <sheet name="Sheet2" sheetId="89" r:id="rId1"/>
    <sheet name="80 Room Model" sheetId="88" r:id="rId2"/>
    <sheet name="Room Nights" sheetId="83" r:id="rId3"/>
    <sheet name="ADR" sheetId="87" r:id="rId4"/>
    <sheet name="Room Revenue" sheetId="86" r:id="rId5"/>
    <sheet name="SUMMARY" sheetId="80" r:id="rId6"/>
    <sheet name="Annual 2022l2023" sheetId="67" r:id="rId7"/>
    <sheet name="KPI's Graphs" sheetId="90" r:id="rId8"/>
    <sheet name="Business Mix Graphs" sheetId="81" r:id="rId9"/>
    <sheet name="DJuly 2022" sheetId="68" r:id="rId10"/>
    <sheet name="July 2022" sheetId="33" r:id="rId11"/>
    <sheet name="DAugust 2022" sheetId="69" r:id="rId12"/>
    <sheet name=" August 2022" sheetId="53" r:id="rId13"/>
    <sheet name="DSeptember 2022" sheetId="70" r:id="rId14"/>
    <sheet name="September 2022" sheetId="52" r:id="rId15"/>
    <sheet name="Q1 2022l2023" sheetId="54" r:id="rId16"/>
    <sheet name="DOctober 2022" sheetId="71" r:id="rId17"/>
    <sheet name="October 2022" sheetId="55" r:id="rId18"/>
    <sheet name="DNovember 2022" sheetId="72" r:id="rId19"/>
    <sheet name="November 2022" sheetId="56" r:id="rId20"/>
    <sheet name="DDecember 2022" sheetId="73" r:id="rId21"/>
    <sheet name="December 2022" sheetId="57" r:id="rId22"/>
    <sheet name="Q2 2022l2023" sheetId="58" r:id="rId23"/>
    <sheet name="DJanuary 2023" sheetId="74" r:id="rId24"/>
    <sheet name="January 2023" sheetId="59" r:id="rId25"/>
    <sheet name="DFebruary 2023" sheetId="75" r:id="rId26"/>
    <sheet name="February 2023" sheetId="60" r:id="rId27"/>
    <sheet name="DMarch 2023" sheetId="76" r:id="rId28"/>
    <sheet name="March 2023" sheetId="61" r:id="rId29"/>
    <sheet name="Q3 2022l2023" sheetId="62" r:id="rId30"/>
    <sheet name="DApril 2023" sheetId="77" r:id="rId31"/>
    <sheet name="April 2023" sheetId="63" r:id="rId32"/>
    <sheet name="DMay 2023" sheetId="78" r:id="rId33"/>
    <sheet name="May 2023" sheetId="64" r:id="rId34"/>
    <sheet name="DJune 2023" sheetId="79" r:id="rId35"/>
    <sheet name="June 2023" sheetId="65" r:id="rId36"/>
    <sheet name="Q4 2022l2023" sheetId="66" r:id="rId37"/>
    <sheet name="Q1" sheetId="29" r:id="rId38"/>
    <sheet name="Q2" sheetId="30" r:id="rId39"/>
    <sheet name="Q3" sheetId="31" r:id="rId40"/>
    <sheet name="Q4" sheetId="32" r:id="rId41"/>
  </sheets>
  <externalReferences>
    <externalReference r:id="rId42"/>
    <externalReference r:id="rId43"/>
  </externalReferences>
  <definedNames>
    <definedName name="area" localSheetId="12">#REF!</definedName>
    <definedName name="area" localSheetId="6">#REF!</definedName>
    <definedName name="area" localSheetId="31">#REF!</definedName>
    <definedName name="area" localSheetId="30">#REF!</definedName>
    <definedName name="area" localSheetId="11">#REF!</definedName>
    <definedName name="area" localSheetId="20">#REF!</definedName>
    <definedName name="area" localSheetId="21">#REF!</definedName>
    <definedName name="area" localSheetId="25">#REF!</definedName>
    <definedName name="area" localSheetId="23">#REF!</definedName>
    <definedName name="area" localSheetId="34">#REF!</definedName>
    <definedName name="area" localSheetId="27">#REF!</definedName>
    <definedName name="area" localSheetId="32">#REF!</definedName>
    <definedName name="area" localSheetId="18">#REF!</definedName>
    <definedName name="area" localSheetId="16">#REF!</definedName>
    <definedName name="area" localSheetId="13">#REF!</definedName>
    <definedName name="area" localSheetId="26">#REF!</definedName>
    <definedName name="area" localSheetId="24">#REF!</definedName>
    <definedName name="area" localSheetId="10">#REF!</definedName>
    <definedName name="area" localSheetId="35">#REF!</definedName>
    <definedName name="area" localSheetId="28">#REF!</definedName>
    <definedName name="area" localSheetId="33">#REF!</definedName>
    <definedName name="area" localSheetId="19">#REF!</definedName>
    <definedName name="area" localSheetId="17">#REF!</definedName>
    <definedName name="area" localSheetId="37">#REF!</definedName>
    <definedName name="area" localSheetId="15">#REF!</definedName>
    <definedName name="area" localSheetId="38">#REF!</definedName>
    <definedName name="area" localSheetId="22">#REF!</definedName>
    <definedName name="area" localSheetId="39">#REF!</definedName>
    <definedName name="area" localSheetId="29">#REF!</definedName>
    <definedName name="area" localSheetId="40">#REF!</definedName>
    <definedName name="area" localSheetId="36">#REF!</definedName>
    <definedName name="area" localSheetId="14">#REF!</definedName>
    <definedName name="area">#REF!</definedName>
    <definedName name="asea" localSheetId="12">#REF!</definedName>
    <definedName name="asea" localSheetId="6">#REF!</definedName>
    <definedName name="asea" localSheetId="31">#REF!</definedName>
    <definedName name="asea" localSheetId="30">#REF!</definedName>
    <definedName name="asea" localSheetId="11">#REF!</definedName>
    <definedName name="asea" localSheetId="20">#REF!</definedName>
    <definedName name="asea" localSheetId="21">#REF!</definedName>
    <definedName name="asea" localSheetId="25">#REF!</definedName>
    <definedName name="asea" localSheetId="23">#REF!</definedName>
    <definedName name="asea" localSheetId="34">#REF!</definedName>
    <definedName name="asea" localSheetId="27">#REF!</definedName>
    <definedName name="asea" localSheetId="32">#REF!</definedName>
    <definedName name="asea" localSheetId="18">#REF!</definedName>
    <definedName name="asea" localSheetId="16">#REF!</definedName>
    <definedName name="asea" localSheetId="13">#REF!</definedName>
    <definedName name="asea" localSheetId="26">#REF!</definedName>
    <definedName name="asea" localSheetId="24">#REF!</definedName>
    <definedName name="asea" localSheetId="10">#REF!</definedName>
    <definedName name="asea" localSheetId="35">#REF!</definedName>
    <definedName name="asea" localSheetId="28">#REF!</definedName>
    <definedName name="asea" localSheetId="33">#REF!</definedName>
    <definedName name="asea" localSheetId="19">#REF!</definedName>
    <definedName name="asea" localSheetId="17">#REF!</definedName>
    <definedName name="asea" localSheetId="37">#REF!</definedName>
    <definedName name="asea" localSheetId="15">#REF!</definedName>
    <definedName name="asea" localSheetId="38">#REF!</definedName>
    <definedName name="asea" localSheetId="22">#REF!</definedName>
    <definedName name="asea" localSheetId="39">#REF!</definedName>
    <definedName name="asea" localSheetId="29">#REF!</definedName>
    <definedName name="asea" localSheetId="40">#REF!</definedName>
    <definedName name="asea" localSheetId="36">#REF!</definedName>
    <definedName name="asea" localSheetId="14">#REF!</definedName>
    <definedName name="asea">#REF!</definedName>
    <definedName name="balance_sheet" localSheetId="12">#REF!</definedName>
    <definedName name="balance_sheet" localSheetId="6">#REF!</definedName>
    <definedName name="balance_sheet" localSheetId="31">#REF!</definedName>
    <definedName name="balance_sheet" localSheetId="30">#REF!</definedName>
    <definedName name="balance_sheet" localSheetId="11">#REF!</definedName>
    <definedName name="balance_sheet" localSheetId="20">#REF!</definedName>
    <definedName name="balance_sheet" localSheetId="21">#REF!</definedName>
    <definedName name="balance_sheet" localSheetId="25">#REF!</definedName>
    <definedName name="balance_sheet" localSheetId="23">#REF!</definedName>
    <definedName name="balance_sheet" localSheetId="34">#REF!</definedName>
    <definedName name="balance_sheet" localSheetId="27">#REF!</definedName>
    <definedName name="balance_sheet" localSheetId="32">#REF!</definedName>
    <definedName name="balance_sheet" localSheetId="18">#REF!</definedName>
    <definedName name="balance_sheet" localSheetId="16">#REF!</definedName>
    <definedName name="balance_sheet" localSheetId="13">#REF!</definedName>
    <definedName name="balance_sheet" localSheetId="26">#REF!</definedName>
    <definedName name="balance_sheet" localSheetId="24">#REF!</definedName>
    <definedName name="balance_sheet" localSheetId="10">#REF!</definedName>
    <definedName name="balance_sheet" localSheetId="35">#REF!</definedName>
    <definedName name="balance_sheet" localSheetId="28">#REF!</definedName>
    <definedName name="balance_sheet" localSheetId="33">#REF!</definedName>
    <definedName name="balance_sheet" localSheetId="19">#REF!</definedName>
    <definedName name="balance_sheet" localSheetId="17">#REF!</definedName>
    <definedName name="balance_sheet" localSheetId="37">#REF!</definedName>
    <definedName name="balance_sheet" localSheetId="15">#REF!</definedName>
    <definedName name="balance_sheet" localSheetId="38">#REF!</definedName>
    <definedName name="balance_sheet" localSheetId="22">#REF!</definedName>
    <definedName name="balance_sheet" localSheetId="39">#REF!</definedName>
    <definedName name="balance_sheet" localSheetId="29">#REF!</definedName>
    <definedName name="balance_sheet" localSheetId="40">#REF!</definedName>
    <definedName name="balance_sheet" localSheetId="36">#REF!</definedName>
    <definedName name="balance_sheet" localSheetId="14">#REF!</definedName>
    <definedName name="balance_sheet">#REF!</definedName>
    <definedName name="bs" localSheetId="12">#REF!</definedName>
    <definedName name="bs" localSheetId="6">#REF!</definedName>
    <definedName name="bs" localSheetId="31">#REF!</definedName>
    <definedName name="bs" localSheetId="30">#REF!</definedName>
    <definedName name="bs" localSheetId="11">#REF!</definedName>
    <definedName name="bs" localSheetId="20">#REF!</definedName>
    <definedName name="bs" localSheetId="21">#REF!</definedName>
    <definedName name="bs" localSheetId="25">#REF!</definedName>
    <definedName name="bs" localSheetId="23">#REF!</definedName>
    <definedName name="bs" localSheetId="34">#REF!</definedName>
    <definedName name="bs" localSheetId="27">#REF!</definedName>
    <definedName name="bs" localSheetId="32">#REF!</definedName>
    <definedName name="bs" localSheetId="18">#REF!</definedName>
    <definedName name="bs" localSheetId="16">#REF!</definedName>
    <definedName name="bs" localSheetId="13">#REF!</definedName>
    <definedName name="bs" localSheetId="26">#REF!</definedName>
    <definedName name="bs" localSheetId="24">#REF!</definedName>
    <definedName name="bs" localSheetId="10">#REF!</definedName>
    <definedName name="bs" localSheetId="35">#REF!</definedName>
    <definedName name="bs" localSheetId="28">#REF!</definedName>
    <definedName name="bs" localSheetId="33">#REF!</definedName>
    <definedName name="bs" localSheetId="19">#REF!</definedName>
    <definedName name="bs" localSheetId="17">#REF!</definedName>
    <definedName name="bs" localSheetId="37">#REF!</definedName>
    <definedName name="bs" localSheetId="15">#REF!</definedName>
    <definedName name="bs" localSheetId="38">#REF!</definedName>
    <definedName name="bs" localSheetId="22">#REF!</definedName>
    <definedName name="bs" localSheetId="39">#REF!</definedName>
    <definedName name="bs" localSheetId="29">#REF!</definedName>
    <definedName name="bs" localSheetId="40">#REF!</definedName>
    <definedName name="bs" localSheetId="36">#REF!</definedName>
    <definedName name="bs" localSheetId="14">#REF!</definedName>
    <definedName name="bs">#REF!</definedName>
    <definedName name="harbour" localSheetId="12">'[1]Room Pool'!#REF!</definedName>
    <definedName name="harbour" localSheetId="6">'[1]Room Pool'!#REF!</definedName>
    <definedName name="harbour" localSheetId="31">'[1]Room Pool'!#REF!</definedName>
    <definedName name="harbour" localSheetId="30">'[1]Room Pool'!#REF!</definedName>
    <definedName name="harbour" localSheetId="11">'[1]Room Pool'!#REF!</definedName>
    <definedName name="harbour" localSheetId="20">'[1]Room Pool'!#REF!</definedName>
    <definedName name="harbour" localSheetId="21">'[1]Room Pool'!#REF!</definedName>
    <definedName name="harbour" localSheetId="25">'[1]Room Pool'!#REF!</definedName>
    <definedName name="harbour" localSheetId="23">'[1]Room Pool'!#REF!</definedName>
    <definedName name="harbour" localSheetId="34">'[1]Room Pool'!#REF!</definedName>
    <definedName name="harbour" localSheetId="27">'[1]Room Pool'!#REF!</definedName>
    <definedName name="harbour" localSheetId="32">'[1]Room Pool'!#REF!</definedName>
    <definedName name="harbour" localSheetId="18">'[1]Room Pool'!#REF!</definedName>
    <definedName name="harbour" localSheetId="16">'[1]Room Pool'!#REF!</definedName>
    <definedName name="harbour" localSheetId="13">'[1]Room Pool'!#REF!</definedName>
    <definedName name="harbour" localSheetId="26">'[1]Room Pool'!#REF!</definedName>
    <definedName name="harbour" localSheetId="24">'[1]Room Pool'!#REF!</definedName>
    <definedName name="harbour" localSheetId="10">'[1]Room Pool'!#REF!</definedName>
    <definedName name="harbour" localSheetId="35">'[1]Room Pool'!#REF!</definedName>
    <definedName name="harbour" localSheetId="28">'[1]Room Pool'!#REF!</definedName>
    <definedName name="harbour" localSheetId="33">'[1]Room Pool'!#REF!</definedName>
    <definedName name="harbour" localSheetId="19">'[1]Room Pool'!#REF!</definedName>
    <definedName name="harbour" localSheetId="17">'[1]Room Pool'!#REF!</definedName>
    <definedName name="harbour" localSheetId="37">'[1]Room Pool'!#REF!</definedName>
    <definedName name="harbour" localSheetId="15">'[1]Room Pool'!#REF!</definedName>
    <definedName name="harbour" localSheetId="38">'[1]Room Pool'!#REF!</definedName>
    <definedName name="harbour" localSheetId="22">'[1]Room Pool'!#REF!</definedName>
    <definedName name="harbour" localSheetId="39">'[1]Room Pool'!#REF!</definedName>
    <definedName name="harbour" localSheetId="29">'[1]Room Pool'!#REF!</definedName>
    <definedName name="harbour" localSheetId="40">'[1]Room Pool'!#REF!</definedName>
    <definedName name="harbour" localSheetId="36">'[1]Room Pool'!#REF!</definedName>
    <definedName name="harbour" localSheetId="14">'[1]Room Pool'!#REF!</definedName>
    <definedName name="harbour">'[1]Room Pool'!#REF!</definedName>
    <definedName name="Marina_King" localSheetId="12">'[1]Room Pool'!#REF!</definedName>
    <definedName name="Marina_King" localSheetId="6">'[1]Room Pool'!#REF!</definedName>
    <definedName name="Marina_King" localSheetId="31">'[1]Room Pool'!#REF!</definedName>
    <definedName name="Marina_King" localSheetId="30">'[1]Room Pool'!#REF!</definedName>
    <definedName name="Marina_King" localSheetId="11">'[1]Room Pool'!#REF!</definedName>
    <definedName name="Marina_King" localSheetId="20">'[1]Room Pool'!#REF!</definedName>
    <definedName name="Marina_King" localSheetId="21">'[1]Room Pool'!#REF!</definedName>
    <definedName name="Marina_King" localSheetId="25">'[1]Room Pool'!#REF!</definedName>
    <definedName name="Marina_King" localSheetId="23">'[1]Room Pool'!#REF!</definedName>
    <definedName name="Marina_King" localSheetId="34">'[1]Room Pool'!#REF!</definedName>
    <definedName name="Marina_King" localSheetId="27">'[1]Room Pool'!#REF!</definedName>
    <definedName name="Marina_King" localSheetId="32">'[1]Room Pool'!#REF!</definedName>
    <definedName name="Marina_King" localSheetId="18">'[1]Room Pool'!#REF!</definedName>
    <definedName name="Marina_King" localSheetId="16">'[1]Room Pool'!#REF!</definedName>
    <definedName name="Marina_King" localSheetId="13">'[1]Room Pool'!#REF!</definedName>
    <definedName name="Marina_King" localSheetId="26">'[1]Room Pool'!#REF!</definedName>
    <definedName name="Marina_King" localSheetId="24">'[1]Room Pool'!#REF!</definedName>
    <definedName name="Marina_King" localSheetId="10">'[1]Room Pool'!#REF!</definedName>
    <definedName name="Marina_King" localSheetId="35">'[1]Room Pool'!#REF!</definedName>
    <definedName name="Marina_King" localSheetId="28">'[1]Room Pool'!#REF!</definedName>
    <definedName name="Marina_King" localSheetId="33">'[1]Room Pool'!#REF!</definedName>
    <definedName name="Marina_King" localSheetId="19">'[1]Room Pool'!#REF!</definedName>
    <definedName name="Marina_King" localSheetId="17">'[1]Room Pool'!#REF!</definedName>
    <definedName name="Marina_King" localSheetId="37">'[1]Room Pool'!#REF!</definedName>
    <definedName name="Marina_King" localSheetId="15">'[1]Room Pool'!#REF!</definedName>
    <definedName name="Marina_King" localSheetId="38">'[1]Room Pool'!#REF!</definedName>
    <definedName name="Marina_King" localSheetId="22">'[1]Room Pool'!#REF!</definedName>
    <definedName name="Marina_King" localSheetId="39">'[1]Room Pool'!#REF!</definedName>
    <definedName name="Marina_King" localSheetId="29">'[1]Room Pool'!#REF!</definedName>
    <definedName name="Marina_King" localSheetId="40">'[1]Room Pool'!#REF!</definedName>
    <definedName name="Marina_King" localSheetId="36">'[1]Room Pool'!#REF!</definedName>
    <definedName name="Marina_King" localSheetId="14">'[1]Room Pool'!#REF!</definedName>
    <definedName name="Marina_King">'[1]Room Pool'!#REF!</definedName>
    <definedName name="pl" localSheetId="12">#REF!</definedName>
    <definedName name="pl" localSheetId="6">#REF!</definedName>
    <definedName name="pl" localSheetId="31">#REF!</definedName>
    <definedName name="pl" localSheetId="30">#REF!</definedName>
    <definedName name="pl" localSheetId="11">#REF!</definedName>
    <definedName name="pl" localSheetId="20">#REF!</definedName>
    <definedName name="pl" localSheetId="21">#REF!</definedName>
    <definedName name="pl" localSheetId="25">#REF!</definedName>
    <definedName name="pl" localSheetId="23">#REF!</definedName>
    <definedName name="pl" localSheetId="34">#REF!</definedName>
    <definedName name="pl" localSheetId="27">#REF!</definedName>
    <definedName name="pl" localSheetId="32">#REF!</definedName>
    <definedName name="pl" localSheetId="18">#REF!</definedName>
    <definedName name="pl" localSheetId="16">#REF!</definedName>
    <definedName name="pl" localSheetId="13">#REF!</definedName>
    <definedName name="pl" localSheetId="26">#REF!</definedName>
    <definedName name="pl" localSheetId="24">#REF!</definedName>
    <definedName name="pl" localSheetId="10">#REF!</definedName>
    <definedName name="pl" localSheetId="35">#REF!</definedName>
    <definedName name="pl" localSheetId="28">#REF!</definedName>
    <definedName name="pl" localSheetId="33">#REF!</definedName>
    <definedName name="pl" localSheetId="19">#REF!</definedName>
    <definedName name="pl" localSheetId="17">#REF!</definedName>
    <definedName name="pl" localSheetId="37">#REF!</definedName>
    <definedName name="pl" localSheetId="15">#REF!</definedName>
    <definedName name="pl" localSheetId="38">#REF!</definedName>
    <definedName name="pl" localSheetId="22">#REF!</definedName>
    <definedName name="pl" localSheetId="39">#REF!</definedName>
    <definedName name="pl" localSheetId="29">#REF!</definedName>
    <definedName name="pl" localSheetId="40">#REF!</definedName>
    <definedName name="pl" localSheetId="36">#REF!</definedName>
    <definedName name="pl" localSheetId="14">#REF!</definedName>
    <definedName name="pl">#REF!</definedName>
    <definedName name="print" localSheetId="12">#REF!</definedName>
    <definedName name="print" localSheetId="6">#REF!</definedName>
    <definedName name="print" localSheetId="31">#REF!</definedName>
    <definedName name="print" localSheetId="30">#REF!</definedName>
    <definedName name="print" localSheetId="11">#REF!</definedName>
    <definedName name="print" localSheetId="20">#REF!</definedName>
    <definedName name="print" localSheetId="21">#REF!</definedName>
    <definedName name="print" localSheetId="25">#REF!</definedName>
    <definedName name="print" localSheetId="23">#REF!</definedName>
    <definedName name="print" localSheetId="34">#REF!</definedName>
    <definedName name="print" localSheetId="27">#REF!</definedName>
    <definedName name="print" localSheetId="32">#REF!</definedName>
    <definedName name="print" localSheetId="18">#REF!</definedName>
    <definedName name="print" localSheetId="16">#REF!</definedName>
    <definedName name="print" localSheetId="13">#REF!</definedName>
    <definedName name="print" localSheetId="26">#REF!</definedName>
    <definedName name="print" localSheetId="24">#REF!</definedName>
    <definedName name="print" localSheetId="10">#REF!</definedName>
    <definedName name="print" localSheetId="35">#REF!</definedName>
    <definedName name="print" localSheetId="28">#REF!</definedName>
    <definedName name="print" localSheetId="33">#REF!</definedName>
    <definedName name="print" localSheetId="19">#REF!</definedName>
    <definedName name="print" localSheetId="17">#REF!</definedName>
    <definedName name="print" localSheetId="37">#REF!</definedName>
    <definedName name="print" localSheetId="15">#REF!</definedName>
    <definedName name="print" localSheetId="38">#REF!</definedName>
    <definedName name="print" localSheetId="22">#REF!</definedName>
    <definedName name="print" localSheetId="39">#REF!</definedName>
    <definedName name="print" localSheetId="29">#REF!</definedName>
    <definedName name="print" localSheetId="40">#REF!</definedName>
    <definedName name="print" localSheetId="36">#REF!</definedName>
    <definedName name="print" localSheetId="14">#REF!</definedName>
    <definedName name="print">#REF!</definedName>
    <definedName name="_xlnm.Print_Area" localSheetId="12">' August 2022'!$B$1:$R$36</definedName>
    <definedName name="_xlnm.Print_Area" localSheetId="3">ADR!$A$1:$O$91</definedName>
    <definedName name="_xlnm.Print_Area" localSheetId="6">'Annual 2022l2023'!$B$1:$R$36</definedName>
    <definedName name="_xlnm.Print_Area" localSheetId="31">'April 2023'!$B$1:$R$36</definedName>
    <definedName name="_xlnm.Print_Area" localSheetId="30">'DApril 2023'!$A$1:$AB$39</definedName>
    <definedName name="_xlnm.Print_Area" localSheetId="11">'DAugust 2022'!$A$1:$AB$40</definedName>
    <definedName name="_xlnm.Print_Area" localSheetId="20">'DDecember 2022'!$A$1:$AB$40</definedName>
    <definedName name="_xlnm.Print_Area" localSheetId="21">'December 2022'!$B$1:$R$36</definedName>
    <definedName name="_xlnm.Print_Area" localSheetId="25">'DFebruary 2023'!$A$1:$AB$37</definedName>
    <definedName name="_xlnm.Print_Area" localSheetId="23">'DJanuary 2023'!$A$1:$AB$40</definedName>
    <definedName name="_xlnm.Print_Area" localSheetId="9">'DJuly 2022'!$A$1:$AB$40</definedName>
    <definedName name="_xlnm.Print_Area" localSheetId="34">'DJune 2023'!$A$1:$AB$40</definedName>
    <definedName name="_xlnm.Print_Area" localSheetId="27">'DMarch 2023'!$A$1:$AB$40</definedName>
    <definedName name="_xlnm.Print_Area" localSheetId="32">'DMay 2023'!$A$1:$AB$41</definedName>
    <definedName name="_xlnm.Print_Area" localSheetId="18">'DNovember 2022'!$A$1:$AB$39</definedName>
    <definedName name="_xlnm.Print_Area" localSheetId="16">'DOctober 2022'!$A$1:$AB$40</definedName>
    <definedName name="_xlnm.Print_Area" localSheetId="13">'DSeptember 2022'!$A$1:$AB$39</definedName>
    <definedName name="_xlnm.Print_Area" localSheetId="26">'February 2023'!$B$1:$R$36</definedName>
    <definedName name="_xlnm.Print_Area" localSheetId="24">'January 2023'!$B$1:$R$36</definedName>
    <definedName name="_xlnm.Print_Area" localSheetId="10">'July 2022'!$B$1:$R$36</definedName>
    <definedName name="_xlnm.Print_Area" localSheetId="35">'June 2023'!$B$1:$R$36</definedName>
    <definedName name="_xlnm.Print_Area" localSheetId="28">'March 2023'!$B$1:$R$36</definedName>
    <definedName name="_xlnm.Print_Area" localSheetId="33">'May 2023'!$B$1:$R$36</definedName>
    <definedName name="_xlnm.Print_Area" localSheetId="19">'November 2022'!$B$1:$R$36</definedName>
    <definedName name="_xlnm.Print_Area" localSheetId="17">'October 2022'!$B$1:$R$36</definedName>
    <definedName name="_xlnm.Print_Area" localSheetId="37">'Q1'!$B$1:$X$33</definedName>
    <definedName name="_xlnm.Print_Area" localSheetId="15">'Q1 2022l2023'!$B$1:$R$36</definedName>
    <definedName name="_xlnm.Print_Area" localSheetId="38">'Q2'!$B$1:$X$33</definedName>
    <definedName name="_xlnm.Print_Area" localSheetId="22">'Q2 2022l2023'!$B$1:$R$36</definedName>
    <definedName name="_xlnm.Print_Area" localSheetId="39">'Q3'!$B$1:$X$33</definedName>
    <definedName name="_xlnm.Print_Area" localSheetId="29">'Q3 2022l2023'!$B$1:$R$36</definedName>
    <definedName name="_xlnm.Print_Area" localSheetId="40">'Q4'!$B$1:$X$33</definedName>
    <definedName name="_xlnm.Print_Area" localSheetId="36">'Q4 2022l2023'!$B$1:$R$36</definedName>
    <definedName name="_xlnm.Print_Area" localSheetId="2">'Room Nights'!$A$1:$P$137</definedName>
    <definedName name="_xlnm.Print_Area" localSheetId="4">'Room Revenue'!$A$1:$P$107</definedName>
    <definedName name="_xlnm.Print_Area" localSheetId="14">'September 2022'!$B$1:$R$36</definedName>
    <definedName name="_xlnm.Print_Area">#REF!</definedName>
    <definedName name="Print_Area_MI" localSheetId="12">#REF!</definedName>
    <definedName name="Print_Area_MI" localSheetId="6">#REF!</definedName>
    <definedName name="Print_Area_MI" localSheetId="31">#REF!</definedName>
    <definedName name="Print_Area_MI" localSheetId="30">#REF!</definedName>
    <definedName name="Print_Area_MI" localSheetId="11">#REF!</definedName>
    <definedName name="Print_Area_MI" localSheetId="20">#REF!</definedName>
    <definedName name="Print_Area_MI" localSheetId="21">#REF!</definedName>
    <definedName name="Print_Area_MI" localSheetId="25">#REF!</definedName>
    <definedName name="Print_Area_MI" localSheetId="23">#REF!</definedName>
    <definedName name="Print_Area_MI" localSheetId="34">#REF!</definedName>
    <definedName name="Print_Area_MI" localSheetId="27">#REF!</definedName>
    <definedName name="Print_Area_MI" localSheetId="32">#REF!</definedName>
    <definedName name="Print_Area_MI" localSheetId="18">#REF!</definedName>
    <definedName name="Print_Area_MI" localSheetId="16">#REF!</definedName>
    <definedName name="Print_Area_MI" localSheetId="13">#REF!</definedName>
    <definedName name="Print_Area_MI" localSheetId="26">#REF!</definedName>
    <definedName name="Print_Area_MI" localSheetId="24">#REF!</definedName>
    <definedName name="Print_Area_MI" localSheetId="10">#REF!</definedName>
    <definedName name="Print_Area_MI" localSheetId="35">#REF!</definedName>
    <definedName name="Print_Area_MI" localSheetId="28">#REF!</definedName>
    <definedName name="Print_Area_MI" localSheetId="33">#REF!</definedName>
    <definedName name="Print_Area_MI" localSheetId="19">#REF!</definedName>
    <definedName name="Print_Area_MI" localSheetId="17">#REF!</definedName>
    <definedName name="Print_Area_MI" localSheetId="37">#REF!</definedName>
    <definedName name="Print_Area_MI" localSheetId="15">#REF!</definedName>
    <definedName name="Print_Area_MI" localSheetId="38">#REF!</definedName>
    <definedName name="Print_Area_MI" localSheetId="22">#REF!</definedName>
    <definedName name="Print_Area_MI" localSheetId="39">#REF!</definedName>
    <definedName name="Print_Area_MI" localSheetId="29">#REF!</definedName>
    <definedName name="Print_Area_MI" localSheetId="40">#REF!</definedName>
    <definedName name="Print_Area_MI" localSheetId="36">#REF!</definedName>
    <definedName name="Print_Area_MI" localSheetId="14">#REF!</definedName>
    <definedName name="Print_Area_MI">#REF!</definedName>
    <definedName name="qaw" localSheetId="12">#REF!</definedName>
    <definedName name="qaw" localSheetId="6">#REF!</definedName>
    <definedName name="qaw" localSheetId="31">#REF!</definedName>
    <definedName name="qaw" localSheetId="30">#REF!</definedName>
    <definedName name="qaw" localSheetId="11">#REF!</definedName>
    <definedName name="qaw" localSheetId="20">#REF!</definedName>
    <definedName name="qaw" localSheetId="21">#REF!</definedName>
    <definedName name="qaw" localSheetId="25">#REF!</definedName>
    <definedName name="qaw" localSheetId="23">#REF!</definedName>
    <definedName name="qaw" localSheetId="34">#REF!</definedName>
    <definedName name="qaw" localSheetId="27">#REF!</definedName>
    <definedName name="qaw" localSheetId="32">#REF!</definedName>
    <definedName name="qaw" localSheetId="18">#REF!</definedName>
    <definedName name="qaw" localSheetId="16">#REF!</definedName>
    <definedName name="qaw" localSheetId="13">#REF!</definedName>
    <definedName name="qaw" localSheetId="26">#REF!</definedName>
    <definedName name="qaw" localSheetId="24">#REF!</definedName>
    <definedName name="qaw" localSheetId="10">#REF!</definedName>
    <definedName name="qaw" localSheetId="35">#REF!</definedName>
    <definedName name="qaw" localSheetId="28">#REF!</definedName>
    <definedName name="qaw" localSheetId="33">#REF!</definedName>
    <definedName name="qaw" localSheetId="19">#REF!</definedName>
    <definedName name="qaw" localSheetId="17">#REF!</definedName>
    <definedName name="qaw" localSheetId="37">#REF!</definedName>
    <definedName name="qaw" localSheetId="15">#REF!</definedName>
    <definedName name="qaw" localSheetId="38">#REF!</definedName>
    <definedName name="qaw" localSheetId="22">#REF!</definedName>
    <definedName name="qaw" localSheetId="39">#REF!</definedName>
    <definedName name="qaw" localSheetId="29">#REF!</definedName>
    <definedName name="qaw" localSheetId="40">#REF!</definedName>
    <definedName name="qaw" localSheetId="36">#REF!</definedName>
    <definedName name="qaw" localSheetId="14">#REF!</definedName>
    <definedName name="qaw">#REF!</definedName>
    <definedName name="qaws" localSheetId="12">#REF!</definedName>
    <definedName name="qaws" localSheetId="6">#REF!</definedName>
    <definedName name="qaws" localSheetId="31">#REF!</definedName>
    <definedName name="qaws" localSheetId="30">#REF!</definedName>
    <definedName name="qaws" localSheetId="11">#REF!</definedName>
    <definedName name="qaws" localSheetId="20">#REF!</definedName>
    <definedName name="qaws" localSheetId="21">#REF!</definedName>
    <definedName name="qaws" localSheetId="25">#REF!</definedName>
    <definedName name="qaws" localSheetId="23">#REF!</definedName>
    <definedName name="qaws" localSheetId="34">#REF!</definedName>
    <definedName name="qaws" localSheetId="27">#REF!</definedName>
    <definedName name="qaws" localSheetId="32">#REF!</definedName>
    <definedName name="qaws" localSheetId="18">#REF!</definedName>
    <definedName name="qaws" localSheetId="16">#REF!</definedName>
    <definedName name="qaws" localSheetId="13">#REF!</definedName>
    <definedName name="qaws" localSheetId="26">#REF!</definedName>
    <definedName name="qaws" localSheetId="24">#REF!</definedName>
    <definedName name="qaws" localSheetId="10">#REF!</definedName>
    <definedName name="qaws" localSheetId="35">#REF!</definedName>
    <definedName name="qaws" localSheetId="28">#REF!</definedName>
    <definedName name="qaws" localSheetId="33">#REF!</definedName>
    <definedName name="qaws" localSheetId="19">#REF!</definedName>
    <definedName name="qaws" localSheetId="17">#REF!</definedName>
    <definedName name="qaws" localSheetId="37">#REF!</definedName>
    <definedName name="qaws" localSheetId="15">#REF!</definedName>
    <definedName name="qaws" localSheetId="38">#REF!</definedName>
    <definedName name="qaws" localSheetId="22">#REF!</definedName>
    <definedName name="qaws" localSheetId="39">#REF!</definedName>
    <definedName name="qaws" localSheetId="29">#REF!</definedName>
    <definedName name="qaws" localSheetId="40">#REF!</definedName>
    <definedName name="qaws" localSheetId="36">#REF!</definedName>
    <definedName name="qaws" localSheetId="14">#REF!</definedName>
    <definedName name="qaws">#REF!</definedName>
    <definedName name="qaz" localSheetId="12">#REF!</definedName>
    <definedName name="qaz" localSheetId="6">#REF!</definedName>
    <definedName name="qaz" localSheetId="31">#REF!</definedName>
    <definedName name="qaz" localSheetId="30">#REF!</definedName>
    <definedName name="qaz" localSheetId="11">#REF!</definedName>
    <definedName name="qaz" localSheetId="20">#REF!</definedName>
    <definedName name="qaz" localSheetId="21">#REF!</definedName>
    <definedName name="qaz" localSheetId="25">#REF!</definedName>
    <definedName name="qaz" localSheetId="23">#REF!</definedName>
    <definedName name="qaz" localSheetId="34">#REF!</definedName>
    <definedName name="qaz" localSheetId="27">#REF!</definedName>
    <definedName name="qaz" localSheetId="32">#REF!</definedName>
    <definedName name="qaz" localSheetId="18">#REF!</definedName>
    <definedName name="qaz" localSheetId="16">#REF!</definedName>
    <definedName name="qaz" localSheetId="13">#REF!</definedName>
    <definedName name="qaz" localSheetId="26">#REF!</definedName>
    <definedName name="qaz" localSheetId="24">#REF!</definedName>
    <definedName name="qaz" localSheetId="10">#REF!</definedName>
    <definedName name="qaz" localSheetId="35">#REF!</definedName>
    <definedName name="qaz" localSheetId="28">#REF!</definedName>
    <definedName name="qaz" localSheetId="33">#REF!</definedName>
    <definedName name="qaz" localSheetId="19">#REF!</definedName>
    <definedName name="qaz" localSheetId="17">#REF!</definedName>
    <definedName name="qaz" localSheetId="37">#REF!</definedName>
    <definedName name="qaz" localSheetId="15">#REF!</definedName>
    <definedName name="qaz" localSheetId="38">#REF!</definedName>
    <definedName name="qaz" localSheetId="22">#REF!</definedName>
    <definedName name="qaz" localSheetId="39">#REF!</definedName>
    <definedName name="qaz" localSheetId="29">#REF!</definedName>
    <definedName name="qaz" localSheetId="40">#REF!</definedName>
    <definedName name="qaz" localSheetId="36">#REF!</definedName>
    <definedName name="qaz" localSheetId="14">#REF!</definedName>
    <definedName name="qaz">#REF!</definedName>
    <definedName name="qwer" localSheetId="12">#REF!</definedName>
    <definedName name="qwer" localSheetId="6">#REF!</definedName>
    <definedName name="qwer" localSheetId="31">#REF!</definedName>
    <definedName name="qwer" localSheetId="30">#REF!</definedName>
    <definedName name="qwer" localSheetId="11">#REF!</definedName>
    <definedName name="qwer" localSheetId="20">#REF!</definedName>
    <definedName name="qwer" localSheetId="21">#REF!</definedName>
    <definedName name="qwer" localSheetId="25">#REF!</definedName>
    <definedName name="qwer" localSheetId="23">#REF!</definedName>
    <definedName name="qwer" localSheetId="34">#REF!</definedName>
    <definedName name="qwer" localSheetId="27">#REF!</definedName>
    <definedName name="qwer" localSheetId="32">#REF!</definedName>
    <definedName name="qwer" localSheetId="18">#REF!</definedName>
    <definedName name="qwer" localSheetId="16">#REF!</definedName>
    <definedName name="qwer" localSheetId="13">#REF!</definedName>
    <definedName name="qwer" localSheetId="26">#REF!</definedName>
    <definedName name="qwer" localSheetId="24">#REF!</definedName>
    <definedName name="qwer" localSheetId="10">#REF!</definedName>
    <definedName name="qwer" localSheetId="35">#REF!</definedName>
    <definedName name="qwer" localSheetId="28">#REF!</definedName>
    <definedName name="qwer" localSheetId="33">#REF!</definedName>
    <definedName name="qwer" localSheetId="19">#REF!</definedName>
    <definedName name="qwer" localSheetId="17">#REF!</definedName>
    <definedName name="qwer" localSheetId="37">#REF!</definedName>
    <definedName name="qwer" localSheetId="15">#REF!</definedName>
    <definedName name="qwer" localSheetId="38">#REF!</definedName>
    <definedName name="qwer" localSheetId="22">#REF!</definedName>
    <definedName name="qwer" localSheetId="39">#REF!</definedName>
    <definedName name="qwer" localSheetId="29">#REF!</definedName>
    <definedName name="qwer" localSheetId="40">#REF!</definedName>
    <definedName name="qwer" localSheetId="36">#REF!</definedName>
    <definedName name="qwer" localSheetId="14">#REF!</definedName>
    <definedName name="qwer">#REF!</definedName>
    <definedName name="t" localSheetId="12">#REF!</definedName>
    <definedName name="t" localSheetId="6">#REF!</definedName>
    <definedName name="t" localSheetId="31">#REF!</definedName>
    <definedName name="t" localSheetId="30">#REF!</definedName>
    <definedName name="t" localSheetId="11">#REF!</definedName>
    <definedName name="t" localSheetId="20">#REF!</definedName>
    <definedName name="t" localSheetId="21">#REF!</definedName>
    <definedName name="t" localSheetId="25">#REF!</definedName>
    <definedName name="t" localSheetId="23">#REF!</definedName>
    <definedName name="t" localSheetId="34">#REF!</definedName>
    <definedName name="t" localSheetId="27">#REF!</definedName>
    <definedName name="t" localSheetId="32">#REF!</definedName>
    <definedName name="t" localSheetId="18">#REF!</definedName>
    <definedName name="t" localSheetId="16">#REF!</definedName>
    <definedName name="t" localSheetId="13">#REF!</definedName>
    <definedName name="t" localSheetId="26">#REF!</definedName>
    <definedName name="t" localSheetId="24">#REF!</definedName>
    <definedName name="t" localSheetId="10">#REF!</definedName>
    <definedName name="t" localSheetId="35">#REF!</definedName>
    <definedName name="t" localSheetId="28">#REF!</definedName>
    <definedName name="t" localSheetId="33">#REF!</definedName>
    <definedName name="t" localSheetId="19">#REF!</definedName>
    <definedName name="t" localSheetId="17">#REF!</definedName>
    <definedName name="t" localSheetId="37">#REF!</definedName>
    <definedName name="t" localSheetId="15">#REF!</definedName>
    <definedName name="t" localSheetId="38">#REF!</definedName>
    <definedName name="t" localSheetId="22">#REF!</definedName>
    <definedName name="t" localSheetId="39">#REF!</definedName>
    <definedName name="t" localSheetId="29">#REF!</definedName>
    <definedName name="t" localSheetId="40">#REF!</definedName>
    <definedName name="t" localSheetId="36">#REF!</definedName>
    <definedName name="t" localSheetId="14">#REF!</definedName>
    <definedName name="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90" l="1"/>
  <c r="G4" i="90"/>
  <c r="F4" i="90"/>
  <c r="E4" i="90"/>
  <c r="D4" i="90"/>
  <c r="H3" i="90"/>
  <c r="G3" i="90"/>
  <c r="F3" i="90"/>
  <c r="E3" i="90"/>
  <c r="D3" i="90"/>
  <c r="S16" i="67"/>
  <c r="S13" i="67"/>
  <c r="S10" i="67"/>
  <c r="B29" i="88"/>
  <c r="B28" i="88"/>
  <c r="B27" i="88"/>
  <c r="C29" i="88"/>
  <c r="C28" i="88"/>
  <c r="C27" i="88"/>
  <c r="E21" i="88"/>
  <c r="E20" i="88"/>
  <c r="E16" i="88"/>
  <c r="E15" i="88"/>
  <c r="K4" i="55"/>
  <c r="K4" i="58" s="1"/>
  <c r="G4" i="55"/>
  <c r="K4" i="52"/>
  <c r="K4" i="54"/>
  <c r="D6" i="88"/>
  <c r="E11" i="88" s="1"/>
  <c r="M37" i="79"/>
  <c r="G4" i="64"/>
  <c r="K4" i="64"/>
  <c r="R38" i="78"/>
  <c r="F22" i="71"/>
  <c r="F21" i="70"/>
  <c r="F20" i="70"/>
  <c r="F18" i="70"/>
  <c r="F17" i="70"/>
  <c r="F14" i="70"/>
  <c r="F13" i="70"/>
  <c r="F9" i="70"/>
  <c r="F8" i="70"/>
  <c r="F23" i="70"/>
  <c r="F22" i="70"/>
  <c r="F30" i="70"/>
  <c r="C20" i="87"/>
  <c r="N19" i="87"/>
  <c r="M19" i="87"/>
  <c r="L19" i="87"/>
  <c r="K19" i="87"/>
  <c r="J19" i="87"/>
  <c r="I19" i="87"/>
  <c r="H19" i="87"/>
  <c r="G19" i="87"/>
  <c r="F19" i="87"/>
  <c r="E19" i="87"/>
  <c r="D19" i="87"/>
  <c r="C19" i="87"/>
  <c r="N18" i="87"/>
  <c r="M18" i="87"/>
  <c r="L18" i="87"/>
  <c r="K18" i="87"/>
  <c r="J18" i="87"/>
  <c r="I18" i="87"/>
  <c r="H18" i="87"/>
  <c r="G18" i="87"/>
  <c r="F18" i="87"/>
  <c r="E18" i="87"/>
  <c r="D18" i="87"/>
  <c r="C18" i="87"/>
  <c r="N17" i="87"/>
  <c r="M17" i="87"/>
  <c r="L17" i="87"/>
  <c r="K17" i="87"/>
  <c r="J17" i="87"/>
  <c r="I17" i="87"/>
  <c r="H17" i="87"/>
  <c r="G17" i="87"/>
  <c r="F17" i="87"/>
  <c r="E17" i="87"/>
  <c r="D17" i="87"/>
  <c r="C17" i="87"/>
  <c r="N16" i="87"/>
  <c r="M16" i="87"/>
  <c r="L16" i="87"/>
  <c r="K16" i="87"/>
  <c r="J16" i="87"/>
  <c r="I16" i="87"/>
  <c r="H16" i="87"/>
  <c r="G16" i="87"/>
  <c r="F16" i="87"/>
  <c r="E16" i="87"/>
  <c r="D16" i="87"/>
  <c r="C16" i="87"/>
  <c r="N15" i="87"/>
  <c r="M15" i="87"/>
  <c r="L15" i="87"/>
  <c r="K15" i="87"/>
  <c r="J15" i="87"/>
  <c r="I15" i="87"/>
  <c r="H15" i="87"/>
  <c r="G15" i="87"/>
  <c r="F15" i="87"/>
  <c r="E15" i="87"/>
  <c r="D15" i="87"/>
  <c r="C15" i="87"/>
  <c r="N14" i="87"/>
  <c r="M14" i="87"/>
  <c r="L14" i="87"/>
  <c r="K14" i="87"/>
  <c r="J14" i="87"/>
  <c r="I14" i="87"/>
  <c r="H14" i="87"/>
  <c r="G14" i="87"/>
  <c r="F14" i="87"/>
  <c r="E14" i="87"/>
  <c r="D14" i="87"/>
  <c r="C14" i="87"/>
  <c r="K4" i="53"/>
  <c r="F27" i="69"/>
  <c r="F26" i="69"/>
  <c r="F25" i="69"/>
  <c r="F22" i="69"/>
  <c r="F21" i="69"/>
  <c r="F20" i="69"/>
  <c r="F19" i="69"/>
  <c r="F18" i="69"/>
  <c r="F17" i="69"/>
  <c r="F8" i="69"/>
  <c r="F7" i="69"/>
  <c r="F34" i="69"/>
  <c r="C18" i="86"/>
  <c r="C19" i="86"/>
  <c r="C25" i="86"/>
  <c r="C26" i="86"/>
  <c r="C28" i="86"/>
  <c r="C11" i="86"/>
  <c r="D11" i="86"/>
  <c r="E11" i="86"/>
  <c r="F11" i="86"/>
  <c r="G11" i="86"/>
  <c r="H11" i="86"/>
  <c r="I11" i="86"/>
  <c r="J11" i="86"/>
  <c r="K11" i="86"/>
  <c r="L11" i="86"/>
  <c r="M11" i="86"/>
  <c r="N11" i="86"/>
  <c r="M81" i="87" l="1"/>
  <c r="E81" i="87"/>
  <c r="N80" i="87"/>
  <c r="M80" i="87"/>
  <c r="L80" i="87"/>
  <c r="K80" i="87"/>
  <c r="J80" i="87"/>
  <c r="I80" i="87"/>
  <c r="H80" i="87"/>
  <c r="G80" i="87"/>
  <c r="F80" i="87"/>
  <c r="E80" i="87"/>
  <c r="D80" i="87"/>
  <c r="C80" i="87"/>
  <c r="N79" i="87"/>
  <c r="M79" i="87"/>
  <c r="L79" i="87"/>
  <c r="K79" i="87"/>
  <c r="J79" i="87"/>
  <c r="I79" i="87"/>
  <c r="H79" i="87"/>
  <c r="G79" i="87"/>
  <c r="F79" i="87"/>
  <c r="E79" i="87"/>
  <c r="D79" i="87"/>
  <c r="C79" i="87"/>
  <c r="N78" i="87"/>
  <c r="M78" i="87"/>
  <c r="L78" i="87"/>
  <c r="K78" i="87"/>
  <c r="J78" i="87"/>
  <c r="I78" i="87"/>
  <c r="H78" i="87"/>
  <c r="G78" i="87"/>
  <c r="F78" i="87"/>
  <c r="E78" i="87"/>
  <c r="D78" i="87"/>
  <c r="C78" i="87"/>
  <c r="N77" i="87"/>
  <c r="M77" i="87"/>
  <c r="L77" i="87"/>
  <c r="K77" i="87"/>
  <c r="J77" i="87"/>
  <c r="I77" i="87"/>
  <c r="H77" i="87"/>
  <c r="G77" i="87"/>
  <c r="F77" i="87"/>
  <c r="E77" i="87"/>
  <c r="D77" i="87"/>
  <c r="C77" i="87"/>
  <c r="I69" i="87"/>
  <c r="N68" i="87"/>
  <c r="F68" i="87"/>
  <c r="N66" i="87"/>
  <c r="M66" i="87"/>
  <c r="L66" i="87"/>
  <c r="K66" i="87"/>
  <c r="J66" i="87"/>
  <c r="I66" i="87"/>
  <c r="H66" i="87"/>
  <c r="G66" i="87"/>
  <c r="F66" i="87"/>
  <c r="E66" i="87"/>
  <c r="D66" i="87"/>
  <c r="C66" i="87"/>
  <c r="N65" i="87"/>
  <c r="M65" i="87"/>
  <c r="L65" i="87"/>
  <c r="K65" i="87"/>
  <c r="J65" i="87"/>
  <c r="I65" i="87"/>
  <c r="H65" i="87"/>
  <c r="G65" i="87"/>
  <c r="F65" i="87"/>
  <c r="E65" i="87"/>
  <c r="D65" i="87"/>
  <c r="C65" i="87"/>
  <c r="N64" i="87"/>
  <c r="M64" i="87"/>
  <c r="L64" i="87"/>
  <c r="K64" i="87"/>
  <c r="J64" i="87"/>
  <c r="I64" i="87"/>
  <c r="H64" i="87"/>
  <c r="G64" i="87"/>
  <c r="F64" i="87"/>
  <c r="E64" i="87"/>
  <c r="D64" i="87"/>
  <c r="C64" i="87"/>
  <c r="N63" i="87"/>
  <c r="M63" i="87"/>
  <c r="L63" i="87"/>
  <c r="K63" i="87"/>
  <c r="J63" i="87"/>
  <c r="I63" i="87"/>
  <c r="H63" i="87"/>
  <c r="G63" i="87"/>
  <c r="F63" i="87"/>
  <c r="E63" i="87"/>
  <c r="D63" i="87"/>
  <c r="C63" i="87"/>
  <c r="L62" i="87"/>
  <c r="N60" i="87"/>
  <c r="F60" i="87"/>
  <c r="N59" i="87"/>
  <c r="M59" i="87"/>
  <c r="L59" i="87"/>
  <c r="K59" i="87"/>
  <c r="J59" i="87"/>
  <c r="I59" i="87"/>
  <c r="H59" i="87"/>
  <c r="G59" i="87"/>
  <c r="F59" i="87"/>
  <c r="E59" i="87"/>
  <c r="D59" i="87"/>
  <c r="C59" i="87"/>
  <c r="N58" i="87"/>
  <c r="M58" i="87"/>
  <c r="L58" i="87"/>
  <c r="K58" i="87"/>
  <c r="J58" i="87"/>
  <c r="I58" i="87"/>
  <c r="H58" i="87"/>
  <c r="G58" i="87"/>
  <c r="F58" i="87"/>
  <c r="E58" i="87"/>
  <c r="D58" i="87"/>
  <c r="C58" i="87"/>
  <c r="N57" i="87"/>
  <c r="M57" i="87"/>
  <c r="L57" i="87"/>
  <c r="K57" i="87"/>
  <c r="J57" i="87"/>
  <c r="I57" i="87"/>
  <c r="H57" i="87"/>
  <c r="G57" i="87"/>
  <c r="F57" i="87"/>
  <c r="E57" i="87"/>
  <c r="D57" i="87"/>
  <c r="C57" i="87"/>
  <c r="N56" i="87"/>
  <c r="M56" i="87"/>
  <c r="L56" i="87"/>
  <c r="K56" i="87"/>
  <c r="J56" i="87"/>
  <c r="I56" i="87"/>
  <c r="H56" i="87"/>
  <c r="G56" i="87"/>
  <c r="F56" i="87"/>
  <c r="E56" i="87"/>
  <c r="D56" i="87"/>
  <c r="C56" i="87"/>
  <c r="G47" i="87"/>
  <c r="L46" i="87"/>
  <c r="N45" i="87"/>
  <c r="M45" i="87"/>
  <c r="L45" i="87"/>
  <c r="K45" i="87"/>
  <c r="J45" i="87"/>
  <c r="I45" i="87"/>
  <c r="H45" i="87"/>
  <c r="G45" i="87"/>
  <c r="F45" i="87"/>
  <c r="E45" i="87"/>
  <c r="D45" i="87"/>
  <c r="C45" i="87"/>
  <c r="N44" i="87"/>
  <c r="M44" i="87"/>
  <c r="L44" i="87"/>
  <c r="K44" i="87"/>
  <c r="J44" i="87"/>
  <c r="I44" i="87"/>
  <c r="H44" i="87"/>
  <c r="G44" i="87"/>
  <c r="F44" i="87"/>
  <c r="E44" i="87"/>
  <c r="D44" i="87"/>
  <c r="C44" i="87"/>
  <c r="N43" i="87"/>
  <c r="M43" i="87"/>
  <c r="L43" i="87"/>
  <c r="K43" i="87"/>
  <c r="J43" i="87"/>
  <c r="I43" i="87"/>
  <c r="H43" i="87"/>
  <c r="G43" i="87"/>
  <c r="F43" i="87"/>
  <c r="E43" i="87"/>
  <c r="D43" i="87"/>
  <c r="C43" i="87"/>
  <c r="N42" i="87"/>
  <c r="M42" i="87"/>
  <c r="L42" i="87"/>
  <c r="K42" i="87"/>
  <c r="J42" i="87"/>
  <c r="I42" i="87"/>
  <c r="H42" i="87"/>
  <c r="G42" i="87"/>
  <c r="F42" i="87"/>
  <c r="E42" i="87"/>
  <c r="D42" i="87"/>
  <c r="C42" i="87"/>
  <c r="N38" i="87"/>
  <c r="M38" i="87"/>
  <c r="L38" i="87"/>
  <c r="K38" i="87"/>
  <c r="J38" i="87"/>
  <c r="I38" i="87"/>
  <c r="H38" i="87"/>
  <c r="G38" i="87"/>
  <c r="F38" i="87"/>
  <c r="E38" i="87"/>
  <c r="D38" i="87"/>
  <c r="C38" i="87"/>
  <c r="N37" i="87"/>
  <c r="M37" i="87"/>
  <c r="L37" i="87"/>
  <c r="K37" i="87"/>
  <c r="J37" i="87"/>
  <c r="I37" i="87"/>
  <c r="H37" i="87"/>
  <c r="G37" i="87"/>
  <c r="F37" i="87"/>
  <c r="E37" i="87"/>
  <c r="D37" i="87"/>
  <c r="C37" i="87"/>
  <c r="N36" i="87"/>
  <c r="M36" i="87"/>
  <c r="L36" i="87"/>
  <c r="K36" i="87"/>
  <c r="J36" i="87"/>
  <c r="I36" i="87"/>
  <c r="H36" i="87"/>
  <c r="G36" i="87"/>
  <c r="F36" i="87"/>
  <c r="E36" i="87"/>
  <c r="D36" i="87"/>
  <c r="C36" i="87"/>
  <c r="N35" i="87"/>
  <c r="M35" i="87"/>
  <c r="L35" i="87"/>
  <c r="K35" i="87"/>
  <c r="J35" i="87"/>
  <c r="I35" i="87"/>
  <c r="H35" i="87"/>
  <c r="G35" i="87"/>
  <c r="F35" i="87"/>
  <c r="E35" i="87"/>
  <c r="D35" i="87"/>
  <c r="C35" i="87"/>
  <c r="N24" i="87"/>
  <c r="M24" i="87"/>
  <c r="L24" i="87"/>
  <c r="K24" i="87"/>
  <c r="J24" i="87"/>
  <c r="I24" i="87"/>
  <c r="H24" i="87"/>
  <c r="G24" i="87"/>
  <c r="F24" i="87"/>
  <c r="E24" i="87"/>
  <c r="D24" i="87"/>
  <c r="C24" i="87"/>
  <c r="N23" i="87"/>
  <c r="M23" i="87"/>
  <c r="L23" i="87"/>
  <c r="K23" i="87"/>
  <c r="J23" i="87"/>
  <c r="I23" i="87"/>
  <c r="H23" i="87"/>
  <c r="G23" i="87"/>
  <c r="F23" i="87"/>
  <c r="E23" i="87"/>
  <c r="D23" i="87"/>
  <c r="C23" i="87"/>
  <c r="N22" i="87"/>
  <c r="M22" i="87"/>
  <c r="L22" i="87"/>
  <c r="K22" i="87"/>
  <c r="J22" i="87"/>
  <c r="I22" i="87"/>
  <c r="H22" i="87"/>
  <c r="G22" i="87"/>
  <c r="F22" i="87"/>
  <c r="E22" i="87"/>
  <c r="D22" i="87"/>
  <c r="C22" i="87"/>
  <c r="N21" i="87"/>
  <c r="M21" i="87"/>
  <c r="L21" i="87"/>
  <c r="K21" i="87"/>
  <c r="J21" i="87"/>
  <c r="I21" i="87"/>
  <c r="H21" i="87"/>
  <c r="G21" i="87"/>
  <c r="F21" i="87"/>
  <c r="E21" i="87"/>
  <c r="D21" i="87"/>
  <c r="C21" i="87"/>
  <c r="C8" i="87"/>
  <c r="D8" i="87"/>
  <c r="E8" i="87"/>
  <c r="F8" i="87"/>
  <c r="G8" i="87"/>
  <c r="H8" i="87"/>
  <c r="I8" i="87"/>
  <c r="J8" i="87"/>
  <c r="K8" i="87"/>
  <c r="L8" i="87"/>
  <c r="M8" i="87"/>
  <c r="N8" i="87"/>
  <c r="C9" i="87"/>
  <c r="D9" i="87"/>
  <c r="E9" i="87"/>
  <c r="F9" i="87"/>
  <c r="G9" i="87"/>
  <c r="H9" i="87"/>
  <c r="I9" i="87"/>
  <c r="J9" i="87"/>
  <c r="K9" i="87"/>
  <c r="L9" i="87"/>
  <c r="M9" i="87"/>
  <c r="N9" i="87"/>
  <c r="C10" i="87"/>
  <c r="D10" i="87"/>
  <c r="E10" i="87"/>
  <c r="F10" i="87"/>
  <c r="G10" i="87"/>
  <c r="H10" i="87"/>
  <c r="I10" i="87"/>
  <c r="J10" i="87"/>
  <c r="K10" i="87"/>
  <c r="L10" i="87"/>
  <c r="M10" i="87"/>
  <c r="N10" i="87"/>
  <c r="H12" i="87"/>
  <c r="D7" i="87"/>
  <c r="E7" i="87"/>
  <c r="F7" i="87"/>
  <c r="G7" i="87"/>
  <c r="H7" i="87"/>
  <c r="I7" i="87"/>
  <c r="J7" i="87"/>
  <c r="K7" i="87"/>
  <c r="L7" i="87"/>
  <c r="M7" i="87"/>
  <c r="N7" i="87"/>
  <c r="C7" i="87"/>
  <c r="N83" i="86"/>
  <c r="N83" i="87" s="1"/>
  <c r="M83" i="86"/>
  <c r="M83" i="87" s="1"/>
  <c r="L83" i="86"/>
  <c r="L83" i="87" s="1"/>
  <c r="K83" i="86"/>
  <c r="K83" i="87" s="1"/>
  <c r="J83" i="86"/>
  <c r="J83" i="87" s="1"/>
  <c r="I83" i="86"/>
  <c r="I83" i="87" s="1"/>
  <c r="H83" i="86"/>
  <c r="H83" i="87" s="1"/>
  <c r="G83" i="86"/>
  <c r="G83" i="87" s="1"/>
  <c r="F83" i="86"/>
  <c r="F83" i="87" s="1"/>
  <c r="E83" i="86"/>
  <c r="E83" i="87" s="1"/>
  <c r="D83" i="86"/>
  <c r="D83" i="87" s="1"/>
  <c r="C83" i="86"/>
  <c r="C83" i="87" s="1"/>
  <c r="I69" i="86"/>
  <c r="N62" i="86"/>
  <c r="N62" i="87" s="1"/>
  <c r="M62" i="86"/>
  <c r="M62" i="87" s="1"/>
  <c r="L62" i="86"/>
  <c r="K62" i="86"/>
  <c r="K62" i="87" s="1"/>
  <c r="J62" i="86"/>
  <c r="J62" i="87" s="1"/>
  <c r="I62" i="86"/>
  <c r="I62" i="87" s="1"/>
  <c r="H62" i="86"/>
  <c r="G62" i="86"/>
  <c r="G62" i="87" s="1"/>
  <c r="F62" i="86"/>
  <c r="F62" i="87" s="1"/>
  <c r="E62" i="86"/>
  <c r="E62" i="87" s="1"/>
  <c r="D62" i="86"/>
  <c r="D62" i="87" s="1"/>
  <c r="C62" i="86"/>
  <c r="C62" i="87" s="1"/>
  <c r="N41" i="86"/>
  <c r="N41" i="87" s="1"/>
  <c r="H41" i="86"/>
  <c r="H41" i="87" s="1"/>
  <c r="L27" i="86"/>
  <c r="L27" i="87" s="1"/>
  <c r="J27" i="86"/>
  <c r="J27" i="87" s="1"/>
  <c r="H27" i="86"/>
  <c r="H27" i="87" s="1"/>
  <c r="N13" i="86"/>
  <c r="N13" i="87" s="1"/>
  <c r="M13" i="86"/>
  <c r="M13" i="87" s="1"/>
  <c r="L13" i="86"/>
  <c r="L13" i="87" s="1"/>
  <c r="K13" i="86"/>
  <c r="K13" i="87" s="1"/>
  <c r="J13" i="86"/>
  <c r="I13" i="86"/>
  <c r="I13" i="87" s="1"/>
  <c r="G13" i="86"/>
  <c r="G13" i="87" s="1"/>
  <c r="F13" i="86"/>
  <c r="F13" i="87" s="1"/>
  <c r="E13" i="86"/>
  <c r="E13" i="87" s="1"/>
  <c r="D13" i="86"/>
  <c r="D13" i="87" s="1"/>
  <c r="C13" i="86"/>
  <c r="C13" i="87" s="1"/>
  <c r="N82" i="86"/>
  <c r="N82" i="87" s="1"/>
  <c r="M82" i="86"/>
  <c r="M82" i="87" s="1"/>
  <c r="L82" i="86"/>
  <c r="L82" i="87" s="1"/>
  <c r="K82" i="86"/>
  <c r="K82" i="87" s="1"/>
  <c r="J82" i="86"/>
  <c r="J82" i="87" s="1"/>
  <c r="I82" i="86"/>
  <c r="I82" i="87" s="1"/>
  <c r="H82" i="86"/>
  <c r="H82" i="87" s="1"/>
  <c r="G82" i="86"/>
  <c r="G82" i="87" s="1"/>
  <c r="F82" i="86"/>
  <c r="F82" i="87" s="1"/>
  <c r="E82" i="86"/>
  <c r="E82" i="87" s="1"/>
  <c r="D82" i="86"/>
  <c r="D82" i="87" s="1"/>
  <c r="C82" i="86"/>
  <c r="C82" i="87" s="1"/>
  <c r="N68" i="86"/>
  <c r="M68" i="86"/>
  <c r="M68" i="87" s="1"/>
  <c r="L68" i="86"/>
  <c r="L68" i="87" s="1"/>
  <c r="K68" i="86"/>
  <c r="K68" i="87" s="1"/>
  <c r="J68" i="86"/>
  <c r="J68" i="87" s="1"/>
  <c r="I68" i="86"/>
  <c r="I68" i="87" s="1"/>
  <c r="H68" i="86"/>
  <c r="H68" i="87" s="1"/>
  <c r="G68" i="86"/>
  <c r="G68" i="87" s="1"/>
  <c r="F68" i="86"/>
  <c r="E68" i="86"/>
  <c r="E68" i="87" s="1"/>
  <c r="D68" i="86"/>
  <c r="D68" i="87" s="1"/>
  <c r="C68" i="86"/>
  <c r="C68" i="87" s="1"/>
  <c r="N61" i="86"/>
  <c r="N61" i="87" s="1"/>
  <c r="M61" i="86"/>
  <c r="M61" i="87" s="1"/>
  <c r="L61" i="86"/>
  <c r="L61" i="87" s="1"/>
  <c r="K61" i="86"/>
  <c r="K61" i="87" s="1"/>
  <c r="J61" i="86"/>
  <c r="J61" i="87" s="1"/>
  <c r="I61" i="86"/>
  <c r="I61" i="87" s="1"/>
  <c r="H61" i="86"/>
  <c r="H61" i="87" s="1"/>
  <c r="G61" i="86"/>
  <c r="G61" i="87" s="1"/>
  <c r="F61" i="86"/>
  <c r="F61" i="87" s="1"/>
  <c r="E61" i="86"/>
  <c r="E61" i="87" s="1"/>
  <c r="D61" i="86"/>
  <c r="D61" i="87" s="1"/>
  <c r="C61" i="86"/>
  <c r="C61" i="87" s="1"/>
  <c r="N47" i="86"/>
  <c r="N47" i="87" s="1"/>
  <c r="M47" i="86"/>
  <c r="M47" i="87" s="1"/>
  <c r="L47" i="86"/>
  <c r="L47" i="87" s="1"/>
  <c r="K47" i="86"/>
  <c r="K47" i="87" s="1"/>
  <c r="J47" i="86"/>
  <c r="J47" i="87" s="1"/>
  <c r="I47" i="86"/>
  <c r="I47" i="87" s="1"/>
  <c r="H47" i="86"/>
  <c r="H47" i="87" s="1"/>
  <c r="G47" i="86"/>
  <c r="F47" i="86"/>
  <c r="F47" i="87" s="1"/>
  <c r="E47" i="86"/>
  <c r="E47" i="87" s="1"/>
  <c r="D47" i="86"/>
  <c r="D47" i="87" s="1"/>
  <c r="C47" i="86"/>
  <c r="C47" i="87" s="1"/>
  <c r="N40" i="86"/>
  <c r="N40" i="87" s="1"/>
  <c r="M40" i="86"/>
  <c r="M40" i="87" s="1"/>
  <c r="L40" i="86"/>
  <c r="L40" i="87" s="1"/>
  <c r="K40" i="86"/>
  <c r="J40" i="86"/>
  <c r="J40" i="87" s="1"/>
  <c r="I40" i="86"/>
  <c r="I40" i="87" s="1"/>
  <c r="H40" i="86"/>
  <c r="H40" i="87" s="1"/>
  <c r="G40" i="86"/>
  <c r="G40" i="87" s="1"/>
  <c r="F40" i="86"/>
  <c r="F40" i="87" s="1"/>
  <c r="E40" i="86"/>
  <c r="E40" i="87" s="1"/>
  <c r="D40" i="86"/>
  <c r="D40" i="87" s="1"/>
  <c r="C40" i="86"/>
  <c r="C40" i="87" s="1"/>
  <c r="N26" i="86"/>
  <c r="N26" i="87" s="1"/>
  <c r="M26" i="86"/>
  <c r="M26" i="87" s="1"/>
  <c r="L26" i="86"/>
  <c r="L26" i="87" s="1"/>
  <c r="K26" i="86"/>
  <c r="K26" i="87" s="1"/>
  <c r="J26" i="86"/>
  <c r="J26" i="87" s="1"/>
  <c r="I26" i="86"/>
  <c r="I26" i="87" s="1"/>
  <c r="H26" i="86"/>
  <c r="H26" i="87" s="1"/>
  <c r="G26" i="86"/>
  <c r="G26" i="87" s="1"/>
  <c r="F26" i="86"/>
  <c r="F26" i="87" s="1"/>
  <c r="E26" i="86"/>
  <c r="E26" i="87" s="1"/>
  <c r="D26" i="86"/>
  <c r="D26" i="87" s="1"/>
  <c r="C26" i="87"/>
  <c r="N19" i="86"/>
  <c r="M19" i="86"/>
  <c r="L19" i="86"/>
  <c r="K19" i="86"/>
  <c r="J19" i="86"/>
  <c r="I19" i="86"/>
  <c r="H19" i="86"/>
  <c r="G19" i="86"/>
  <c r="F19" i="86"/>
  <c r="E19" i="86"/>
  <c r="D19" i="86"/>
  <c r="N12" i="86"/>
  <c r="N12" i="87" s="1"/>
  <c r="L12" i="86"/>
  <c r="L12" i="87" s="1"/>
  <c r="K12" i="86"/>
  <c r="K12" i="87" s="1"/>
  <c r="J12" i="86"/>
  <c r="J12" i="87" s="1"/>
  <c r="I12" i="86"/>
  <c r="I12" i="87" s="1"/>
  <c r="H12" i="86"/>
  <c r="G12" i="86"/>
  <c r="G12" i="87" s="1"/>
  <c r="F12" i="86"/>
  <c r="F12" i="87" s="1"/>
  <c r="E12" i="86"/>
  <c r="E12" i="87" s="1"/>
  <c r="D12" i="86"/>
  <c r="D12" i="87" s="1"/>
  <c r="C12" i="86"/>
  <c r="C12" i="87" s="1"/>
  <c r="N81" i="86"/>
  <c r="N81" i="87" s="1"/>
  <c r="M81" i="86"/>
  <c r="L81" i="86"/>
  <c r="L81" i="87" s="1"/>
  <c r="K81" i="86"/>
  <c r="K81" i="87" s="1"/>
  <c r="J81" i="86"/>
  <c r="J81" i="87" s="1"/>
  <c r="I81" i="86"/>
  <c r="I81" i="87" s="1"/>
  <c r="H81" i="86"/>
  <c r="H81" i="87" s="1"/>
  <c r="G81" i="86"/>
  <c r="G81" i="87" s="1"/>
  <c r="F81" i="86"/>
  <c r="F81" i="87" s="1"/>
  <c r="E81" i="86"/>
  <c r="D81" i="86"/>
  <c r="D81" i="87" s="1"/>
  <c r="C81" i="86"/>
  <c r="C81" i="87" s="1"/>
  <c r="N67" i="86"/>
  <c r="N67" i="87" s="1"/>
  <c r="M67" i="86"/>
  <c r="M67" i="87" s="1"/>
  <c r="L67" i="86"/>
  <c r="L67" i="87" s="1"/>
  <c r="K67" i="86"/>
  <c r="K67" i="87" s="1"/>
  <c r="J67" i="86"/>
  <c r="I67" i="86"/>
  <c r="I67" i="87" s="1"/>
  <c r="H67" i="86"/>
  <c r="H67" i="87" s="1"/>
  <c r="G67" i="86"/>
  <c r="G67" i="87" s="1"/>
  <c r="F67" i="86"/>
  <c r="F67" i="87" s="1"/>
  <c r="E67" i="86"/>
  <c r="E67" i="87" s="1"/>
  <c r="D67" i="86"/>
  <c r="C67" i="86"/>
  <c r="C74" i="86" s="1"/>
  <c r="N60" i="86"/>
  <c r="M60" i="86"/>
  <c r="M60" i="87" s="1"/>
  <c r="L60" i="86"/>
  <c r="L60" i="87" s="1"/>
  <c r="K60" i="86"/>
  <c r="J60" i="86"/>
  <c r="J60" i="87" s="1"/>
  <c r="I60" i="86"/>
  <c r="H60" i="86"/>
  <c r="H60" i="87" s="1"/>
  <c r="G60" i="86"/>
  <c r="F60" i="86"/>
  <c r="F74" i="86" s="1"/>
  <c r="E60" i="86"/>
  <c r="E60" i="87" s="1"/>
  <c r="D60" i="86"/>
  <c r="D60" i="87" s="1"/>
  <c r="C60" i="86"/>
  <c r="C60" i="87" s="1"/>
  <c r="N46" i="86"/>
  <c r="N46" i="87" s="1"/>
  <c r="M46" i="86"/>
  <c r="M46" i="87" s="1"/>
  <c r="L46" i="86"/>
  <c r="L53" i="86" s="1"/>
  <c r="K46" i="86"/>
  <c r="K46" i="87" s="1"/>
  <c r="J46" i="86"/>
  <c r="I46" i="86"/>
  <c r="I46" i="87" s="1"/>
  <c r="H46" i="86"/>
  <c r="H46" i="87" s="1"/>
  <c r="G46" i="86"/>
  <c r="G46" i="87" s="1"/>
  <c r="F46" i="86"/>
  <c r="F46" i="87" s="1"/>
  <c r="E46" i="86"/>
  <c r="E46" i="87" s="1"/>
  <c r="D46" i="86"/>
  <c r="D53" i="86" s="1"/>
  <c r="C46" i="86"/>
  <c r="C46" i="87" s="1"/>
  <c r="N39" i="86"/>
  <c r="N39" i="87" s="1"/>
  <c r="M39" i="86"/>
  <c r="M39" i="87" s="1"/>
  <c r="L39" i="86"/>
  <c r="L39" i="87" s="1"/>
  <c r="K39" i="86"/>
  <c r="K39" i="87" s="1"/>
  <c r="J39" i="86"/>
  <c r="J39" i="87" s="1"/>
  <c r="I39" i="86"/>
  <c r="H39" i="86"/>
  <c r="G39" i="86"/>
  <c r="G39" i="87" s="1"/>
  <c r="F39" i="86"/>
  <c r="F39" i="87" s="1"/>
  <c r="E39" i="86"/>
  <c r="E39" i="87" s="1"/>
  <c r="D39" i="86"/>
  <c r="D39" i="87" s="1"/>
  <c r="C39" i="86"/>
  <c r="C39" i="87" s="1"/>
  <c r="N25" i="86"/>
  <c r="N25" i="87" s="1"/>
  <c r="M25" i="86"/>
  <c r="M25" i="87" s="1"/>
  <c r="L25" i="86"/>
  <c r="L25" i="87" s="1"/>
  <c r="K25" i="86"/>
  <c r="K25" i="87" s="1"/>
  <c r="J25" i="86"/>
  <c r="J25" i="87" s="1"/>
  <c r="I25" i="86"/>
  <c r="I25" i="87" s="1"/>
  <c r="H25" i="86"/>
  <c r="H25" i="87" s="1"/>
  <c r="G25" i="86"/>
  <c r="G25" i="87" s="1"/>
  <c r="F25" i="86"/>
  <c r="F25" i="87" s="1"/>
  <c r="E25" i="86"/>
  <c r="E25" i="87" s="1"/>
  <c r="D25" i="86"/>
  <c r="D25" i="87" s="1"/>
  <c r="C25" i="87"/>
  <c r="N18" i="86"/>
  <c r="M18" i="86"/>
  <c r="L18" i="86"/>
  <c r="K18" i="86"/>
  <c r="J18" i="86"/>
  <c r="I18" i="86"/>
  <c r="H18" i="86"/>
  <c r="H32" i="86" s="1"/>
  <c r="G18" i="86"/>
  <c r="F18" i="86"/>
  <c r="E18" i="86"/>
  <c r="D18" i="86"/>
  <c r="M12" i="86"/>
  <c r="M12" i="87" s="1"/>
  <c r="N11" i="87"/>
  <c r="M11" i="87"/>
  <c r="L11" i="87"/>
  <c r="K11" i="87"/>
  <c r="J11" i="87"/>
  <c r="I11" i="87"/>
  <c r="H11" i="87"/>
  <c r="G11" i="87"/>
  <c r="F11" i="87"/>
  <c r="E11" i="87"/>
  <c r="D11" i="87"/>
  <c r="C11" i="87"/>
  <c r="N97" i="86"/>
  <c r="M97" i="86"/>
  <c r="L97" i="86"/>
  <c r="K97" i="86"/>
  <c r="J97" i="86"/>
  <c r="I97" i="86"/>
  <c r="H97" i="86"/>
  <c r="G97" i="86"/>
  <c r="F97" i="86"/>
  <c r="E97" i="86"/>
  <c r="D97" i="86"/>
  <c r="C97" i="86"/>
  <c r="N96" i="86"/>
  <c r="M96" i="86"/>
  <c r="L96" i="86"/>
  <c r="K96" i="86"/>
  <c r="J96" i="86"/>
  <c r="I96" i="86"/>
  <c r="H96" i="86"/>
  <c r="G96" i="86"/>
  <c r="F96" i="86"/>
  <c r="E96" i="86"/>
  <c r="D96" i="86"/>
  <c r="C96" i="86"/>
  <c r="N95" i="86"/>
  <c r="M95" i="86"/>
  <c r="L95" i="86"/>
  <c r="K95" i="86"/>
  <c r="J95" i="86"/>
  <c r="I95" i="86"/>
  <c r="H95" i="86"/>
  <c r="G95" i="86"/>
  <c r="F95" i="86"/>
  <c r="E95" i="86"/>
  <c r="D95" i="86"/>
  <c r="C95" i="86"/>
  <c r="N94" i="86"/>
  <c r="M94" i="86"/>
  <c r="L94" i="86"/>
  <c r="K94" i="86"/>
  <c r="J94" i="86"/>
  <c r="I94" i="86"/>
  <c r="H94" i="86"/>
  <c r="G94" i="86"/>
  <c r="F94" i="86"/>
  <c r="E94" i="86"/>
  <c r="D94" i="86"/>
  <c r="C94" i="86"/>
  <c r="N93" i="86"/>
  <c r="M93" i="86"/>
  <c r="L93" i="86"/>
  <c r="K93" i="86"/>
  <c r="J93" i="86"/>
  <c r="I93" i="86"/>
  <c r="H93" i="86"/>
  <c r="G93" i="86"/>
  <c r="F93" i="86"/>
  <c r="E93" i="86"/>
  <c r="D93" i="86"/>
  <c r="C93" i="86"/>
  <c r="N92" i="86"/>
  <c r="M92" i="86"/>
  <c r="L92" i="86"/>
  <c r="K92" i="86"/>
  <c r="J92" i="86"/>
  <c r="I92" i="86"/>
  <c r="H92" i="86"/>
  <c r="G92" i="86"/>
  <c r="F92" i="86"/>
  <c r="E92" i="86"/>
  <c r="D92" i="86"/>
  <c r="C92" i="86"/>
  <c r="N91" i="86"/>
  <c r="M91" i="86"/>
  <c r="L91" i="86"/>
  <c r="K91" i="86"/>
  <c r="J91" i="86"/>
  <c r="I91" i="86"/>
  <c r="H91" i="86"/>
  <c r="G91" i="86"/>
  <c r="F91" i="86"/>
  <c r="E91" i="86"/>
  <c r="D91" i="86"/>
  <c r="C91" i="86"/>
  <c r="O80" i="86"/>
  <c r="O80" i="87" s="1"/>
  <c r="O79" i="86"/>
  <c r="O79" i="87" s="1"/>
  <c r="O78" i="86"/>
  <c r="O78" i="87" s="1"/>
  <c r="O77" i="86"/>
  <c r="O77" i="87" s="1"/>
  <c r="N73" i="86"/>
  <c r="M73" i="86"/>
  <c r="L73" i="86"/>
  <c r="K73" i="86"/>
  <c r="J73" i="86"/>
  <c r="I73" i="86"/>
  <c r="H73" i="86"/>
  <c r="G73" i="86"/>
  <c r="F73" i="86"/>
  <c r="E73" i="86"/>
  <c r="D73" i="86"/>
  <c r="C73" i="86"/>
  <c r="N72" i="86"/>
  <c r="M72" i="86"/>
  <c r="L72" i="86"/>
  <c r="L72" i="87" s="1"/>
  <c r="K72" i="86"/>
  <c r="J72" i="86"/>
  <c r="I72" i="86"/>
  <c r="I72" i="87" s="1"/>
  <c r="H72" i="86"/>
  <c r="H72" i="87" s="1"/>
  <c r="G72" i="86"/>
  <c r="F72" i="86"/>
  <c r="E72" i="86"/>
  <c r="D72" i="86"/>
  <c r="D72" i="87" s="1"/>
  <c r="C72" i="86"/>
  <c r="N71" i="86"/>
  <c r="M71" i="86"/>
  <c r="M71" i="87" s="1"/>
  <c r="L71" i="86"/>
  <c r="L71" i="87" s="1"/>
  <c r="K71" i="86"/>
  <c r="J71" i="86"/>
  <c r="I71" i="86"/>
  <c r="H71" i="86"/>
  <c r="H71" i="87" s="1"/>
  <c r="G71" i="86"/>
  <c r="F71" i="86"/>
  <c r="E71" i="86"/>
  <c r="E71" i="87" s="1"/>
  <c r="D71" i="86"/>
  <c r="D71" i="87" s="1"/>
  <c r="C71" i="86"/>
  <c r="N70" i="86"/>
  <c r="M70" i="86"/>
  <c r="L70" i="86"/>
  <c r="L70" i="87" s="1"/>
  <c r="K70" i="86"/>
  <c r="J70" i="86"/>
  <c r="I70" i="86"/>
  <c r="I70" i="87" s="1"/>
  <c r="H70" i="86"/>
  <c r="H70" i="87" s="1"/>
  <c r="G70" i="86"/>
  <c r="F70" i="86"/>
  <c r="E70" i="86"/>
  <c r="D70" i="86"/>
  <c r="D70" i="87" s="1"/>
  <c r="C70" i="86"/>
  <c r="O66" i="86"/>
  <c r="O65" i="86"/>
  <c r="O65" i="87" s="1"/>
  <c r="O64" i="86"/>
  <c r="O64" i="87" s="1"/>
  <c r="O63" i="86"/>
  <c r="F75" i="86"/>
  <c r="O59" i="86"/>
  <c r="O58" i="86"/>
  <c r="O58" i="87" s="1"/>
  <c r="O57" i="86"/>
  <c r="O56" i="86"/>
  <c r="O56" i="87" s="1"/>
  <c r="N52" i="86"/>
  <c r="M52" i="86"/>
  <c r="L52" i="86"/>
  <c r="L52" i="87" s="1"/>
  <c r="K52" i="86"/>
  <c r="J52" i="86"/>
  <c r="I52" i="86"/>
  <c r="H52" i="86"/>
  <c r="G52" i="86"/>
  <c r="F52" i="86"/>
  <c r="E52" i="86"/>
  <c r="D52" i="86"/>
  <c r="C52" i="86"/>
  <c r="N51" i="86"/>
  <c r="M51" i="86"/>
  <c r="L51" i="86"/>
  <c r="K51" i="86"/>
  <c r="J51" i="86"/>
  <c r="I51" i="86"/>
  <c r="H51" i="86"/>
  <c r="G51" i="86"/>
  <c r="F51" i="86"/>
  <c r="E51" i="86"/>
  <c r="D51" i="86"/>
  <c r="C51" i="86"/>
  <c r="N50" i="86"/>
  <c r="M50" i="86"/>
  <c r="L50" i="86"/>
  <c r="K50" i="86"/>
  <c r="J50" i="86"/>
  <c r="I50" i="86"/>
  <c r="H50" i="86"/>
  <c r="G50" i="86"/>
  <c r="F50" i="86"/>
  <c r="E50" i="86"/>
  <c r="D50" i="86"/>
  <c r="C50" i="86"/>
  <c r="N49" i="86"/>
  <c r="M49" i="86"/>
  <c r="L49" i="86"/>
  <c r="K49" i="86"/>
  <c r="J49" i="86"/>
  <c r="I49" i="86"/>
  <c r="H49" i="86"/>
  <c r="G49" i="86"/>
  <c r="F49" i="86"/>
  <c r="E49" i="86"/>
  <c r="D49" i="86"/>
  <c r="C49" i="86"/>
  <c r="O45" i="86"/>
  <c r="O44" i="86"/>
  <c r="O43" i="86"/>
  <c r="O42" i="86"/>
  <c r="J54" i="86"/>
  <c r="O38" i="86"/>
  <c r="O37" i="86"/>
  <c r="O36" i="86"/>
  <c r="O35" i="86"/>
  <c r="N31" i="86"/>
  <c r="M31" i="86"/>
  <c r="M31" i="87" s="1"/>
  <c r="L31" i="86"/>
  <c r="K31" i="86"/>
  <c r="J31" i="86"/>
  <c r="I31" i="86"/>
  <c r="H31" i="86"/>
  <c r="G31" i="86"/>
  <c r="F31" i="86"/>
  <c r="E31" i="86"/>
  <c r="D31" i="86"/>
  <c r="C31" i="86"/>
  <c r="N30" i="86"/>
  <c r="M30" i="86"/>
  <c r="L30" i="86"/>
  <c r="K30" i="86"/>
  <c r="J30" i="86"/>
  <c r="I30" i="86"/>
  <c r="H30" i="86"/>
  <c r="G30" i="86"/>
  <c r="F30" i="86"/>
  <c r="E30" i="86"/>
  <c r="D30" i="86"/>
  <c r="C30" i="86"/>
  <c r="N29" i="86"/>
  <c r="M29" i="86"/>
  <c r="L29" i="86"/>
  <c r="K29" i="86"/>
  <c r="J29" i="86"/>
  <c r="I29" i="86"/>
  <c r="H29" i="86"/>
  <c r="G29" i="86"/>
  <c r="F29" i="86"/>
  <c r="E29" i="86"/>
  <c r="D29" i="86"/>
  <c r="C29" i="86"/>
  <c r="N28" i="86"/>
  <c r="M28" i="86"/>
  <c r="L28" i="86"/>
  <c r="K28" i="86"/>
  <c r="J28" i="86"/>
  <c r="I28" i="86"/>
  <c r="H28" i="86"/>
  <c r="G28" i="86"/>
  <c r="F28" i="86"/>
  <c r="E28" i="86"/>
  <c r="D28" i="86"/>
  <c r="O24" i="86"/>
  <c r="O23" i="86"/>
  <c r="O22" i="86"/>
  <c r="O21" i="86"/>
  <c r="O17" i="86"/>
  <c r="O16" i="86"/>
  <c r="O15" i="86"/>
  <c r="O14" i="86"/>
  <c r="F32" i="86"/>
  <c r="F32" i="87" s="1"/>
  <c r="O10" i="86"/>
  <c r="O9" i="86"/>
  <c r="O8" i="86"/>
  <c r="O7" i="86"/>
  <c r="J83" i="83"/>
  <c r="I83" i="83"/>
  <c r="F83" i="83"/>
  <c r="E83" i="83"/>
  <c r="I69" i="83"/>
  <c r="N62" i="83"/>
  <c r="M62" i="83"/>
  <c r="L62" i="83"/>
  <c r="K62" i="83"/>
  <c r="J62" i="83"/>
  <c r="I62" i="83"/>
  <c r="I76" i="83" s="1"/>
  <c r="H62" i="83"/>
  <c r="G62" i="83"/>
  <c r="F62" i="83"/>
  <c r="E62" i="83"/>
  <c r="D62" i="83"/>
  <c r="C62" i="83"/>
  <c r="N41" i="83"/>
  <c r="H41" i="83"/>
  <c r="L27" i="83"/>
  <c r="J27" i="83"/>
  <c r="H27" i="83"/>
  <c r="N13" i="83"/>
  <c r="M13" i="83"/>
  <c r="L13" i="83"/>
  <c r="K13" i="83"/>
  <c r="J13" i="83"/>
  <c r="I13" i="83"/>
  <c r="G13" i="83"/>
  <c r="F13" i="83"/>
  <c r="E13" i="83"/>
  <c r="D13" i="83"/>
  <c r="C13" i="83"/>
  <c r="O128" i="83"/>
  <c r="O127" i="83"/>
  <c r="O126" i="83"/>
  <c r="J103" i="83"/>
  <c r="N82" i="83"/>
  <c r="M82" i="83"/>
  <c r="L82" i="83"/>
  <c r="K82" i="83"/>
  <c r="J82" i="83"/>
  <c r="I82" i="83"/>
  <c r="H82" i="83"/>
  <c r="G82" i="83"/>
  <c r="F82" i="83"/>
  <c r="E82" i="83"/>
  <c r="D82" i="83"/>
  <c r="C82" i="83"/>
  <c r="N68" i="83"/>
  <c r="N75" i="83" s="1"/>
  <c r="M68" i="83"/>
  <c r="L68" i="83"/>
  <c r="K68" i="83"/>
  <c r="J68" i="83"/>
  <c r="I68" i="83"/>
  <c r="H68" i="83"/>
  <c r="G68" i="83"/>
  <c r="F68" i="83"/>
  <c r="E68" i="83"/>
  <c r="E75" i="83" s="1"/>
  <c r="D68" i="83"/>
  <c r="D75" i="83" s="1"/>
  <c r="C68" i="83"/>
  <c r="N61" i="83"/>
  <c r="M61" i="83"/>
  <c r="L61" i="83"/>
  <c r="K61" i="83"/>
  <c r="J61" i="83"/>
  <c r="I61" i="83"/>
  <c r="H61" i="83"/>
  <c r="H75" i="83" s="1"/>
  <c r="G61" i="83"/>
  <c r="F61" i="83"/>
  <c r="E61" i="83"/>
  <c r="D61" i="83"/>
  <c r="C61" i="83"/>
  <c r="E47" i="83"/>
  <c r="E54" i="83" s="1"/>
  <c r="N47" i="83"/>
  <c r="M47" i="83"/>
  <c r="L47" i="83"/>
  <c r="L54" i="83" s="1"/>
  <c r="K47" i="83"/>
  <c r="K54" i="83" s="1"/>
  <c r="J47" i="83"/>
  <c r="J54" i="83" s="1"/>
  <c r="I47" i="83"/>
  <c r="H47" i="83"/>
  <c r="G47" i="83"/>
  <c r="F47" i="83"/>
  <c r="D47" i="83"/>
  <c r="C47" i="83"/>
  <c r="N40" i="83"/>
  <c r="M40" i="83"/>
  <c r="L40" i="83"/>
  <c r="K40" i="83"/>
  <c r="J40" i="83"/>
  <c r="I40" i="83"/>
  <c r="H40" i="83"/>
  <c r="H54" i="83" s="1"/>
  <c r="G40" i="83"/>
  <c r="F40" i="83"/>
  <c r="E40" i="83"/>
  <c r="D40" i="83"/>
  <c r="C40" i="83"/>
  <c r="N19" i="83"/>
  <c r="M19" i="83"/>
  <c r="N26" i="83"/>
  <c r="M26" i="83"/>
  <c r="L26" i="83"/>
  <c r="L33" i="83" s="1"/>
  <c r="K26" i="83"/>
  <c r="J26" i="83"/>
  <c r="I26" i="83"/>
  <c r="H26" i="83"/>
  <c r="G26" i="83"/>
  <c r="F26" i="83"/>
  <c r="E26" i="83"/>
  <c r="D26" i="83"/>
  <c r="C26" i="83"/>
  <c r="C33" i="83" s="1"/>
  <c r="D19" i="83"/>
  <c r="L19" i="83"/>
  <c r="K19" i="83"/>
  <c r="J19" i="83"/>
  <c r="I19" i="83"/>
  <c r="H19" i="83"/>
  <c r="G19" i="83"/>
  <c r="G33" i="83" s="1"/>
  <c r="F19" i="83"/>
  <c r="F33" i="83" s="1"/>
  <c r="E19" i="83"/>
  <c r="C19" i="83"/>
  <c r="N12" i="83"/>
  <c r="M12" i="83"/>
  <c r="L12" i="83"/>
  <c r="K12" i="83"/>
  <c r="J12" i="83"/>
  <c r="I12" i="83"/>
  <c r="H12" i="83"/>
  <c r="H33" i="83" s="1"/>
  <c r="G12" i="83"/>
  <c r="F12" i="83"/>
  <c r="E12" i="83"/>
  <c r="E33" i="83" s="1"/>
  <c r="D12" i="83"/>
  <c r="C12" i="83"/>
  <c r="N81" i="83"/>
  <c r="M81" i="83"/>
  <c r="L81" i="83"/>
  <c r="K81" i="83"/>
  <c r="J81" i="83"/>
  <c r="I81" i="83"/>
  <c r="H81" i="83"/>
  <c r="G81" i="83"/>
  <c r="F81" i="83"/>
  <c r="E81" i="83"/>
  <c r="D81" i="83"/>
  <c r="C81" i="83"/>
  <c r="C74" i="83"/>
  <c r="D74" i="83"/>
  <c r="E74" i="83"/>
  <c r="F74" i="83"/>
  <c r="G74" i="83"/>
  <c r="H74" i="83"/>
  <c r="I74" i="83"/>
  <c r="J74" i="83"/>
  <c r="K74" i="83"/>
  <c r="L74" i="83"/>
  <c r="M74" i="83"/>
  <c r="N74" i="83"/>
  <c r="C75" i="83"/>
  <c r="J75" i="83"/>
  <c r="K75" i="83"/>
  <c r="C73" i="83"/>
  <c r="N67" i="83"/>
  <c r="M67" i="83"/>
  <c r="L67" i="83"/>
  <c r="K67" i="83"/>
  <c r="J67" i="83"/>
  <c r="I67" i="83"/>
  <c r="H67" i="83"/>
  <c r="G67" i="83"/>
  <c r="F67" i="83"/>
  <c r="E67" i="83"/>
  <c r="D67" i="83"/>
  <c r="C67" i="83"/>
  <c r="N60" i="83"/>
  <c r="M60" i="83"/>
  <c r="L60" i="83"/>
  <c r="K60" i="83"/>
  <c r="J60" i="83"/>
  <c r="I60" i="83"/>
  <c r="H60" i="83"/>
  <c r="G60" i="83"/>
  <c r="F60" i="83"/>
  <c r="E60" i="83"/>
  <c r="D60" i="83"/>
  <c r="C60" i="83"/>
  <c r="N46" i="83"/>
  <c r="M46" i="83"/>
  <c r="L46" i="83"/>
  <c r="K46" i="83"/>
  <c r="K53" i="83" s="1"/>
  <c r="J46" i="83"/>
  <c r="I46" i="83"/>
  <c r="I53" i="83" s="1"/>
  <c r="H46" i="83"/>
  <c r="G46" i="83"/>
  <c r="F46" i="83"/>
  <c r="E46" i="83"/>
  <c r="D46" i="83"/>
  <c r="C46" i="83"/>
  <c r="N39" i="83"/>
  <c r="M39" i="83"/>
  <c r="M53" i="83" s="1"/>
  <c r="L39" i="83"/>
  <c r="K39" i="83"/>
  <c r="J39" i="83"/>
  <c r="I39" i="83"/>
  <c r="H39" i="83"/>
  <c r="G39" i="83"/>
  <c r="F39" i="83"/>
  <c r="E39" i="83"/>
  <c r="D39" i="83"/>
  <c r="C39" i="83"/>
  <c r="N25" i="83"/>
  <c r="M25" i="83"/>
  <c r="L25" i="83"/>
  <c r="K25" i="83"/>
  <c r="J25" i="83"/>
  <c r="I25" i="83"/>
  <c r="H25" i="83"/>
  <c r="G25" i="83"/>
  <c r="F25" i="83"/>
  <c r="E25" i="83"/>
  <c r="D25" i="83"/>
  <c r="C25" i="83"/>
  <c r="N18" i="83"/>
  <c r="M18" i="83"/>
  <c r="L18" i="83"/>
  <c r="K18" i="83"/>
  <c r="J18" i="83"/>
  <c r="I18" i="83"/>
  <c r="H18" i="83"/>
  <c r="G18" i="83"/>
  <c r="F18" i="83"/>
  <c r="E18" i="83"/>
  <c r="D18" i="83"/>
  <c r="C18" i="83"/>
  <c r="N11" i="83"/>
  <c r="N32" i="83" s="1"/>
  <c r="M11" i="83"/>
  <c r="L11" i="83"/>
  <c r="K11" i="83"/>
  <c r="J11" i="83"/>
  <c r="I11" i="83"/>
  <c r="H11" i="83"/>
  <c r="G11" i="83"/>
  <c r="F11" i="83"/>
  <c r="E11" i="83"/>
  <c r="D11" i="83"/>
  <c r="C11" i="83"/>
  <c r="N104" i="83"/>
  <c r="M104" i="83"/>
  <c r="L104" i="83"/>
  <c r="K104" i="83"/>
  <c r="J104" i="83"/>
  <c r="I104" i="83"/>
  <c r="H104" i="83"/>
  <c r="G104" i="83"/>
  <c r="F104" i="83"/>
  <c r="E104" i="83"/>
  <c r="D104" i="83"/>
  <c r="C104" i="83"/>
  <c r="N103" i="83"/>
  <c r="M103" i="83"/>
  <c r="L103" i="83"/>
  <c r="K103" i="83"/>
  <c r="I103" i="83"/>
  <c r="H103" i="83"/>
  <c r="G103" i="83"/>
  <c r="F103" i="83"/>
  <c r="E103" i="83"/>
  <c r="D103" i="83"/>
  <c r="C103" i="83"/>
  <c r="N102" i="83"/>
  <c r="M102" i="83"/>
  <c r="L102" i="83"/>
  <c r="K102" i="83"/>
  <c r="J102" i="83"/>
  <c r="I102" i="83"/>
  <c r="H102" i="83"/>
  <c r="G102" i="83"/>
  <c r="F102" i="83"/>
  <c r="E102" i="83"/>
  <c r="D102" i="83"/>
  <c r="C102" i="83"/>
  <c r="J53" i="83"/>
  <c r="D54" i="83"/>
  <c r="G54" i="83"/>
  <c r="N54" i="83"/>
  <c r="M33" i="83"/>
  <c r="N33" i="83"/>
  <c r="O17" i="83"/>
  <c r="O17" i="87" s="1"/>
  <c r="O125" i="83"/>
  <c r="O124" i="83"/>
  <c r="O123" i="83"/>
  <c r="N101" i="83"/>
  <c r="M101" i="83"/>
  <c r="L101" i="83"/>
  <c r="K101" i="83"/>
  <c r="J101" i="83"/>
  <c r="I101" i="83"/>
  <c r="H101" i="83"/>
  <c r="G101" i="83"/>
  <c r="F101" i="83"/>
  <c r="E101" i="83"/>
  <c r="D101" i="83"/>
  <c r="C101" i="83"/>
  <c r="N100" i="83"/>
  <c r="M100" i="83"/>
  <c r="L100" i="83"/>
  <c r="K100" i="83"/>
  <c r="J100" i="83"/>
  <c r="I100" i="83"/>
  <c r="H100" i="83"/>
  <c r="G100" i="83"/>
  <c r="F100" i="83"/>
  <c r="E100" i="83"/>
  <c r="D100" i="83"/>
  <c r="C100" i="83"/>
  <c r="N99" i="83"/>
  <c r="M99" i="83"/>
  <c r="L99" i="83"/>
  <c r="K99" i="83"/>
  <c r="J99" i="83"/>
  <c r="I99" i="83"/>
  <c r="H99" i="83"/>
  <c r="G99" i="83"/>
  <c r="F99" i="83"/>
  <c r="E99" i="83"/>
  <c r="D99" i="83"/>
  <c r="C99" i="83"/>
  <c r="N98" i="83"/>
  <c r="M98" i="83"/>
  <c r="L98" i="83"/>
  <c r="K98" i="83"/>
  <c r="J98" i="83"/>
  <c r="I98" i="83"/>
  <c r="H98" i="83"/>
  <c r="G98" i="83"/>
  <c r="F98" i="83"/>
  <c r="E98" i="83"/>
  <c r="D98" i="83"/>
  <c r="C98" i="83"/>
  <c r="T86" i="83"/>
  <c r="R86" i="83"/>
  <c r="T85" i="83"/>
  <c r="R85" i="83"/>
  <c r="T84" i="83"/>
  <c r="R84" i="83"/>
  <c r="O79" i="83"/>
  <c r="O78" i="83"/>
  <c r="O77" i="83"/>
  <c r="N72" i="83"/>
  <c r="M72" i="83"/>
  <c r="L72" i="83"/>
  <c r="K72" i="83"/>
  <c r="J72" i="83"/>
  <c r="I72" i="83"/>
  <c r="H72" i="83"/>
  <c r="G72" i="83"/>
  <c r="F72" i="83"/>
  <c r="E72" i="83"/>
  <c r="D72" i="83"/>
  <c r="C72" i="83"/>
  <c r="N71" i="83"/>
  <c r="M71" i="83"/>
  <c r="L71" i="83"/>
  <c r="K71" i="83"/>
  <c r="J71" i="83"/>
  <c r="I71" i="83"/>
  <c r="H71" i="83"/>
  <c r="G71" i="83"/>
  <c r="F71" i="83"/>
  <c r="E71" i="83"/>
  <c r="D71" i="83"/>
  <c r="C71" i="83"/>
  <c r="N70" i="83"/>
  <c r="M70" i="83"/>
  <c r="L70" i="83"/>
  <c r="K70" i="83"/>
  <c r="J70" i="83"/>
  <c r="I70" i="83"/>
  <c r="H70" i="83"/>
  <c r="G70" i="83"/>
  <c r="F70" i="83"/>
  <c r="E70" i="83"/>
  <c r="D70" i="83"/>
  <c r="C70" i="83"/>
  <c r="G73" i="83"/>
  <c r="O65" i="83"/>
  <c r="O64" i="83"/>
  <c r="O63" i="83"/>
  <c r="J73" i="83"/>
  <c r="O58" i="83"/>
  <c r="O57" i="83"/>
  <c r="O56" i="83"/>
  <c r="N51" i="83"/>
  <c r="M51" i="83"/>
  <c r="L51" i="83"/>
  <c r="K51" i="83"/>
  <c r="J51" i="83"/>
  <c r="I51" i="83"/>
  <c r="H51" i="83"/>
  <c r="G51" i="83"/>
  <c r="F51" i="83"/>
  <c r="E51" i="83"/>
  <c r="D51" i="83"/>
  <c r="C51" i="83"/>
  <c r="N50" i="83"/>
  <c r="M50" i="83"/>
  <c r="L50" i="83"/>
  <c r="K50" i="83"/>
  <c r="J50" i="83"/>
  <c r="I50" i="83"/>
  <c r="H50" i="83"/>
  <c r="G50" i="83"/>
  <c r="F50" i="83"/>
  <c r="E50" i="83"/>
  <c r="D50" i="83"/>
  <c r="C50" i="83"/>
  <c r="N49" i="83"/>
  <c r="M49" i="83"/>
  <c r="L49" i="83"/>
  <c r="K49" i="83"/>
  <c r="J49" i="83"/>
  <c r="I49" i="83"/>
  <c r="H49" i="83"/>
  <c r="G49" i="83"/>
  <c r="F49" i="83"/>
  <c r="E49" i="83"/>
  <c r="D49" i="83"/>
  <c r="C49" i="83"/>
  <c r="O44" i="83"/>
  <c r="O43" i="83"/>
  <c r="O42" i="83"/>
  <c r="L52" i="83"/>
  <c r="J52" i="83"/>
  <c r="D52" i="83"/>
  <c r="O37" i="83"/>
  <c r="O36" i="83"/>
  <c r="O35" i="83"/>
  <c r="N30" i="83"/>
  <c r="M30" i="83"/>
  <c r="L30" i="83"/>
  <c r="K30" i="83"/>
  <c r="J30" i="83"/>
  <c r="I30" i="83"/>
  <c r="H30" i="83"/>
  <c r="G30" i="83"/>
  <c r="F30" i="83"/>
  <c r="E30" i="83"/>
  <c r="D30" i="83"/>
  <c r="C30" i="83"/>
  <c r="N29" i="83"/>
  <c r="M29" i="83"/>
  <c r="L29" i="83"/>
  <c r="K29" i="83"/>
  <c r="J29" i="83"/>
  <c r="I29" i="83"/>
  <c r="H29" i="83"/>
  <c r="G29" i="83"/>
  <c r="F29" i="83"/>
  <c r="E29" i="83"/>
  <c r="D29" i="83"/>
  <c r="C29" i="83"/>
  <c r="N28" i="83"/>
  <c r="M28" i="83"/>
  <c r="L28" i="83"/>
  <c r="K28" i="83"/>
  <c r="J28" i="83"/>
  <c r="I28" i="83"/>
  <c r="H28" i="83"/>
  <c r="G28" i="83"/>
  <c r="F28" i="83"/>
  <c r="E28" i="83"/>
  <c r="D28" i="83"/>
  <c r="C28" i="83"/>
  <c r="O23" i="83"/>
  <c r="O22" i="83"/>
  <c r="O21" i="83"/>
  <c r="O16" i="83"/>
  <c r="O16" i="87" s="1"/>
  <c r="O15" i="83"/>
  <c r="O15" i="87" s="1"/>
  <c r="O14" i="83"/>
  <c r="O14" i="87" s="1"/>
  <c r="G31" i="83"/>
  <c r="O9" i="83"/>
  <c r="O8" i="83"/>
  <c r="O7" i="83"/>
  <c r="L73" i="87" l="1"/>
  <c r="E70" i="87"/>
  <c r="M70" i="87"/>
  <c r="I71" i="87"/>
  <c r="E72" i="87"/>
  <c r="M72" i="87"/>
  <c r="F70" i="87"/>
  <c r="N70" i="87"/>
  <c r="J71" i="87"/>
  <c r="F72" i="87"/>
  <c r="N72" i="87"/>
  <c r="J73" i="87"/>
  <c r="O63" i="87"/>
  <c r="G70" i="87"/>
  <c r="C71" i="87"/>
  <c r="K71" i="87"/>
  <c r="G72" i="87"/>
  <c r="C73" i="87"/>
  <c r="K73" i="87"/>
  <c r="J70" i="87"/>
  <c r="F71" i="87"/>
  <c r="N71" i="87"/>
  <c r="F73" i="87"/>
  <c r="F74" i="87"/>
  <c r="J72" i="87"/>
  <c r="C70" i="87"/>
  <c r="K70" i="87"/>
  <c r="G71" i="87"/>
  <c r="C72" i="87"/>
  <c r="K72" i="87"/>
  <c r="G73" i="87"/>
  <c r="C74" i="87"/>
  <c r="E85" i="83"/>
  <c r="E92" i="83" s="1"/>
  <c r="I86" i="83"/>
  <c r="I93" i="83" s="1"/>
  <c r="I84" i="83"/>
  <c r="I91" i="83" s="1"/>
  <c r="M85" i="83"/>
  <c r="M92" i="83" s="1"/>
  <c r="O7" i="87"/>
  <c r="K86" i="83"/>
  <c r="K93" i="83" s="1"/>
  <c r="C86" i="83"/>
  <c r="C117" i="83" s="1"/>
  <c r="K84" i="83"/>
  <c r="K91" i="83" s="1"/>
  <c r="G85" i="83"/>
  <c r="G92" i="83" s="1"/>
  <c r="E84" i="83"/>
  <c r="E91" i="83" s="1"/>
  <c r="M86" i="83"/>
  <c r="M93" i="83" s="1"/>
  <c r="D52" i="87"/>
  <c r="M84" i="83"/>
  <c r="M91" i="83" s="1"/>
  <c r="E86" i="83"/>
  <c r="E93" i="83" s="1"/>
  <c r="I85" i="83"/>
  <c r="I92" i="83" s="1"/>
  <c r="F28" i="87"/>
  <c r="O9" i="87"/>
  <c r="O21" i="87"/>
  <c r="H28" i="87"/>
  <c r="D29" i="87"/>
  <c r="L29" i="87"/>
  <c r="H30" i="87"/>
  <c r="N30" i="87"/>
  <c r="O22" i="87"/>
  <c r="I28" i="87"/>
  <c r="E29" i="87"/>
  <c r="M29" i="87"/>
  <c r="I30" i="87"/>
  <c r="O23" i="87"/>
  <c r="J28" i="87"/>
  <c r="F29" i="87"/>
  <c r="N29" i="87"/>
  <c r="J30" i="87"/>
  <c r="J29" i="87"/>
  <c r="K30" i="87"/>
  <c r="G31" i="87"/>
  <c r="N28" i="87"/>
  <c r="G86" i="83"/>
  <c r="G93" i="83" s="1"/>
  <c r="D28" i="87"/>
  <c r="L28" i="87"/>
  <c r="H29" i="87"/>
  <c r="D30" i="87"/>
  <c r="L30" i="87"/>
  <c r="H31" i="87"/>
  <c r="F30" i="87"/>
  <c r="H86" i="83"/>
  <c r="H93" i="83" s="1"/>
  <c r="E28" i="87"/>
  <c r="M28" i="87"/>
  <c r="I29" i="87"/>
  <c r="E30" i="87"/>
  <c r="M30" i="87"/>
  <c r="O8" i="87"/>
  <c r="G28" i="87"/>
  <c r="C29" i="87"/>
  <c r="K29" i="87"/>
  <c r="G30" i="87"/>
  <c r="O36" i="87"/>
  <c r="O43" i="87"/>
  <c r="H49" i="87"/>
  <c r="D50" i="87"/>
  <c r="L50" i="87"/>
  <c r="H51" i="87"/>
  <c r="O37" i="87"/>
  <c r="O44" i="87"/>
  <c r="I49" i="87"/>
  <c r="E50" i="87"/>
  <c r="M50" i="87"/>
  <c r="I51" i="87"/>
  <c r="K51" i="87"/>
  <c r="O42" i="87"/>
  <c r="G49" i="87"/>
  <c r="C50" i="87"/>
  <c r="K50" i="87"/>
  <c r="G51" i="87"/>
  <c r="J49" i="87"/>
  <c r="F50" i="87"/>
  <c r="N50" i="87"/>
  <c r="J51" i="87"/>
  <c r="G84" i="83"/>
  <c r="G91" i="83" s="1"/>
  <c r="K85" i="83"/>
  <c r="K92" i="83" s="1"/>
  <c r="J54" i="87"/>
  <c r="C49" i="87"/>
  <c r="K49" i="87"/>
  <c r="G50" i="87"/>
  <c r="C51" i="87"/>
  <c r="C85" i="83"/>
  <c r="C92" i="83" s="1"/>
  <c r="D49" i="87"/>
  <c r="L49" i="87"/>
  <c r="H50" i="87"/>
  <c r="D51" i="87"/>
  <c r="L51" i="87"/>
  <c r="E49" i="87"/>
  <c r="M49" i="87"/>
  <c r="I50" i="87"/>
  <c r="E51" i="87"/>
  <c r="M51" i="87"/>
  <c r="F49" i="87"/>
  <c r="N49" i="87"/>
  <c r="J50" i="87"/>
  <c r="F51" i="87"/>
  <c r="N51" i="87"/>
  <c r="J52" i="87"/>
  <c r="O52" i="86"/>
  <c r="I32" i="86"/>
  <c r="I53" i="86"/>
  <c r="I53" i="87" s="1"/>
  <c r="I39" i="87"/>
  <c r="I74" i="86"/>
  <c r="I74" i="87" s="1"/>
  <c r="I60" i="87"/>
  <c r="D74" i="86"/>
  <c r="D74" i="87" s="1"/>
  <c r="D67" i="87"/>
  <c r="H62" i="87"/>
  <c r="N75" i="86"/>
  <c r="N75" i="87" s="1"/>
  <c r="O71" i="86"/>
  <c r="O57" i="87"/>
  <c r="K74" i="86"/>
  <c r="K74" i="87" s="1"/>
  <c r="K60" i="87"/>
  <c r="K54" i="86"/>
  <c r="K54" i="87" s="1"/>
  <c r="K40" i="87"/>
  <c r="G54" i="86"/>
  <c r="G54" i="87" s="1"/>
  <c r="H53" i="86"/>
  <c r="H39" i="87"/>
  <c r="C84" i="86"/>
  <c r="C28" i="87"/>
  <c r="K84" i="86"/>
  <c r="K28" i="87"/>
  <c r="G85" i="86"/>
  <c r="G29" i="87"/>
  <c r="C86" i="86"/>
  <c r="C30" i="87"/>
  <c r="O49" i="86"/>
  <c r="O35" i="87"/>
  <c r="L75" i="86"/>
  <c r="J13" i="87"/>
  <c r="C67" i="87"/>
  <c r="G74" i="86"/>
  <c r="G74" i="87" s="1"/>
  <c r="G60" i="87"/>
  <c r="D75" i="86"/>
  <c r="D75" i="87" s="1"/>
  <c r="J53" i="86"/>
  <c r="J53" i="87" s="1"/>
  <c r="J46" i="87"/>
  <c r="J74" i="86"/>
  <c r="J74" i="87" s="1"/>
  <c r="J67" i="87"/>
  <c r="D46" i="87"/>
  <c r="D84" i="83"/>
  <c r="D91" i="83" s="1"/>
  <c r="L84" i="83"/>
  <c r="L91" i="83" s="1"/>
  <c r="H85" i="83"/>
  <c r="H92" i="83" s="1"/>
  <c r="D86" i="83"/>
  <c r="D93" i="83" s="1"/>
  <c r="L86" i="83"/>
  <c r="L93" i="83" s="1"/>
  <c r="J85" i="83"/>
  <c r="J92" i="83" s="1"/>
  <c r="N86" i="83"/>
  <c r="N93" i="83" s="1"/>
  <c r="F86" i="83"/>
  <c r="F93" i="83" s="1"/>
  <c r="F84" i="83"/>
  <c r="F91" i="83" s="1"/>
  <c r="N84" i="83"/>
  <c r="N91" i="83" s="1"/>
  <c r="H84" i="83"/>
  <c r="H91" i="83" s="1"/>
  <c r="D85" i="83"/>
  <c r="D92" i="83" s="1"/>
  <c r="L85" i="83"/>
  <c r="L92" i="83" s="1"/>
  <c r="J84" i="83"/>
  <c r="J91" i="83" s="1"/>
  <c r="N85" i="83"/>
  <c r="N92" i="83" s="1"/>
  <c r="F85" i="83"/>
  <c r="F92" i="83" s="1"/>
  <c r="J86" i="83"/>
  <c r="J93" i="83" s="1"/>
  <c r="E75" i="86"/>
  <c r="E75" i="87" s="1"/>
  <c r="M75" i="86"/>
  <c r="M75" i="87" s="1"/>
  <c r="C54" i="86"/>
  <c r="O67" i="86"/>
  <c r="H75" i="86"/>
  <c r="H75" i="87" s="1"/>
  <c r="O72" i="86"/>
  <c r="O72" i="87" s="1"/>
  <c r="I75" i="86"/>
  <c r="D54" i="86"/>
  <c r="D54" i="87" s="1"/>
  <c r="L54" i="86"/>
  <c r="L54" i="87" s="1"/>
  <c r="E54" i="86"/>
  <c r="E54" i="87" s="1"/>
  <c r="M54" i="86"/>
  <c r="J33" i="86"/>
  <c r="K86" i="86"/>
  <c r="G87" i="86"/>
  <c r="C33" i="86"/>
  <c r="C33" i="87" s="1"/>
  <c r="K33" i="86"/>
  <c r="I33" i="86"/>
  <c r="O19" i="86"/>
  <c r="J84" i="86"/>
  <c r="F85" i="86"/>
  <c r="N85" i="86"/>
  <c r="J86" i="86"/>
  <c r="F87" i="86"/>
  <c r="N87" i="86"/>
  <c r="O40" i="86"/>
  <c r="O82" i="86"/>
  <c r="O82" i="87" s="1"/>
  <c r="O92" i="86"/>
  <c r="D32" i="86"/>
  <c r="O81" i="86"/>
  <c r="O81" i="87" s="1"/>
  <c r="O25" i="86"/>
  <c r="M32" i="86"/>
  <c r="M32" i="87" s="1"/>
  <c r="D33" i="86"/>
  <c r="L33" i="86"/>
  <c r="L33" i="87" s="1"/>
  <c r="O51" i="86"/>
  <c r="F54" i="86"/>
  <c r="N54" i="86"/>
  <c r="N54" i="87" s="1"/>
  <c r="N74" i="86"/>
  <c r="N74" i="87" s="1"/>
  <c r="J75" i="86"/>
  <c r="J75" i="87" s="1"/>
  <c r="O97" i="86"/>
  <c r="C53" i="86"/>
  <c r="C53" i="87" s="1"/>
  <c r="K53" i="86"/>
  <c r="K53" i="87" s="1"/>
  <c r="H54" i="86"/>
  <c r="H54" i="87" s="1"/>
  <c r="C75" i="86"/>
  <c r="C75" i="87" s="1"/>
  <c r="K75" i="86"/>
  <c r="K75" i="87" s="1"/>
  <c r="L74" i="86"/>
  <c r="L74" i="87" s="1"/>
  <c r="H74" i="86"/>
  <c r="G33" i="86"/>
  <c r="G33" i="87" s="1"/>
  <c r="I54" i="86"/>
  <c r="O68" i="86"/>
  <c r="H33" i="86"/>
  <c r="H33" i="87" s="1"/>
  <c r="O47" i="86"/>
  <c r="N32" i="86"/>
  <c r="N32" i="87" s="1"/>
  <c r="O73" i="86"/>
  <c r="O70" i="86"/>
  <c r="O70" i="87" s="1"/>
  <c r="G84" i="86"/>
  <c r="K85" i="86"/>
  <c r="C87" i="86"/>
  <c r="K87" i="86"/>
  <c r="D84" i="86"/>
  <c r="L84" i="86"/>
  <c r="H85" i="86"/>
  <c r="D86" i="86"/>
  <c r="L86" i="86"/>
  <c r="F53" i="86"/>
  <c r="N53" i="86"/>
  <c r="G53" i="86"/>
  <c r="E84" i="86"/>
  <c r="M84" i="86"/>
  <c r="I85" i="86"/>
  <c r="E86" i="86"/>
  <c r="M86" i="86"/>
  <c r="F84" i="86"/>
  <c r="N84" i="86"/>
  <c r="J85" i="86"/>
  <c r="J87" i="86"/>
  <c r="H84" i="86"/>
  <c r="D85" i="86"/>
  <c r="L85" i="86"/>
  <c r="H86" i="86"/>
  <c r="D87" i="86"/>
  <c r="L87" i="86"/>
  <c r="E85" i="86"/>
  <c r="M85" i="86"/>
  <c r="I86" i="86"/>
  <c r="E87" i="86"/>
  <c r="M87" i="86"/>
  <c r="E32" i="86"/>
  <c r="J32" i="86"/>
  <c r="O29" i="86"/>
  <c r="G32" i="86"/>
  <c r="O31" i="86"/>
  <c r="O30" i="86"/>
  <c r="O30" i="87" s="1"/>
  <c r="H87" i="86"/>
  <c r="C85" i="86"/>
  <c r="O28" i="86"/>
  <c r="O18" i="86"/>
  <c r="O60" i="86"/>
  <c r="O91" i="86"/>
  <c r="O11" i="86"/>
  <c r="O12" i="86"/>
  <c r="O83" i="86"/>
  <c r="O83" i="87" s="1"/>
  <c r="O96" i="86"/>
  <c r="I87" i="86"/>
  <c r="E53" i="86"/>
  <c r="E53" i="87" s="1"/>
  <c r="M53" i="86"/>
  <c r="M53" i="87" s="1"/>
  <c r="E33" i="86"/>
  <c r="E33" i="87" s="1"/>
  <c r="M33" i="86"/>
  <c r="F86" i="86"/>
  <c r="N86" i="86"/>
  <c r="O46" i="86"/>
  <c r="I76" i="86"/>
  <c r="I76" i="87" s="1"/>
  <c r="C32" i="86"/>
  <c r="K32" i="86"/>
  <c r="F33" i="86"/>
  <c r="F33" i="87" s="1"/>
  <c r="N33" i="86"/>
  <c r="N33" i="87" s="1"/>
  <c r="G86" i="86"/>
  <c r="O50" i="86"/>
  <c r="O39" i="86"/>
  <c r="O93" i="86"/>
  <c r="O94" i="86"/>
  <c r="L32" i="86"/>
  <c r="I84" i="86"/>
  <c r="E74" i="86"/>
  <c r="E74" i="87" s="1"/>
  <c r="M74" i="86"/>
  <c r="M74" i="87" s="1"/>
  <c r="G75" i="86"/>
  <c r="O62" i="86"/>
  <c r="O62" i="87" s="1"/>
  <c r="O26" i="86"/>
  <c r="O95" i="86"/>
  <c r="O61" i="86"/>
  <c r="O62" i="83"/>
  <c r="O82" i="83"/>
  <c r="M75" i="83"/>
  <c r="L75" i="83"/>
  <c r="L89" i="83" s="1"/>
  <c r="I75" i="83"/>
  <c r="G75" i="83"/>
  <c r="F75" i="83"/>
  <c r="F75" i="87" s="1"/>
  <c r="O68" i="83"/>
  <c r="O61" i="83"/>
  <c r="N89" i="83"/>
  <c r="M54" i="83"/>
  <c r="M89" i="83" s="1"/>
  <c r="I54" i="83"/>
  <c r="O47" i="83"/>
  <c r="E89" i="83"/>
  <c r="E96" i="83" s="1"/>
  <c r="C54" i="83"/>
  <c r="C89" i="83" s="1"/>
  <c r="C96" i="83" s="1"/>
  <c r="O40" i="83"/>
  <c r="H89" i="83"/>
  <c r="H96" i="83" s="1"/>
  <c r="G89" i="83"/>
  <c r="G96" i="83" s="1"/>
  <c r="F54" i="83"/>
  <c r="O26" i="83"/>
  <c r="K33" i="83"/>
  <c r="K89" i="83" s="1"/>
  <c r="O19" i="83"/>
  <c r="O19" i="87" s="1"/>
  <c r="J33" i="83"/>
  <c r="J89" i="83" s="1"/>
  <c r="I33" i="83"/>
  <c r="O12" i="83"/>
  <c r="D33" i="83"/>
  <c r="D89" i="83" s="1"/>
  <c r="D96" i="83" s="1"/>
  <c r="O81" i="83"/>
  <c r="H32" i="83"/>
  <c r="H32" i="87" s="1"/>
  <c r="D53" i="83"/>
  <c r="D53" i="87" s="1"/>
  <c r="E32" i="83"/>
  <c r="C32" i="83"/>
  <c r="O67" i="83"/>
  <c r="O60" i="83"/>
  <c r="O74" i="83" s="1"/>
  <c r="N53" i="83"/>
  <c r="N88" i="83" s="1"/>
  <c r="N119" i="83" s="1"/>
  <c r="L53" i="83"/>
  <c r="L53" i="87" s="1"/>
  <c r="H53" i="83"/>
  <c r="G53" i="83"/>
  <c r="F53" i="83"/>
  <c r="E53" i="83"/>
  <c r="O46" i="83"/>
  <c r="O39" i="83"/>
  <c r="C53" i="83"/>
  <c r="F32" i="83"/>
  <c r="D32" i="83"/>
  <c r="O25" i="83"/>
  <c r="G32" i="83"/>
  <c r="M32" i="83"/>
  <c r="M88" i="83" s="1"/>
  <c r="L32" i="83"/>
  <c r="K32" i="83"/>
  <c r="K88" i="83" s="1"/>
  <c r="J32" i="83"/>
  <c r="J88" i="83" s="1"/>
  <c r="I32" i="83"/>
  <c r="I88" i="83" s="1"/>
  <c r="I95" i="83" s="1"/>
  <c r="O18" i="83"/>
  <c r="O18" i="87" s="1"/>
  <c r="O11" i="83"/>
  <c r="O102" i="83"/>
  <c r="O103" i="83"/>
  <c r="V85" i="83"/>
  <c r="V86" i="83"/>
  <c r="V84" i="83"/>
  <c r="O72" i="83"/>
  <c r="M132" i="83"/>
  <c r="I133" i="83"/>
  <c r="O30" i="83"/>
  <c r="E52" i="83"/>
  <c r="E52" i="87" s="1"/>
  <c r="J31" i="83"/>
  <c r="J31" i="87" s="1"/>
  <c r="M52" i="83"/>
  <c r="M52" i="87" s="1"/>
  <c r="E73" i="83"/>
  <c r="E73" i="87" s="1"/>
  <c r="M73" i="83"/>
  <c r="M73" i="87" s="1"/>
  <c r="F31" i="83"/>
  <c r="F31" i="87" s="1"/>
  <c r="N31" i="83"/>
  <c r="N31" i="87" s="1"/>
  <c r="O50" i="83"/>
  <c r="I52" i="83"/>
  <c r="I52" i="87" s="1"/>
  <c r="O45" i="83"/>
  <c r="O45" i="87" s="1"/>
  <c r="N52" i="83"/>
  <c r="N52" i="87" s="1"/>
  <c r="C31" i="83"/>
  <c r="C31" i="87" s="1"/>
  <c r="O38" i="83"/>
  <c r="O38" i="87" s="1"/>
  <c r="K52" i="83"/>
  <c r="K52" i="87" s="1"/>
  <c r="D31" i="83"/>
  <c r="L31" i="83"/>
  <c r="L87" i="83" s="1"/>
  <c r="O29" i="83"/>
  <c r="G52" i="83"/>
  <c r="G87" i="83" s="1"/>
  <c r="G94" i="83" s="1"/>
  <c r="C84" i="83"/>
  <c r="C131" i="83" s="1"/>
  <c r="O70" i="83"/>
  <c r="H73" i="83"/>
  <c r="H73" i="87" s="1"/>
  <c r="O59" i="83"/>
  <c r="O59" i="87" s="1"/>
  <c r="K73" i="83"/>
  <c r="K31" i="83"/>
  <c r="K31" i="87" s="1"/>
  <c r="C52" i="83"/>
  <c r="C52" i="87" s="1"/>
  <c r="D73" i="83"/>
  <c r="D73" i="87" s="1"/>
  <c r="L73" i="83"/>
  <c r="O80" i="83"/>
  <c r="O49" i="83"/>
  <c r="H52" i="83"/>
  <c r="H52" i="87" s="1"/>
  <c r="O71" i="83"/>
  <c r="I73" i="83"/>
  <c r="I73" i="87" s="1"/>
  <c r="F73" i="83"/>
  <c r="N73" i="83"/>
  <c r="N73" i="87" s="1"/>
  <c r="O98" i="83"/>
  <c r="O100" i="83"/>
  <c r="O28" i="83"/>
  <c r="H31" i="83"/>
  <c r="H87" i="83" s="1"/>
  <c r="H94" i="83" s="1"/>
  <c r="O24" i="83"/>
  <c r="O24" i="87" s="1"/>
  <c r="O99" i="83"/>
  <c r="E115" i="83"/>
  <c r="D117" i="83"/>
  <c r="O51" i="83"/>
  <c r="I115" i="83"/>
  <c r="E31" i="83"/>
  <c r="E87" i="83" s="1"/>
  <c r="E94" i="83" s="1"/>
  <c r="M31" i="83"/>
  <c r="I31" i="83"/>
  <c r="I31" i="87" s="1"/>
  <c r="O66" i="83"/>
  <c r="O66" i="87" s="1"/>
  <c r="O10" i="83"/>
  <c r="O10" i="87" s="1"/>
  <c r="O104" i="83"/>
  <c r="F52" i="83"/>
  <c r="F52" i="87" s="1"/>
  <c r="O101" i="83"/>
  <c r="O68" i="87" l="1"/>
  <c r="D87" i="83"/>
  <c r="D94" i="83" s="1"/>
  <c r="K131" i="83"/>
  <c r="I75" i="87"/>
  <c r="L75" i="87"/>
  <c r="O67" i="87"/>
  <c r="O71" i="87"/>
  <c r="G133" i="83"/>
  <c r="O29" i="87"/>
  <c r="H133" i="83"/>
  <c r="C32" i="87"/>
  <c r="C93" i="83"/>
  <c r="I32" i="87"/>
  <c r="G131" i="83"/>
  <c r="E133" i="83"/>
  <c r="O11" i="87"/>
  <c r="O25" i="87"/>
  <c r="M115" i="83"/>
  <c r="J131" i="83"/>
  <c r="K133" i="83"/>
  <c r="F133" i="83"/>
  <c r="K32" i="87"/>
  <c r="K33" i="87"/>
  <c r="K132" i="83"/>
  <c r="F54" i="87"/>
  <c r="O86" i="83"/>
  <c r="P51" i="83" s="1"/>
  <c r="L88" i="83"/>
  <c r="L135" i="83" s="1"/>
  <c r="L116" i="83"/>
  <c r="L31" i="87"/>
  <c r="D31" i="87"/>
  <c r="L32" i="87"/>
  <c r="O28" i="87"/>
  <c r="E32" i="87"/>
  <c r="D33" i="87"/>
  <c r="O12" i="87"/>
  <c r="E31" i="87"/>
  <c r="O26" i="87"/>
  <c r="I33" i="87"/>
  <c r="G32" i="87"/>
  <c r="O39" i="87"/>
  <c r="O51" i="87"/>
  <c r="O49" i="87"/>
  <c r="J116" i="83"/>
  <c r="C88" i="83"/>
  <c r="C95" i="83" s="1"/>
  <c r="N53" i="87"/>
  <c r="N87" i="83"/>
  <c r="N94" i="83" s="1"/>
  <c r="K87" i="83"/>
  <c r="K87" i="87" s="1"/>
  <c r="C87" i="83"/>
  <c r="C94" i="83" s="1"/>
  <c r="F87" i="83"/>
  <c r="F94" i="83" s="1"/>
  <c r="O50" i="87"/>
  <c r="O46" i="87"/>
  <c r="O40" i="87"/>
  <c r="M54" i="87"/>
  <c r="O47" i="87"/>
  <c r="G53" i="87"/>
  <c r="C54" i="87"/>
  <c r="H53" i="87"/>
  <c r="M87" i="83"/>
  <c r="M94" i="83" s="1"/>
  <c r="L131" i="83"/>
  <c r="G52" i="87"/>
  <c r="I54" i="87"/>
  <c r="G89" i="86"/>
  <c r="G75" i="87"/>
  <c r="L102" i="86"/>
  <c r="L86" i="87"/>
  <c r="O74" i="86"/>
  <c r="O74" i="87" s="1"/>
  <c r="O60" i="87"/>
  <c r="L87" i="87"/>
  <c r="L103" i="86"/>
  <c r="N84" i="87"/>
  <c r="N100" i="86"/>
  <c r="K103" i="86"/>
  <c r="F103" i="86"/>
  <c r="M89" i="86"/>
  <c r="M33" i="87"/>
  <c r="J88" i="86"/>
  <c r="J32" i="87"/>
  <c r="D87" i="87"/>
  <c r="D103" i="86"/>
  <c r="F84" i="87"/>
  <c r="F100" i="86"/>
  <c r="C103" i="86"/>
  <c r="J86" i="87"/>
  <c r="J102" i="86"/>
  <c r="C86" i="87"/>
  <c r="C102" i="86"/>
  <c r="F88" i="86"/>
  <c r="F53" i="87"/>
  <c r="L85" i="87"/>
  <c r="L101" i="86"/>
  <c r="O75" i="86"/>
  <c r="O61" i="87"/>
  <c r="E87" i="87"/>
  <c r="E103" i="86"/>
  <c r="I85" i="87"/>
  <c r="I101" i="86"/>
  <c r="M86" i="87"/>
  <c r="M102" i="86"/>
  <c r="N85" i="87"/>
  <c r="N101" i="86"/>
  <c r="M103" i="86"/>
  <c r="G84" i="87"/>
  <c r="G100" i="86"/>
  <c r="D88" i="86"/>
  <c r="D32" i="87"/>
  <c r="F85" i="87"/>
  <c r="F101" i="86"/>
  <c r="G85" i="87"/>
  <c r="G101" i="86"/>
  <c r="H87" i="87"/>
  <c r="H103" i="86"/>
  <c r="D85" i="87"/>
  <c r="D101" i="86"/>
  <c r="D86" i="87"/>
  <c r="D102" i="86"/>
  <c r="J84" i="87"/>
  <c r="J100" i="86"/>
  <c r="I86" i="87"/>
  <c r="I102" i="86"/>
  <c r="H84" i="87"/>
  <c r="H100" i="86"/>
  <c r="M84" i="87"/>
  <c r="M100" i="86"/>
  <c r="H85" i="87"/>
  <c r="H101" i="86"/>
  <c r="H88" i="86"/>
  <c r="H74" i="87"/>
  <c r="J89" i="86"/>
  <c r="J33" i="87"/>
  <c r="K84" i="87"/>
  <c r="K100" i="86"/>
  <c r="H86" i="87"/>
  <c r="H102" i="86"/>
  <c r="K85" i="87"/>
  <c r="K101" i="86"/>
  <c r="K86" i="87"/>
  <c r="K102" i="86"/>
  <c r="I84" i="87"/>
  <c r="I100" i="86"/>
  <c r="G86" i="87"/>
  <c r="G102" i="86"/>
  <c r="N86" i="87"/>
  <c r="N102" i="86"/>
  <c r="O87" i="86"/>
  <c r="P45" i="86" s="1"/>
  <c r="M85" i="87"/>
  <c r="M101" i="86"/>
  <c r="J103" i="86"/>
  <c r="E84" i="87"/>
  <c r="E100" i="86"/>
  <c r="L84" i="87"/>
  <c r="L100" i="86"/>
  <c r="E86" i="87"/>
  <c r="E102" i="86"/>
  <c r="F86" i="87"/>
  <c r="F102" i="86"/>
  <c r="E85" i="87"/>
  <c r="E101" i="86"/>
  <c r="J85" i="87"/>
  <c r="J101" i="86"/>
  <c r="I88" i="86"/>
  <c r="D84" i="87"/>
  <c r="D100" i="86"/>
  <c r="N103" i="86"/>
  <c r="C84" i="87"/>
  <c r="C100" i="86"/>
  <c r="G87" i="87"/>
  <c r="G103" i="86"/>
  <c r="C85" i="87"/>
  <c r="C101" i="86"/>
  <c r="I103" i="86"/>
  <c r="D115" i="83"/>
  <c r="N115" i="83"/>
  <c r="O85" i="83"/>
  <c r="P15" i="83" s="1"/>
  <c r="F88" i="83"/>
  <c r="F95" i="83" s="1"/>
  <c r="H116" i="83"/>
  <c r="J117" i="83"/>
  <c r="F115" i="83"/>
  <c r="O84" i="83"/>
  <c r="P70" i="83" s="1"/>
  <c r="N95" i="83"/>
  <c r="F116" i="83"/>
  <c r="H88" i="83"/>
  <c r="H95" i="83" s="1"/>
  <c r="D88" i="83"/>
  <c r="D95" i="83" s="1"/>
  <c r="N132" i="83"/>
  <c r="H131" i="83"/>
  <c r="N135" i="83"/>
  <c r="I87" i="83"/>
  <c r="I94" i="83" s="1"/>
  <c r="G88" i="83"/>
  <c r="G95" i="83" s="1"/>
  <c r="E88" i="83"/>
  <c r="E95" i="83" s="1"/>
  <c r="L94" i="83"/>
  <c r="L134" i="83"/>
  <c r="L96" i="83"/>
  <c r="L136" i="83"/>
  <c r="L120" i="83"/>
  <c r="J87" i="83"/>
  <c r="J87" i="87" s="1"/>
  <c r="J135" i="83"/>
  <c r="J119" i="83"/>
  <c r="J95" i="83"/>
  <c r="K135" i="83"/>
  <c r="K119" i="83"/>
  <c r="K95" i="83"/>
  <c r="L95" i="83"/>
  <c r="P65" i="83"/>
  <c r="P30" i="83"/>
  <c r="P58" i="83"/>
  <c r="P16" i="83"/>
  <c r="P44" i="83"/>
  <c r="M95" i="83"/>
  <c r="M135" i="83"/>
  <c r="M119" i="83"/>
  <c r="J96" i="83"/>
  <c r="J120" i="83"/>
  <c r="J136" i="83"/>
  <c r="K96" i="83"/>
  <c r="K136" i="83"/>
  <c r="K120" i="83"/>
  <c r="N96" i="83"/>
  <c r="N136" i="83"/>
  <c r="M96" i="83"/>
  <c r="M136" i="83"/>
  <c r="K89" i="86"/>
  <c r="F89" i="86"/>
  <c r="C89" i="86"/>
  <c r="N88" i="86"/>
  <c r="L89" i="86"/>
  <c r="O54" i="86"/>
  <c r="N89" i="86"/>
  <c r="H89" i="86"/>
  <c r="D89" i="86"/>
  <c r="I89" i="86"/>
  <c r="K88" i="86"/>
  <c r="E89" i="86"/>
  <c r="O32" i="86"/>
  <c r="L88" i="86"/>
  <c r="C88" i="86"/>
  <c r="O86" i="86"/>
  <c r="P51" i="86" s="1"/>
  <c r="M88" i="86"/>
  <c r="E88" i="86"/>
  <c r="O84" i="86"/>
  <c r="O53" i="86"/>
  <c r="G88" i="86"/>
  <c r="O85" i="86"/>
  <c r="O33" i="86"/>
  <c r="F89" i="83"/>
  <c r="F96" i="83" s="1"/>
  <c r="O75" i="83"/>
  <c r="I89" i="83"/>
  <c r="I96" i="83" s="1"/>
  <c r="O54" i="83"/>
  <c r="O33" i="83"/>
  <c r="O53" i="83"/>
  <c r="O32" i="83"/>
  <c r="I135" i="83"/>
  <c r="E120" i="83"/>
  <c r="E136" i="83"/>
  <c r="D120" i="83"/>
  <c r="D136" i="83"/>
  <c r="G120" i="83"/>
  <c r="C120" i="83"/>
  <c r="C136" i="83"/>
  <c r="H120" i="83"/>
  <c r="I119" i="83"/>
  <c r="I117" i="83"/>
  <c r="H115" i="83"/>
  <c r="J115" i="83"/>
  <c r="D132" i="83"/>
  <c r="M116" i="83"/>
  <c r="E132" i="83"/>
  <c r="K116" i="83"/>
  <c r="E116" i="83"/>
  <c r="K115" i="83"/>
  <c r="D116" i="83"/>
  <c r="I132" i="83"/>
  <c r="S86" i="83"/>
  <c r="O52" i="83"/>
  <c r="O52" i="87" s="1"/>
  <c r="S85" i="83"/>
  <c r="H117" i="83"/>
  <c r="C132" i="83"/>
  <c r="N133" i="83"/>
  <c r="C116" i="83"/>
  <c r="F117" i="83"/>
  <c r="L115" i="83"/>
  <c r="I116" i="83"/>
  <c r="N131" i="83"/>
  <c r="D133" i="83"/>
  <c r="N117" i="83"/>
  <c r="C115" i="83"/>
  <c r="M131" i="83"/>
  <c r="F132" i="83"/>
  <c r="M117" i="83"/>
  <c r="E117" i="83"/>
  <c r="G117" i="83"/>
  <c r="C133" i="83"/>
  <c r="L132" i="83"/>
  <c r="R48" i="83"/>
  <c r="K117" i="83"/>
  <c r="M133" i="83"/>
  <c r="L133" i="83"/>
  <c r="G132" i="83"/>
  <c r="J132" i="83"/>
  <c r="G116" i="83"/>
  <c r="J133" i="83"/>
  <c r="G115" i="83"/>
  <c r="D131" i="83"/>
  <c r="H132" i="83"/>
  <c r="F131" i="83"/>
  <c r="C91" i="83"/>
  <c r="S84" i="83"/>
  <c r="N116" i="83"/>
  <c r="I131" i="83"/>
  <c r="L117" i="83"/>
  <c r="E131" i="83"/>
  <c r="G118" i="83"/>
  <c r="G134" i="83"/>
  <c r="G136" i="83" s="1"/>
  <c r="O31" i="83"/>
  <c r="O31" i="87" s="1"/>
  <c r="O73" i="83"/>
  <c r="O73" i="87" s="1"/>
  <c r="I134" i="83" l="1"/>
  <c r="P72" i="83"/>
  <c r="P79" i="83"/>
  <c r="P23" i="83"/>
  <c r="P37" i="83"/>
  <c r="O93" i="83"/>
  <c r="O75" i="87"/>
  <c r="O92" i="83"/>
  <c r="L119" i="83"/>
  <c r="N87" i="87"/>
  <c r="N134" i="83"/>
  <c r="K94" i="83"/>
  <c r="K134" i="83"/>
  <c r="O32" i="87"/>
  <c r="M134" i="83"/>
  <c r="C119" i="83"/>
  <c r="P49" i="83"/>
  <c r="O33" i="87"/>
  <c r="C135" i="83"/>
  <c r="M87" i="87"/>
  <c r="P73" i="86"/>
  <c r="O53" i="87"/>
  <c r="P78" i="83"/>
  <c r="O88" i="83"/>
  <c r="P67" i="83" s="1"/>
  <c r="P57" i="83"/>
  <c r="C87" i="87"/>
  <c r="P79" i="86"/>
  <c r="P9" i="86"/>
  <c r="P37" i="86"/>
  <c r="P10" i="86"/>
  <c r="P23" i="86"/>
  <c r="P17" i="86"/>
  <c r="P44" i="86"/>
  <c r="P65" i="86"/>
  <c r="P72" i="86"/>
  <c r="P24" i="86"/>
  <c r="H119" i="83"/>
  <c r="P71" i="83"/>
  <c r="F87" i="87"/>
  <c r="P50" i="83"/>
  <c r="O54" i="87"/>
  <c r="P29" i="83"/>
  <c r="P64" i="83"/>
  <c r="I87" i="87"/>
  <c r="F135" i="83"/>
  <c r="P22" i="83"/>
  <c r="E105" i="86"/>
  <c r="E89" i="87"/>
  <c r="I88" i="87"/>
  <c r="I104" i="86"/>
  <c r="F88" i="87"/>
  <c r="F104" i="86"/>
  <c r="M105" i="86"/>
  <c r="M89" i="87"/>
  <c r="P38" i="86"/>
  <c r="N88" i="87"/>
  <c r="N104" i="86"/>
  <c r="P21" i="86"/>
  <c r="O84" i="87"/>
  <c r="O100" i="86"/>
  <c r="K105" i="86"/>
  <c r="K89" i="87"/>
  <c r="L105" i="86"/>
  <c r="L89" i="87"/>
  <c r="P66" i="86"/>
  <c r="O103" i="86"/>
  <c r="J105" i="86"/>
  <c r="J89" i="87"/>
  <c r="D88" i="87"/>
  <c r="D104" i="86"/>
  <c r="O85" i="87"/>
  <c r="O101" i="86"/>
  <c r="N105" i="86"/>
  <c r="N89" i="87"/>
  <c r="J88" i="87"/>
  <c r="J104" i="86"/>
  <c r="G88" i="87"/>
  <c r="G104" i="86"/>
  <c r="M88" i="87"/>
  <c r="M104" i="86"/>
  <c r="I105" i="86"/>
  <c r="I89" i="87"/>
  <c r="P59" i="86"/>
  <c r="C88" i="87"/>
  <c r="C104" i="86"/>
  <c r="D105" i="86"/>
  <c r="D89" i="87"/>
  <c r="C105" i="86"/>
  <c r="C89" i="87"/>
  <c r="G105" i="86"/>
  <c r="G89" i="87"/>
  <c r="E88" i="87"/>
  <c r="E104" i="86"/>
  <c r="K88" i="87"/>
  <c r="K104" i="86"/>
  <c r="O86" i="87"/>
  <c r="O102" i="86"/>
  <c r="P16" i="86"/>
  <c r="P31" i="86"/>
  <c r="P58" i="86"/>
  <c r="P30" i="86"/>
  <c r="P80" i="86"/>
  <c r="P52" i="86"/>
  <c r="L88" i="87"/>
  <c r="L104" i="86"/>
  <c r="H105" i="86"/>
  <c r="H89" i="87"/>
  <c r="F105" i="86"/>
  <c r="F89" i="87"/>
  <c r="H88" i="87"/>
  <c r="H104" i="86"/>
  <c r="P63" i="83"/>
  <c r="P35" i="83"/>
  <c r="G135" i="83"/>
  <c r="P42" i="83"/>
  <c r="P36" i="83"/>
  <c r="H135" i="83"/>
  <c r="P28" i="83"/>
  <c r="O91" i="83"/>
  <c r="P56" i="83"/>
  <c r="P21" i="83"/>
  <c r="P14" i="83"/>
  <c r="P77" i="83"/>
  <c r="P43" i="83"/>
  <c r="G119" i="83"/>
  <c r="E119" i="83"/>
  <c r="O87" i="83"/>
  <c r="P80" i="83" s="1"/>
  <c r="D135" i="83"/>
  <c r="D119" i="83"/>
  <c r="J94" i="83"/>
  <c r="J134" i="83"/>
  <c r="J110" i="83"/>
  <c r="O89" i="86"/>
  <c r="O88" i="86"/>
  <c r="P46" i="86" s="1"/>
  <c r="P49" i="86"/>
  <c r="P77" i="86"/>
  <c r="P63" i="86"/>
  <c r="P56" i="86"/>
  <c r="P70" i="86"/>
  <c r="P42" i="86"/>
  <c r="P35" i="86"/>
  <c r="P22" i="86"/>
  <c r="P7" i="86"/>
  <c r="P8" i="86"/>
  <c r="P14" i="86"/>
  <c r="P28" i="86"/>
  <c r="P64" i="86"/>
  <c r="P29" i="86"/>
  <c r="P50" i="86"/>
  <c r="P57" i="86"/>
  <c r="P78" i="86"/>
  <c r="P43" i="86"/>
  <c r="P36" i="86"/>
  <c r="P71" i="86"/>
  <c r="P15" i="86"/>
  <c r="F120" i="83"/>
  <c r="I136" i="83"/>
  <c r="I120" i="83"/>
  <c r="O89" i="83"/>
  <c r="E135" i="83"/>
  <c r="F119" i="83"/>
  <c r="O111" i="83"/>
  <c r="E134" i="83"/>
  <c r="E118" i="83"/>
  <c r="M110" i="83"/>
  <c r="H118" i="83"/>
  <c r="D134" i="83"/>
  <c r="H134" i="83"/>
  <c r="H136" i="83" s="1"/>
  <c r="D118" i="83"/>
  <c r="U85" i="83"/>
  <c r="L110" i="83"/>
  <c r="I118" i="83"/>
  <c r="U86" i="83"/>
  <c r="O131" i="83"/>
  <c r="O133" i="83"/>
  <c r="O117" i="83"/>
  <c r="O115" i="83"/>
  <c r="P9" i="83"/>
  <c r="U84" i="83"/>
  <c r="N110" i="83"/>
  <c r="P7" i="83"/>
  <c r="C134" i="83"/>
  <c r="P8" i="83"/>
  <c r="F134" i="83"/>
  <c r="F136" i="83" s="1"/>
  <c r="O116" i="83"/>
  <c r="O132" i="83"/>
  <c r="C118" i="83"/>
  <c r="F118" i="83"/>
  <c r="K110" i="83"/>
  <c r="R73" i="83"/>
  <c r="P60" i="83" l="1"/>
  <c r="P11" i="83"/>
  <c r="P81" i="83"/>
  <c r="O95" i="83"/>
  <c r="P18" i="83"/>
  <c r="P25" i="83"/>
  <c r="P53" i="83"/>
  <c r="O119" i="83"/>
  <c r="P74" i="83"/>
  <c r="O135" i="83"/>
  <c r="P32" i="83"/>
  <c r="P46" i="83"/>
  <c r="P39" i="83"/>
  <c r="O87" i="87"/>
  <c r="P60" i="86"/>
  <c r="P81" i="86"/>
  <c r="P11" i="86"/>
  <c r="P18" i="86"/>
  <c r="O105" i="86"/>
  <c r="O89" i="87"/>
  <c r="P39" i="86"/>
  <c r="O88" i="87"/>
  <c r="O104" i="86"/>
  <c r="P25" i="86"/>
  <c r="P53" i="86"/>
  <c r="P74" i="86"/>
  <c r="P32" i="86"/>
  <c r="P67" i="86"/>
  <c r="P38" i="83"/>
  <c r="P45" i="83"/>
  <c r="P17" i="83"/>
  <c r="P31" i="83"/>
  <c r="P66" i="83"/>
  <c r="P73" i="83"/>
  <c r="O94" i="83"/>
  <c r="P52" i="83"/>
  <c r="P59" i="83"/>
  <c r="P24" i="83"/>
  <c r="P54" i="83"/>
  <c r="O136" i="83"/>
  <c r="P68" i="86"/>
  <c r="P33" i="86"/>
  <c r="P40" i="86"/>
  <c r="P61" i="86"/>
  <c r="P12" i="86"/>
  <c r="P82" i="86"/>
  <c r="P19" i="86"/>
  <c r="P47" i="86"/>
  <c r="P26" i="86"/>
  <c r="P75" i="86"/>
  <c r="P54" i="86"/>
  <c r="P61" i="83"/>
  <c r="P33" i="83"/>
  <c r="P40" i="83"/>
  <c r="O96" i="83"/>
  <c r="P68" i="83"/>
  <c r="P19" i="83"/>
  <c r="P12" i="83"/>
  <c r="P82" i="83"/>
  <c r="P75" i="83"/>
  <c r="P26" i="83"/>
  <c r="P47" i="83"/>
  <c r="O110" i="83"/>
  <c r="O118" i="83" s="1"/>
  <c r="O134" i="83"/>
  <c r="P10" i="83"/>
  <c r="J20" i="65" l="1"/>
  <c r="G20" i="65"/>
  <c r="J20" i="64"/>
  <c r="G20" i="64"/>
  <c r="K4" i="65" l="1"/>
  <c r="G4" i="65"/>
  <c r="G21" i="64"/>
  <c r="K4" i="63"/>
  <c r="G4" i="63"/>
  <c r="K4" i="61"/>
  <c r="G4" i="61"/>
  <c r="K4" i="60"/>
  <c r="G4" i="60"/>
  <c r="K4" i="59"/>
  <c r="G4" i="59"/>
  <c r="K4" i="57"/>
  <c r="G4" i="57"/>
  <c r="K4" i="56"/>
  <c r="G4" i="56"/>
  <c r="G4" i="52"/>
  <c r="G4" i="53"/>
  <c r="G4" i="33"/>
  <c r="K4" i="33" l="1"/>
  <c r="L37" i="72" l="1"/>
  <c r="AK32" i="68" l="1"/>
  <c r="AJ32" i="68"/>
  <c r="AL32" i="68"/>
  <c r="AL31" i="68"/>
  <c r="AJ31" i="68"/>
  <c r="AL30" i="68"/>
  <c r="AK30" i="68"/>
  <c r="AJ30" i="68"/>
  <c r="AK26" i="68"/>
  <c r="AK25" i="68"/>
  <c r="AL23" i="68"/>
  <c r="AL22" i="68"/>
  <c r="AL21" i="68"/>
  <c r="H38" i="71" l="1"/>
  <c r="I38" i="71" s="1"/>
  <c r="H39" i="71" s="1"/>
  <c r="F35" i="75" l="1"/>
  <c r="F38" i="73" l="1"/>
  <c r="T3" i="53" l="1"/>
  <c r="L35" i="75" l="1"/>
  <c r="M35" i="75" l="1"/>
  <c r="Y30" i="70" l="1"/>
  <c r="Z30" i="70"/>
  <c r="AB30" i="70" l="1"/>
  <c r="AA30" i="70"/>
  <c r="F22" i="66" l="1"/>
  <c r="F22" i="62"/>
  <c r="F22" i="58"/>
  <c r="C4" i="60"/>
  <c r="Y13" i="75" l="1"/>
  <c r="AC13" i="75" s="1"/>
  <c r="Z13" i="75"/>
  <c r="Y14" i="75"/>
  <c r="AC14" i="75" s="1"/>
  <c r="Z14" i="75"/>
  <c r="AB14" i="75" l="1"/>
  <c r="AB13" i="75"/>
  <c r="AA13" i="75"/>
  <c r="AA14" i="75"/>
  <c r="R20" i="32" l="1"/>
  <c r="O20" i="32"/>
  <c r="N20" i="32"/>
  <c r="K20" i="32"/>
  <c r="M20" i="32" s="1"/>
  <c r="J20" i="32"/>
  <c r="G20" i="32"/>
  <c r="I20" i="32" s="1"/>
  <c r="F20" i="32"/>
  <c r="C20" i="32"/>
  <c r="E20" i="32" s="1"/>
  <c r="R19" i="32"/>
  <c r="X19" i="32" s="1"/>
  <c r="Q19" i="32"/>
  <c r="O19" i="32"/>
  <c r="N19" i="32"/>
  <c r="M19" i="32"/>
  <c r="K19" i="32"/>
  <c r="J19" i="32"/>
  <c r="G19" i="32"/>
  <c r="I19" i="32" s="1"/>
  <c r="F19" i="32"/>
  <c r="C19" i="32"/>
  <c r="E19" i="32" s="1"/>
  <c r="R18" i="32"/>
  <c r="U18" i="32" s="1"/>
  <c r="O18" i="32"/>
  <c r="N18" i="32"/>
  <c r="K18" i="32"/>
  <c r="M18" i="32" s="1"/>
  <c r="J18" i="32"/>
  <c r="G18" i="32"/>
  <c r="I18" i="32" s="1"/>
  <c r="F18" i="32"/>
  <c r="C18" i="32"/>
  <c r="E18" i="32" s="1"/>
  <c r="R15" i="32"/>
  <c r="O15" i="32"/>
  <c r="S15" i="32" s="1"/>
  <c r="N15" i="32"/>
  <c r="U15" i="32" s="1"/>
  <c r="K15" i="32"/>
  <c r="M15" i="32" s="1"/>
  <c r="J15" i="32"/>
  <c r="X15" i="32" s="1"/>
  <c r="G15" i="32"/>
  <c r="I15" i="32" s="1"/>
  <c r="F15" i="32"/>
  <c r="E15" i="32"/>
  <c r="C15" i="32"/>
  <c r="R14" i="32"/>
  <c r="O14" i="32"/>
  <c r="N14" i="32"/>
  <c r="K14" i="32"/>
  <c r="M14" i="32" s="1"/>
  <c r="J14" i="32"/>
  <c r="G14" i="32"/>
  <c r="I14" i="32" s="1"/>
  <c r="F14" i="32"/>
  <c r="C14" i="32"/>
  <c r="E14" i="32" s="1"/>
  <c r="R12" i="32"/>
  <c r="O12" i="32"/>
  <c r="N12" i="32"/>
  <c r="K12" i="32"/>
  <c r="M12" i="32" s="1"/>
  <c r="J12" i="32"/>
  <c r="G12" i="32"/>
  <c r="I12" i="32" s="1"/>
  <c r="F12" i="32"/>
  <c r="C12" i="32"/>
  <c r="E12" i="32" s="1"/>
  <c r="R11" i="32"/>
  <c r="X11" i="32" s="1"/>
  <c r="O11" i="32"/>
  <c r="S11" i="32" s="1"/>
  <c r="N11" i="32"/>
  <c r="M11" i="32"/>
  <c r="K11" i="32"/>
  <c r="J11" i="32"/>
  <c r="G11" i="32"/>
  <c r="I11" i="32" s="1"/>
  <c r="F11" i="32"/>
  <c r="C11" i="32"/>
  <c r="E11" i="32" s="1"/>
  <c r="O10" i="32"/>
  <c r="R9" i="32"/>
  <c r="U9" i="32" s="1"/>
  <c r="O9" i="32"/>
  <c r="S9" i="32" s="1"/>
  <c r="N9" i="32"/>
  <c r="K9" i="32"/>
  <c r="M9" i="32" s="1"/>
  <c r="J9" i="32"/>
  <c r="X9" i="32" s="1"/>
  <c r="G9" i="32"/>
  <c r="I9" i="32" s="1"/>
  <c r="F9" i="32"/>
  <c r="E9" i="32"/>
  <c r="C9" i="32"/>
  <c r="R8" i="32"/>
  <c r="O8" i="32"/>
  <c r="N8" i="32"/>
  <c r="K8" i="32"/>
  <c r="M8" i="32" s="1"/>
  <c r="J8" i="32"/>
  <c r="G8" i="32"/>
  <c r="I8" i="32" s="1"/>
  <c r="F8" i="32"/>
  <c r="C8" i="32"/>
  <c r="E8" i="32" s="1"/>
  <c r="R7" i="32"/>
  <c r="R10" i="32" s="1"/>
  <c r="O7" i="32"/>
  <c r="S7" i="32" s="1"/>
  <c r="N7" i="32"/>
  <c r="N10" i="32" s="1"/>
  <c r="N13" i="32" s="1"/>
  <c r="M7" i="32"/>
  <c r="K7" i="32"/>
  <c r="K10" i="32" s="1"/>
  <c r="J7" i="32"/>
  <c r="J10" i="32" s="1"/>
  <c r="J13" i="32" s="1"/>
  <c r="G7" i="32"/>
  <c r="G10" i="32" s="1"/>
  <c r="F7" i="32"/>
  <c r="F10" i="32" s="1"/>
  <c r="F13" i="32" s="1"/>
  <c r="C7" i="32"/>
  <c r="E7" i="32" s="1"/>
  <c r="O4" i="32"/>
  <c r="O23" i="32" s="1"/>
  <c r="S23" i="32" s="1"/>
  <c r="K4" i="32"/>
  <c r="K23" i="32" s="1"/>
  <c r="G4" i="32"/>
  <c r="G24" i="32" s="1"/>
  <c r="C4" i="32"/>
  <c r="C24" i="32" s="1"/>
  <c r="C3" i="32"/>
  <c r="B1" i="32"/>
  <c r="R20" i="31"/>
  <c r="U20" i="31" s="1"/>
  <c r="O20" i="31"/>
  <c r="N20" i="31"/>
  <c r="K20" i="31"/>
  <c r="M20" i="31" s="1"/>
  <c r="J20" i="31"/>
  <c r="X20" i="31" s="1"/>
  <c r="G20" i="31"/>
  <c r="I20" i="31" s="1"/>
  <c r="F20" i="31"/>
  <c r="C20" i="31"/>
  <c r="E20" i="31" s="1"/>
  <c r="R19" i="31"/>
  <c r="X19" i="31" s="1"/>
  <c r="O19" i="31"/>
  <c r="N19" i="31"/>
  <c r="K19" i="31"/>
  <c r="M19" i="31" s="1"/>
  <c r="J19" i="31"/>
  <c r="G19" i="31"/>
  <c r="I19" i="31" s="1"/>
  <c r="F19" i="31"/>
  <c r="C19" i="31"/>
  <c r="E19" i="31" s="1"/>
  <c r="R18" i="31"/>
  <c r="U18" i="31" s="1"/>
  <c r="O18" i="31"/>
  <c r="N18" i="31"/>
  <c r="K18" i="31"/>
  <c r="S18" i="31" s="1"/>
  <c r="J18" i="31"/>
  <c r="G18" i="31"/>
  <c r="I18" i="31" s="1"/>
  <c r="F18" i="31"/>
  <c r="C18" i="31"/>
  <c r="E18" i="31" s="1"/>
  <c r="R15" i="31"/>
  <c r="O15" i="31"/>
  <c r="S15" i="31" s="1"/>
  <c r="N15" i="31"/>
  <c r="K15" i="31"/>
  <c r="M15" i="31" s="1"/>
  <c r="J15" i="31"/>
  <c r="X15" i="31" s="1"/>
  <c r="I15" i="31"/>
  <c r="G15" i="31"/>
  <c r="F15" i="31"/>
  <c r="C15" i="31"/>
  <c r="E15" i="31" s="1"/>
  <c r="R14" i="31"/>
  <c r="O14" i="31"/>
  <c r="Q14" i="31" s="1"/>
  <c r="N14" i="31"/>
  <c r="K14" i="31"/>
  <c r="M14" i="31" s="1"/>
  <c r="J14" i="31"/>
  <c r="G14" i="31"/>
  <c r="I14" i="31" s="1"/>
  <c r="F14" i="31"/>
  <c r="C14" i="31"/>
  <c r="E14" i="31" s="1"/>
  <c r="R12" i="31"/>
  <c r="O12" i="31"/>
  <c r="Q12" i="31" s="1"/>
  <c r="N12" i="31"/>
  <c r="K12" i="31"/>
  <c r="M12" i="31" s="1"/>
  <c r="J12" i="31"/>
  <c r="G12" i="31"/>
  <c r="I12" i="31" s="1"/>
  <c r="F12" i="31"/>
  <c r="C12" i="31"/>
  <c r="E12" i="31" s="1"/>
  <c r="V11" i="31"/>
  <c r="R11" i="31"/>
  <c r="U11" i="31" s="1"/>
  <c r="Q11" i="31"/>
  <c r="O11" i="31"/>
  <c r="N11" i="31"/>
  <c r="K11" i="31"/>
  <c r="M11" i="31" s="1"/>
  <c r="J11" i="31"/>
  <c r="G11" i="31"/>
  <c r="I11" i="31" s="1"/>
  <c r="F11" i="31"/>
  <c r="C11" i="31"/>
  <c r="E11" i="31" s="1"/>
  <c r="R10" i="31"/>
  <c r="K10" i="31"/>
  <c r="K13" i="31" s="1"/>
  <c r="J10" i="31"/>
  <c r="J13" i="31" s="1"/>
  <c r="J16" i="31" s="1"/>
  <c r="J21" i="31" s="1"/>
  <c r="N22" i="31" s="1"/>
  <c r="R9" i="31"/>
  <c r="U9" i="31" s="1"/>
  <c r="O9" i="31"/>
  <c r="S9" i="31" s="1"/>
  <c r="N9" i="31"/>
  <c r="M9" i="31"/>
  <c r="K9" i="31"/>
  <c r="J9" i="31"/>
  <c r="G9" i="31"/>
  <c r="I9" i="31" s="1"/>
  <c r="F9" i="31"/>
  <c r="C9" i="31"/>
  <c r="E9" i="31" s="1"/>
  <c r="V8" i="31"/>
  <c r="R8" i="31"/>
  <c r="O8" i="31"/>
  <c r="Q8" i="31" s="1"/>
  <c r="N8" i="31"/>
  <c r="K8" i="31"/>
  <c r="M8" i="31" s="1"/>
  <c r="J8" i="31"/>
  <c r="G8" i="31"/>
  <c r="I8" i="31" s="1"/>
  <c r="F8" i="31"/>
  <c r="C8" i="31"/>
  <c r="E8" i="31" s="1"/>
  <c r="R7" i="31"/>
  <c r="X7" i="31" s="1"/>
  <c r="O7" i="31"/>
  <c r="S7" i="31" s="1"/>
  <c r="N7" i="31"/>
  <c r="N10" i="31" s="1"/>
  <c r="N13" i="31" s="1"/>
  <c r="N16" i="31" s="1"/>
  <c r="N21" i="31" s="1"/>
  <c r="U22" i="31" s="1"/>
  <c r="K7" i="31"/>
  <c r="M7" i="31" s="1"/>
  <c r="J7" i="31"/>
  <c r="I7" i="31"/>
  <c r="G7" i="31"/>
  <c r="G10" i="31" s="1"/>
  <c r="G13" i="31" s="1"/>
  <c r="F7" i="31"/>
  <c r="F10" i="31" s="1"/>
  <c r="F13" i="31" s="1"/>
  <c r="F16" i="31" s="1"/>
  <c r="F21" i="31" s="1"/>
  <c r="J22" i="31" s="1"/>
  <c r="X22" i="31" s="1"/>
  <c r="C7" i="31"/>
  <c r="C10" i="31" s="1"/>
  <c r="C13" i="31" s="1"/>
  <c r="O4" i="31"/>
  <c r="K4" i="31"/>
  <c r="G4" i="31"/>
  <c r="G17" i="31" s="1"/>
  <c r="C4" i="31"/>
  <c r="C24" i="31" s="1"/>
  <c r="C3" i="31"/>
  <c r="B1" i="31"/>
  <c r="V20" i="30"/>
  <c r="R20" i="30"/>
  <c r="O20" i="30"/>
  <c r="Q20" i="30" s="1"/>
  <c r="N20" i="30"/>
  <c r="K20" i="30"/>
  <c r="J20" i="30"/>
  <c r="G20" i="30"/>
  <c r="I20" i="30" s="1"/>
  <c r="W20" i="30" s="1"/>
  <c r="F20" i="30"/>
  <c r="C20" i="30"/>
  <c r="E20" i="30" s="1"/>
  <c r="R19" i="30"/>
  <c r="U19" i="30" s="1"/>
  <c r="O19" i="30"/>
  <c r="S19" i="30" s="1"/>
  <c r="N19" i="30"/>
  <c r="K19" i="30"/>
  <c r="M19" i="30" s="1"/>
  <c r="J19" i="30"/>
  <c r="G19" i="30"/>
  <c r="I19" i="30" s="1"/>
  <c r="F19" i="30"/>
  <c r="E19" i="30"/>
  <c r="C19" i="30"/>
  <c r="R18" i="30"/>
  <c r="O18" i="30"/>
  <c r="Q18" i="30" s="1"/>
  <c r="T18" i="30" s="1"/>
  <c r="N18" i="30"/>
  <c r="K18" i="30"/>
  <c r="M18" i="30" s="1"/>
  <c r="J18" i="30"/>
  <c r="G18" i="30"/>
  <c r="I18" i="30" s="1"/>
  <c r="W18" i="30" s="1"/>
  <c r="F18" i="30"/>
  <c r="C18" i="30"/>
  <c r="E18" i="30" s="1"/>
  <c r="R15" i="30"/>
  <c r="U15" i="30" s="1"/>
  <c r="O15" i="30"/>
  <c r="S15" i="30" s="1"/>
  <c r="N15" i="30"/>
  <c r="M15" i="30"/>
  <c r="K15" i="30"/>
  <c r="J15" i="30"/>
  <c r="G15" i="30"/>
  <c r="I15" i="30" s="1"/>
  <c r="F15" i="30"/>
  <c r="C15" i="30"/>
  <c r="E15" i="30" s="1"/>
  <c r="V14" i="30"/>
  <c r="R14" i="30"/>
  <c r="O14" i="30"/>
  <c r="Q14" i="30" s="1"/>
  <c r="N14" i="30"/>
  <c r="N16" i="30" s="1"/>
  <c r="N21" i="30" s="1"/>
  <c r="U22" i="30" s="1"/>
  <c r="K14" i="30"/>
  <c r="M14" i="30" s="1"/>
  <c r="J14" i="30"/>
  <c r="G14" i="30"/>
  <c r="I14" i="30" s="1"/>
  <c r="F14" i="30"/>
  <c r="F16" i="30" s="1"/>
  <c r="F21" i="30" s="1"/>
  <c r="J22" i="30" s="1"/>
  <c r="X22" i="30" s="1"/>
  <c r="C14" i="30"/>
  <c r="E14" i="30" s="1"/>
  <c r="X13" i="30"/>
  <c r="W13" i="30"/>
  <c r="V13" i="30"/>
  <c r="U13" i="30"/>
  <c r="T13" i="30"/>
  <c r="S13" i="30"/>
  <c r="V12" i="30"/>
  <c r="R12" i="30"/>
  <c r="O12" i="30"/>
  <c r="Q12" i="30" s="1"/>
  <c r="N12" i="30"/>
  <c r="K12" i="30"/>
  <c r="M12" i="30" s="1"/>
  <c r="J12" i="30"/>
  <c r="G12" i="30"/>
  <c r="I12" i="30" s="1"/>
  <c r="F12" i="30"/>
  <c r="C12" i="30"/>
  <c r="E12" i="30" s="1"/>
  <c r="R11" i="30"/>
  <c r="U11" i="30" s="1"/>
  <c r="O11" i="30"/>
  <c r="S11" i="30" s="1"/>
  <c r="N11" i="30"/>
  <c r="M11" i="30"/>
  <c r="K11" i="30"/>
  <c r="J11" i="30"/>
  <c r="G11" i="30"/>
  <c r="I11" i="30" s="1"/>
  <c r="F11" i="30"/>
  <c r="C11" i="30"/>
  <c r="E11" i="30" s="1"/>
  <c r="N10" i="30"/>
  <c r="K10" i="30"/>
  <c r="M10" i="30" s="1"/>
  <c r="C10" i="30"/>
  <c r="E10" i="30" s="1"/>
  <c r="R9" i="30"/>
  <c r="X9" i="30" s="1"/>
  <c r="O9" i="30"/>
  <c r="S9" i="30" s="1"/>
  <c r="N9" i="30"/>
  <c r="U9" i="30" s="1"/>
  <c r="K9" i="30"/>
  <c r="M9" i="30" s="1"/>
  <c r="J9" i="30"/>
  <c r="I9" i="30"/>
  <c r="G9" i="30"/>
  <c r="F9" i="30"/>
  <c r="C9" i="30"/>
  <c r="E9" i="30" s="1"/>
  <c r="R8" i="30"/>
  <c r="O8" i="30"/>
  <c r="Q8" i="30" s="1"/>
  <c r="N8" i="30"/>
  <c r="K8" i="30"/>
  <c r="M8" i="30" s="1"/>
  <c r="J8" i="30"/>
  <c r="G8" i="30"/>
  <c r="I8" i="30" s="1"/>
  <c r="F8" i="30"/>
  <c r="C8" i="30"/>
  <c r="E8" i="30" s="1"/>
  <c r="U7" i="30"/>
  <c r="R7" i="30"/>
  <c r="R10" i="30" s="1"/>
  <c r="O7" i="30"/>
  <c r="S7" i="30" s="1"/>
  <c r="N7" i="30"/>
  <c r="K7" i="30"/>
  <c r="M7" i="30" s="1"/>
  <c r="J7" i="30"/>
  <c r="J10" i="30" s="1"/>
  <c r="G7" i="30"/>
  <c r="I7" i="30" s="1"/>
  <c r="F7" i="30"/>
  <c r="F10" i="30" s="1"/>
  <c r="E7" i="30"/>
  <c r="C7" i="30"/>
  <c r="O4" i="30"/>
  <c r="O24" i="30" s="1"/>
  <c r="K4" i="30"/>
  <c r="K23" i="30" s="1"/>
  <c r="G4" i="30"/>
  <c r="G24" i="30" s="1"/>
  <c r="C4" i="30"/>
  <c r="C23" i="30" s="1"/>
  <c r="C3" i="30"/>
  <c r="B1" i="30"/>
  <c r="R20" i="29"/>
  <c r="O20" i="29"/>
  <c r="Q20" i="29" s="1"/>
  <c r="N20" i="29"/>
  <c r="K20" i="29"/>
  <c r="M20" i="29" s="1"/>
  <c r="J20" i="29"/>
  <c r="G20" i="29"/>
  <c r="F20" i="29"/>
  <c r="C20" i="29"/>
  <c r="E20" i="29" s="1"/>
  <c r="R19" i="29"/>
  <c r="X19" i="29" s="1"/>
  <c r="O19" i="29"/>
  <c r="S19" i="29" s="1"/>
  <c r="N19" i="29"/>
  <c r="M19" i="29"/>
  <c r="K19" i="29"/>
  <c r="J19" i="29"/>
  <c r="G19" i="29"/>
  <c r="I19" i="29" s="1"/>
  <c r="F19" i="29"/>
  <c r="C19" i="29"/>
  <c r="E19" i="29" s="1"/>
  <c r="V18" i="29"/>
  <c r="R18" i="29"/>
  <c r="O18" i="29"/>
  <c r="Q18" i="29" s="1"/>
  <c r="N18" i="29"/>
  <c r="K18" i="29"/>
  <c r="M18" i="29" s="1"/>
  <c r="J18" i="29"/>
  <c r="G18" i="29"/>
  <c r="I18" i="29" s="1"/>
  <c r="F18" i="29"/>
  <c r="C18" i="29"/>
  <c r="E18" i="29" s="1"/>
  <c r="R15" i="29"/>
  <c r="O15" i="29"/>
  <c r="S15" i="29" s="1"/>
  <c r="N15" i="29"/>
  <c r="K15" i="29"/>
  <c r="M15" i="29" s="1"/>
  <c r="J15" i="29"/>
  <c r="X15" i="29" s="1"/>
  <c r="G15" i="29"/>
  <c r="I15" i="29" s="1"/>
  <c r="F15" i="29"/>
  <c r="E15" i="29"/>
  <c r="C15" i="29"/>
  <c r="R14" i="29"/>
  <c r="X14" i="29" s="1"/>
  <c r="O14" i="29"/>
  <c r="S14" i="29" s="1"/>
  <c r="N14" i="29"/>
  <c r="K14" i="29"/>
  <c r="M14" i="29" s="1"/>
  <c r="J14" i="29"/>
  <c r="G14" i="29"/>
  <c r="I14" i="29" s="1"/>
  <c r="F14" i="29"/>
  <c r="C14" i="29"/>
  <c r="E14" i="29" s="1"/>
  <c r="X12" i="29"/>
  <c r="U12" i="29"/>
  <c r="R12" i="29"/>
  <c r="O12" i="29"/>
  <c r="N12" i="29"/>
  <c r="K12" i="29"/>
  <c r="M12" i="29" s="1"/>
  <c r="J12" i="29"/>
  <c r="G12" i="29"/>
  <c r="I12" i="29" s="1"/>
  <c r="F12" i="29"/>
  <c r="C12" i="29"/>
  <c r="E12" i="29" s="1"/>
  <c r="R11" i="29"/>
  <c r="O11" i="29"/>
  <c r="S11" i="29" s="1"/>
  <c r="N11" i="29"/>
  <c r="K11" i="29"/>
  <c r="M11" i="29" s="1"/>
  <c r="J11" i="29"/>
  <c r="G11" i="29"/>
  <c r="I11" i="29" s="1"/>
  <c r="F11" i="29"/>
  <c r="E11" i="29"/>
  <c r="C11" i="29"/>
  <c r="R9" i="29"/>
  <c r="Q9" i="29"/>
  <c r="O9" i="29"/>
  <c r="N9" i="29"/>
  <c r="K9" i="29"/>
  <c r="M9" i="29" s="1"/>
  <c r="J9" i="29"/>
  <c r="G9" i="29"/>
  <c r="V9" i="29" s="1"/>
  <c r="F9" i="29"/>
  <c r="C9" i="29"/>
  <c r="E9" i="29" s="1"/>
  <c r="X8" i="29"/>
  <c r="U8" i="29"/>
  <c r="R8" i="29"/>
  <c r="O8" i="29"/>
  <c r="N8" i="29"/>
  <c r="K8" i="29"/>
  <c r="M8" i="29" s="1"/>
  <c r="J8" i="29"/>
  <c r="G8" i="29"/>
  <c r="I8" i="29" s="1"/>
  <c r="F8" i="29"/>
  <c r="C8" i="29"/>
  <c r="E8" i="29" s="1"/>
  <c r="R7" i="29"/>
  <c r="O7" i="29"/>
  <c r="O10" i="29" s="1"/>
  <c r="N7" i="29"/>
  <c r="N10" i="29" s="1"/>
  <c r="N13" i="29" s="1"/>
  <c r="N16" i="29" s="1"/>
  <c r="N21" i="29" s="1"/>
  <c r="U22" i="29" s="1"/>
  <c r="K7" i="29"/>
  <c r="K10" i="29" s="1"/>
  <c r="J7" i="29"/>
  <c r="J10" i="29" s="1"/>
  <c r="J13" i="29" s="1"/>
  <c r="J16" i="29" s="1"/>
  <c r="J21" i="29" s="1"/>
  <c r="N22" i="29" s="1"/>
  <c r="I7" i="29"/>
  <c r="G7" i="29"/>
  <c r="G10" i="29" s="1"/>
  <c r="F7" i="29"/>
  <c r="F10" i="29" s="1"/>
  <c r="F13" i="29" s="1"/>
  <c r="F16" i="29" s="1"/>
  <c r="F21" i="29" s="1"/>
  <c r="J22" i="29" s="1"/>
  <c r="X22" i="29" s="1"/>
  <c r="E7" i="29"/>
  <c r="C7" i="29"/>
  <c r="C10" i="29" s="1"/>
  <c r="O4" i="29"/>
  <c r="K4" i="29"/>
  <c r="G4" i="29"/>
  <c r="G23" i="29" s="1"/>
  <c r="C4" i="29"/>
  <c r="C3" i="29"/>
  <c r="B1" i="29"/>
  <c r="N23" i="66"/>
  <c r="K23" i="66"/>
  <c r="M23" i="66" s="1"/>
  <c r="J23" i="66"/>
  <c r="G23" i="66"/>
  <c r="I23" i="66" s="1"/>
  <c r="C23" i="66"/>
  <c r="E23" i="66" s="1"/>
  <c r="C22" i="66"/>
  <c r="E22" i="66" s="1"/>
  <c r="Q21" i="66"/>
  <c r="P21" i="66"/>
  <c r="Q17" i="66"/>
  <c r="P17" i="66"/>
  <c r="O17" i="66"/>
  <c r="E17" i="66"/>
  <c r="F15" i="66"/>
  <c r="C15" i="66"/>
  <c r="F14" i="66"/>
  <c r="C14" i="66"/>
  <c r="F12" i="66"/>
  <c r="C12" i="66"/>
  <c r="F11" i="66"/>
  <c r="C11" i="66"/>
  <c r="F9" i="66"/>
  <c r="C9" i="66"/>
  <c r="F8" i="66"/>
  <c r="C8" i="66"/>
  <c r="F7" i="66"/>
  <c r="C7" i="66"/>
  <c r="C3" i="66"/>
  <c r="Q23" i="65"/>
  <c r="O23" i="65"/>
  <c r="M23" i="65"/>
  <c r="P23" i="65" s="1"/>
  <c r="I23" i="65"/>
  <c r="E23" i="65"/>
  <c r="O24" i="80"/>
  <c r="E22" i="65"/>
  <c r="Q21" i="65"/>
  <c r="P21" i="65"/>
  <c r="F19" i="65"/>
  <c r="C19" i="65"/>
  <c r="F18" i="65"/>
  <c r="C18" i="65"/>
  <c r="Q17" i="65"/>
  <c r="P17" i="65"/>
  <c r="O17" i="65"/>
  <c r="F16" i="65"/>
  <c r="C16" i="65"/>
  <c r="E15" i="65"/>
  <c r="E14" i="65"/>
  <c r="F13" i="65"/>
  <c r="C13" i="65"/>
  <c r="E12" i="65"/>
  <c r="E11" i="65"/>
  <c r="F10" i="65"/>
  <c r="C10" i="65"/>
  <c r="E9" i="65"/>
  <c r="E8" i="65"/>
  <c r="E7" i="65"/>
  <c r="C4" i="65"/>
  <c r="C3" i="65"/>
  <c r="R37" i="79"/>
  <c r="S37" i="79" s="1"/>
  <c r="R38" i="79" s="1"/>
  <c r="P37" i="79"/>
  <c r="N37" i="79"/>
  <c r="O37" i="79" s="1"/>
  <c r="N38" i="79" s="1"/>
  <c r="N14" i="65" s="1"/>
  <c r="L37" i="79"/>
  <c r="J37" i="79"/>
  <c r="K37" i="79" s="1"/>
  <c r="J38" i="79" s="1"/>
  <c r="N11" i="65" s="1"/>
  <c r="H37" i="79"/>
  <c r="F37" i="79"/>
  <c r="K8" i="65" s="1"/>
  <c r="N20" i="83" s="1"/>
  <c r="D37" i="79"/>
  <c r="Z36" i="79"/>
  <c r="Y36" i="79"/>
  <c r="Z35" i="79"/>
  <c r="Y35" i="79"/>
  <c r="Z34" i="79"/>
  <c r="Y34" i="79"/>
  <c r="Z33" i="79"/>
  <c r="Y33" i="79"/>
  <c r="Z32" i="79"/>
  <c r="Y32" i="79"/>
  <c r="Z31" i="79"/>
  <c r="Y31" i="79"/>
  <c r="Z30" i="79"/>
  <c r="Y30" i="79"/>
  <c r="Z29" i="79"/>
  <c r="Y29" i="79"/>
  <c r="Z28" i="79"/>
  <c r="Y28" i="79"/>
  <c r="Z27" i="79"/>
  <c r="Y27" i="79"/>
  <c r="Z26" i="79"/>
  <c r="Y26" i="79"/>
  <c r="Z25" i="79"/>
  <c r="Y25" i="79"/>
  <c r="Z24" i="79"/>
  <c r="Y24" i="79"/>
  <c r="Z23" i="79"/>
  <c r="Y23" i="79"/>
  <c r="Z22" i="79"/>
  <c r="Y22" i="79"/>
  <c r="Z21" i="79"/>
  <c r="Y21" i="79"/>
  <c r="Z20" i="79"/>
  <c r="Y20" i="79"/>
  <c r="Z19" i="79"/>
  <c r="Y19" i="79"/>
  <c r="Z18" i="79"/>
  <c r="Y18" i="79"/>
  <c r="Z17" i="79"/>
  <c r="Y17" i="79"/>
  <c r="Z16" i="79"/>
  <c r="Y16" i="79"/>
  <c r="Z15" i="79"/>
  <c r="Y15" i="79"/>
  <c r="Z14" i="79"/>
  <c r="Y14" i="79"/>
  <c r="Z13" i="79"/>
  <c r="Y13" i="79"/>
  <c r="Z12" i="79"/>
  <c r="Y12" i="79"/>
  <c r="Z11" i="79"/>
  <c r="Y11" i="79"/>
  <c r="Z10" i="79"/>
  <c r="Y10" i="79"/>
  <c r="Z9" i="79"/>
  <c r="Y9" i="79"/>
  <c r="Z8" i="79"/>
  <c r="Y8" i="79"/>
  <c r="Z7" i="79"/>
  <c r="Y7" i="79"/>
  <c r="E1" i="79"/>
  <c r="Q23" i="64"/>
  <c r="O23" i="64"/>
  <c r="M23" i="64"/>
  <c r="I23" i="64"/>
  <c r="E23" i="64"/>
  <c r="E22" i="64"/>
  <c r="Q21" i="64"/>
  <c r="P21" i="64"/>
  <c r="F19" i="64"/>
  <c r="C19" i="64"/>
  <c r="F18" i="64"/>
  <c r="C18" i="64"/>
  <c r="Q17" i="64"/>
  <c r="P17" i="64"/>
  <c r="O17" i="64"/>
  <c r="F16" i="64"/>
  <c r="C16" i="64"/>
  <c r="E15" i="64"/>
  <c r="E14" i="64"/>
  <c r="F13" i="64"/>
  <c r="C13" i="64"/>
  <c r="E12" i="64"/>
  <c r="E11" i="64"/>
  <c r="F10" i="64"/>
  <c r="C10" i="64"/>
  <c r="E9" i="64"/>
  <c r="E8" i="64"/>
  <c r="E7" i="64"/>
  <c r="C4" i="64"/>
  <c r="C3" i="64"/>
  <c r="K22" i="64"/>
  <c r="P38" i="78"/>
  <c r="N38" i="78"/>
  <c r="K14" i="64" s="1"/>
  <c r="M14" i="64" s="1"/>
  <c r="L38" i="78"/>
  <c r="M38" i="78" s="1"/>
  <c r="L39" i="78" s="1"/>
  <c r="N12" i="64" s="1"/>
  <c r="M48" i="86" s="1"/>
  <c r="J38" i="78"/>
  <c r="K11" i="64" s="1"/>
  <c r="M41" i="83" s="1"/>
  <c r="H38" i="78"/>
  <c r="I38" i="78" s="1"/>
  <c r="H39" i="78" s="1"/>
  <c r="N9" i="64" s="1"/>
  <c r="M27" i="86" s="1"/>
  <c r="F38" i="78"/>
  <c r="G38" i="78" s="1"/>
  <c r="F39" i="78" s="1"/>
  <c r="D38" i="78"/>
  <c r="E38" i="78" s="1"/>
  <c r="D39" i="78" s="1"/>
  <c r="N7" i="64" s="1"/>
  <c r="Z37" i="78"/>
  <c r="Y37" i="78"/>
  <c r="Z36" i="78"/>
  <c r="Y36" i="78"/>
  <c r="Z35" i="78"/>
  <c r="Y35" i="78"/>
  <c r="Z34" i="78"/>
  <c r="Y34" i="78"/>
  <c r="Z33" i="78"/>
  <c r="Y33" i="78"/>
  <c r="Z32" i="78"/>
  <c r="Y32" i="78"/>
  <c r="Z31" i="78"/>
  <c r="Y31" i="78"/>
  <c r="Z30" i="78"/>
  <c r="Y30" i="78"/>
  <c r="Z29" i="78"/>
  <c r="Y29" i="78"/>
  <c r="Z28" i="78"/>
  <c r="Y28" i="78"/>
  <c r="Z27" i="78"/>
  <c r="Y27" i="78"/>
  <c r="Z26" i="78"/>
  <c r="Y26" i="78"/>
  <c r="Z25" i="78"/>
  <c r="Y25" i="78"/>
  <c r="Z24" i="78"/>
  <c r="Y24" i="78"/>
  <c r="Z23" i="78"/>
  <c r="Y23" i="78"/>
  <c r="Z22" i="78"/>
  <c r="Y22" i="78"/>
  <c r="Z21" i="78"/>
  <c r="Y21" i="78"/>
  <c r="Z20" i="78"/>
  <c r="Y20" i="78"/>
  <c r="Z19" i="78"/>
  <c r="Y19" i="78"/>
  <c r="Z18" i="78"/>
  <c r="Y18" i="78"/>
  <c r="Z17" i="78"/>
  <c r="Y17" i="78"/>
  <c r="Z16" i="78"/>
  <c r="Y16" i="78"/>
  <c r="Z15" i="78"/>
  <c r="Y15" i="78"/>
  <c r="Z14" i="78"/>
  <c r="Y14" i="78"/>
  <c r="Z13" i="78"/>
  <c r="Y13" i="78"/>
  <c r="Z12" i="78"/>
  <c r="Y12" i="78"/>
  <c r="Z11" i="78"/>
  <c r="Y11" i="78"/>
  <c r="Z10" i="78"/>
  <c r="Y10" i="78"/>
  <c r="Z9" i="78"/>
  <c r="Y9" i="78"/>
  <c r="Z8" i="78"/>
  <c r="Y8" i="78"/>
  <c r="Z7" i="78"/>
  <c r="Y7" i="78"/>
  <c r="E1" i="78"/>
  <c r="Q23" i="63"/>
  <c r="O23" i="63"/>
  <c r="M23" i="63"/>
  <c r="P23" i="63" s="1"/>
  <c r="I23" i="63"/>
  <c r="E23" i="63"/>
  <c r="M24" i="80"/>
  <c r="E22" i="63"/>
  <c r="F19" i="63"/>
  <c r="C19" i="63"/>
  <c r="F18" i="63"/>
  <c r="C18" i="63"/>
  <c r="Q17" i="63"/>
  <c r="P17" i="63"/>
  <c r="O17" i="63"/>
  <c r="F16" i="63"/>
  <c r="C16" i="63"/>
  <c r="E15" i="63"/>
  <c r="E14" i="63"/>
  <c r="F13" i="63"/>
  <c r="C13" i="63"/>
  <c r="E12" i="63"/>
  <c r="E11" i="63"/>
  <c r="F10" i="63"/>
  <c r="C10" i="63"/>
  <c r="E9" i="63"/>
  <c r="E8" i="63"/>
  <c r="E7" i="63"/>
  <c r="C4" i="63"/>
  <c r="C3" i="63"/>
  <c r="R37" i="77"/>
  <c r="K22" i="63" s="1"/>
  <c r="L83" i="83" s="1"/>
  <c r="P37" i="77"/>
  <c r="N37" i="77"/>
  <c r="L37" i="77"/>
  <c r="K12" i="63" s="1"/>
  <c r="L48" i="83" s="1"/>
  <c r="J37" i="77"/>
  <c r="K11" i="63" s="1"/>
  <c r="L41" i="83" s="1"/>
  <c r="H37" i="77"/>
  <c r="K9" i="63" s="1"/>
  <c r="F37" i="77"/>
  <c r="D37" i="77"/>
  <c r="Z36" i="77"/>
  <c r="Y36" i="77"/>
  <c r="Z35" i="77"/>
  <c r="Y35" i="77"/>
  <c r="Z34" i="77"/>
  <c r="Y34" i="77"/>
  <c r="Z33" i="77"/>
  <c r="Y33" i="77"/>
  <c r="Z32" i="77"/>
  <c r="Y32" i="77"/>
  <c r="Z31" i="77"/>
  <c r="Y31" i="77"/>
  <c r="Z30" i="77"/>
  <c r="Y30" i="77"/>
  <c r="Z29" i="77"/>
  <c r="Y29" i="77"/>
  <c r="Z28" i="77"/>
  <c r="Y28" i="77"/>
  <c r="Z27" i="77"/>
  <c r="Y27" i="77"/>
  <c r="Z26" i="77"/>
  <c r="Y26" i="77"/>
  <c r="Z25" i="77"/>
  <c r="Y25" i="77"/>
  <c r="Z24" i="77"/>
  <c r="Y24" i="77"/>
  <c r="Z23" i="77"/>
  <c r="Y23" i="77"/>
  <c r="Z22" i="77"/>
  <c r="Y22" i="77"/>
  <c r="Z21" i="77"/>
  <c r="Y21" i="77"/>
  <c r="Z20" i="77"/>
  <c r="Y20" i="77"/>
  <c r="Z19" i="77"/>
  <c r="Y19" i="77"/>
  <c r="Z18" i="77"/>
  <c r="Y18" i="77"/>
  <c r="Z17" i="77"/>
  <c r="Y17" i="77"/>
  <c r="Z16" i="77"/>
  <c r="Y16" i="77"/>
  <c r="Z15" i="77"/>
  <c r="Y15" i="77"/>
  <c r="Z14" i="77"/>
  <c r="Y14" i="77"/>
  <c r="Z13" i="77"/>
  <c r="Y13" i="77"/>
  <c r="Z12" i="77"/>
  <c r="Y12" i="77"/>
  <c r="Z11" i="77"/>
  <c r="Y11" i="77"/>
  <c r="Z10" i="77"/>
  <c r="Y10" i="77"/>
  <c r="Z9" i="77"/>
  <c r="Y9" i="77"/>
  <c r="Z8" i="77"/>
  <c r="Y8" i="77"/>
  <c r="Z7" i="77"/>
  <c r="Y7" i="77"/>
  <c r="E1" i="77"/>
  <c r="N23" i="62"/>
  <c r="K23" i="62"/>
  <c r="J23" i="62"/>
  <c r="G23" i="62"/>
  <c r="I23" i="62" s="1"/>
  <c r="C23" i="62"/>
  <c r="E23" i="62" s="1"/>
  <c r="J22" i="62"/>
  <c r="G22" i="62"/>
  <c r="C22" i="62"/>
  <c r="E22" i="62" s="1"/>
  <c r="Q21" i="62"/>
  <c r="P21" i="62"/>
  <c r="Q17" i="62"/>
  <c r="P17" i="62"/>
  <c r="O17" i="62"/>
  <c r="E17" i="62"/>
  <c r="J15" i="62"/>
  <c r="G15" i="62"/>
  <c r="F15" i="62"/>
  <c r="C15" i="62"/>
  <c r="J14" i="62"/>
  <c r="G14" i="62"/>
  <c r="F14" i="62"/>
  <c r="C14" i="62"/>
  <c r="J12" i="62"/>
  <c r="G12" i="62"/>
  <c r="F12" i="62"/>
  <c r="C12" i="62"/>
  <c r="J11" i="62"/>
  <c r="G11" i="62"/>
  <c r="F11" i="62"/>
  <c r="C11" i="62"/>
  <c r="J9" i="62"/>
  <c r="G9" i="62"/>
  <c r="F9" i="62"/>
  <c r="C9" i="62"/>
  <c r="J8" i="62"/>
  <c r="G8" i="62"/>
  <c r="F8" i="62"/>
  <c r="C8" i="62"/>
  <c r="J7" i="62"/>
  <c r="G7" i="62"/>
  <c r="F7" i="62"/>
  <c r="C7" i="62"/>
  <c r="C3" i="62"/>
  <c r="Q23" i="61"/>
  <c r="O23" i="61"/>
  <c r="M23" i="61"/>
  <c r="I23" i="61"/>
  <c r="E23" i="61"/>
  <c r="Q22" i="61"/>
  <c r="I22" i="61"/>
  <c r="E22" i="61"/>
  <c r="Q21" i="61"/>
  <c r="P21" i="61"/>
  <c r="J19" i="61"/>
  <c r="G19" i="61"/>
  <c r="F19" i="61"/>
  <c r="C19" i="61"/>
  <c r="J18" i="61"/>
  <c r="G18" i="61"/>
  <c r="F18" i="61"/>
  <c r="C18" i="61"/>
  <c r="Q17" i="61"/>
  <c r="P17" i="61"/>
  <c r="O17" i="61"/>
  <c r="J16" i="61"/>
  <c r="G16" i="61"/>
  <c r="F16" i="61"/>
  <c r="C16" i="61"/>
  <c r="I15" i="61"/>
  <c r="E15" i="61"/>
  <c r="I14" i="61"/>
  <c r="E14" i="61"/>
  <c r="J13" i="61"/>
  <c r="G13" i="61"/>
  <c r="F13" i="61"/>
  <c r="C13" i="61"/>
  <c r="I12" i="61"/>
  <c r="E12" i="61"/>
  <c r="I11" i="61"/>
  <c r="E11" i="61"/>
  <c r="J10" i="61"/>
  <c r="G10" i="61"/>
  <c r="F10" i="61"/>
  <c r="C10" i="61"/>
  <c r="C24" i="61" s="1"/>
  <c r="I9" i="61"/>
  <c r="E9" i="61"/>
  <c r="I8" i="61"/>
  <c r="E8" i="61"/>
  <c r="I7" i="61"/>
  <c r="E7" i="61"/>
  <c r="C4" i="61"/>
  <c r="C3" i="61"/>
  <c r="R38" i="76"/>
  <c r="S38" i="76" s="1"/>
  <c r="R39" i="76" s="1"/>
  <c r="P38" i="76"/>
  <c r="N38" i="76"/>
  <c r="O38" i="76" s="1"/>
  <c r="N39" i="76" s="1"/>
  <c r="N14" i="61" s="1"/>
  <c r="L38" i="76"/>
  <c r="K12" i="61" s="1"/>
  <c r="K48" i="83" s="1"/>
  <c r="J38" i="76"/>
  <c r="K38" i="76" s="1"/>
  <c r="J39" i="76" s="1"/>
  <c r="N11" i="61" s="1"/>
  <c r="K41" i="86" s="1"/>
  <c r="H38" i="76"/>
  <c r="K9" i="61" s="1"/>
  <c r="K27" i="83" s="1"/>
  <c r="F38" i="76"/>
  <c r="D38" i="76"/>
  <c r="K7" i="61" s="1"/>
  <c r="Z37" i="76"/>
  <c r="Y37" i="76"/>
  <c r="Z36" i="76"/>
  <c r="Y36" i="76"/>
  <c r="Z35" i="76"/>
  <c r="Y35" i="76"/>
  <c r="Z34" i="76"/>
  <c r="Y34" i="76"/>
  <c r="Z33" i="76"/>
  <c r="Y33" i="76"/>
  <c r="Z32" i="76"/>
  <c r="Y32" i="76"/>
  <c r="Z31" i="76"/>
  <c r="Y31" i="76"/>
  <c r="Z30" i="76"/>
  <c r="Y30" i="76"/>
  <c r="Z29" i="76"/>
  <c r="Y29" i="76"/>
  <c r="Z28" i="76"/>
  <c r="Y28" i="76"/>
  <c r="Z27" i="76"/>
  <c r="Y27" i="76"/>
  <c r="Z26" i="76"/>
  <c r="Y26" i="76"/>
  <c r="Z25" i="76"/>
  <c r="Y25" i="76"/>
  <c r="Z24" i="76"/>
  <c r="Y24" i="76"/>
  <c r="Z23" i="76"/>
  <c r="Y23" i="76"/>
  <c r="Z22" i="76"/>
  <c r="Y22" i="76"/>
  <c r="Z21" i="76"/>
  <c r="Y21" i="76"/>
  <c r="Z20" i="76"/>
  <c r="Y20" i="76"/>
  <c r="Z19" i="76"/>
  <c r="Y19" i="76"/>
  <c r="Z18" i="76"/>
  <c r="Y18" i="76"/>
  <c r="Z17" i="76"/>
  <c r="Y17" i="76"/>
  <c r="Z16" i="76"/>
  <c r="Y16" i="76"/>
  <c r="Z15" i="76"/>
  <c r="Y15" i="76"/>
  <c r="Z14" i="76"/>
  <c r="Y14" i="76"/>
  <c r="Z13" i="76"/>
  <c r="Y13" i="76"/>
  <c r="Z12" i="76"/>
  <c r="Y12" i="76"/>
  <c r="Z11" i="76"/>
  <c r="Y11" i="76"/>
  <c r="Z10" i="76"/>
  <c r="Y10" i="76"/>
  <c r="Z9" i="76"/>
  <c r="Y9" i="76"/>
  <c r="Z8" i="76"/>
  <c r="Y8" i="76"/>
  <c r="Z7" i="76"/>
  <c r="Y7" i="76"/>
  <c r="E1" i="76"/>
  <c r="Q23" i="60"/>
  <c r="O23" i="60"/>
  <c r="M23" i="60"/>
  <c r="P23" i="60" s="1"/>
  <c r="I23" i="60"/>
  <c r="E23" i="60"/>
  <c r="I22" i="60"/>
  <c r="E22" i="60"/>
  <c r="Q21" i="60"/>
  <c r="P21" i="60"/>
  <c r="J19" i="60"/>
  <c r="G19" i="60"/>
  <c r="F19" i="60"/>
  <c r="C19" i="60"/>
  <c r="J18" i="60"/>
  <c r="G18" i="60"/>
  <c r="F18" i="60"/>
  <c r="C18" i="60"/>
  <c r="Q17" i="60"/>
  <c r="P17" i="60"/>
  <c r="O17" i="60"/>
  <c r="J16" i="60"/>
  <c r="G16" i="60"/>
  <c r="F16" i="60"/>
  <c r="C16" i="60"/>
  <c r="I15" i="60"/>
  <c r="E15" i="60"/>
  <c r="I14" i="60"/>
  <c r="E14" i="60"/>
  <c r="J13" i="60"/>
  <c r="G13" i="60"/>
  <c r="F13" i="60"/>
  <c r="C13" i="60"/>
  <c r="E13" i="60" s="1"/>
  <c r="I12" i="60"/>
  <c r="E12" i="60"/>
  <c r="I11" i="60"/>
  <c r="E11" i="60"/>
  <c r="J10" i="60"/>
  <c r="G10" i="60"/>
  <c r="F10" i="60"/>
  <c r="C10" i="60"/>
  <c r="I9" i="60"/>
  <c r="E9" i="60"/>
  <c r="I8" i="60"/>
  <c r="E8" i="60"/>
  <c r="I7" i="60"/>
  <c r="E7" i="60"/>
  <c r="C3" i="60"/>
  <c r="R35" i="75"/>
  <c r="S35" i="75" s="1"/>
  <c r="P35" i="75"/>
  <c r="N35" i="75"/>
  <c r="O35" i="75" s="1"/>
  <c r="J35" i="75"/>
  <c r="K35" i="75" s="1"/>
  <c r="H35" i="75"/>
  <c r="I35" i="75" s="1"/>
  <c r="D35" i="75"/>
  <c r="E35" i="75" s="1"/>
  <c r="Z34" i="75"/>
  <c r="Y34" i="75"/>
  <c r="AC34" i="75" s="1"/>
  <c r="Z33" i="75"/>
  <c r="Y33" i="75"/>
  <c r="AC33" i="75" s="1"/>
  <c r="Z32" i="75"/>
  <c r="Y32" i="75"/>
  <c r="AC32" i="75" s="1"/>
  <c r="Z31" i="75"/>
  <c r="Y31" i="75"/>
  <c r="AC31" i="75" s="1"/>
  <c r="Z30" i="75"/>
  <c r="Y30" i="75"/>
  <c r="AC30" i="75" s="1"/>
  <c r="Z29" i="75"/>
  <c r="Y29" i="75"/>
  <c r="AC29" i="75" s="1"/>
  <c r="Z28" i="75"/>
  <c r="Y28" i="75"/>
  <c r="AC28" i="75" s="1"/>
  <c r="Z27" i="75"/>
  <c r="Y27" i="75"/>
  <c r="AC27" i="75" s="1"/>
  <c r="Z26" i="75"/>
  <c r="Y26" i="75"/>
  <c r="AC26" i="75" s="1"/>
  <c r="Z25" i="75"/>
  <c r="Y25" i="75"/>
  <c r="AC25" i="75" s="1"/>
  <c r="Z24" i="75"/>
  <c r="Y24" i="75"/>
  <c r="AC24" i="75" s="1"/>
  <c r="Z23" i="75"/>
  <c r="Y23" i="75"/>
  <c r="AC23" i="75" s="1"/>
  <c r="Z22" i="75"/>
  <c r="Y22" i="75"/>
  <c r="AC22" i="75" s="1"/>
  <c r="Z21" i="75"/>
  <c r="Y21" i="75"/>
  <c r="AC21" i="75" s="1"/>
  <c r="Z20" i="75"/>
  <c r="Y20" i="75"/>
  <c r="AC20" i="75" s="1"/>
  <c r="Z19" i="75"/>
  <c r="Y19" i="75"/>
  <c r="AC19" i="75" s="1"/>
  <c r="Z18" i="75"/>
  <c r="Y18" i="75"/>
  <c r="AC18" i="75" s="1"/>
  <c r="Z17" i="75"/>
  <c r="Y17" i="75"/>
  <c r="AC17" i="75" s="1"/>
  <c r="Z16" i="75"/>
  <c r="Y16" i="75"/>
  <c r="AC16" i="75" s="1"/>
  <c r="Z15" i="75"/>
  <c r="Y15" i="75"/>
  <c r="AC15" i="75" s="1"/>
  <c r="Z12" i="75"/>
  <c r="Y12" i="75"/>
  <c r="AC12" i="75" s="1"/>
  <c r="Z11" i="75"/>
  <c r="Y11" i="75"/>
  <c r="AC11" i="75" s="1"/>
  <c r="Z10" i="75"/>
  <c r="Y10" i="75"/>
  <c r="AC10" i="75" s="1"/>
  <c r="Z9" i="75"/>
  <c r="Y9" i="75"/>
  <c r="AC9" i="75" s="1"/>
  <c r="Z8" i="75"/>
  <c r="Y8" i="75"/>
  <c r="AC8" i="75" s="1"/>
  <c r="Z7" i="75"/>
  <c r="Y7" i="75"/>
  <c r="AC7" i="75" s="1"/>
  <c r="E1" i="75"/>
  <c r="Q23" i="59"/>
  <c r="O23" i="59"/>
  <c r="M23" i="59"/>
  <c r="I23" i="59"/>
  <c r="E23" i="59"/>
  <c r="Q22" i="59"/>
  <c r="I22" i="59"/>
  <c r="E22" i="59"/>
  <c r="J19" i="59"/>
  <c r="G19" i="59"/>
  <c r="F19" i="59"/>
  <c r="C19" i="59"/>
  <c r="J18" i="59"/>
  <c r="G18" i="59"/>
  <c r="F18" i="59"/>
  <c r="C18" i="59"/>
  <c r="Q17" i="59"/>
  <c r="P17" i="59"/>
  <c r="O17" i="59"/>
  <c r="J16" i="59"/>
  <c r="G16" i="59"/>
  <c r="F16" i="59"/>
  <c r="C16" i="59"/>
  <c r="I15" i="59"/>
  <c r="E15" i="59"/>
  <c r="I14" i="59"/>
  <c r="E14" i="59"/>
  <c r="J13" i="59"/>
  <c r="G13" i="59"/>
  <c r="F13" i="59"/>
  <c r="C13" i="59"/>
  <c r="I12" i="59"/>
  <c r="E12" i="59"/>
  <c r="I11" i="59"/>
  <c r="E11" i="59"/>
  <c r="J10" i="59"/>
  <c r="G10" i="59"/>
  <c r="F10" i="59"/>
  <c r="C10" i="59"/>
  <c r="I9" i="59"/>
  <c r="E9" i="59"/>
  <c r="I8" i="59"/>
  <c r="E8" i="59"/>
  <c r="I7" i="59"/>
  <c r="E7" i="59"/>
  <c r="K4" i="62"/>
  <c r="J18" i="80"/>
  <c r="C4" i="59"/>
  <c r="C3" i="59"/>
  <c r="R38" i="74"/>
  <c r="K22" i="59" s="1"/>
  <c r="P38" i="74"/>
  <c r="N38" i="74"/>
  <c r="K14" i="59" s="1"/>
  <c r="M14" i="59" s="1"/>
  <c r="L38" i="74"/>
  <c r="M38" i="74" s="1"/>
  <c r="L39" i="74" s="1"/>
  <c r="N12" i="59" s="1"/>
  <c r="I48" i="86" s="1"/>
  <c r="H38" i="74"/>
  <c r="I38" i="74" s="1"/>
  <c r="H39" i="74" s="1"/>
  <c r="N9" i="59" s="1"/>
  <c r="I27" i="86" s="1"/>
  <c r="F38" i="74"/>
  <c r="D38" i="74"/>
  <c r="E38" i="74" s="1"/>
  <c r="D39" i="74" s="1"/>
  <c r="N7" i="59" s="1"/>
  <c r="Q7" i="59" s="1"/>
  <c r="Z37" i="74"/>
  <c r="Y37" i="74"/>
  <c r="Z36" i="74"/>
  <c r="Y36" i="74"/>
  <c r="Z35" i="74"/>
  <c r="Y35" i="74"/>
  <c r="Z34" i="74"/>
  <c r="Y34" i="74"/>
  <c r="Z33" i="74"/>
  <c r="Y33" i="74"/>
  <c r="Z32" i="74"/>
  <c r="Y32" i="74"/>
  <c r="Z31" i="74"/>
  <c r="Y31" i="74"/>
  <c r="Z30" i="74"/>
  <c r="Z28" i="74"/>
  <c r="Y28" i="74"/>
  <c r="Z27" i="74"/>
  <c r="Y27" i="74"/>
  <c r="Z26" i="74"/>
  <c r="Y26" i="74"/>
  <c r="Z25" i="74"/>
  <c r="Y25" i="74"/>
  <c r="Z24" i="74"/>
  <c r="Y24" i="74"/>
  <c r="Z23" i="74"/>
  <c r="Y23" i="74"/>
  <c r="J38" i="74"/>
  <c r="K11" i="59" s="1"/>
  <c r="I41" i="83" s="1"/>
  <c r="Z22" i="74"/>
  <c r="Y22" i="74"/>
  <c r="Z21" i="74"/>
  <c r="Y21" i="74"/>
  <c r="Z20" i="74"/>
  <c r="Y20" i="74"/>
  <c r="Z19" i="74"/>
  <c r="Y19" i="74"/>
  <c r="Z18" i="74"/>
  <c r="Y18" i="74"/>
  <c r="Z17" i="74"/>
  <c r="Y17" i="74"/>
  <c r="Z16" i="74"/>
  <c r="Y16" i="74"/>
  <c r="Z15" i="74"/>
  <c r="Y15" i="74"/>
  <c r="Z14" i="74"/>
  <c r="Y14" i="74"/>
  <c r="Z13" i="74"/>
  <c r="Y13" i="74"/>
  <c r="Z12" i="74"/>
  <c r="Y12" i="74"/>
  <c r="Z11" i="74"/>
  <c r="Y11" i="74"/>
  <c r="Z10" i="74"/>
  <c r="Y10" i="74"/>
  <c r="Z9" i="74"/>
  <c r="Y9" i="74"/>
  <c r="Z8" i="74"/>
  <c r="Y8" i="74"/>
  <c r="Z7" i="74"/>
  <c r="Y7" i="74"/>
  <c r="E1" i="74"/>
  <c r="N23" i="58"/>
  <c r="K23" i="58"/>
  <c r="M23" i="58" s="1"/>
  <c r="J23" i="58"/>
  <c r="G23" i="58"/>
  <c r="I23" i="58" s="1"/>
  <c r="C23" i="58"/>
  <c r="E23" i="58" s="1"/>
  <c r="J22" i="58"/>
  <c r="G22" i="58"/>
  <c r="C22" i="58"/>
  <c r="E22" i="58" s="1"/>
  <c r="Q21" i="58"/>
  <c r="P21" i="58"/>
  <c r="Q17" i="58"/>
  <c r="P17" i="58"/>
  <c r="O17" i="58"/>
  <c r="E17" i="58"/>
  <c r="J15" i="58"/>
  <c r="G15" i="58"/>
  <c r="F15" i="58"/>
  <c r="C15" i="58"/>
  <c r="J14" i="58"/>
  <c r="G14" i="58"/>
  <c r="F14" i="58"/>
  <c r="C14" i="58"/>
  <c r="J12" i="58"/>
  <c r="G12" i="58"/>
  <c r="F12" i="58"/>
  <c r="C12" i="58"/>
  <c r="J11" i="58"/>
  <c r="G11" i="58"/>
  <c r="F11" i="58"/>
  <c r="C11" i="58"/>
  <c r="J9" i="58"/>
  <c r="G9" i="58"/>
  <c r="F9" i="58"/>
  <c r="C9" i="58"/>
  <c r="J8" i="58"/>
  <c r="G8" i="58"/>
  <c r="F8" i="58"/>
  <c r="C8" i="58"/>
  <c r="J7" i="58"/>
  <c r="G7" i="58"/>
  <c r="F7" i="58"/>
  <c r="C7" i="58"/>
  <c r="C3" i="58"/>
  <c r="Q23" i="57"/>
  <c r="O23" i="57"/>
  <c r="M23" i="57"/>
  <c r="P23" i="57" s="1"/>
  <c r="I23" i="57"/>
  <c r="E23" i="57"/>
  <c r="Q22" i="57"/>
  <c r="I22" i="57"/>
  <c r="E22" i="57"/>
  <c r="Q21" i="57"/>
  <c r="P21" i="57"/>
  <c r="J19" i="57"/>
  <c r="G19" i="57"/>
  <c r="F19" i="57"/>
  <c r="C19" i="57"/>
  <c r="J18" i="57"/>
  <c r="G18" i="57"/>
  <c r="F18" i="57"/>
  <c r="C18" i="57"/>
  <c r="Q17" i="57"/>
  <c r="P17" i="57"/>
  <c r="S17" i="57" s="1"/>
  <c r="O17" i="57"/>
  <c r="J16" i="57"/>
  <c r="G16" i="57"/>
  <c r="F16" i="57"/>
  <c r="C16" i="57"/>
  <c r="I15" i="57"/>
  <c r="E15" i="57"/>
  <c r="I14" i="57"/>
  <c r="E14" i="57"/>
  <c r="J13" i="57"/>
  <c r="G13" i="57"/>
  <c r="F13" i="57"/>
  <c r="C13" i="57"/>
  <c r="I12" i="57"/>
  <c r="E12" i="57"/>
  <c r="I11" i="57"/>
  <c r="E11" i="57"/>
  <c r="J10" i="57"/>
  <c r="G10" i="57"/>
  <c r="F10" i="57"/>
  <c r="F24" i="57" s="1"/>
  <c r="C10" i="57"/>
  <c r="I9" i="57"/>
  <c r="E9" i="57"/>
  <c r="I8" i="57"/>
  <c r="E8" i="57"/>
  <c r="I7" i="57"/>
  <c r="E7" i="57"/>
  <c r="C4" i="57"/>
  <c r="C3" i="57"/>
  <c r="R38" i="73"/>
  <c r="K22" i="57" s="1"/>
  <c r="P38" i="73"/>
  <c r="N38" i="73"/>
  <c r="K14" i="57" s="1"/>
  <c r="J38" i="73"/>
  <c r="K11" i="57" s="1"/>
  <c r="H38" i="73"/>
  <c r="K9" i="57" s="1"/>
  <c r="D38" i="73"/>
  <c r="K7" i="57" s="1"/>
  <c r="H13" i="83" s="1"/>
  <c r="O13" i="83" s="1"/>
  <c r="Z37" i="73"/>
  <c r="Y37" i="73"/>
  <c r="Z36" i="73"/>
  <c r="Z35" i="73"/>
  <c r="Y35" i="73"/>
  <c r="Z33" i="73"/>
  <c r="Y33" i="73"/>
  <c r="Z32" i="73"/>
  <c r="Y32" i="73"/>
  <c r="Z31" i="73"/>
  <c r="Y31" i="73"/>
  <c r="Z30" i="73"/>
  <c r="Y30" i="73"/>
  <c r="Z29" i="73"/>
  <c r="Y29" i="73"/>
  <c r="Z28" i="73"/>
  <c r="Y28" i="73"/>
  <c r="Z27" i="73"/>
  <c r="Y27" i="73"/>
  <c r="Z26" i="73"/>
  <c r="Y26" i="73"/>
  <c r="Z25" i="73"/>
  <c r="Y25" i="73"/>
  <c r="Z24" i="73"/>
  <c r="Y24" i="73"/>
  <c r="Z23" i="73"/>
  <c r="Y23" i="73"/>
  <c r="Z22" i="73"/>
  <c r="Y22" i="73"/>
  <c r="Z21" i="73"/>
  <c r="Y21" i="73"/>
  <c r="Z20" i="73"/>
  <c r="Y20" i="73"/>
  <c r="Z19" i="73"/>
  <c r="Y19" i="73"/>
  <c r="Z18" i="73"/>
  <c r="Y18" i="73"/>
  <c r="Z17" i="73"/>
  <c r="Y17" i="73"/>
  <c r="Z16" i="73"/>
  <c r="Y16" i="73"/>
  <c r="Z15" i="73"/>
  <c r="Y15" i="73"/>
  <c r="Z14" i="73"/>
  <c r="Y14" i="73"/>
  <c r="Z13" i="73"/>
  <c r="Y13" i="73"/>
  <c r="Z12" i="73"/>
  <c r="Y12" i="73"/>
  <c r="Z11" i="73"/>
  <c r="Y11" i="73"/>
  <c r="Z10" i="73"/>
  <c r="Y10" i="73"/>
  <c r="Z9" i="73"/>
  <c r="Y9" i="73"/>
  <c r="Z8" i="73"/>
  <c r="Y8" i="73"/>
  <c r="Z7" i="73"/>
  <c r="Y7" i="73"/>
  <c r="E1" i="73"/>
  <c r="Q23" i="56"/>
  <c r="O23" i="56"/>
  <c r="M23" i="56"/>
  <c r="I23" i="56"/>
  <c r="E23" i="56"/>
  <c r="Q22" i="56"/>
  <c r="I22" i="56"/>
  <c r="E22" i="56"/>
  <c r="Q21" i="56"/>
  <c r="P21" i="56"/>
  <c r="J19" i="56"/>
  <c r="G19" i="56"/>
  <c r="F19" i="56"/>
  <c r="C19" i="56"/>
  <c r="J18" i="56"/>
  <c r="G18" i="56"/>
  <c r="F18" i="56"/>
  <c r="C18" i="56"/>
  <c r="Q17" i="56"/>
  <c r="P17" i="56"/>
  <c r="O17" i="56"/>
  <c r="J16" i="56"/>
  <c r="G16" i="56"/>
  <c r="F16" i="56"/>
  <c r="C16" i="56"/>
  <c r="I15" i="56"/>
  <c r="E15" i="56"/>
  <c r="I14" i="56"/>
  <c r="E14" i="56"/>
  <c r="J13" i="56"/>
  <c r="G13" i="56"/>
  <c r="F13" i="56"/>
  <c r="C13" i="56"/>
  <c r="I12" i="56"/>
  <c r="E12" i="56"/>
  <c r="I11" i="56"/>
  <c r="E11" i="56"/>
  <c r="J10" i="56"/>
  <c r="G10" i="56"/>
  <c r="F10" i="56"/>
  <c r="C10" i="56"/>
  <c r="I9" i="56"/>
  <c r="E9" i="56"/>
  <c r="I8" i="56"/>
  <c r="E8" i="56"/>
  <c r="I7" i="56"/>
  <c r="E7" i="56"/>
  <c r="H18" i="80"/>
  <c r="C4" i="56"/>
  <c r="C3" i="56"/>
  <c r="R37" i="72"/>
  <c r="K22" i="56" s="1"/>
  <c r="N37" i="72"/>
  <c r="O37" i="72" s="1"/>
  <c r="N38" i="72" s="1"/>
  <c r="N14" i="56" s="1"/>
  <c r="M37" i="72"/>
  <c r="H37" i="72"/>
  <c r="K9" i="56" s="1"/>
  <c r="G27" i="83" s="1"/>
  <c r="F37" i="72"/>
  <c r="D37" i="72"/>
  <c r="K7" i="56" s="1"/>
  <c r="Z36" i="72"/>
  <c r="Y36" i="72"/>
  <c r="Z35" i="72"/>
  <c r="Y35" i="72"/>
  <c r="Z34" i="72"/>
  <c r="Y34" i="72"/>
  <c r="Z33" i="72"/>
  <c r="Y33" i="72"/>
  <c r="Z32" i="72"/>
  <c r="Y32" i="72"/>
  <c r="Z31" i="72"/>
  <c r="Y31" i="72"/>
  <c r="Z30" i="72"/>
  <c r="Y30" i="72"/>
  <c r="Z29" i="72"/>
  <c r="Y29" i="72"/>
  <c r="Z28" i="72"/>
  <c r="Y28" i="72"/>
  <c r="Z27" i="72"/>
  <c r="Y27" i="72"/>
  <c r="Z26" i="72"/>
  <c r="Y26" i="72"/>
  <c r="Z25" i="72"/>
  <c r="Y25" i="72"/>
  <c r="Z24" i="72"/>
  <c r="Y24" i="72"/>
  <c r="Z23" i="72"/>
  <c r="Y23" i="72"/>
  <c r="Z22" i="72"/>
  <c r="Y22" i="72"/>
  <c r="Z21" i="72"/>
  <c r="Y21" i="72"/>
  <c r="Z20" i="72"/>
  <c r="Y20" i="72"/>
  <c r="Y19" i="72"/>
  <c r="Z19" i="72"/>
  <c r="P37" i="72"/>
  <c r="Z17" i="72"/>
  <c r="Y17" i="72"/>
  <c r="Z16" i="72"/>
  <c r="Y16" i="72"/>
  <c r="Z15" i="72"/>
  <c r="Y15" i="72"/>
  <c r="Z14" i="72"/>
  <c r="Y14" i="72"/>
  <c r="Z13" i="72"/>
  <c r="Y13" i="72"/>
  <c r="Z12" i="72"/>
  <c r="Y12" i="72"/>
  <c r="Z11" i="72"/>
  <c r="Y11" i="72"/>
  <c r="Z10" i="72"/>
  <c r="Y10" i="72"/>
  <c r="J37" i="72"/>
  <c r="Z9" i="72"/>
  <c r="Y9" i="72"/>
  <c r="Z8" i="72"/>
  <c r="Y8" i="72"/>
  <c r="Z7" i="72"/>
  <c r="Y7" i="72"/>
  <c r="E1" i="72"/>
  <c r="Q23" i="55"/>
  <c r="O23" i="55"/>
  <c r="M23" i="55"/>
  <c r="P23" i="55" s="1"/>
  <c r="I23" i="55"/>
  <c r="E23" i="55"/>
  <c r="Q22" i="55"/>
  <c r="I22" i="55"/>
  <c r="E22" i="55"/>
  <c r="Q21" i="55"/>
  <c r="P21" i="55"/>
  <c r="J19" i="55"/>
  <c r="G19" i="55"/>
  <c r="F19" i="55"/>
  <c r="C19" i="55"/>
  <c r="J18" i="55"/>
  <c r="G18" i="55"/>
  <c r="F18" i="55"/>
  <c r="C18" i="55"/>
  <c r="Q17" i="55"/>
  <c r="P17" i="55"/>
  <c r="O17" i="55"/>
  <c r="J16" i="55"/>
  <c r="G16" i="55"/>
  <c r="F16" i="55"/>
  <c r="C16" i="55"/>
  <c r="I15" i="55"/>
  <c r="E15" i="55"/>
  <c r="I14" i="55"/>
  <c r="E14" i="55"/>
  <c r="J13" i="55"/>
  <c r="G13" i="55"/>
  <c r="F13" i="55"/>
  <c r="C13" i="55"/>
  <c r="I12" i="55"/>
  <c r="E12" i="55"/>
  <c r="I11" i="55"/>
  <c r="E11" i="55"/>
  <c r="J10" i="55"/>
  <c r="G10" i="55"/>
  <c r="F10" i="55"/>
  <c r="C10" i="55"/>
  <c r="I9" i="55"/>
  <c r="E9" i="55"/>
  <c r="I8" i="55"/>
  <c r="E8" i="55"/>
  <c r="I7" i="55"/>
  <c r="E7" i="55"/>
  <c r="G17" i="80"/>
  <c r="C4" i="55"/>
  <c r="C3" i="55"/>
  <c r="R38" i="71"/>
  <c r="S38" i="71" s="1"/>
  <c r="R39" i="71" s="1"/>
  <c r="P38" i="71"/>
  <c r="N38" i="71"/>
  <c r="K14" i="55" s="1"/>
  <c r="M14" i="55" s="1"/>
  <c r="L38" i="71"/>
  <c r="F38" i="71"/>
  <c r="D38" i="71"/>
  <c r="K7" i="55" s="1"/>
  <c r="Z37" i="71"/>
  <c r="Y37" i="71"/>
  <c r="Z36" i="71"/>
  <c r="Y36" i="71"/>
  <c r="Z35" i="71"/>
  <c r="Y35" i="71"/>
  <c r="Z34" i="71"/>
  <c r="Y34" i="71"/>
  <c r="Z33" i="71"/>
  <c r="Y33" i="71"/>
  <c r="Z32" i="71"/>
  <c r="Y32" i="71"/>
  <c r="Z31" i="71"/>
  <c r="Y31" i="71"/>
  <c r="Z30" i="71"/>
  <c r="Y30" i="71"/>
  <c r="Z29" i="71"/>
  <c r="Y29" i="71"/>
  <c r="Z28" i="71"/>
  <c r="Y28" i="71"/>
  <c r="Z27" i="71"/>
  <c r="Y27" i="71"/>
  <c r="Z26" i="71"/>
  <c r="Y26" i="71"/>
  <c r="Z25" i="71"/>
  <c r="Y25" i="71"/>
  <c r="Z24" i="71"/>
  <c r="Y24" i="71"/>
  <c r="Z23" i="71"/>
  <c r="Y23" i="71"/>
  <c r="Z22" i="71"/>
  <c r="Y22" i="71"/>
  <c r="Z21" i="71"/>
  <c r="Y21" i="71"/>
  <c r="Z20" i="71"/>
  <c r="Y20" i="71"/>
  <c r="Z19" i="71"/>
  <c r="Y19" i="71"/>
  <c r="Z18" i="71"/>
  <c r="Y18" i="71"/>
  <c r="Z17" i="71"/>
  <c r="Y17" i="71"/>
  <c r="Z16" i="71"/>
  <c r="Y16" i="71"/>
  <c r="Z15" i="71"/>
  <c r="Y15" i="71"/>
  <c r="Z14" i="71"/>
  <c r="Y14" i="71"/>
  <c r="Z13" i="71"/>
  <c r="Y13" i="71"/>
  <c r="Z12" i="71"/>
  <c r="Y12" i="71"/>
  <c r="Z11" i="71"/>
  <c r="Y11" i="71"/>
  <c r="Z10" i="71"/>
  <c r="Y10" i="71"/>
  <c r="Z9" i="71"/>
  <c r="Y9" i="71"/>
  <c r="Z8" i="71"/>
  <c r="J38" i="71"/>
  <c r="Z7" i="71"/>
  <c r="Y7" i="71"/>
  <c r="E1" i="71"/>
  <c r="N23" i="54"/>
  <c r="K23" i="54"/>
  <c r="M23" i="54" s="1"/>
  <c r="J23" i="54"/>
  <c r="G23" i="54"/>
  <c r="I23" i="54" s="1"/>
  <c r="F23" i="54"/>
  <c r="F23" i="67" s="1"/>
  <c r="C23" i="54"/>
  <c r="E23" i="54" s="1"/>
  <c r="J22" i="54"/>
  <c r="G22" i="54"/>
  <c r="F22" i="54"/>
  <c r="F22" i="67" s="1"/>
  <c r="C22" i="54"/>
  <c r="Q17" i="54"/>
  <c r="P17" i="54"/>
  <c r="O17" i="54"/>
  <c r="E17" i="54"/>
  <c r="J15" i="54"/>
  <c r="G15" i="54"/>
  <c r="F15" i="54"/>
  <c r="C15" i="54"/>
  <c r="J14" i="54"/>
  <c r="G14" i="54"/>
  <c r="F14" i="54"/>
  <c r="C14" i="54"/>
  <c r="J12" i="54"/>
  <c r="G12" i="54"/>
  <c r="F12" i="54"/>
  <c r="C12" i="54"/>
  <c r="J11" i="54"/>
  <c r="G11" i="54"/>
  <c r="F11" i="54"/>
  <c r="C11" i="54"/>
  <c r="J9" i="54"/>
  <c r="G9" i="54"/>
  <c r="F9" i="54"/>
  <c r="C9" i="54"/>
  <c r="J8" i="54"/>
  <c r="G8" i="54"/>
  <c r="F8" i="54"/>
  <c r="C8" i="54"/>
  <c r="J7" i="54"/>
  <c r="G7" i="54"/>
  <c r="F7" i="54"/>
  <c r="C7" i="54"/>
  <c r="C3" i="54"/>
  <c r="Q23" i="52"/>
  <c r="O23" i="52"/>
  <c r="M23" i="52"/>
  <c r="I23" i="52"/>
  <c r="E23" i="52"/>
  <c r="I22" i="52"/>
  <c r="E22" i="52"/>
  <c r="Q21" i="52"/>
  <c r="P21" i="52"/>
  <c r="J19" i="52"/>
  <c r="G19" i="52"/>
  <c r="F19" i="52"/>
  <c r="C19" i="52"/>
  <c r="J18" i="52"/>
  <c r="G18" i="52"/>
  <c r="F18" i="52"/>
  <c r="C18" i="52"/>
  <c r="Q17" i="52"/>
  <c r="P17" i="52"/>
  <c r="T17" i="52" s="1"/>
  <c r="O17" i="52"/>
  <c r="J16" i="52"/>
  <c r="G16" i="52"/>
  <c r="F16" i="52"/>
  <c r="C16" i="52"/>
  <c r="I15" i="52"/>
  <c r="E15" i="52"/>
  <c r="I14" i="52"/>
  <c r="E14" i="52"/>
  <c r="J13" i="52"/>
  <c r="G13" i="52"/>
  <c r="F13" i="52"/>
  <c r="C13" i="52"/>
  <c r="I12" i="52"/>
  <c r="E12" i="52"/>
  <c r="I11" i="52"/>
  <c r="E11" i="52"/>
  <c r="J10" i="52"/>
  <c r="J24" i="52" s="1"/>
  <c r="F6" i="80" s="1"/>
  <c r="G10" i="52"/>
  <c r="F10" i="52"/>
  <c r="C10" i="52"/>
  <c r="I9" i="52"/>
  <c r="E9" i="52"/>
  <c r="I8" i="52"/>
  <c r="E8" i="52"/>
  <c r="I7" i="52"/>
  <c r="E7" i="52"/>
  <c r="F17" i="80"/>
  <c r="F18" i="80"/>
  <c r="C4" i="52"/>
  <c r="C3" i="52"/>
  <c r="R37" i="70"/>
  <c r="K22" i="52" s="1"/>
  <c r="F23" i="80" s="1"/>
  <c r="P37" i="70"/>
  <c r="N37" i="70"/>
  <c r="K14" i="52" s="1"/>
  <c r="L37" i="70"/>
  <c r="M37" i="70" s="1"/>
  <c r="J37" i="70"/>
  <c r="K11" i="52" s="1"/>
  <c r="E41" i="83" s="1"/>
  <c r="H37" i="70"/>
  <c r="F37" i="70"/>
  <c r="G37" i="70" s="1"/>
  <c r="D37" i="70"/>
  <c r="K7" i="52" s="1"/>
  <c r="Z36" i="70"/>
  <c r="Y36" i="70"/>
  <c r="Z35" i="70"/>
  <c r="Y35" i="70"/>
  <c r="Z34" i="70"/>
  <c r="Y34" i="70"/>
  <c r="Z33" i="70"/>
  <c r="Y33" i="70"/>
  <c r="Z32" i="70"/>
  <c r="Y32" i="70"/>
  <c r="Z31" i="70"/>
  <c r="Y31" i="70"/>
  <c r="Z29" i="70"/>
  <c r="Y29" i="70"/>
  <c r="Z28" i="70"/>
  <c r="Y28" i="70"/>
  <c r="Z27" i="70"/>
  <c r="Y27" i="70"/>
  <c r="Z26" i="70"/>
  <c r="Y26" i="70"/>
  <c r="Z25" i="70"/>
  <c r="Y25" i="70"/>
  <c r="Z24" i="70"/>
  <c r="Y24" i="70"/>
  <c r="Z23" i="70"/>
  <c r="Y23" i="70"/>
  <c r="Z22" i="70"/>
  <c r="Y22" i="70"/>
  <c r="Z21" i="70"/>
  <c r="Y21" i="70"/>
  <c r="Z20" i="70"/>
  <c r="Y20" i="70"/>
  <c r="Z19" i="70"/>
  <c r="Y19" i="70"/>
  <c r="Z18" i="70"/>
  <c r="Y18" i="70"/>
  <c r="Z17" i="70"/>
  <c r="Y17" i="70"/>
  <c r="Z16" i="70"/>
  <c r="Y16" i="70"/>
  <c r="Z15" i="70"/>
  <c r="Y15" i="70"/>
  <c r="Z14" i="70"/>
  <c r="Y14" i="70"/>
  <c r="Z13" i="70"/>
  <c r="Y13" i="70"/>
  <c r="Z12" i="70"/>
  <c r="Y12" i="70"/>
  <c r="Z11" i="70"/>
  <c r="Y11" i="70"/>
  <c r="Z10" i="70"/>
  <c r="Y10" i="70"/>
  <c r="Z9" i="70"/>
  <c r="Y9" i="70"/>
  <c r="Z8" i="70"/>
  <c r="Y8" i="70"/>
  <c r="Z7" i="70"/>
  <c r="Y7" i="70"/>
  <c r="E1" i="70"/>
  <c r="Q23" i="53"/>
  <c r="O23" i="53"/>
  <c r="M23" i="53"/>
  <c r="I23" i="53"/>
  <c r="E23" i="53"/>
  <c r="Q22" i="53"/>
  <c r="I22" i="53"/>
  <c r="E22" i="53"/>
  <c r="Q21" i="53"/>
  <c r="P21" i="53"/>
  <c r="J19" i="53"/>
  <c r="G19" i="53"/>
  <c r="F19" i="53"/>
  <c r="C19" i="53"/>
  <c r="J18" i="53"/>
  <c r="G18" i="53"/>
  <c r="F18" i="53"/>
  <c r="C18" i="53"/>
  <c r="Q17" i="53"/>
  <c r="P17" i="53"/>
  <c r="O17" i="53"/>
  <c r="J16" i="53"/>
  <c r="G16" i="53"/>
  <c r="F16" i="53"/>
  <c r="C16" i="53"/>
  <c r="I15" i="53"/>
  <c r="E15" i="53"/>
  <c r="I14" i="53"/>
  <c r="E14" i="53"/>
  <c r="J13" i="53"/>
  <c r="G13" i="53"/>
  <c r="F13" i="53"/>
  <c r="C13" i="53"/>
  <c r="I12" i="53"/>
  <c r="E12" i="53"/>
  <c r="I11" i="53"/>
  <c r="E11" i="53"/>
  <c r="J10" i="53"/>
  <c r="G10" i="53"/>
  <c r="F10" i="53"/>
  <c r="C10" i="53"/>
  <c r="I9" i="53"/>
  <c r="E9" i="53"/>
  <c r="I8" i="53"/>
  <c r="E8" i="53"/>
  <c r="I7" i="53"/>
  <c r="E7" i="53"/>
  <c r="E17" i="80"/>
  <c r="E18" i="80"/>
  <c r="C4" i="53"/>
  <c r="C3" i="53"/>
  <c r="R38" i="69"/>
  <c r="K22" i="53" s="1"/>
  <c r="P38" i="69"/>
  <c r="N38" i="69"/>
  <c r="K14" i="53" s="1"/>
  <c r="L38" i="69"/>
  <c r="K12" i="53" s="1"/>
  <c r="D48" i="83" s="1"/>
  <c r="J38" i="69"/>
  <c r="K11" i="53" s="1"/>
  <c r="H38" i="69"/>
  <c r="K9" i="53" s="1"/>
  <c r="D27" i="83" s="1"/>
  <c r="F38" i="69"/>
  <c r="D38" i="69"/>
  <c r="K7" i="53" s="1"/>
  <c r="Z37" i="69"/>
  <c r="Y37" i="69"/>
  <c r="Z36" i="69"/>
  <c r="Y36" i="69"/>
  <c r="Z35" i="69"/>
  <c r="Y35" i="69"/>
  <c r="Z34" i="69"/>
  <c r="Y34" i="69"/>
  <c r="Z33" i="69"/>
  <c r="Y33" i="69"/>
  <c r="Z32" i="69"/>
  <c r="Y32" i="69"/>
  <c r="Z31" i="69"/>
  <c r="Y31" i="69"/>
  <c r="Z30" i="69"/>
  <c r="Y30" i="69"/>
  <c r="Z29" i="69"/>
  <c r="Y29" i="69"/>
  <c r="Z28" i="69"/>
  <c r="Y28" i="69"/>
  <c r="Z27" i="69"/>
  <c r="Y27" i="69"/>
  <c r="Z26" i="69"/>
  <c r="Y26" i="69"/>
  <c r="Z25" i="69"/>
  <c r="Y25" i="69"/>
  <c r="Z24" i="69"/>
  <c r="Y24" i="69"/>
  <c r="Z23" i="69"/>
  <c r="Y23" i="69"/>
  <c r="Z22" i="69"/>
  <c r="Y22" i="69"/>
  <c r="Z21" i="69"/>
  <c r="Y21" i="69"/>
  <c r="Z20" i="69"/>
  <c r="Y20" i="69"/>
  <c r="Z19" i="69"/>
  <c r="Y19" i="69"/>
  <c r="Z18" i="69"/>
  <c r="Y18" i="69"/>
  <c r="Z17" i="69"/>
  <c r="Y17" i="69"/>
  <c r="Z16" i="69"/>
  <c r="Y16" i="69"/>
  <c r="Z15" i="69"/>
  <c r="Y15" i="69"/>
  <c r="Z14" i="69"/>
  <c r="Y14" i="69"/>
  <c r="Z13" i="69"/>
  <c r="Y13" i="69"/>
  <c r="Z12" i="69"/>
  <c r="Y12" i="69"/>
  <c r="Z11" i="69"/>
  <c r="Y11" i="69"/>
  <c r="Z10" i="69"/>
  <c r="Y10" i="69"/>
  <c r="Z9" i="69"/>
  <c r="Y9" i="69"/>
  <c r="Z8" i="69"/>
  <c r="Y8" i="69"/>
  <c r="Z7" i="69"/>
  <c r="Y7" i="69"/>
  <c r="E1" i="69"/>
  <c r="Q23" i="33"/>
  <c r="O23" i="33"/>
  <c r="M23" i="33"/>
  <c r="I23" i="33"/>
  <c r="E23" i="33"/>
  <c r="N22" i="54"/>
  <c r="I22" i="33"/>
  <c r="E22" i="33"/>
  <c r="Q21" i="33"/>
  <c r="P21" i="33"/>
  <c r="J19" i="33"/>
  <c r="G19" i="33"/>
  <c r="F19" i="33"/>
  <c r="C19" i="33"/>
  <c r="J18" i="33"/>
  <c r="G18" i="33"/>
  <c r="F18" i="33"/>
  <c r="C18" i="33"/>
  <c r="Q17" i="33"/>
  <c r="P17" i="33"/>
  <c r="O17" i="33"/>
  <c r="J16" i="33"/>
  <c r="G16" i="33"/>
  <c r="F16" i="33"/>
  <c r="C16" i="33"/>
  <c r="I15" i="33"/>
  <c r="E15" i="33"/>
  <c r="I14" i="33"/>
  <c r="E14" i="33"/>
  <c r="J13" i="33"/>
  <c r="G13" i="33"/>
  <c r="F13" i="33"/>
  <c r="C13" i="33"/>
  <c r="I12" i="33"/>
  <c r="E12" i="33"/>
  <c r="I11" i="33"/>
  <c r="E11" i="33"/>
  <c r="J10" i="33"/>
  <c r="G10" i="33"/>
  <c r="F10" i="33"/>
  <c r="C10" i="33"/>
  <c r="I9" i="33"/>
  <c r="E9" i="33"/>
  <c r="I8" i="33"/>
  <c r="E8" i="33"/>
  <c r="I7" i="33"/>
  <c r="E7" i="33"/>
  <c r="D18" i="80"/>
  <c r="C4" i="33"/>
  <c r="C3" i="33"/>
  <c r="R38" i="68"/>
  <c r="K22" i="33" s="1"/>
  <c r="P38" i="68"/>
  <c r="N38" i="68"/>
  <c r="K14" i="33" s="1"/>
  <c r="L38" i="68"/>
  <c r="J38" i="68"/>
  <c r="K38" i="68" s="1"/>
  <c r="J39" i="68" s="1"/>
  <c r="N11" i="33" s="1"/>
  <c r="C41" i="86" s="1"/>
  <c r="H38" i="68"/>
  <c r="I38" i="68" s="1"/>
  <c r="H39" i="68" s="1"/>
  <c r="N9" i="33" s="1"/>
  <c r="F38" i="68"/>
  <c r="G38" i="68" s="1"/>
  <c r="F39" i="68" s="1"/>
  <c r="N8" i="33" s="1"/>
  <c r="C20" i="86" s="1"/>
  <c r="D38" i="68"/>
  <c r="K7" i="33" s="1"/>
  <c r="Z37" i="68"/>
  <c r="Y37" i="68"/>
  <c r="Z36" i="68"/>
  <c r="Y36" i="68"/>
  <c r="Z35" i="68"/>
  <c r="Y35" i="68"/>
  <c r="Z34" i="68"/>
  <c r="Y34" i="68"/>
  <c r="Z33" i="68"/>
  <c r="Y33" i="68"/>
  <c r="Z32" i="68"/>
  <c r="Y32" i="68"/>
  <c r="Z31" i="68"/>
  <c r="Y31" i="68"/>
  <c r="Z30" i="68"/>
  <c r="Y30" i="68"/>
  <c r="Z29" i="68"/>
  <c r="Y29" i="68"/>
  <c r="Z28" i="68"/>
  <c r="Y28" i="68"/>
  <c r="Z27" i="68"/>
  <c r="Y27" i="68"/>
  <c r="Z26" i="68"/>
  <c r="Y26" i="68"/>
  <c r="Z25" i="68"/>
  <c r="Y25" i="68"/>
  <c r="Z24" i="68"/>
  <c r="Y24" i="68"/>
  <c r="Z23" i="68"/>
  <c r="Y23" i="68"/>
  <c r="Z22" i="68"/>
  <c r="Y22" i="68"/>
  <c r="Z21" i="68"/>
  <c r="Y21" i="68"/>
  <c r="Z20" i="68"/>
  <c r="Y20" i="68"/>
  <c r="Z19" i="68"/>
  <c r="Y19" i="68"/>
  <c r="Z18" i="68"/>
  <c r="Y18" i="68"/>
  <c r="Z17" i="68"/>
  <c r="Y17" i="68"/>
  <c r="Z16" i="68"/>
  <c r="Y16" i="68"/>
  <c r="Z15" i="68"/>
  <c r="Y15" i="68"/>
  <c r="Z14" i="68"/>
  <c r="Y14" i="68"/>
  <c r="Z13" i="68"/>
  <c r="Y13" i="68"/>
  <c r="Z12" i="68"/>
  <c r="Y12" i="68"/>
  <c r="Z11" i="68"/>
  <c r="Y11" i="68"/>
  <c r="Z10" i="68"/>
  <c r="Y10" i="68"/>
  <c r="Z9" i="68"/>
  <c r="Y9" i="68"/>
  <c r="Z8" i="68"/>
  <c r="Y8" i="68"/>
  <c r="Z7" i="68"/>
  <c r="Y7" i="68"/>
  <c r="E1" i="68"/>
  <c r="E23" i="67"/>
  <c r="Q21" i="67"/>
  <c r="P21" i="67"/>
  <c r="Q17" i="67"/>
  <c r="P17" i="67"/>
  <c r="O17" i="67"/>
  <c r="E17" i="67"/>
  <c r="O31" i="80"/>
  <c r="N31" i="80"/>
  <c r="M31" i="80"/>
  <c r="L31" i="80"/>
  <c r="K31" i="80"/>
  <c r="J31" i="80"/>
  <c r="I31" i="80"/>
  <c r="H31" i="80"/>
  <c r="G31" i="80"/>
  <c r="F31" i="80"/>
  <c r="E31" i="80"/>
  <c r="D31" i="80"/>
  <c r="C31" i="80"/>
  <c r="O28" i="80"/>
  <c r="N28" i="80"/>
  <c r="M28" i="80"/>
  <c r="L28" i="80"/>
  <c r="K28" i="80"/>
  <c r="J28" i="80"/>
  <c r="I28" i="80"/>
  <c r="H28" i="80"/>
  <c r="G28" i="80"/>
  <c r="F28" i="80"/>
  <c r="E28" i="80"/>
  <c r="D28" i="80"/>
  <c r="C28" i="80"/>
  <c r="L24" i="80"/>
  <c r="K24" i="80"/>
  <c r="J24" i="80"/>
  <c r="I24" i="80"/>
  <c r="H24" i="80"/>
  <c r="G24" i="80"/>
  <c r="F24" i="80"/>
  <c r="E24" i="80"/>
  <c r="D24" i="80"/>
  <c r="O18" i="80"/>
  <c r="N18" i="80"/>
  <c r="M18" i="80"/>
  <c r="L18" i="80"/>
  <c r="K18" i="80"/>
  <c r="I18" i="80"/>
  <c r="O17" i="80"/>
  <c r="N17" i="80"/>
  <c r="M17" i="80"/>
  <c r="L17" i="80"/>
  <c r="K17" i="80"/>
  <c r="I17" i="80"/>
  <c r="H17" i="80"/>
  <c r="D17" i="80"/>
  <c r="M22" i="64" l="1"/>
  <c r="M83" i="83"/>
  <c r="M27" i="87"/>
  <c r="L55" i="83"/>
  <c r="M22" i="57"/>
  <c r="P22" i="57" s="1"/>
  <c r="H83" i="83"/>
  <c r="M22" i="56"/>
  <c r="P22" i="56" s="1"/>
  <c r="G83" i="83"/>
  <c r="M22" i="53"/>
  <c r="P22" i="53" s="1"/>
  <c r="D83" i="83"/>
  <c r="O11" i="53"/>
  <c r="D41" i="83"/>
  <c r="D55" i="83" s="1"/>
  <c r="O22" i="33"/>
  <c r="C83" i="83"/>
  <c r="Q9" i="33"/>
  <c r="C27" i="86"/>
  <c r="C34" i="86" s="1"/>
  <c r="I13" i="60"/>
  <c r="I10" i="56"/>
  <c r="O19" i="80"/>
  <c r="E13" i="64"/>
  <c r="F20" i="61"/>
  <c r="P23" i="61"/>
  <c r="C24" i="60"/>
  <c r="J20" i="60"/>
  <c r="J20" i="57"/>
  <c r="I20" i="57" s="1"/>
  <c r="E13" i="57"/>
  <c r="F20" i="57"/>
  <c r="C20" i="57"/>
  <c r="C21" i="57" s="1"/>
  <c r="G20" i="57"/>
  <c r="G21" i="57" s="1"/>
  <c r="J24" i="56"/>
  <c r="H6" i="80" s="1"/>
  <c r="G24" i="53"/>
  <c r="E21" i="80" s="1"/>
  <c r="J24" i="53"/>
  <c r="E6" i="80" s="1"/>
  <c r="K8" i="59"/>
  <c r="I20" i="83" s="1"/>
  <c r="Q38" i="74"/>
  <c r="P39" i="74" s="1"/>
  <c r="K8" i="53"/>
  <c r="D20" i="83" s="1"/>
  <c r="D34" i="83" s="1"/>
  <c r="Q12" i="59"/>
  <c r="O9" i="53"/>
  <c r="O7" i="53"/>
  <c r="Q11" i="33"/>
  <c r="G20" i="60"/>
  <c r="M23" i="80"/>
  <c r="M25" i="80" s="1"/>
  <c r="Q9" i="59"/>
  <c r="AB9" i="79"/>
  <c r="AB13" i="79"/>
  <c r="AB21" i="79"/>
  <c r="AB25" i="79"/>
  <c r="AB7" i="79"/>
  <c r="AB11" i="79"/>
  <c r="AB23" i="79"/>
  <c r="AB8" i="79"/>
  <c r="AB10" i="79"/>
  <c r="AB12" i="79"/>
  <c r="AB14" i="79"/>
  <c r="AB20" i="79"/>
  <c r="AB24" i="79"/>
  <c r="AB26" i="79"/>
  <c r="AB7" i="78"/>
  <c r="AB9" i="78"/>
  <c r="AB11" i="78"/>
  <c r="AB13" i="78"/>
  <c r="AB31" i="78"/>
  <c r="AB33" i="78"/>
  <c r="AB35" i="78"/>
  <c r="AB37" i="78"/>
  <c r="AB8" i="78"/>
  <c r="AB10" i="78"/>
  <c r="AB30" i="78"/>
  <c r="AB32" i="78"/>
  <c r="AB34" i="78"/>
  <c r="AB36" i="78"/>
  <c r="AB20" i="77"/>
  <c r="AB28" i="77"/>
  <c r="AB36" i="77"/>
  <c r="AB11" i="77"/>
  <c r="AB15" i="77"/>
  <c r="AB19" i="77"/>
  <c r="AB21" i="77"/>
  <c r="AB23" i="77"/>
  <c r="AB25" i="77"/>
  <c r="AB32" i="77"/>
  <c r="AB9" i="75"/>
  <c r="AB33" i="75"/>
  <c r="AB29" i="75"/>
  <c r="AB31" i="75"/>
  <c r="AB10" i="75"/>
  <c r="AB22" i="75"/>
  <c r="AB26" i="75"/>
  <c r="AB21" i="74"/>
  <c r="AB36" i="74"/>
  <c r="AB18" i="74"/>
  <c r="AB22" i="74"/>
  <c r="AB31" i="74"/>
  <c r="AB33" i="74"/>
  <c r="AB23" i="74"/>
  <c r="AB26" i="74"/>
  <c r="AB23" i="73"/>
  <c r="AB20" i="73"/>
  <c r="AB30" i="73"/>
  <c r="AB8" i="72"/>
  <c r="AB20" i="72"/>
  <c r="AB32" i="72"/>
  <c r="AB23" i="72"/>
  <c r="AB35" i="72"/>
  <c r="AB14" i="72"/>
  <c r="AB11" i="70"/>
  <c r="AB15" i="70"/>
  <c r="AB19" i="70"/>
  <c r="AB23" i="70"/>
  <c r="AB27" i="70"/>
  <c r="AB36" i="70"/>
  <c r="AB20" i="70"/>
  <c r="AB31" i="70"/>
  <c r="AB11" i="69"/>
  <c r="AB15" i="69"/>
  <c r="AB21" i="69"/>
  <c r="AB8" i="69"/>
  <c r="AB12" i="69"/>
  <c r="AB16" i="69"/>
  <c r="AB18" i="69"/>
  <c r="AB24" i="69"/>
  <c r="AB34" i="69"/>
  <c r="AB7" i="69"/>
  <c r="AB10" i="68"/>
  <c r="M7" i="33"/>
  <c r="P7" i="33" s="1"/>
  <c r="AB18" i="68"/>
  <c r="AB28" i="68"/>
  <c r="AB29" i="68"/>
  <c r="AB23" i="76"/>
  <c r="AB22" i="76"/>
  <c r="AB21" i="76"/>
  <c r="AB36" i="76"/>
  <c r="AB18" i="76"/>
  <c r="AB17" i="76"/>
  <c r="AB16" i="76"/>
  <c r="AB15" i="76"/>
  <c r="AB27" i="76"/>
  <c r="AB26" i="76"/>
  <c r="AB20" i="76"/>
  <c r="AB19" i="76"/>
  <c r="AB29" i="76"/>
  <c r="AB25" i="76"/>
  <c r="AB24" i="76"/>
  <c r="P23" i="59"/>
  <c r="F16" i="62"/>
  <c r="J17" i="80"/>
  <c r="C13" i="62"/>
  <c r="C16" i="62"/>
  <c r="G4" i="58"/>
  <c r="J20" i="56"/>
  <c r="C4" i="58"/>
  <c r="I19" i="56"/>
  <c r="J24" i="55"/>
  <c r="G6" i="80" s="1"/>
  <c r="K12" i="55"/>
  <c r="F48" i="83" s="1"/>
  <c r="M38" i="71"/>
  <c r="L39" i="71" s="1"/>
  <c r="N12" i="55" s="1"/>
  <c r="F48" i="86" s="1"/>
  <c r="F16" i="58"/>
  <c r="G18" i="80"/>
  <c r="G19" i="80" s="1"/>
  <c r="Q23" i="58"/>
  <c r="J16" i="58"/>
  <c r="J20" i="53"/>
  <c r="E10" i="53"/>
  <c r="P23" i="53"/>
  <c r="K23" i="67"/>
  <c r="M23" i="67" s="1"/>
  <c r="G20" i="33"/>
  <c r="G21" i="33" s="1"/>
  <c r="C18" i="54"/>
  <c r="C13" i="54"/>
  <c r="C16" i="54"/>
  <c r="G18" i="54"/>
  <c r="G13" i="54"/>
  <c r="G16" i="54"/>
  <c r="J16" i="54"/>
  <c r="G10" i="54"/>
  <c r="E16" i="33"/>
  <c r="F16" i="54"/>
  <c r="F13" i="54"/>
  <c r="F18" i="54"/>
  <c r="P23" i="52"/>
  <c r="F24" i="60"/>
  <c r="E24" i="60" s="1"/>
  <c r="E18" i="60"/>
  <c r="J16" i="62"/>
  <c r="G20" i="59"/>
  <c r="G21" i="59" s="1"/>
  <c r="E16" i="57"/>
  <c r="C19" i="58"/>
  <c r="C20" i="56"/>
  <c r="C21" i="56" s="1"/>
  <c r="F10" i="54"/>
  <c r="C20" i="53"/>
  <c r="J13" i="54"/>
  <c r="J18" i="54"/>
  <c r="J10" i="54"/>
  <c r="F20" i="33"/>
  <c r="E19" i="33"/>
  <c r="C10" i="54"/>
  <c r="G37" i="77"/>
  <c r="F38" i="77" s="1"/>
  <c r="N8" i="63" s="1"/>
  <c r="L20" i="86" s="1"/>
  <c r="G10" i="58"/>
  <c r="G35" i="75"/>
  <c r="F36" i="75" s="1"/>
  <c r="G16" i="58"/>
  <c r="C22" i="67"/>
  <c r="E22" i="67" s="1"/>
  <c r="K9" i="55"/>
  <c r="N9" i="55"/>
  <c r="K15" i="56"/>
  <c r="G69" i="83" s="1"/>
  <c r="G76" i="83" s="1"/>
  <c r="K15" i="57"/>
  <c r="H69" i="83" s="1"/>
  <c r="H76" i="83" s="1"/>
  <c r="Q38" i="76"/>
  <c r="P39" i="76" s="1"/>
  <c r="N15" i="61" s="1"/>
  <c r="K69" i="86" s="1"/>
  <c r="I23" i="80"/>
  <c r="I25" i="80" s="1"/>
  <c r="J23" i="67"/>
  <c r="C9" i="67"/>
  <c r="C12" i="67"/>
  <c r="C15" i="67"/>
  <c r="G23" i="67"/>
  <c r="I23" i="67" s="1"/>
  <c r="Q38" i="78"/>
  <c r="P39" i="78" s="1"/>
  <c r="N15" i="64" s="1"/>
  <c r="M69" i="86" s="1"/>
  <c r="Q37" i="77"/>
  <c r="P38" i="77" s="1"/>
  <c r="N15" i="63" s="1"/>
  <c r="L69" i="86" s="1"/>
  <c r="Q35" i="75"/>
  <c r="P36" i="75" s="1"/>
  <c r="Q37" i="72"/>
  <c r="P38" i="72" s="1"/>
  <c r="Q38" i="71"/>
  <c r="P39" i="71" s="1"/>
  <c r="N15" i="55" s="1"/>
  <c r="F69" i="86" s="1"/>
  <c r="K15" i="52"/>
  <c r="E69" i="83" s="1"/>
  <c r="E76" i="83" s="1"/>
  <c r="Q38" i="69"/>
  <c r="P39" i="69" s="1"/>
  <c r="N15" i="53" s="1"/>
  <c r="D69" i="86" s="1"/>
  <c r="Q38" i="68"/>
  <c r="P39" i="68" s="1"/>
  <c r="N15" i="33" s="1"/>
  <c r="C69" i="86" s="1"/>
  <c r="AA19" i="79"/>
  <c r="AA17" i="78"/>
  <c r="AA21" i="78"/>
  <c r="L38" i="72"/>
  <c r="N12" i="56" s="1"/>
  <c r="G48" i="86" s="1"/>
  <c r="I37" i="70"/>
  <c r="H38" i="70" s="1"/>
  <c r="N9" i="52" s="1"/>
  <c r="F38" i="70"/>
  <c r="L38" i="70"/>
  <c r="N12" i="52" s="1"/>
  <c r="E48" i="86" s="1"/>
  <c r="M38" i="68"/>
  <c r="L39" i="68" s="1"/>
  <c r="N12" i="33" s="1"/>
  <c r="AA15" i="78"/>
  <c r="E37" i="77"/>
  <c r="D38" i="77" s="1"/>
  <c r="N7" i="63" s="1"/>
  <c r="P14" i="59"/>
  <c r="J20" i="59"/>
  <c r="AA32" i="74"/>
  <c r="AA19" i="72"/>
  <c r="K8" i="55"/>
  <c r="F20" i="83" s="1"/>
  <c r="G38" i="71"/>
  <c r="F39" i="71" s="1"/>
  <c r="N8" i="55" s="1"/>
  <c r="F20" i="86" s="1"/>
  <c r="G38" i="76"/>
  <c r="AA10" i="75"/>
  <c r="AA8" i="74"/>
  <c r="G37" i="72"/>
  <c r="F38" i="72" s="1"/>
  <c r="N8" i="56" s="1"/>
  <c r="G20" i="86" s="1"/>
  <c r="AA36" i="72"/>
  <c r="AA28" i="72"/>
  <c r="G24" i="61"/>
  <c r="H19" i="61" s="1"/>
  <c r="G16" i="62"/>
  <c r="I16" i="59"/>
  <c r="J24" i="59"/>
  <c r="I13" i="59"/>
  <c r="L19" i="80"/>
  <c r="C4" i="62"/>
  <c r="K8" i="60"/>
  <c r="J20" i="83" s="1"/>
  <c r="J34" i="83" s="1"/>
  <c r="K14" i="60"/>
  <c r="T9" i="29"/>
  <c r="G24" i="29"/>
  <c r="X11" i="30"/>
  <c r="X15" i="30"/>
  <c r="X9" i="31"/>
  <c r="W11" i="31"/>
  <c r="H19" i="80"/>
  <c r="J24" i="33"/>
  <c r="D6" i="80" s="1"/>
  <c r="I16" i="33"/>
  <c r="P23" i="33"/>
  <c r="I19" i="53"/>
  <c r="K9" i="60"/>
  <c r="H36" i="75"/>
  <c r="N9" i="60" s="1"/>
  <c r="K15" i="60"/>
  <c r="J69" i="83" s="1"/>
  <c r="J76" i="83" s="1"/>
  <c r="C4" i="66"/>
  <c r="P23" i="64"/>
  <c r="C14" i="67"/>
  <c r="Q7" i="29"/>
  <c r="Q11" i="29"/>
  <c r="T11" i="29" s="1"/>
  <c r="Q15" i="29"/>
  <c r="T15" i="29" s="1"/>
  <c r="U19" i="29"/>
  <c r="Q7" i="30"/>
  <c r="V7" i="30"/>
  <c r="Q19" i="30"/>
  <c r="E7" i="31"/>
  <c r="U7" i="31"/>
  <c r="X11" i="31"/>
  <c r="V15" i="31"/>
  <c r="M18" i="31"/>
  <c r="U19" i="31"/>
  <c r="I7" i="32"/>
  <c r="N16" i="32"/>
  <c r="N21" i="32" s="1"/>
  <c r="U22" i="32" s="1"/>
  <c r="U7" i="32"/>
  <c r="Q9" i="32"/>
  <c r="C10" i="32"/>
  <c r="U11" i="32"/>
  <c r="Q15" i="32"/>
  <c r="U19" i="32"/>
  <c r="K11" i="60"/>
  <c r="J41" i="83" s="1"/>
  <c r="K22" i="60"/>
  <c r="O23" i="62"/>
  <c r="G4" i="66"/>
  <c r="M7" i="29"/>
  <c r="S8" i="29"/>
  <c r="I9" i="29"/>
  <c r="S12" i="29"/>
  <c r="T18" i="29"/>
  <c r="V19" i="29"/>
  <c r="X7" i="30"/>
  <c r="Q9" i="30"/>
  <c r="V9" i="30"/>
  <c r="G10" i="30"/>
  <c r="I10" i="30" s="1"/>
  <c r="O10" i="30"/>
  <c r="S18" i="30"/>
  <c r="Q7" i="31"/>
  <c r="T7" i="31" s="1"/>
  <c r="V7" i="31"/>
  <c r="T11" i="31"/>
  <c r="V12" i="31"/>
  <c r="Q15" i="31"/>
  <c r="S19" i="31"/>
  <c r="J16" i="32"/>
  <c r="J21" i="32" s="1"/>
  <c r="N22" i="32" s="1"/>
  <c r="X7" i="32"/>
  <c r="U8" i="32"/>
  <c r="U12" i="32"/>
  <c r="U14" i="32"/>
  <c r="S19" i="32"/>
  <c r="U20" i="32"/>
  <c r="D19" i="80"/>
  <c r="P23" i="58"/>
  <c r="E16" i="59"/>
  <c r="K7" i="60"/>
  <c r="K12" i="60"/>
  <c r="J48" i="83" s="1"/>
  <c r="Q23" i="62"/>
  <c r="P23" i="66"/>
  <c r="V7" i="29"/>
  <c r="S9" i="29"/>
  <c r="V11" i="29"/>
  <c r="U14" i="29"/>
  <c r="V15" i="29"/>
  <c r="Q19" i="29"/>
  <c r="V8" i="30"/>
  <c r="Q11" i="30"/>
  <c r="V11" i="30"/>
  <c r="J16" i="30"/>
  <c r="J21" i="30" s="1"/>
  <c r="N22" i="30" s="1"/>
  <c r="Q15" i="30"/>
  <c r="V15" i="30"/>
  <c r="V19" i="30"/>
  <c r="U20" i="30"/>
  <c r="Q9" i="31"/>
  <c r="T9" i="31" s="1"/>
  <c r="V9" i="31"/>
  <c r="O10" i="31"/>
  <c r="S11" i="31"/>
  <c r="V14" i="31"/>
  <c r="U15" i="31"/>
  <c r="X18" i="31"/>
  <c r="Q19" i="31"/>
  <c r="F16" i="32"/>
  <c r="F21" i="32" s="1"/>
  <c r="J22" i="32" s="1"/>
  <c r="X22" i="32" s="1"/>
  <c r="Q7" i="32"/>
  <c r="Q11" i="32"/>
  <c r="C23" i="32"/>
  <c r="I16" i="57"/>
  <c r="J24" i="57"/>
  <c r="I6" i="80" s="1"/>
  <c r="I13" i="57"/>
  <c r="G20" i="56"/>
  <c r="I16" i="56"/>
  <c r="I16" i="55"/>
  <c r="G24" i="55"/>
  <c r="G21" i="80" s="1"/>
  <c r="I19" i="52"/>
  <c r="I16" i="52"/>
  <c r="I13" i="52"/>
  <c r="I10" i="52"/>
  <c r="I13" i="53"/>
  <c r="G20" i="53"/>
  <c r="I13" i="33"/>
  <c r="I18" i="33"/>
  <c r="I19" i="33"/>
  <c r="E16" i="64"/>
  <c r="F24" i="64"/>
  <c r="C27" i="64" s="1"/>
  <c r="E19" i="64"/>
  <c r="C20" i="64"/>
  <c r="C21" i="64" s="1"/>
  <c r="C24" i="64"/>
  <c r="D15" i="64" s="1"/>
  <c r="F24" i="63"/>
  <c r="C27" i="63" s="1"/>
  <c r="E13" i="63"/>
  <c r="F20" i="63"/>
  <c r="E16" i="60"/>
  <c r="F11" i="67"/>
  <c r="E13" i="59"/>
  <c r="C24" i="59"/>
  <c r="D16" i="59" s="1"/>
  <c r="E10" i="59"/>
  <c r="E10" i="56"/>
  <c r="F24" i="56"/>
  <c r="E18" i="56"/>
  <c r="F14" i="67"/>
  <c r="E13" i="52"/>
  <c r="F20" i="53"/>
  <c r="E19" i="53"/>
  <c r="C20" i="33"/>
  <c r="AB16" i="79"/>
  <c r="AA32" i="78"/>
  <c r="AA34" i="78"/>
  <c r="AA14" i="77"/>
  <c r="AA16" i="77"/>
  <c r="AA18" i="77"/>
  <c r="AA20" i="77"/>
  <c r="AA22" i="77"/>
  <c r="AA24" i="77"/>
  <c r="AA28" i="77"/>
  <c r="AA28" i="76"/>
  <c r="AA30" i="76"/>
  <c r="AB30" i="76"/>
  <c r="AA11" i="73"/>
  <c r="AA15" i="73"/>
  <c r="AA21" i="73"/>
  <c r="AA31" i="73"/>
  <c r="AA8" i="73"/>
  <c r="I19" i="59"/>
  <c r="AB19" i="79"/>
  <c r="AA19" i="78"/>
  <c r="I13" i="61"/>
  <c r="I18" i="61"/>
  <c r="AA22" i="79"/>
  <c r="AA17" i="79"/>
  <c r="AB18" i="79"/>
  <c r="AA21" i="79"/>
  <c r="AA8" i="79"/>
  <c r="AA16" i="79"/>
  <c r="AB17" i="79"/>
  <c r="AA20" i="79"/>
  <c r="AA36" i="78"/>
  <c r="AA13" i="77"/>
  <c r="AA30" i="77"/>
  <c r="AA32" i="77"/>
  <c r="AA34" i="77"/>
  <c r="AA29" i="76"/>
  <c r="AA31" i="76"/>
  <c r="AB31" i="76"/>
  <c r="AA33" i="76"/>
  <c r="AA37" i="76"/>
  <c r="AA27" i="75"/>
  <c r="AA34" i="75"/>
  <c r="AA8" i="75"/>
  <c r="AA23" i="75"/>
  <c r="AA7" i="75"/>
  <c r="AA17" i="75"/>
  <c r="AA31" i="75"/>
  <c r="AA20" i="74"/>
  <c r="AA23" i="74"/>
  <c r="AA24" i="74"/>
  <c r="AA27" i="74"/>
  <c r="AA19" i="74"/>
  <c r="AB20" i="74"/>
  <c r="AB24" i="74"/>
  <c r="AA26" i="74"/>
  <c r="AA35" i="74"/>
  <c r="AA7" i="73"/>
  <c r="AB16" i="73"/>
  <c r="AA7" i="71"/>
  <c r="AA18" i="71"/>
  <c r="AA32" i="71"/>
  <c r="AA23" i="71"/>
  <c r="AA25" i="71"/>
  <c r="AA27" i="71"/>
  <c r="AA31" i="71"/>
  <c r="AA21" i="70"/>
  <c r="AA27" i="70"/>
  <c r="AA29" i="70"/>
  <c r="AA35" i="70"/>
  <c r="E37" i="70"/>
  <c r="D38" i="70" s="1"/>
  <c r="N7" i="52" s="1"/>
  <c r="Q7" i="52" s="1"/>
  <c r="AA10" i="70"/>
  <c r="AA12" i="70"/>
  <c r="AA14" i="70"/>
  <c r="AA20" i="70"/>
  <c r="AA34" i="70"/>
  <c r="E38" i="68"/>
  <c r="D39" i="68" s="1"/>
  <c r="N7" i="33" s="1"/>
  <c r="Q7" i="33" s="1"/>
  <c r="AA9" i="68"/>
  <c r="AA11" i="68"/>
  <c r="AA27" i="68"/>
  <c r="AA33" i="68"/>
  <c r="K12" i="33"/>
  <c r="J24" i="60"/>
  <c r="K6" i="80" s="1"/>
  <c r="I16" i="60"/>
  <c r="I19" i="60"/>
  <c r="J24" i="61"/>
  <c r="G27" i="61" s="1"/>
  <c r="L12" i="80" s="1"/>
  <c r="J20" i="61"/>
  <c r="G24" i="60"/>
  <c r="K21" i="80" s="1"/>
  <c r="I7" i="62"/>
  <c r="I8" i="62"/>
  <c r="I9" i="62"/>
  <c r="I10" i="60"/>
  <c r="I18" i="60"/>
  <c r="G24" i="59"/>
  <c r="J21" i="80" s="1"/>
  <c r="I12" i="62"/>
  <c r="I11" i="62"/>
  <c r="I18" i="59"/>
  <c r="I10" i="59"/>
  <c r="J19" i="58"/>
  <c r="I11" i="58"/>
  <c r="G24" i="57"/>
  <c r="I21" i="80" s="1"/>
  <c r="I19" i="57"/>
  <c r="I8" i="58"/>
  <c r="I9" i="58"/>
  <c r="E13" i="65"/>
  <c r="AA27" i="79"/>
  <c r="AB22" i="79"/>
  <c r="AA10" i="79"/>
  <c r="AA13" i="79"/>
  <c r="AA15" i="79"/>
  <c r="AA29" i="79"/>
  <c r="AA31" i="79"/>
  <c r="AA33" i="79"/>
  <c r="AA9" i="79"/>
  <c r="AA11" i="79"/>
  <c r="AA28" i="79"/>
  <c r="AA30" i="79"/>
  <c r="AA32" i="79"/>
  <c r="AA12" i="79"/>
  <c r="AB15" i="79"/>
  <c r="AB28" i="79"/>
  <c r="AB30" i="79"/>
  <c r="AB31" i="79"/>
  <c r="AB32" i="79"/>
  <c r="AB33" i="79"/>
  <c r="AB27" i="79"/>
  <c r="AB29" i="79"/>
  <c r="AA7" i="79"/>
  <c r="AA31" i="78"/>
  <c r="AA33" i="78"/>
  <c r="AA14" i="78"/>
  <c r="AA16" i="78"/>
  <c r="AA18" i="78"/>
  <c r="AA20" i="78"/>
  <c r="AA22" i="78"/>
  <c r="AA30" i="78"/>
  <c r="AA35" i="78"/>
  <c r="AB15" i="78"/>
  <c r="AB16" i="78"/>
  <c r="AB17" i="78"/>
  <c r="AB18" i="78"/>
  <c r="AB19" i="78"/>
  <c r="AB20" i="78"/>
  <c r="AB21" i="78"/>
  <c r="AB22" i="78"/>
  <c r="AB14" i="78"/>
  <c r="K7" i="64"/>
  <c r="O7" i="64" s="1"/>
  <c r="K38" i="78"/>
  <c r="J39" i="78" s="1"/>
  <c r="N11" i="64" s="1"/>
  <c r="K8" i="64"/>
  <c r="M20" i="83" s="1"/>
  <c r="O38" i="78"/>
  <c r="N39" i="78" s="1"/>
  <c r="N14" i="64" s="1"/>
  <c r="Q14" i="64" s="1"/>
  <c r="K9" i="64"/>
  <c r="M27" i="83" s="1"/>
  <c r="N23" i="80"/>
  <c r="AA8" i="77"/>
  <c r="AA15" i="77"/>
  <c r="AA19" i="77"/>
  <c r="AA21" i="77"/>
  <c r="AA23" i="77"/>
  <c r="AA29" i="77"/>
  <c r="AA31" i="77"/>
  <c r="AA33" i="77"/>
  <c r="AB8" i="77"/>
  <c r="AA7" i="77"/>
  <c r="S37" i="77"/>
  <c r="R38" i="77" s="1"/>
  <c r="I37" i="77"/>
  <c r="H38" i="77" s="1"/>
  <c r="N9" i="63" s="1"/>
  <c r="AB7" i="77"/>
  <c r="K37" i="77"/>
  <c r="J38" i="77" s="1"/>
  <c r="N11" i="63" s="1"/>
  <c r="AB37" i="76"/>
  <c r="AA15" i="76"/>
  <c r="AA32" i="76"/>
  <c r="AA34" i="76"/>
  <c r="AB28" i="76"/>
  <c r="AB34" i="76"/>
  <c r="AB33" i="76"/>
  <c r="E38" i="76"/>
  <c r="D39" i="76" s="1"/>
  <c r="N7" i="61" s="1"/>
  <c r="M7" i="61" s="1"/>
  <c r="P7" i="61" s="1"/>
  <c r="AB32" i="76"/>
  <c r="M38" i="76"/>
  <c r="K8" i="61"/>
  <c r="K20" i="83" s="1"/>
  <c r="K34" i="83" s="1"/>
  <c r="I38" i="76"/>
  <c r="H39" i="76" s="1"/>
  <c r="N9" i="61" s="1"/>
  <c r="K27" i="86" s="1"/>
  <c r="K27" i="87" s="1"/>
  <c r="AA22" i="75"/>
  <c r="AA24" i="75"/>
  <c r="AB27" i="75"/>
  <c r="AA30" i="75"/>
  <c r="AA12" i="75"/>
  <c r="AA19" i="75"/>
  <c r="AA21" i="75"/>
  <c r="AA11" i="75"/>
  <c r="AB12" i="75"/>
  <c r="AA18" i="75"/>
  <c r="AB19" i="75"/>
  <c r="AA20" i="75"/>
  <c r="AA32" i="75"/>
  <c r="AB34" i="75"/>
  <c r="AB8" i="75"/>
  <c r="AB23" i="75"/>
  <c r="AB17" i="75"/>
  <c r="AB24" i="75"/>
  <c r="AB32" i="75"/>
  <c r="AB11" i="75"/>
  <c r="AA15" i="74"/>
  <c r="AA11" i="74"/>
  <c r="AA14" i="74"/>
  <c r="AA18" i="74"/>
  <c r="AB19" i="74"/>
  <c r="AA25" i="74"/>
  <c r="AA28" i="74"/>
  <c r="AA34" i="74"/>
  <c r="AA10" i="74"/>
  <c r="AA13" i="74"/>
  <c r="AB14" i="74"/>
  <c r="AB25" i="74"/>
  <c r="AB28" i="74"/>
  <c r="AA9" i="74"/>
  <c r="AB10" i="74"/>
  <c r="AA12" i="74"/>
  <c r="AA37" i="74"/>
  <c r="AB11" i="74"/>
  <c r="AB15" i="74"/>
  <c r="AB32" i="74"/>
  <c r="AB35" i="74"/>
  <c r="AB37" i="74"/>
  <c r="K9" i="59"/>
  <c r="I27" i="83" s="1"/>
  <c r="I27" i="87" s="1"/>
  <c r="M22" i="59"/>
  <c r="P22" i="59" s="1"/>
  <c r="J23" i="80"/>
  <c r="J25" i="80" s="1"/>
  <c r="S38" i="74"/>
  <c r="R39" i="74" s="1"/>
  <c r="G38" i="74"/>
  <c r="F39" i="74" s="1"/>
  <c r="O38" i="74"/>
  <c r="N39" i="74" s="1"/>
  <c r="N14" i="59" s="1"/>
  <c r="Q14" i="59" s="1"/>
  <c r="K12" i="59"/>
  <c r="I48" i="83" s="1"/>
  <c r="I55" i="83" s="1"/>
  <c r="AB12" i="73"/>
  <c r="AB21" i="73"/>
  <c r="AB11" i="73"/>
  <c r="AA9" i="73"/>
  <c r="AB10" i="73"/>
  <c r="AA13" i="73"/>
  <c r="AB14" i="73"/>
  <c r="AA17" i="73"/>
  <c r="AA10" i="73"/>
  <c r="AA14" i="73"/>
  <c r="AA18" i="73"/>
  <c r="AA29" i="73"/>
  <c r="AA32" i="73"/>
  <c r="AB9" i="73"/>
  <c r="AA12" i="73"/>
  <c r="AB13" i="73"/>
  <c r="AA16" i="73"/>
  <c r="AB17" i="73"/>
  <c r="AA19" i="73"/>
  <c r="AA26" i="73"/>
  <c r="AA28" i="73"/>
  <c r="AA33" i="73"/>
  <c r="AA35" i="73"/>
  <c r="AB8" i="73"/>
  <c r="AB15" i="73"/>
  <c r="AB19" i="73"/>
  <c r="AA30" i="73"/>
  <c r="AB18" i="73"/>
  <c r="AB31" i="73"/>
  <c r="O38" i="73"/>
  <c r="N39" i="73" s="1"/>
  <c r="N14" i="57" s="1"/>
  <c r="M14" i="57" s="1"/>
  <c r="P14" i="57" s="1"/>
  <c r="I38" i="73"/>
  <c r="H39" i="73" s="1"/>
  <c r="N9" i="57" s="1"/>
  <c r="S38" i="73"/>
  <c r="R39" i="73" s="1"/>
  <c r="AA23" i="72"/>
  <c r="AA25" i="72"/>
  <c r="AA27" i="72"/>
  <c r="AA29" i="72"/>
  <c r="AA11" i="72"/>
  <c r="AA13" i="72"/>
  <c r="AB27" i="72"/>
  <c r="AB28" i="72"/>
  <c r="S37" i="72"/>
  <c r="R38" i="72" s="1"/>
  <c r="H23" i="80"/>
  <c r="H25" i="80" s="1"/>
  <c r="K14" i="56"/>
  <c r="AA9" i="71"/>
  <c r="AA12" i="71"/>
  <c r="AA17" i="71"/>
  <c r="AA19" i="71"/>
  <c r="AA33" i="71"/>
  <c r="AB9" i="71"/>
  <c r="AA16" i="71"/>
  <c r="AA26" i="71"/>
  <c r="AA28" i="71"/>
  <c r="AA10" i="71"/>
  <c r="AA11" i="71"/>
  <c r="AA20" i="71"/>
  <c r="AB24" i="71"/>
  <c r="AB29" i="71"/>
  <c r="AB30" i="71"/>
  <c r="AB18" i="71"/>
  <c r="AB19" i="71"/>
  <c r="AB23" i="71"/>
  <c r="AB25" i="71"/>
  <c r="AB26" i="71"/>
  <c r="AB31" i="71"/>
  <c r="AB32" i="71"/>
  <c r="K22" i="55"/>
  <c r="K22" i="58" s="1"/>
  <c r="O38" i="71"/>
  <c r="N39" i="71" s="1"/>
  <c r="N14" i="55" s="1"/>
  <c r="Q14" i="55" s="1"/>
  <c r="AA28" i="70"/>
  <c r="AA7" i="70"/>
  <c r="K37" i="70"/>
  <c r="J38" i="70" s="1"/>
  <c r="N11" i="52" s="1"/>
  <c r="E41" i="86" s="1"/>
  <c r="E41" i="87" s="1"/>
  <c r="S37" i="70"/>
  <c r="R38" i="70" s="1"/>
  <c r="O37" i="70"/>
  <c r="N38" i="70" s="1"/>
  <c r="N14" i="52" s="1"/>
  <c r="K12" i="52"/>
  <c r="E48" i="83" s="1"/>
  <c r="E55" i="83" s="1"/>
  <c r="K9" i="52"/>
  <c r="AA14" i="69"/>
  <c r="AA20" i="69"/>
  <c r="AA22" i="69"/>
  <c r="E38" i="69"/>
  <c r="D39" i="69" s="1"/>
  <c r="N7" i="53" s="1"/>
  <c r="AB9" i="69"/>
  <c r="AA11" i="69"/>
  <c r="AA13" i="69"/>
  <c r="AA19" i="69"/>
  <c r="AB17" i="69"/>
  <c r="K38" i="69"/>
  <c r="J39" i="69" s="1"/>
  <c r="N11" i="53" s="1"/>
  <c r="E23" i="80"/>
  <c r="E25" i="80" s="1"/>
  <c r="AA8" i="68"/>
  <c r="AA10" i="68"/>
  <c r="AA12" i="68"/>
  <c r="AB11" i="68"/>
  <c r="AB34" i="68"/>
  <c r="AA7" i="68"/>
  <c r="O38" i="68"/>
  <c r="N39" i="68" s="1"/>
  <c r="N14" i="33" s="1"/>
  <c r="Q14" i="33" s="1"/>
  <c r="K9" i="33"/>
  <c r="S38" i="68"/>
  <c r="R39" i="68" s="1"/>
  <c r="I18" i="56"/>
  <c r="I13" i="55"/>
  <c r="I18" i="55"/>
  <c r="J20" i="55"/>
  <c r="I22" i="58"/>
  <c r="P14" i="55"/>
  <c r="I15" i="58"/>
  <c r="I10" i="55"/>
  <c r="G20" i="55"/>
  <c r="J20" i="52"/>
  <c r="G24" i="52"/>
  <c r="I24" i="52" s="1"/>
  <c r="F15" i="80" s="1"/>
  <c r="G20" i="52"/>
  <c r="G21" i="52" s="1"/>
  <c r="I16" i="53"/>
  <c r="I10" i="53"/>
  <c r="I15" i="54"/>
  <c r="I12" i="54"/>
  <c r="I9" i="54"/>
  <c r="F20" i="65"/>
  <c r="F24" i="65"/>
  <c r="C27" i="65" s="1"/>
  <c r="E16" i="65"/>
  <c r="E19" i="65"/>
  <c r="E18" i="65"/>
  <c r="C20" i="65"/>
  <c r="F20" i="64"/>
  <c r="E20" i="64" s="1"/>
  <c r="E11" i="66"/>
  <c r="F12" i="67"/>
  <c r="E10" i="64"/>
  <c r="D13" i="64"/>
  <c r="E18" i="64"/>
  <c r="F15" i="67"/>
  <c r="E16" i="63"/>
  <c r="E15" i="66"/>
  <c r="E19" i="63"/>
  <c r="C20" i="63"/>
  <c r="C21" i="63" s="1"/>
  <c r="E12" i="66"/>
  <c r="F9" i="67"/>
  <c r="E9" i="66"/>
  <c r="E18" i="63"/>
  <c r="E16" i="61"/>
  <c r="E19" i="61"/>
  <c r="F24" i="61"/>
  <c r="C27" i="61" s="1"/>
  <c r="E13" i="61"/>
  <c r="E18" i="61"/>
  <c r="K19" i="80"/>
  <c r="F20" i="60"/>
  <c r="E19" i="60"/>
  <c r="E9" i="62"/>
  <c r="E10" i="60"/>
  <c r="C20" i="60"/>
  <c r="D20" i="60" s="1"/>
  <c r="C26" i="60"/>
  <c r="E19" i="59"/>
  <c r="F24" i="59"/>
  <c r="E12" i="62"/>
  <c r="C20" i="59"/>
  <c r="C21" i="59" s="1"/>
  <c r="E11" i="62"/>
  <c r="F7" i="67"/>
  <c r="F20" i="59"/>
  <c r="E18" i="59"/>
  <c r="E20" i="57"/>
  <c r="E19" i="57"/>
  <c r="C24" i="57"/>
  <c r="D15" i="57" s="1"/>
  <c r="F20" i="56"/>
  <c r="F19" i="58"/>
  <c r="E16" i="55"/>
  <c r="E15" i="58"/>
  <c r="F24" i="55"/>
  <c r="C27" i="55" s="1"/>
  <c r="E13" i="55"/>
  <c r="F18" i="58"/>
  <c r="E12" i="58"/>
  <c r="F8" i="67"/>
  <c r="E10" i="55"/>
  <c r="E18" i="55"/>
  <c r="F20" i="55"/>
  <c r="E9" i="58"/>
  <c r="C24" i="55"/>
  <c r="D18" i="55" s="1"/>
  <c r="E11" i="58"/>
  <c r="C20" i="55"/>
  <c r="C21" i="55" s="1"/>
  <c r="F24" i="52"/>
  <c r="C27" i="52" s="1"/>
  <c r="E16" i="52"/>
  <c r="E10" i="52"/>
  <c r="F20" i="52"/>
  <c r="E19" i="52"/>
  <c r="C24" i="52"/>
  <c r="D24" i="52" s="1"/>
  <c r="C20" i="52"/>
  <c r="C21" i="52" s="1"/>
  <c r="C7" i="67"/>
  <c r="E16" i="53"/>
  <c r="C11" i="67"/>
  <c r="C24" i="53"/>
  <c r="D20" i="53" s="1"/>
  <c r="F24" i="53"/>
  <c r="E13" i="53"/>
  <c r="F24" i="33"/>
  <c r="C27" i="33" s="1"/>
  <c r="E13" i="33"/>
  <c r="C8" i="67"/>
  <c r="D36" i="75"/>
  <c r="N7" i="60" s="1"/>
  <c r="L36" i="75"/>
  <c r="N12" i="60" s="1"/>
  <c r="J48" i="86" s="1"/>
  <c r="R36" i="75"/>
  <c r="C4" i="54"/>
  <c r="C21" i="33"/>
  <c r="K11" i="33"/>
  <c r="C41" i="83" s="1"/>
  <c r="C41" i="87" s="1"/>
  <c r="J20" i="33"/>
  <c r="H14" i="53"/>
  <c r="O14" i="52"/>
  <c r="K11" i="56"/>
  <c r="G41" i="83" s="1"/>
  <c r="K37" i="72"/>
  <c r="J38" i="72" s="1"/>
  <c r="N11" i="56" s="1"/>
  <c r="G41" i="86" s="1"/>
  <c r="F25" i="80"/>
  <c r="AB7" i="68"/>
  <c r="AA13" i="68"/>
  <c r="AA15" i="68"/>
  <c r="G4" i="54"/>
  <c r="E10" i="33"/>
  <c r="C24" i="33"/>
  <c r="D14" i="33" s="1"/>
  <c r="AB19" i="69"/>
  <c r="E18" i="33"/>
  <c r="K38" i="71"/>
  <c r="J39" i="71" s="1"/>
  <c r="N11" i="55" s="1"/>
  <c r="F41" i="86" s="1"/>
  <c r="K11" i="55"/>
  <c r="F41" i="83" s="1"/>
  <c r="F19" i="80"/>
  <c r="J19" i="80"/>
  <c r="N19" i="80"/>
  <c r="E19" i="80"/>
  <c r="I19" i="80"/>
  <c r="M19" i="80"/>
  <c r="AA26" i="68"/>
  <c r="I10" i="33"/>
  <c r="G24" i="33"/>
  <c r="AB13" i="69"/>
  <c r="K15" i="33"/>
  <c r="C69" i="83" s="1"/>
  <c r="AA7" i="69"/>
  <c r="AA10" i="69"/>
  <c r="AA15" i="69"/>
  <c r="AA18" i="69"/>
  <c r="AA35" i="69"/>
  <c r="S38" i="69"/>
  <c r="R39" i="69" s="1"/>
  <c r="E18" i="53"/>
  <c r="I18" i="53"/>
  <c r="AA13" i="70"/>
  <c r="AA15" i="70"/>
  <c r="AA17" i="70"/>
  <c r="AA22" i="70"/>
  <c r="AA26" i="70"/>
  <c r="AB34" i="70"/>
  <c r="AA36" i="70"/>
  <c r="E18" i="52"/>
  <c r="I18" i="52"/>
  <c r="F19" i="54"/>
  <c r="AB10" i="71"/>
  <c r="AB11" i="71"/>
  <c r="AA13" i="71"/>
  <c r="AA14" i="71"/>
  <c r="AA15" i="71"/>
  <c r="AB16" i="71"/>
  <c r="AB20" i="71"/>
  <c r="AA21" i="71"/>
  <c r="AA34" i="71"/>
  <c r="AA35" i="71"/>
  <c r="AA36" i="71"/>
  <c r="AA37" i="71"/>
  <c r="E38" i="71"/>
  <c r="D39" i="71" s="1"/>
  <c r="N7" i="55" s="1"/>
  <c r="M7" i="55" s="1"/>
  <c r="P7" i="55" s="1"/>
  <c r="AA14" i="72"/>
  <c r="Y18" i="72"/>
  <c r="I37" i="72"/>
  <c r="H38" i="72" s="1"/>
  <c r="N9" i="56" s="1"/>
  <c r="G27" i="86" s="1"/>
  <c r="G27" i="87" s="1"/>
  <c r="C27" i="56"/>
  <c r="AA19" i="68"/>
  <c r="AA34" i="68"/>
  <c r="AA9" i="69"/>
  <c r="AA17" i="69"/>
  <c r="I38" i="69"/>
  <c r="H39" i="69" s="1"/>
  <c r="N9" i="53" s="1"/>
  <c r="D27" i="86" s="1"/>
  <c r="D27" i="87" s="1"/>
  <c r="AB28" i="70"/>
  <c r="AB29" i="70"/>
  <c r="E9" i="54"/>
  <c r="E12" i="54"/>
  <c r="E15" i="54"/>
  <c r="J19" i="54"/>
  <c r="Y8" i="71"/>
  <c r="AB12" i="71"/>
  <c r="AB13" i="71"/>
  <c r="AB14" i="71"/>
  <c r="AB15" i="71"/>
  <c r="AB21" i="71"/>
  <c r="AA24" i="71"/>
  <c r="AB27" i="71"/>
  <c r="AA29" i="71"/>
  <c r="AA30" i="71"/>
  <c r="AB33" i="71"/>
  <c r="AB34" i="71"/>
  <c r="AB35" i="71"/>
  <c r="AB36" i="71"/>
  <c r="AB37" i="71"/>
  <c r="E19" i="55"/>
  <c r="I19" i="55"/>
  <c r="Z18" i="72"/>
  <c r="Z37" i="72" s="1"/>
  <c r="E37" i="72"/>
  <c r="D38" i="72" s="1"/>
  <c r="N7" i="56" s="1"/>
  <c r="M7" i="56" s="1"/>
  <c r="P7" i="56" s="1"/>
  <c r="G24" i="56"/>
  <c r="G26" i="56" s="1"/>
  <c r="H9" i="80" s="1"/>
  <c r="I13" i="56"/>
  <c r="E16" i="56"/>
  <c r="E19" i="56"/>
  <c r="AB21" i="70"/>
  <c r="G27" i="52"/>
  <c r="F12" i="80" s="1"/>
  <c r="E22" i="54"/>
  <c r="AB7" i="71"/>
  <c r="AB17" i="71"/>
  <c r="AB28" i="71"/>
  <c r="C24" i="56"/>
  <c r="E13" i="56"/>
  <c r="P23" i="56"/>
  <c r="AA25" i="73"/>
  <c r="AA27" i="73"/>
  <c r="AA37" i="73"/>
  <c r="E38" i="73"/>
  <c r="D39" i="73" s="1"/>
  <c r="N7" i="57" s="1"/>
  <c r="H13" i="86" s="1"/>
  <c r="C27" i="57"/>
  <c r="G13" i="58"/>
  <c r="AB17" i="74"/>
  <c r="AA21" i="74"/>
  <c r="Z29" i="74"/>
  <c r="Y29" i="74"/>
  <c r="K38" i="74"/>
  <c r="J39" i="74" s="1"/>
  <c r="N11" i="59" s="1"/>
  <c r="AA24" i="73"/>
  <c r="AB27" i="73"/>
  <c r="AB28" i="73"/>
  <c r="AB32" i="73"/>
  <c r="Y34" i="73"/>
  <c r="AB37" i="73"/>
  <c r="G38" i="73"/>
  <c r="F39" i="73" s="1"/>
  <c r="N8" i="57" s="1"/>
  <c r="H20" i="86" s="1"/>
  <c r="L38" i="73"/>
  <c r="K12" i="57" s="1"/>
  <c r="Q38" i="73"/>
  <c r="P39" i="73" s="1"/>
  <c r="N15" i="57" s="1"/>
  <c r="H69" i="86" s="1"/>
  <c r="E18" i="57"/>
  <c r="I18" i="57"/>
  <c r="C10" i="58"/>
  <c r="I7" i="58"/>
  <c r="C16" i="58"/>
  <c r="I14" i="58"/>
  <c r="G19" i="58"/>
  <c r="AB9" i="74"/>
  <c r="AB13" i="74"/>
  <c r="AA16" i="74"/>
  <c r="AA22" i="74"/>
  <c r="AB7" i="73"/>
  <c r="AA20" i="73"/>
  <c r="AB29" i="73"/>
  <c r="AB33" i="73"/>
  <c r="Z34" i="73"/>
  <c r="AB35" i="73"/>
  <c r="Y36" i="73"/>
  <c r="E10" i="57"/>
  <c r="I10" i="57"/>
  <c r="E7" i="58"/>
  <c r="E14" i="58"/>
  <c r="O23" i="58"/>
  <c r="AA7" i="74"/>
  <c r="AB8" i="74"/>
  <c r="AB12" i="74"/>
  <c r="AB16" i="74"/>
  <c r="AB27" i="74"/>
  <c r="C13" i="58"/>
  <c r="AB7" i="74"/>
  <c r="AA17" i="74"/>
  <c r="D24" i="60"/>
  <c r="D22" i="60"/>
  <c r="D19" i="60"/>
  <c r="D18" i="60"/>
  <c r="D16" i="60"/>
  <c r="D13" i="60"/>
  <c r="D10" i="60"/>
  <c r="D7" i="60"/>
  <c r="D15" i="60"/>
  <c r="D14" i="60"/>
  <c r="D12" i="60"/>
  <c r="D11" i="60"/>
  <c r="D9" i="60"/>
  <c r="D8" i="60"/>
  <c r="D23" i="60"/>
  <c r="D24" i="61"/>
  <c r="D23" i="61"/>
  <c r="D12" i="61"/>
  <c r="D18" i="61"/>
  <c r="D14" i="61"/>
  <c r="D11" i="61"/>
  <c r="D22" i="61"/>
  <c r="D13" i="61"/>
  <c r="D10" i="61"/>
  <c r="D9" i="61"/>
  <c r="D8" i="61"/>
  <c r="D19" i="61"/>
  <c r="D16" i="61"/>
  <c r="D15" i="61"/>
  <c r="D7" i="61"/>
  <c r="K22" i="61"/>
  <c r="G4" i="62"/>
  <c r="AB34" i="79"/>
  <c r="AB36" i="79"/>
  <c r="K9" i="65"/>
  <c r="I37" i="79"/>
  <c r="H38" i="79" s="1"/>
  <c r="N9" i="65" s="1"/>
  <c r="N27" i="86" s="1"/>
  <c r="N27" i="87" s="1"/>
  <c r="K15" i="65"/>
  <c r="N69" i="83" s="1"/>
  <c r="N76" i="83" s="1"/>
  <c r="Q37" i="79"/>
  <c r="P38" i="79" s="1"/>
  <c r="N15" i="65" s="1"/>
  <c r="N69" i="86" s="1"/>
  <c r="K13" i="29"/>
  <c r="M10" i="29"/>
  <c r="U11" i="29"/>
  <c r="X11" i="29"/>
  <c r="U10" i="30"/>
  <c r="X10" i="30"/>
  <c r="T12" i="30"/>
  <c r="W12" i="30"/>
  <c r="R16" i="30"/>
  <c r="U14" i="30"/>
  <c r="X14" i="30"/>
  <c r="K7" i="59"/>
  <c r="O7" i="59" s="1"/>
  <c r="K15" i="59"/>
  <c r="AA9" i="75"/>
  <c r="AA25" i="75"/>
  <c r="J36" i="75"/>
  <c r="N11" i="60" s="1"/>
  <c r="J41" i="86" s="1"/>
  <c r="N36" i="75"/>
  <c r="N14" i="60" s="1"/>
  <c r="AA7" i="76"/>
  <c r="AA8" i="76"/>
  <c r="AA9" i="76"/>
  <c r="AA10" i="76"/>
  <c r="AA11" i="76"/>
  <c r="AA12" i="76"/>
  <c r="AA13" i="76"/>
  <c r="AA14" i="76"/>
  <c r="K11" i="61"/>
  <c r="K41" i="83" s="1"/>
  <c r="K55" i="83" s="1"/>
  <c r="K14" i="61"/>
  <c r="C20" i="61"/>
  <c r="E20" i="61" s="1"/>
  <c r="C26" i="61"/>
  <c r="C19" i="62"/>
  <c r="E7" i="62"/>
  <c r="K7" i="63"/>
  <c r="AB24" i="78"/>
  <c r="AB26" i="78"/>
  <c r="AB28" i="78"/>
  <c r="O24" i="29"/>
  <c r="O23" i="29"/>
  <c r="G13" i="29"/>
  <c r="I10" i="29"/>
  <c r="U7" i="29"/>
  <c r="R10" i="29"/>
  <c r="X7" i="29"/>
  <c r="U9" i="29"/>
  <c r="X9" i="29"/>
  <c r="I20" i="29"/>
  <c r="W20" i="29" s="1"/>
  <c r="V20" i="29"/>
  <c r="T20" i="29"/>
  <c r="M20" i="30"/>
  <c r="S20" i="30"/>
  <c r="Y30" i="74"/>
  <c r="AA31" i="74"/>
  <c r="AA33" i="74"/>
  <c r="AB34" i="74"/>
  <c r="AA36" i="74"/>
  <c r="AA15" i="75"/>
  <c r="AB18" i="75"/>
  <c r="AB25" i="75"/>
  <c r="AA26" i="75"/>
  <c r="AA28" i="75"/>
  <c r="AA29" i="75"/>
  <c r="AA33" i="75"/>
  <c r="AB7" i="76"/>
  <c r="AB8" i="76"/>
  <c r="AB9" i="76"/>
  <c r="AB10" i="76"/>
  <c r="AB11" i="76"/>
  <c r="AB12" i="76"/>
  <c r="AB13" i="76"/>
  <c r="AB14" i="76"/>
  <c r="AA16" i="76"/>
  <c r="AA17" i="76"/>
  <c r="AA18" i="76"/>
  <c r="AA19" i="76"/>
  <c r="AA20" i="76"/>
  <c r="AA21" i="76"/>
  <c r="AA22" i="76"/>
  <c r="AA23" i="76"/>
  <c r="AA24" i="76"/>
  <c r="AA25" i="76"/>
  <c r="AA26" i="76"/>
  <c r="AA27" i="76"/>
  <c r="E10" i="61"/>
  <c r="F10" i="62"/>
  <c r="C18" i="62"/>
  <c r="E8" i="62"/>
  <c r="AB35" i="79"/>
  <c r="K7" i="65"/>
  <c r="M7" i="65" s="1"/>
  <c r="E37" i="79"/>
  <c r="D38" i="79" s="1"/>
  <c r="N7" i="65" s="1"/>
  <c r="K12" i="65"/>
  <c r="L38" i="79"/>
  <c r="N12" i="65" s="1"/>
  <c r="Y37" i="79"/>
  <c r="AB37" i="79" s="1"/>
  <c r="C24" i="65"/>
  <c r="C26" i="65" s="1"/>
  <c r="E10" i="65"/>
  <c r="C13" i="29"/>
  <c r="E10" i="29"/>
  <c r="O17" i="29"/>
  <c r="W19" i="29"/>
  <c r="T19" i="29"/>
  <c r="U18" i="30"/>
  <c r="X18" i="30"/>
  <c r="K13" i="32"/>
  <c r="M10" i="32"/>
  <c r="AA16" i="75"/>
  <c r="F18" i="62"/>
  <c r="G10" i="62"/>
  <c r="K14" i="63"/>
  <c r="O37" i="77"/>
  <c r="N38" i="77" s="1"/>
  <c r="N14" i="63" s="1"/>
  <c r="Q14" i="63" s="1"/>
  <c r="K4" i="66"/>
  <c r="E10" i="63"/>
  <c r="AB23" i="78"/>
  <c r="AB25" i="78"/>
  <c r="AB27" i="78"/>
  <c r="AB29" i="78"/>
  <c r="AA29" i="78"/>
  <c r="AA23" i="79"/>
  <c r="C18" i="66"/>
  <c r="E8" i="66"/>
  <c r="S10" i="29"/>
  <c r="V10" i="29"/>
  <c r="O13" i="29"/>
  <c r="Q10" i="29"/>
  <c r="U15" i="29"/>
  <c r="C16" i="31"/>
  <c r="E13" i="31"/>
  <c r="K16" i="31"/>
  <c r="M13" i="31"/>
  <c r="U12" i="31"/>
  <c r="X12" i="31"/>
  <c r="G19" i="62"/>
  <c r="J18" i="62"/>
  <c r="E15" i="62"/>
  <c r="AA10" i="77"/>
  <c r="AA12" i="77"/>
  <c r="AA35" i="77"/>
  <c r="Y38" i="78"/>
  <c r="AB38" i="78" s="1"/>
  <c r="AA13" i="78"/>
  <c r="AA23" i="78"/>
  <c r="AA24" i="78"/>
  <c r="AA25" i="78"/>
  <c r="AA26" i="78"/>
  <c r="AA27" i="78"/>
  <c r="AA28" i="78"/>
  <c r="K12" i="64"/>
  <c r="M48" i="83" s="1"/>
  <c r="M55" i="83" s="1"/>
  <c r="AA34" i="79"/>
  <c r="AA35" i="79"/>
  <c r="AA36" i="79"/>
  <c r="K14" i="65"/>
  <c r="M14" i="65" s="1"/>
  <c r="C24" i="29"/>
  <c r="C17" i="29"/>
  <c r="C23" i="29"/>
  <c r="S7" i="29"/>
  <c r="W7" i="29"/>
  <c r="Q8" i="29"/>
  <c r="W9" i="29"/>
  <c r="W11" i="29"/>
  <c r="Q12" i="29"/>
  <c r="Q14" i="29"/>
  <c r="W18" i="29"/>
  <c r="U20" i="29"/>
  <c r="X20" i="29"/>
  <c r="G23" i="30"/>
  <c r="G17" i="30"/>
  <c r="U12" i="30"/>
  <c r="X12" i="30"/>
  <c r="W19" i="30"/>
  <c r="T19" i="30"/>
  <c r="C24" i="63"/>
  <c r="AA7" i="78"/>
  <c r="AA8" i="78"/>
  <c r="AA9" i="78"/>
  <c r="AA10" i="78"/>
  <c r="AA11" i="78"/>
  <c r="AA12" i="78"/>
  <c r="AA37" i="78"/>
  <c r="AA14" i="79"/>
  <c r="AA24" i="79"/>
  <c r="AA25" i="79"/>
  <c r="AA26" i="79"/>
  <c r="K11" i="65"/>
  <c r="K11" i="66" s="1"/>
  <c r="K22" i="65"/>
  <c r="N83" i="83" s="1"/>
  <c r="C10" i="66"/>
  <c r="F18" i="66"/>
  <c r="C13" i="66"/>
  <c r="F16" i="66"/>
  <c r="Q23" i="66"/>
  <c r="V8" i="29"/>
  <c r="V12" i="29"/>
  <c r="V14" i="29"/>
  <c r="G17" i="29"/>
  <c r="U18" i="29"/>
  <c r="X18" i="29"/>
  <c r="T8" i="30"/>
  <c r="W8" i="30"/>
  <c r="T20" i="30"/>
  <c r="U8" i="31"/>
  <c r="X8" i="31"/>
  <c r="T19" i="32"/>
  <c r="W19" i="32"/>
  <c r="S20" i="32"/>
  <c r="J10" i="62"/>
  <c r="M23" i="62"/>
  <c r="P23" i="62" s="1"/>
  <c r="AA9" i="77"/>
  <c r="AA11" i="77"/>
  <c r="AA36" i="77"/>
  <c r="AB12" i="78"/>
  <c r="S38" i="78"/>
  <c r="R39" i="78" s="1"/>
  <c r="AA18" i="79"/>
  <c r="G37" i="79"/>
  <c r="F38" i="79" s="1"/>
  <c r="E7" i="66"/>
  <c r="F13" i="66"/>
  <c r="E14" i="66"/>
  <c r="K23" i="29"/>
  <c r="K24" i="29"/>
  <c r="W15" i="29"/>
  <c r="K17" i="29"/>
  <c r="S18" i="29"/>
  <c r="U8" i="30"/>
  <c r="X8" i="30"/>
  <c r="T14" i="30"/>
  <c r="W14" i="30"/>
  <c r="S20" i="29"/>
  <c r="S8" i="30"/>
  <c r="S10" i="30"/>
  <c r="S12" i="30"/>
  <c r="S14" i="30"/>
  <c r="C16" i="30"/>
  <c r="G16" i="30"/>
  <c r="K16" i="30"/>
  <c r="O16" i="30"/>
  <c r="X19" i="30"/>
  <c r="K24" i="30"/>
  <c r="S24" i="30" s="1"/>
  <c r="S8" i="31"/>
  <c r="S18" i="32"/>
  <c r="K17" i="30"/>
  <c r="X20" i="30"/>
  <c r="O23" i="30"/>
  <c r="V24" i="30"/>
  <c r="G24" i="31"/>
  <c r="G23" i="31"/>
  <c r="W9" i="31"/>
  <c r="G16" i="31"/>
  <c r="I13" i="31"/>
  <c r="T14" i="31"/>
  <c r="W14" i="31"/>
  <c r="V8" i="32"/>
  <c r="Q8" i="32"/>
  <c r="S8" i="32"/>
  <c r="V12" i="32"/>
  <c r="Q12" i="32"/>
  <c r="S12" i="32"/>
  <c r="C24" i="30"/>
  <c r="C17" i="30"/>
  <c r="O17" i="30"/>
  <c r="V18" i="30"/>
  <c r="K23" i="31"/>
  <c r="K24" i="31"/>
  <c r="K17" i="31"/>
  <c r="W7" i="31"/>
  <c r="T8" i="31"/>
  <c r="W8" i="31"/>
  <c r="U10" i="31"/>
  <c r="R13" i="31"/>
  <c r="X10" i="31"/>
  <c r="T12" i="31"/>
  <c r="W12" i="31"/>
  <c r="U14" i="31"/>
  <c r="X14" i="31"/>
  <c r="S10" i="31"/>
  <c r="S12" i="31"/>
  <c r="S14" i="31"/>
  <c r="S20" i="31"/>
  <c r="V10" i="32"/>
  <c r="O13" i="32"/>
  <c r="Q10" i="32"/>
  <c r="S14" i="32"/>
  <c r="T15" i="32"/>
  <c r="W15" i="32"/>
  <c r="O23" i="31"/>
  <c r="O24" i="31"/>
  <c r="O17" i="31"/>
  <c r="V18" i="31"/>
  <c r="T19" i="31"/>
  <c r="W19" i="31"/>
  <c r="T7" i="32"/>
  <c r="W7" i="32"/>
  <c r="T9" i="32"/>
  <c r="W9" i="32"/>
  <c r="C13" i="32"/>
  <c r="E10" i="32"/>
  <c r="S10" i="32"/>
  <c r="T11" i="32"/>
  <c r="W11" i="32"/>
  <c r="V18" i="32"/>
  <c r="Q18" i="32"/>
  <c r="V20" i="32"/>
  <c r="Q20" i="32"/>
  <c r="E10" i="31"/>
  <c r="I10" i="31"/>
  <c r="M10" i="31"/>
  <c r="Q10" i="31"/>
  <c r="C17" i="31"/>
  <c r="Q18" i="31"/>
  <c r="V20" i="31"/>
  <c r="Q20" i="31"/>
  <c r="C23" i="31"/>
  <c r="U10" i="32"/>
  <c r="R13" i="32"/>
  <c r="X10" i="32"/>
  <c r="G13" i="32"/>
  <c r="I10" i="32"/>
  <c r="V14" i="32"/>
  <c r="Q14" i="32"/>
  <c r="K17" i="32"/>
  <c r="K24" i="32"/>
  <c r="V19" i="31"/>
  <c r="V7" i="32"/>
  <c r="X8" i="32"/>
  <c r="V9" i="32"/>
  <c r="V11" i="32"/>
  <c r="X12" i="32"/>
  <c r="X14" i="32"/>
  <c r="V15" i="32"/>
  <c r="O17" i="32"/>
  <c r="X18" i="32"/>
  <c r="V19" i="32"/>
  <c r="X20" i="32"/>
  <c r="G23" i="32"/>
  <c r="V23" i="32" s="1"/>
  <c r="O24" i="32"/>
  <c r="C17" i="32"/>
  <c r="G17" i="32"/>
  <c r="Z37" i="79"/>
  <c r="N8" i="64"/>
  <c r="M20" i="86" s="1"/>
  <c r="N15" i="59"/>
  <c r="AA8" i="69"/>
  <c r="AA16" i="69"/>
  <c r="AA12" i="69"/>
  <c r="I22" i="62"/>
  <c r="I16" i="61"/>
  <c r="I15" i="62"/>
  <c r="G18" i="62"/>
  <c r="G20" i="61"/>
  <c r="G21" i="61" s="1"/>
  <c r="G13" i="62"/>
  <c r="I10" i="61"/>
  <c r="I19" i="61"/>
  <c r="AB30" i="75"/>
  <c r="K15" i="64"/>
  <c r="M69" i="83" s="1"/>
  <c r="M76" i="83" s="1"/>
  <c r="Z38" i="78"/>
  <c r="K15" i="63"/>
  <c r="L69" i="83" s="1"/>
  <c r="L76" i="83" s="1"/>
  <c r="AA36" i="76"/>
  <c r="Z38" i="76"/>
  <c r="AA35" i="76"/>
  <c r="AB35" i="76"/>
  <c r="Y38" i="76"/>
  <c r="AB38" i="76" s="1"/>
  <c r="K15" i="61"/>
  <c r="K69" i="83" s="1"/>
  <c r="K76" i="83" s="1"/>
  <c r="Z38" i="71"/>
  <c r="AA22" i="71"/>
  <c r="K15" i="55"/>
  <c r="F69" i="83" s="1"/>
  <c r="F76" i="83" s="1"/>
  <c r="AB22" i="71"/>
  <c r="AB7" i="70"/>
  <c r="AA33" i="70"/>
  <c r="Q37" i="70"/>
  <c r="AB35" i="70"/>
  <c r="O38" i="69"/>
  <c r="N39" i="69" s="1"/>
  <c r="N14" i="53" s="1"/>
  <c r="AA21" i="69"/>
  <c r="AA27" i="69"/>
  <c r="AA31" i="69"/>
  <c r="K15" i="53"/>
  <c r="D69" i="83" s="1"/>
  <c r="D76" i="83" s="1"/>
  <c r="AB10" i="69"/>
  <c r="AB14" i="69"/>
  <c r="AA30" i="69"/>
  <c r="AA37" i="69"/>
  <c r="AA29" i="69"/>
  <c r="AB8" i="68"/>
  <c r="AB12" i="68"/>
  <c r="AA16" i="68"/>
  <c r="AB25" i="68"/>
  <c r="AB26" i="68"/>
  <c r="AA28" i="68"/>
  <c r="AA30" i="68"/>
  <c r="AA32" i="68"/>
  <c r="AB33" i="68"/>
  <c r="AA35" i="68"/>
  <c r="AA37" i="68"/>
  <c r="AB9" i="68"/>
  <c r="AB13" i="68"/>
  <c r="AA22" i="68"/>
  <c r="AB27" i="68"/>
  <c r="AB37" i="68"/>
  <c r="G10" i="63"/>
  <c r="Q12" i="64"/>
  <c r="Q22" i="64"/>
  <c r="Q14" i="65"/>
  <c r="I22" i="65"/>
  <c r="Q22" i="63"/>
  <c r="Q9" i="64"/>
  <c r="N24" i="80"/>
  <c r="I7" i="65"/>
  <c r="Q11" i="65"/>
  <c r="J7" i="66"/>
  <c r="J7" i="67" s="1"/>
  <c r="G11" i="66"/>
  <c r="G11" i="67" s="1"/>
  <c r="J11" i="66"/>
  <c r="J8" i="66"/>
  <c r="J8" i="67" s="1"/>
  <c r="J15" i="66"/>
  <c r="J15" i="67" s="1"/>
  <c r="I15" i="64"/>
  <c r="I14" i="63"/>
  <c r="G16" i="63"/>
  <c r="G22" i="66"/>
  <c r="G22" i="67" s="1"/>
  <c r="C24" i="80" s="1"/>
  <c r="I8" i="64"/>
  <c r="I22" i="63"/>
  <c r="J19" i="64"/>
  <c r="G14" i="66"/>
  <c r="I12" i="65"/>
  <c r="I15" i="65"/>
  <c r="I8" i="63"/>
  <c r="I9" i="64"/>
  <c r="AB35" i="77"/>
  <c r="AB34" i="77"/>
  <c r="AB33" i="77"/>
  <c r="AB31" i="77"/>
  <c r="AB30" i="77"/>
  <c r="AB29" i="77"/>
  <c r="AA27" i="77"/>
  <c r="AB24" i="77"/>
  <c r="AB22" i="77"/>
  <c r="AB18" i="77"/>
  <c r="AA17" i="77"/>
  <c r="AB17" i="77"/>
  <c r="AB16" i="77"/>
  <c r="AB14" i="77"/>
  <c r="AB13" i="77"/>
  <c r="AB12" i="77"/>
  <c r="AB10" i="77"/>
  <c r="AB9" i="77"/>
  <c r="AA26" i="77"/>
  <c r="M37" i="77"/>
  <c r="L38" i="77" s="1"/>
  <c r="N12" i="63" s="1"/>
  <c r="L48" i="86" s="1"/>
  <c r="AA25" i="77"/>
  <c r="AB27" i="77"/>
  <c r="AB26" i="77"/>
  <c r="Y37" i="77"/>
  <c r="AB37" i="77" s="1"/>
  <c r="K8" i="63"/>
  <c r="L20" i="83" s="1"/>
  <c r="L34" i="83" s="1"/>
  <c r="Z37" i="77"/>
  <c r="AB28" i="75"/>
  <c r="AB21" i="75"/>
  <c r="AB20" i="75"/>
  <c r="AB16" i="75"/>
  <c r="AB15" i="75"/>
  <c r="Y35" i="75"/>
  <c r="AB35" i="75" s="1"/>
  <c r="AB7" i="75"/>
  <c r="Z35" i="75"/>
  <c r="AB24" i="73"/>
  <c r="AB25" i="73"/>
  <c r="AA23" i="73"/>
  <c r="K38" i="73"/>
  <c r="J39" i="73" s="1"/>
  <c r="N11" i="57" s="1"/>
  <c r="AB22" i="73"/>
  <c r="AB26" i="73"/>
  <c r="AA22" i="73"/>
  <c r="AB34" i="72"/>
  <c r="AA33" i="72"/>
  <c r="AA31" i="72"/>
  <c r="AA26" i="72"/>
  <c r="AB22" i="72"/>
  <c r="AA16" i="72"/>
  <c r="AA35" i="72"/>
  <c r="AA34" i="72"/>
  <c r="AB33" i="72"/>
  <c r="AA32" i="72"/>
  <c r="AA30" i="72"/>
  <c r="AB30" i="72"/>
  <c r="AA24" i="72"/>
  <c r="AB24" i="72"/>
  <c r="AA22" i="72"/>
  <c r="AA21" i="72"/>
  <c r="AA20" i="72"/>
  <c r="AA15" i="72"/>
  <c r="AB13" i="72"/>
  <c r="AA12" i="72"/>
  <c r="AB11" i="72"/>
  <c r="AA8" i="72"/>
  <c r="AB31" i="72"/>
  <c r="AB26" i="72"/>
  <c r="AB25" i="72"/>
  <c r="AB19" i="72"/>
  <c r="AA17" i="72"/>
  <c r="AB17" i="72"/>
  <c r="AA10" i="72"/>
  <c r="AB10" i="72"/>
  <c r="AA9" i="72"/>
  <c r="AB9" i="72"/>
  <c r="K8" i="56"/>
  <c r="G20" i="83" s="1"/>
  <c r="G34" i="83" s="1"/>
  <c r="AB36" i="72"/>
  <c r="AB29" i="72"/>
  <c r="AB21" i="72"/>
  <c r="AB16" i="72"/>
  <c r="AB15" i="72"/>
  <c r="AB12" i="72"/>
  <c r="AA7" i="72"/>
  <c r="K12" i="56"/>
  <c r="G48" i="83" s="1"/>
  <c r="AB7" i="72"/>
  <c r="AB14" i="70"/>
  <c r="AB13" i="70"/>
  <c r="AA32" i="70"/>
  <c r="AA31" i="70"/>
  <c r="AA25" i="70"/>
  <c r="AA24" i="70"/>
  <c r="AA23" i="70"/>
  <c r="AA19" i="70"/>
  <c r="AA18" i="70"/>
  <c r="AA16" i="70"/>
  <c r="AA11" i="70"/>
  <c r="AB33" i="70"/>
  <c r="AB32" i="70"/>
  <c r="AB26" i="70"/>
  <c r="AB25" i="70"/>
  <c r="AB24" i="70"/>
  <c r="AB22" i="70"/>
  <c r="AB18" i="70"/>
  <c r="AB17" i="70"/>
  <c r="AB16" i="70"/>
  <c r="AB12" i="70"/>
  <c r="Y37" i="70"/>
  <c r="AB37" i="70" s="1"/>
  <c r="AB10" i="70"/>
  <c r="AA9" i="70"/>
  <c r="Z37" i="70"/>
  <c r="AB9" i="70"/>
  <c r="AB8" i="70"/>
  <c r="K8" i="52"/>
  <c r="E20" i="83" s="1"/>
  <c r="AA8" i="70"/>
  <c r="AA24" i="69"/>
  <c r="AA26" i="69"/>
  <c r="AB30" i="69"/>
  <c r="AB37" i="69"/>
  <c r="AB27" i="69"/>
  <c r="AA32" i="69"/>
  <c r="AA36" i="69"/>
  <c r="AA33" i="69"/>
  <c r="AB33" i="69"/>
  <c r="AB29" i="69"/>
  <c r="AA28" i="69"/>
  <c r="AB36" i="69"/>
  <c r="AB35" i="69"/>
  <c r="AA34" i="69"/>
  <c r="AB32" i="69"/>
  <c r="AB31" i="69"/>
  <c r="AB28" i="69"/>
  <c r="AA25" i="69"/>
  <c r="AB25" i="69"/>
  <c r="AB26" i="69"/>
  <c r="AA23" i="69"/>
  <c r="M38" i="69"/>
  <c r="L39" i="69" s="1"/>
  <c r="N12" i="53" s="1"/>
  <c r="D48" i="86" s="1"/>
  <c r="D48" i="87" s="1"/>
  <c r="AB23" i="69"/>
  <c r="AB22" i="69"/>
  <c r="G38" i="69"/>
  <c r="F39" i="69" s="1"/>
  <c r="Y38" i="69"/>
  <c r="AB38" i="69" s="1"/>
  <c r="AB20" i="69"/>
  <c r="Z38" i="69"/>
  <c r="AA24" i="68"/>
  <c r="AA25" i="68"/>
  <c r="AA29" i="68"/>
  <c r="AA31" i="68"/>
  <c r="AA36" i="68"/>
  <c r="AB14" i="68"/>
  <c r="AA14" i="68"/>
  <c r="AA17" i="68"/>
  <c r="AA20" i="68"/>
  <c r="AA23" i="68"/>
  <c r="AB20" i="68"/>
  <c r="AB19" i="68"/>
  <c r="AA18" i="68"/>
  <c r="AB17" i="68"/>
  <c r="AB16" i="68"/>
  <c r="AB15" i="68"/>
  <c r="AB36" i="68"/>
  <c r="AB35" i="68"/>
  <c r="AB32" i="68"/>
  <c r="AB31" i="68"/>
  <c r="AB30" i="68"/>
  <c r="AB24" i="68"/>
  <c r="AB23" i="68"/>
  <c r="Z38" i="68"/>
  <c r="AB22" i="68"/>
  <c r="Q8" i="33"/>
  <c r="Y38" i="68"/>
  <c r="AB38" i="68" s="1"/>
  <c r="AA21" i="68"/>
  <c r="K8" i="33"/>
  <c r="C20" i="83" s="1"/>
  <c r="AB21" i="68"/>
  <c r="G13" i="63"/>
  <c r="G8" i="66"/>
  <c r="G8" i="67" s="1"/>
  <c r="I11" i="63"/>
  <c r="J14" i="66"/>
  <c r="G18" i="63"/>
  <c r="I14" i="64"/>
  <c r="P14" i="64" s="1"/>
  <c r="I22" i="64"/>
  <c r="J9" i="66"/>
  <c r="J9" i="67" s="1"/>
  <c r="J12" i="66"/>
  <c r="J12" i="67" s="1"/>
  <c r="J22" i="66"/>
  <c r="J22" i="67" s="1"/>
  <c r="J18" i="64"/>
  <c r="Q22" i="54"/>
  <c r="Q22" i="52"/>
  <c r="M22" i="52"/>
  <c r="P22" i="52" s="1"/>
  <c r="K22" i="54"/>
  <c r="M22" i="33"/>
  <c r="P22" i="33" s="1"/>
  <c r="O12" i="53"/>
  <c r="Q23" i="54"/>
  <c r="N23" i="67"/>
  <c r="Q22" i="33"/>
  <c r="D23" i="80"/>
  <c r="D25" i="80" s="1"/>
  <c r="O14" i="53"/>
  <c r="K13" i="53"/>
  <c r="O22" i="53"/>
  <c r="K7" i="54"/>
  <c r="O7" i="33"/>
  <c r="K14" i="54"/>
  <c r="O14" i="33"/>
  <c r="I22" i="54"/>
  <c r="P23" i="54"/>
  <c r="J18" i="58"/>
  <c r="M7" i="52"/>
  <c r="P7" i="52" s="1"/>
  <c r="T7" i="52" s="1"/>
  <c r="O22" i="52"/>
  <c r="E7" i="54"/>
  <c r="I7" i="54"/>
  <c r="E8" i="54"/>
  <c r="I8" i="54"/>
  <c r="E11" i="54"/>
  <c r="I11" i="54"/>
  <c r="E14" i="54"/>
  <c r="I14" i="54"/>
  <c r="C19" i="54"/>
  <c r="G19" i="54"/>
  <c r="O23" i="54"/>
  <c r="Q14" i="56"/>
  <c r="E8" i="58"/>
  <c r="J13" i="58"/>
  <c r="O7" i="52"/>
  <c r="O11" i="52"/>
  <c r="F13" i="58"/>
  <c r="I12" i="58"/>
  <c r="O7" i="56"/>
  <c r="O9" i="56"/>
  <c r="O7" i="57"/>
  <c r="O9" i="57"/>
  <c r="O11" i="57"/>
  <c r="O14" i="57"/>
  <c r="C18" i="58"/>
  <c r="G18" i="58"/>
  <c r="O7" i="55"/>
  <c r="O14" i="55"/>
  <c r="O22" i="56"/>
  <c r="O22" i="57"/>
  <c r="K7" i="58"/>
  <c r="F10" i="58"/>
  <c r="J10" i="58"/>
  <c r="N22" i="58"/>
  <c r="Q22" i="58" s="1"/>
  <c r="O11" i="59"/>
  <c r="O14" i="59"/>
  <c r="Q11" i="61"/>
  <c r="Q22" i="60"/>
  <c r="N22" i="62"/>
  <c r="Q22" i="62" s="1"/>
  <c r="O7" i="61"/>
  <c r="O22" i="59"/>
  <c r="C10" i="62"/>
  <c r="F13" i="62"/>
  <c r="J13" i="62"/>
  <c r="F19" i="62"/>
  <c r="J19" i="62"/>
  <c r="Q14" i="61"/>
  <c r="O12" i="63"/>
  <c r="E14" i="62"/>
  <c r="I14" i="62"/>
  <c r="K13" i="63"/>
  <c r="O9" i="61"/>
  <c r="O12" i="61"/>
  <c r="O14" i="64"/>
  <c r="Q7" i="65"/>
  <c r="C16" i="66"/>
  <c r="F19" i="66"/>
  <c r="N22" i="66"/>
  <c r="O23" i="66"/>
  <c r="O8" i="65"/>
  <c r="Q22" i="65"/>
  <c r="F10" i="66"/>
  <c r="C19" i="66"/>
  <c r="M22" i="63"/>
  <c r="O11" i="64"/>
  <c r="O22" i="64"/>
  <c r="G7" i="66"/>
  <c r="I7" i="63"/>
  <c r="G12" i="66"/>
  <c r="I12" i="63"/>
  <c r="G19" i="63"/>
  <c r="G19" i="64"/>
  <c r="I7" i="64"/>
  <c r="G9" i="66"/>
  <c r="I9" i="63"/>
  <c r="O9" i="63"/>
  <c r="G15" i="66"/>
  <c r="I15" i="63"/>
  <c r="I12" i="64"/>
  <c r="O11" i="63"/>
  <c r="J19" i="63"/>
  <c r="I11" i="64"/>
  <c r="I9" i="65"/>
  <c r="J18" i="65"/>
  <c r="J10" i="63"/>
  <c r="J13" i="63"/>
  <c r="J16" i="63"/>
  <c r="J18" i="63"/>
  <c r="G18" i="64"/>
  <c r="I11" i="65"/>
  <c r="I14" i="65"/>
  <c r="O22" i="63"/>
  <c r="Q7" i="64"/>
  <c r="J19" i="65"/>
  <c r="G18" i="65"/>
  <c r="I8" i="65"/>
  <c r="G19" i="65"/>
  <c r="N76" i="86" l="1"/>
  <c r="N76" i="87" s="1"/>
  <c r="N69" i="87"/>
  <c r="O12" i="65"/>
  <c r="N48" i="83"/>
  <c r="N55" i="83" s="1"/>
  <c r="N13" i="65"/>
  <c r="N48" i="86"/>
  <c r="O9" i="65"/>
  <c r="N27" i="83"/>
  <c r="N34" i="83" s="1"/>
  <c r="K4" i="67"/>
  <c r="C17" i="80" s="1"/>
  <c r="P22" i="64"/>
  <c r="M69" i="87"/>
  <c r="M76" i="86"/>
  <c r="M76" i="87" s="1"/>
  <c r="M48" i="87"/>
  <c r="M34" i="83"/>
  <c r="M90" i="83" s="1"/>
  <c r="M113" i="83" s="1"/>
  <c r="M20" i="87"/>
  <c r="M34" i="86"/>
  <c r="M11" i="64"/>
  <c r="P11" i="64" s="1"/>
  <c r="M41" i="86"/>
  <c r="L69" i="87"/>
  <c r="L76" i="86"/>
  <c r="L76" i="87" s="1"/>
  <c r="L90" i="83"/>
  <c r="L97" i="83" s="1"/>
  <c r="M11" i="63"/>
  <c r="L41" i="86"/>
  <c r="L41" i="87" s="1"/>
  <c r="L20" i="87"/>
  <c r="L34" i="86"/>
  <c r="L34" i="87" s="1"/>
  <c r="L48" i="87"/>
  <c r="K22" i="62"/>
  <c r="M22" i="62" s="1"/>
  <c r="P22" i="62" s="1"/>
  <c r="K83" i="83"/>
  <c r="K90" i="83" s="1"/>
  <c r="K97" i="83" s="1"/>
  <c r="K41" i="87"/>
  <c r="K69" i="87"/>
  <c r="K76" i="86"/>
  <c r="J48" i="87"/>
  <c r="J55" i="83"/>
  <c r="J90" i="83" s="1"/>
  <c r="J113" i="83" s="1"/>
  <c r="J41" i="87"/>
  <c r="J55" i="86"/>
  <c r="I34" i="83"/>
  <c r="I90" i="83" s="1"/>
  <c r="I97" i="83" s="1"/>
  <c r="Q11" i="59"/>
  <c r="I41" i="86"/>
  <c r="I48" i="87"/>
  <c r="H69" i="87"/>
  <c r="H76" i="86"/>
  <c r="H76" i="87" s="1"/>
  <c r="H13" i="87"/>
  <c r="O13" i="86"/>
  <c r="O13" i="87" s="1"/>
  <c r="K13" i="57"/>
  <c r="O13" i="57" s="1"/>
  <c r="H48" i="83"/>
  <c r="H55" i="83" s="1"/>
  <c r="H34" i="86"/>
  <c r="G55" i="83"/>
  <c r="G90" i="83" s="1"/>
  <c r="G113" i="83" s="1"/>
  <c r="G41" i="87"/>
  <c r="G20" i="87"/>
  <c r="G34" i="86"/>
  <c r="G34" i="87" s="1"/>
  <c r="G48" i="87"/>
  <c r="G55" i="86"/>
  <c r="F55" i="83"/>
  <c r="F41" i="87"/>
  <c r="F48" i="87"/>
  <c r="F55" i="86"/>
  <c r="F69" i="87"/>
  <c r="F76" i="86"/>
  <c r="F76" i="87" s="1"/>
  <c r="K9" i="58"/>
  <c r="O9" i="58" s="1"/>
  <c r="F27" i="83"/>
  <c r="F34" i="83" s="1"/>
  <c r="Q9" i="55"/>
  <c r="F27" i="86"/>
  <c r="F20" i="87"/>
  <c r="E48" i="87"/>
  <c r="E55" i="86"/>
  <c r="E55" i="87" s="1"/>
  <c r="O9" i="52"/>
  <c r="E27" i="83"/>
  <c r="E34" i="83" s="1"/>
  <c r="E90" i="83" s="1"/>
  <c r="E97" i="83" s="1"/>
  <c r="Q9" i="52"/>
  <c r="E27" i="86"/>
  <c r="Q11" i="53"/>
  <c r="D41" i="86"/>
  <c r="D90" i="83"/>
  <c r="D113" i="83" s="1"/>
  <c r="D69" i="87"/>
  <c r="D76" i="86"/>
  <c r="M9" i="33"/>
  <c r="P9" i="33" s="1"/>
  <c r="C27" i="83"/>
  <c r="C27" i="87"/>
  <c r="O12" i="33"/>
  <c r="C48" i="83"/>
  <c r="Q12" i="33"/>
  <c r="C48" i="86"/>
  <c r="C55" i="83"/>
  <c r="O41" i="83"/>
  <c r="C34" i="83"/>
  <c r="C34" i="87" s="1"/>
  <c r="C69" i="87"/>
  <c r="C76" i="86"/>
  <c r="C76" i="83"/>
  <c r="O69" i="83"/>
  <c r="O76" i="83" s="1"/>
  <c r="I20" i="60"/>
  <c r="G21" i="60"/>
  <c r="G27" i="57"/>
  <c r="I12" i="80" s="1"/>
  <c r="G27" i="55"/>
  <c r="G12" i="80" s="1"/>
  <c r="H15" i="53"/>
  <c r="H19" i="53"/>
  <c r="G27" i="53"/>
  <c r="E12" i="80" s="1"/>
  <c r="H9" i="53"/>
  <c r="H18" i="53"/>
  <c r="H23" i="53"/>
  <c r="H10" i="53"/>
  <c r="H12" i="53"/>
  <c r="I20" i="53"/>
  <c r="G26" i="53"/>
  <c r="E9" i="80" s="1"/>
  <c r="H11" i="53"/>
  <c r="I24" i="53"/>
  <c r="E15" i="80" s="1"/>
  <c r="H13" i="53"/>
  <c r="H24" i="53"/>
  <c r="H7" i="53"/>
  <c r="H16" i="53"/>
  <c r="H22" i="53"/>
  <c r="H8" i="53"/>
  <c r="E20" i="53"/>
  <c r="H18" i="61"/>
  <c r="H9" i="61"/>
  <c r="E16" i="62"/>
  <c r="I20" i="59"/>
  <c r="E13" i="62"/>
  <c r="D14" i="59"/>
  <c r="D8" i="59"/>
  <c r="H12" i="57"/>
  <c r="G27" i="56"/>
  <c r="H12" i="80" s="1"/>
  <c r="I20" i="56"/>
  <c r="C21" i="53"/>
  <c r="I20" i="33"/>
  <c r="O8" i="59"/>
  <c r="O8" i="53"/>
  <c r="K10" i="53"/>
  <c r="O10" i="53" s="1"/>
  <c r="K18" i="53"/>
  <c r="O18" i="53" s="1"/>
  <c r="Q9" i="61"/>
  <c r="O12" i="56"/>
  <c r="Q12" i="56"/>
  <c r="O12" i="55"/>
  <c r="O8" i="55"/>
  <c r="Q12" i="52"/>
  <c r="Q9" i="53"/>
  <c r="Q7" i="53"/>
  <c r="M11" i="33"/>
  <c r="P11" i="33" s="1"/>
  <c r="Q9" i="60"/>
  <c r="M14" i="60"/>
  <c r="P14" i="60" s="1"/>
  <c r="O9" i="60"/>
  <c r="C27" i="60"/>
  <c r="O7" i="60"/>
  <c r="Q14" i="60"/>
  <c r="Q7" i="60"/>
  <c r="M22" i="60"/>
  <c r="P22" i="60" s="1"/>
  <c r="O23" i="80"/>
  <c r="O25" i="80" s="1"/>
  <c r="M9" i="63"/>
  <c r="P9" i="63" s="1"/>
  <c r="M12" i="63"/>
  <c r="P12" i="63" s="1"/>
  <c r="O8" i="60"/>
  <c r="M14" i="61"/>
  <c r="P14" i="61" s="1"/>
  <c r="K19" i="57"/>
  <c r="O19" i="57" s="1"/>
  <c r="Q15" i="57"/>
  <c r="O15" i="52"/>
  <c r="K10" i="56"/>
  <c r="O10" i="56" s="1"/>
  <c r="M9" i="56"/>
  <c r="P9" i="56" s="1"/>
  <c r="Q9" i="57"/>
  <c r="Q8" i="63"/>
  <c r="M12" i="55"/>
  <c r="P12" i="55" s="1"/>
  <c r="AA36" i="73"/>
  <c r="AB18" i="72"/>
  <c r="Y38" i="71"/>
  <c r="AB38" i="71" s="1"/>
  <c r="K12" i="66"/>
  <c r="K13" i="66" s="1"/>
  <c r="M14" i="63"/>
  <c r="P14" i="63" s="1"/>
  <c r="I16" i="62"/>
  <c r="D24" i="59"/>
  <c r="D12" i="59"/>
  <c r="C26" i="59"/>
  <c r="D18" i="59"/>
  <c r="D11" i="59"/>
  <c r="D19" i="59"/>
  <c r="D9" i="59"/>
  <c r="D23" i="59"/>
  <c r="H23" i="59"/>
  <c r="D22" i="59"/>
  <c r="D10" i="59"/>
  <c r="E24" i="59"/>
  <c r="H10" i="59"/>
  <c r="D7" i="59"/>
  <c r="D13" i="59"/>
  <c r="H19" i="59"/>
  <c r="D15" i="59"/>
  <c r="I16" i="58"/>
  <c r="E20" i="56"/>
  <c r="H20" i="55"/>
  <c r="I24" i="55"/>
  <c r="G15" i="80" s="1"/>
  <c r="P23" i="67"/>
  <c r="E16" i="58"/>
  <c r="G24" i="58"/>
  <c r="G26" i="58" s="1"/>
  <c r="O9" i="55"/>
  <c r="H23" i="52"/>
  <c r="I10" i="54"/>
  <c r="E18" i="54"/>
  <c r="I18" i="54"/>
  <c r="E16" i="54"/>
  <c r="C26" i="53"/>
  <c r="I16" i="54"/>
  <c r="G24" i="54"/>
  <c r="H23" i="54" s="1"/>
  <c r="M7" i="53"/>
  <c r="P7" i="53" s="1"/>
  <c r="T7" i="53" s="1"/>
  <c r="C24" i="54"/>
  <c r="C26" i="54" s="1"/>
  <c r="E13" i="54"/>
  <c r="E20" i="33"/>
  <c r="F24" i="54"/>
  <c r="C27" i="54" s="1"/>
  <c r="J20" i="54"/>
  <c r="E10" i="54"/>
  <c r="F20" i="54"/>
  <c r="J24" i="54"/>
  <c r="I13" i="54"/>
  <c r="D8" i="64"/>
  <c r="D20" i="64"/>
  <c r="D23" i="64"/>
  <c r="D12" i="64"/>
  <c r="D24" i="64"/>
  <c r="D14" i="64"/>
  <c r="E24" i="64"/>
  <c r="D19" i="64"/>
  <c r="E19" i="58"/>
  <c r="I19" i="58"/>
  <c r="G21" i="56"/>
  <c r="G26" i="55"/>
  <c r="G9" i="80" s="1"/>
  <c r="H19" i="55"/>
  <c r="H15" i="55"/>
  <c r="H11" i="55"/>
  <c r="H8" i="55"/>
  <c r="H22" i="55"/>
  <c r="H7" i="55"/>
  <c r="H12" i="55"/>
  <c r="H13" i="55"/>
  <c r="H9" i="55"/>
  <c r="H10" i="55"/>
  <c r="H18" i="55"/>
  <c r="H16" i="55"/>
  <c r="H14" i="55"/>
  <c r="H24" i="55"/>
  <c r="H23" i="55"/>
  <c r="H9" i="52"/>
  <c r="H24" i="52"/>
  <c r="H15" i="52"/>
  <c r="H12" i="52"/>
  <c r="H8" i="52"/>
  <c r="H22" i="52"/>
  <c r="H18" i="52"/>
  <c r="G26" i="52"/>
  <c r="F9" i="80" s="1"/>
  <c r="H20" i="53"/>
  <c r="G21" i="53"/>
  <c r="G27" i="33"/>
  <c r="D12" i="80" s="1"/>
  <c r="E14" i="67"/>
  <c r="C16" i="67"/>
  <c r="E9" i="67"/>
  <c r="N14" i="66"/>
  <c r="Q14" i="66" s="1"/>
  <c r="K10" i="55"/>
  <c r="O10" i="55" s="1"/>
  <c r="O22" i="55"/>
  <c r="H15" i="57"/>
  <c r="H20" i="57"/>
  <c r="H13" i="57"/>
  <c r="L39" i="76"/>
  <c r="N12" i="61" s="1"/>
  <c r="K48" i="86" s="1"/>
  <c r="F39" i="76"/>
  <c r="N8" i="61" s="1"/>
  <c r="K20" i="86" s="1"/>
  <c r="K16" i="57"/>
  <c r="O16" i="57" s="1"/>
  <c r="O15" i="57"/>
  <c r="C19" i="67"/>
  <c r="O23" i="67"/>
  <c r="Q23" i="67"/>
  <c r="H12" i="61"/>
  <c r="G26" i="61"/>
  <c r="L9" i="80" s="1"/>
  <c r="I20" i="61"/>
  <c r="H11" i="61"/>
  <c r="L21" i="80"/>
  <c r="H13" i="61"/>
  <c r="H23" i="61"/>
  <c r="H7" i="61"/>
  <c r="H24" i="61"/>
  <c r="H14" i="61"/>
  <c r="H16" i="61"/>
  <c r="H22" i="61"/>
  <c r="H10" i="61"/>
  <c r="H8" i="61"/>
  <c r="H15" i="61"/>
  <c r="N13" i="33"/>
  <c r="Q13" i="33" s="1"/>
  <c r="K19" i="52"/>
  <c r="O19" i="52" s="1"/>
  <c r="K16" i="52"/>
  <c r="O16" i="52" s="1"/>
  <c r="O22" i="60"/>
  <c r="K23" i="80"/>
  <c r="K25" i="80" s="1"/>
  <c r="C4" i="67"/>
  <c r="K13" i="61"/>
  <c r="O13" i="61" s="1"/>
  <c r="K12" i="62"/>
  <c r="O12" i="62" s="1"/>
  <c r="O12" i="60"/>
  <c r="Q12" i="60"/>
  <c r="O11" i="56"/>
  <c r="K18" i="55"/>
  <c r="O18" i="55" s="1"/>
  <c r="O8" i="64"/>
  <c r="K13" i="59"/>
  <c r="O13" i="59" s="1"/>
  <c r="O12" i="59"/>
  <c r="O15" i="64"/>
  <c r="Q15" i="61"/>
  <c r="O15" i="60"/>
  <c r="K16" i="55"/>
  <c r="O16" i="55" s="1"/>
  <c r="Q15" i="33"/>
  <c r="K19" i="33"/>
  <c r="O19" i="33" s="1"/>
  <c r="N16" i="64"/>
  <c r="K8" i="62"/>
  <c r="O8" i="62" s="1"/>
  <c r="K13" i="60"/>
  <c r="O13" i="60" s="1"/>
  <c r="N12" i="54"/>
  <c r="Q12" i="54" s="1"/>
  <c r="N13" i="52"/>
  <c r="Q13" i="52" s="1"/>
  <c r="M12" i="53"/>
  <c r="P12" i="53" s="1"/>
  <c r="T12" i="53" s="1"/>
  <c r="M12" i="33"/>
  <c r="P12" i="33" s="1"/>
  <c r="N18" i="33"/>
  <c r="Q18" i="33" s="1"/>
  <c r="N18" i="64"/>
  <c r="Q18" i="64" s="1"/>
  <c r="N13" i="64"/>
  <c r="Q13" i="64" s="1"/>
  <c r="Q11" i="64"/>
  <c r="N7" i="66"/>
  <c r="Q7" i="66" s="1"/>
  <c r="Q7" i="63"/>
  <c r="M7" i="63"/>
  <c r="P7" i="63" s="1"/>
  <c r="N19" i="63"/>
  <c r="Q19" i="63" s="1"/>
  <c r="O11" i="61"/>
  <c r="J6" i="80"/>
  <c r="G27" i="59"/>
  <c r="J12" i="80" s="1"/>
  <c r="AA35" i="75"/>
  <c r="M15" i="57"/>
  <c r="P15" i="57" s="1"/>
  <c r="Q14" i="57"/>
  <c r="N14" i="58"/>
  <c r="Q14" i="58" s="1"/>
  <c r="Q11" i="52"/>
  <c r="N9" i="66"/>
  <c r="Q9" i="66" s="1"/>
  <c r="M9" i="61"/>
  <c r="P9" i="61" s="1"/>
  <c r="O11" i="60"/>
  <c r="O14" i="60"/>
  <c r="K19" i="60"/>
  <c r="O19" i="60" s="1"/>
  <c r="K16" i="60"/>
  <c r="O16" i="60" s="1"/>
  <c r="M7" i="60"/>
  <c r="P7" i="60" s="1"/>
  <c r="K9" i="62"/>
  <c r="O9" i="62" s="1"/>
  <c r="K10" i="60"/>
  <c r="K18" i="60"/>
  <c r="M9" i="60"/>
  <c r="P9" i="60" s="1"/>
  <c r="M9" i="53"/>
  <c r="P9" i="53" s="1"/>
  <c r="T9" i="53" s="1"/>
  <c r="J24" i="62"/>
  <c r="G27" i="62" s="1"/>
  <c r="H18" i="60"/>
  <c r="H24" i="60"/>
  <c r="G26" i="60"/>
  <c r="K9" i="80" s="1"/>
  <c r="H14" i="60"/>
  <c r="H8" i="60"/>
  <c r="H22" i="60"/>
  <c r="I24" i="59"/>
  <c r="J15" i="80" s="1"/>
  <c r="H9" i="59"/>
  <c r="H13" i="59"/>
  <c r="H11" i="59"/>
  <c r="H12" i="59"/>
  <c r="H15" i="59"/>
  <c r="H20" i="59"/>
  <c r="H14" i="59"/>
  <c r="H22" i="59"/>
  <c r="H18" i="59"/>
  <c r="W9" i="30"/>
  <c r="T9" i="30"/>
  <c r="Q9" i="56"/>
  <c r="E24" i="61"/>
  <c r="O13" i="31"/>
  <c r="V10" i="31"/>
  <c r="Q10" i="30"/>
  <c r="V10" i="30"/>
  <c r="W11" i="30"/>
  <c r="T11" i="30"/>
  <c r="W7" i="30"/>
  <c r="T7" i="30"/>
  <c r="T7" i="29"/>
  <c r="W15" i="30"/>
  <c r="T15" i="30"/>
  <c r="W15" i="31"/>
  <c r="T15" i="31"/>
  <c r="I13" i="58"/>
  <c r="J20" i="58"/>
  <c r="G21" i="55"/>
  <c r="I20" i="55"/>
  <c r="F21" i="80"/>
  <c r="C26" i="64"/>
  <c r="D7" i="64"/>
  <c r="D10" i="64"/>
  <c r="D16" i="64"/>
  <c r="D22" i="64"/>
  <c r="D9" i="64"/>
  <c r="D11" i="64"/>
  <c r="D18" i="64"/>
  <c r="F16" i="67"/>
  <c r="E16" i="66"/>
  <c r="F20" i="66"/>
  <c r="F13" i="67"/>
  <c r="E20" i="60"/>
  <c r="C21" i="60"/>
  <c r="F20" i="62"/>
  <c r="E11" i="67"/>
  <c r="C27" i="59"/>
  <c r="E18" i="62"/>
  <c r="E20" i="59"/>
  <c r="D20" i="59"/>
  <c r="F24" i="58"/>
  <c r="C27" i="58" s="1"/>
  <c r="D19" i="57"/>
  <c r="D13" i="57"/>
  <c r="D23" i="57"/>
  <c r="E13" i="58"/>
  <c r="D12" i="57"/>
  <c r="D14" i="57"/>
  <c r="D20" i="57"/>
  <c r="D8" i="57"/>
  <c r="D22" i="57"/>
  <c r="D7" i="57"/>
  <c r="D16" i="57"/>
  <c r="E24" i="57"/>
  <c r="D9" i="57"/>
  <c r="D24" i="57"/>
  <c r="C26" i="57"/>
  <c r="D11" i="57"/>
  <c r="D18" i="57"/>
  <c r="D10" i="57"/>
  <c r="C24" i="58"/>
  <c r="D23" i="58" s="1"/>
  <c r="F20" i="58"/>
  <c r="D19" i="55"/>
  <c r="D23" i="55"/>
  <c r="D24" i="55"/>
  <c r="C26" i="55"/>
  <c r="D13" i="55"/>
  <c r="D11" i="55"/>
  <c r="D10" i="55"/>
  <c r="D14" i="55"/>
  <c r="D7" i="55"/>
  <c r="D20" i="55"/>
  <c r="D8" i="55"/>
  <c r="D9" i="55"/>
  <c r="D16" i="55"/>
  <c r="D12" i="55"/>
  <c r="D22" i="55"/>
  <c r="D15" i="55"/>
  <c r="D14" i="52"/>
  <c r="D15" i="52"/>
  <c r="E24" i="52"/>
  <c r="D11" i="52"/>
  <c r="D20" i="52"/>
  <c r="D7" i="52"/>
  <c r="D13" i="53"/>
  <c r="D11" i="53"/>
  <c r="D10" i="53"/>
  <c r="D24" i="53"/>
  <c r="D8" i="53"/>
  <c r="D12" i="53"/>
  <c r="D9" i="53"/>
  <c r="D15" i="53"/>
  <c r="F10" i="67"/>
  <c r="N19" i="65"/>
  <c r="Q19" i="65" s="1"/>
  <c r="K16" i="63"/>
  <c r="O16" i="63" s="1"/>
  <c r="K11" i="62"/>
  <c r="K15" i="62"/>
  <c r="O15" i="62" s="1"/>
  <c r="O9" i="59"/>
  <c r="K10" i="59"/>
  <c r="O10" i="59" s="1"/>
  <c r="Y38" i="73"/>
  <c r="AB38" i="73" s="1"/>
  <c r="M11" i="56"/>
  <c r="P11" i="56" s="1"/>
  <c r="O15" i="55"/>
  <c r="M11" i="52"/>
  <c r="P11" i="52" s="1"/>
  <c r="T11" i="52" s="1"/>
  <c r="N11" i="54"/>
  <c r="Q11" i="54" s="1"/>
  <c r="M9" i="52"/>
  <c r="P9" i="52" s="1"/>
  <c r="T9" i="52" s="1"/>
  <c r="M11" i="53"/>
  <c r="P11" i="53" s="1"/>
  <c r="T11" i="53" s="1"/>
  <c r="N10" i="33"/>
  <c r="Q10" i="33" s="1"/>
  <c r="O15" i="33"/>
  <c r="G26" i="59"/>
  <c r="J9" i="80" s="1"/>
  <c r="H8" i="59"/>
  <c r="H7" i="59"/>
  <c r="H16" i="59"/>
  <c r="H24" i="59"/>
  <c r="G20" i="63"/>
  <c r="G21" i="63" s="1"/>
  <c r="Q11" i="63"/>
  <c r="Q11" i="60"/>
  <c r="N16" i="57"/>
  <c r="Q15" i="63"/>
  <c r="M11" i="57"/>
  <c r="P11" i="57" s="1"/>
  <c r="N13" i="56"/>
  <c r="Q13" i="56" s="1"/>
  <c r="Q11" i="55"/>
  <c r="Q15" i="55"/>
  <c r="O15" i="56"/>
  <c r="O15" i="59"/>
  <c r="Q15" i="59"/>
  <c r="AA29" i="74"/>
  <c r="M12" i="52"/>
  <c r="P12" i="52" s="1"/>
  <c r="T12" i="52" s="1"/>
  <c r="K13" i="52"/>
  <c r="O13" i="52" s="1"/>
  <c r="U13" i="52" s="1"/>
  <c r="K12" i="54"/>
  <c r="O12" i="54" s="1"/>
  <c r="Q14" i="52"/>
  <c r="O8" i="52"/>
  <c r="K19" i="53"/>
  <c r="M14" i="52"/>
  <c r="P14" i="52" s="1"/>
  <c r="T14" i="52" s="1"/>
  <c r="N18" i="56"/>
  <c r="Q18" i="56" s="1"/>
  <c r="G27" i="60"/>
  <c r="K12" i="80" s="1"/>
  <c r="J19" i="66"/>
  <c r="L6" i="80"/>
  <c r="I24" i="61"/>
  <c r="L15" i="80" s="1"/>
  <c r="N16" i="65"/>
  <c r="Q9" i="65"/>
  <c r="M7" i="64"/>
  <c r="P7" i="64" s="1"/>
  <c r="N19" i="64"/>
  <c r="Q19" i="64" s="1"/>
  <c r="N16" i="63"/>
  <c r="N15" i="66"/>
  <c r="Q15" i="66" s="1"/>
  <c r="Q9" i="63"/>
  <c r="O8" i="61"/>
  <c r="K10" i="61"/>
  <c r="O10" i="61" s="1"/>
  <c r="N16" i="61"/>
  <c r="K18" i="59"/>
  <c r="M9" i="59"/>
  <c r="P9" i="59" s="1"/>
  <c r="M7" i="59"/>
  <c r="P7" i="59" s="1"/>
  <c r="M9" i="55"/>
  <c r="P9" i="55" s="1"/>
  <c r="O12" i="52"/>
  <c r="M14" i="33"/>
  <c r="P14" i="33" s="1"/>
  <c r="K16" i="33"/>
  <c r="O16" i="33" s="1"/>
  <c r="H9" i="60"/>
  <c r="H15" i="60"/>
  <c r="H10" i="60"/>
  <c r="H19" i="60"/>
  <c r="H11" i="60"/>
  <c r="I24" i="60"/>
  <c r="K15" i="80" s="1"/>
  <c r="H13" i="60"/>
  <c r="H20" i="60"/>
  <c r="H12" i="60"/>
  <c r="H7" i="60"/>
  <c r="H16" i="60"/>
  <c r="H23" i="60"/>
  <c r="I10" i="62"/>
  <c r="H20" i="61"/>
  <c r="G24" i="62"/>
  <c r="G26" i="62" s="1"/>
  <c r="G20" i="62"/>
  <c r="G21" i="62" s="1"/>
  <c r="I19" i="62"/>
  <c r="I18" i="62"/>
  <c r="H16" i="57"/>
  <c r="H23" i="57"/>
  <c r="H22" i="57"/>
  <c r="H14" i="57"/>
  <c r="H8" i="57"/>
  <c r="H18" i="57"/>
  <c r="I24" i="57"/>
  <c r="I15" i="80" s="1"/>
  <c r="H7" i="57"/>
  <c r="H24" i="57"/>
  <c r="H9" i="57"/>
  <c r="H19" i="57"/>
  <c r="H10" i="57"/>
  <c r="H11" i="57"/>
  <c r="G26" i="57"/>
  <c r="I9" i="80" s="1"/>
  <c r="J24" i="58"/>
  <c r="F19" i="67"/>
  <c r="E15" i="67"/>
  <c r="E20" i="65"/>
  <c r="C21" i="65"/>
  <c r="K10" i="65"/>
  <c r="O10" i="65" s="1"/>
  <c r="O7" i="65"/>
  <c r="O14" i="65"/>
  <c r="P14" i="65"/>
  <c r="M22" i="65"/>
  <c r="P22" i="65" s="1"/>
  <c r="K22" i="66"/>
  <c r="M22" i="66" s="1"/>
  <c r="O22" i="65"/>
  <c r="Q12" i="65"/>
  <c r="M9" i="65"/>
  <c r="P9" i="65" s="1"/>
  <c r="K16" i="65"/>
  <c r="O16" i="65" s="1"/>
  <c r="N8" i="65"/>
  <c r="N20" i="86" s="1"/>
  <c r="K19" i="65"/>
  <c r="O19" i="65" s="1"/>
  <c r="O11" i="65"/>
  <c r="AA37" i="79"/>
  <c r="O15" i="65"/>
  <c r="M15" i="65"/>
  <c r="P15" i="65" s="1"/>
  <c r="K18" i="65"/>
  <c r="O18" i="65" s="1"/>
  <c r="N10" i="64"/>
  <c r="Q10" i="64" s="1"/>
  <c r="Q8" i="64"/>
  <c r="K10" i="64"/>
  <c r="O10" i="64" s="1"/>
  <c r="M8" i="64"/>
  <c r="P8" i="64" s="1"/>
  <c r="K8" i="66"/>
  <c r="O8" i="66" s="1"/>
  <c r="K18" i="64"/>
  <c r="O9" i="64"/>
  <c r="M9" i="64"/>
  <c r="P9" i="64" s="1"/>
  <c r="K9" i="66"/>
  <c r="O12" i="64"/>
  <c r="K19" i="64"/>
  <c r="K13" i="64"/>
  <c r="O13" i="64" s="1"/>
  <c r="M12" i="64"/>
  <c r="P12" i="64" s="1"/>
  <c r="N25" i="80"/>
  <c r="AA38" i="78"/>
  <c r="N11" i="66"/>
  <c r="Q11" i="66" s="1"/>
  <c r="K7" i="66"/>
  <c r="O7" i="66" s="1"/>
  <c r="O7" i="63"/>
  <c r="K14" i="66"/>
  <c r="O14" i="63"/>
  <c r="K19" i="63"/>
  <c r="O19" i="63" s="1"/>
  <c r="O15" i="63"/>
  <c r="K15" i="66"/>
  <c r="O15" i="66" s="1"/>
  <c r="N10" i="63"/>
  <c r="Q10" i="63" s="1"/>
  <c r="Q7" i="61"/>
  <c r="O22" i="61"/>
  <c r="K14" i="62"/>
  <c r="K16" i="61"/>
  <c r="O16" i="61" s="1"/>
  <c r="O15" i="61"/>
  <c r="O14" i="61"/>
  <c r="K19" i="61"/>
  <c r="O19" i="61" s="1"/>
  <c r="M11" i="61"/>
  <c r="P11" i="61" s="1"/>
  <c r="N19" i="61"/>
  <c r="Q19" i="61" s="1"/>
  <c r="K18" i="61"/>
  <c r="N9" i="62"/>
  <c r="Q9" i="62" s="1"/>
  <c r="M12" i="60"/>
  <c r="P12" i="60" s="1"/>
  <c r="N7" i="62"/>
  <c r="Q7" i="62" s="1"/>
  <c r="K7" i="62"/>
  <c r="K19" i="59"/>
  <c r="O19" i="59" s="1"/>
  <c r="N14" i="62"/>
  <c r="Z38" i="74"/>
  <c r="M12" i="59"/>
  <c r="P12" i="59" s="1"/>
  <c r="N13" i="59"/>
  <c r="Q13" i="59" s="1"/>
  <c r="M11" i="59"/>
  <c r="P11" i="59" s="1"/>
  <c r="N8" i="59"/>
  <c r="I20" i="86" s="1"/>
  <c r="N16" i="59"/>
  <c r="K16" i="59"/>
  <c r="M15" i="59"/>
  <c r="P15" i="59" s="1"/>
  <c r="N19" i="59"/>
  <c r="Q19" i="59" s="1"/>
  <c r="AA34" i="73"/>
  <c r="Z38" i="73"/>
  <c r="M38" i="73"/>
  <c r="L39" i="73" s="1"/>
  <c r="N12" i="57" s="1"/>
  <c r="H48" i="86" s="1"/>
  <c r="O12" i="57"/>
  <c r="M9" i="57"/>
  <c r="P9" i="57" s="1"/>
  <c r="N19" i="57"/>
  <c r="Q19" i="57" s="1"/>
  <c r="Q8" i="57"/>
  <c r="N10" i="57"/>
  <c r="Q10" i="57" s="1"/>
  <c r="M7" i="57"/>
  <c r="P7" i="57" s="1"/>
  <c r="Q7" i="57"/>
  <c r="K8" i="57"/>
  <c r="H20" i="83" s="1"/>
  <c r="H34" i="83" s="1"/>
  <c r="AA18" i="72"/>
  <c r="Y37" i="72"/>
  <c r="AB37" i="72" s="1"/>
  <c r="Q7" i="56"/>
  <c r="Q11" i="56"/>
  <c r="K16" i="56"/>
  <c r="O16" i="56" s="1"/>
  <c r="K14" i="58"/>
  <c r="O14" i="58" s="1"/>
  <c r="M12" i="56"/>
  <c r="P12" i="56" s="1"/>
  <c r="K19" i="56"/>
  <c r="O19" i="56" s="1"/>
  <c r="K13" i="56"/>
  <c r="M14" i="56"/>
  <c r="P14" i="56" s="1"/>
  <c r="O14" i="56"/>
  <c r="K12" i="58"/>
  <c r="O12" i="58" s="1"/>
  <c r="O8" i="56"/>
  <c r="Q8" i="56"/>
  <c r="N10" i="56"/>
  <c r="Q10" i="56" s="1"/>
  <c r="N18" i="55"/>
  <c r="AA8" i="71"/>
  <c r="N10" i="55"/>
  <c r="K11" i="58"/>
  <c r="K13" i="55"/>
  <c r="Q7" i="55"/>
  <c r="O11" i="55"/>
  <c r="Q12" i="55"/>
  <c r="N13" i="55"/>
  <c r="Q13" i="55" s="1"/>
  <c r="N11" i="58"/>
  <c r="Q11" i="58" s="1"/>
  <c r="N9" i="58"/>
  <c r="N7" i="58"/>
  <c r="K15" i="58"/>
  <c r="N16" i="55"/>
  <c r="N19" i="55"/>
  <c r="Q19" i="55" s="1"/>
  <c r="G23" i="80"/>
  <c r="G25" i="80" s="1"/>
  <c r="M22" i="55"/>
  <c r="P22" i="55" s="1"/>
  <c r="K10" i="52"/>
  <c r="N14" i="54"/>
  <c r="M14" i="54" s="1"/>
  <c r="P14" i="54" s="1"/>
  <c r="N7" i="54"/>
  <c r="Q7" i="54" s="1"/>
  <c r="K16" i="53"/>
  <c r="O16" i="53" s="1"/>
  <c r="N9" i="54"/>
  <c r="Q9" i="54" s="1"/>
  <c r="O9" i="33"/>
  <c r="K9" i="54"/>
  <c r="O9" i="54" s="1"/>
  <c r="N16" i="33"/>
  <c r="O11" i="33"/>
  <c r="K13" i="33"/>
  <c r="O13" i="33" s="1"/>
  <c r="K11" i="54"/>
  <c r="O11" i="54" s="1"/>
  <c r="I19" i="54"/>
  <c r="H13" i="52"/>
  <c r="H14" i="52"/>
  <c r="H7" i="52"/>
  <c r="H10" i="52"/>
  <c r="H19" i="52"/>
  <c r="H20" i="52"/>
  <c r="H16" i="52"/>
  <c r="H11" i="52"/>
  <c r="I20" i="52"/>
  <c r="E12" i="67"/>
  <c r="E13" i="66"/>
  <c r="E20" i="63"/>
  <c r="F24" i="66"/>
  <c r="C27" i="66" s="1"/>
  <c r="E19" i="66"/>
  <c r="E18" i="66"/>
  <c r="C20" i="62"/>
  <c r="C21" i="62" s="1"/>
  <c r="E19" i="62"/>
  <c r="C13" i="67"/>
  <c r="C18" i="67"/>
  <c r="F18" i="67"/>
  <c r="E8" i="67"/>
  <c r="E24" i="55"/>
  <c r="E20" i="55"/>
  <c r="E20" i="52"/>
  <c r="E7" i="67"/>
  <c r="D22" i="52"/>
  <c r="D23" i="52"/>
  <c r="D18" i="52"/>
  <c r="D13" i="52"/>
  <c r="D9" i="52"/>
  <c r="D16" i="52"/>
  <c r="D10" i="52"/>
  <c r="D8" i="52"/>
  <c r="D19" i="52"/>
  <c r="D12" i="52"/>
  <c r="C10" i="67"/>
  <c r="C26" i="52"/>
  <c r="E24" i="53"/>
  <c r="D16" i="53"/>
  <c r="D22" i="53"/>
  <c r="D18" i="53"/>
  <c r="D19" i="53"/>
  <c r="C27" i="53"/>
  <c r="D7" i="53"/>
  <c r="D23" i="53"/>
  <c r="D14" i="53"/>
  <c r="E19" i="54"/>
  <c r="C26" i="33"/>
  <c r="N13" i="60"/>
  <c r="Q13" i="60" s="1"/>
  <c r="N11" i="62"/>
  <c r="Q13" i="65"/>
  <c r="N19" i="53"/>
  <c r="Q19" i="53" s="1"/>
  <c r="G16" i="32"/>
  <c r="I13" i="32"/>
  <c r="T18" i="31"/>
  <c r="W18" i="31"/>
  <c r="T18" i="32"/>
  <c r="W18" i="32"/>
  <c r="V23" i="31"/>
  <c r="S23" i="31"/>
  <c r="T10" i="32"/>
  <c r="W10" i="32"/>
  <c r="U13" i="31"/>
  <c r="R16" i="31"/>
  <c r="X13" i="31"/>
  <c r="T8" i="32"/>
  <c r="W8" i="32"/>
  <c r="G21" i="30"/>
  <c r="I16" i="30"/>
  <c r="E13" i="29"/>
  <c r="C16" i="29"/>
  <c r="AB30" i="74"/>
  <c r="AA30" i="74"/>
  <c r="Y38" i="74"/>
  <c r="AB38" i="74" s="1"/>
  <c r="I13" i="62"/>
  <c r="V24" i="32"/>
  <c r="S24" i="32"/>
  <c r="T14" i="32"/>
  <c r="W14" i="32"/>
  <c r="S13" i="32"/>
  <c r="V13" i="32"/>
  <c r="Q13" i="32"/>
  <c r="O16" i="32"/>
  <c r="S17" i="30"/>
  <c r="V17" i="30"/>
  <c r="T12" i="32"/>
  <c r="W12" i="32"/>
  <c r="G21" i="31"/>
  <c r="I16" i="31"/>
  <c r="C21" i="30"/>
  <c r="E16" i="30"/>
  <c r="K21" i="31"/>
  <c r="M16" i="31"/>
  <c r="W10" i="29"/>
  <c r="T10" i="29"/>
  <c r="K16" i="32"/>
  <c r="M13" i="32"/>
  <c r="I13" i="29"/>
  <c r="G16" i="29"/>
  <c r="U16" i="30"/>
  <c r="R21" i="30"/>
  <c r="X16" i="30"/>
  <c r="K16" i="29"/>
  <c r="M13" i="29"/>
  <c r="M22" i="61"/>
  <c r="P22" i="61" s="1"/>
  <c r="L23" i="80"/>
  <c r="L25" i="80" s="1"/>
  <c r="AB34" i="73"/>
  <c r="AB29" i="74"/>
  <c r="C26" i="56"/>
  <c r="E24" i="56"/>
  <c r="D20" i="56"/>
  <c r="D19" i="56"/>
  <c r="D18" i="56"/>
  <c r="D16" i="56"/>
  <c r="D10" i="56"/>
  <c r="D24" i="56"/>
  <c r="D22" i="56"/>
  <c r="D15" i="56"/>
  <c r="D11" i="56"/>
  <c r="D7" i="56"/>
  <c r="D13" i="56"/>
  <c r="D12" i="56"/>
  <c r="D8" i="56"/>
  <c r="D9" i="56"/>
  <c r="D23" i="56"/>
  <c r="D14" i="56"/>
  <c r="AB8" i="71"/>
  <c r="H20" i="33"/>
  <c r="H19" i="33"/>
  <c r="H18" i="33"/>
  <c r="H13" i="33"/>
  <c r="H12" i="33"/>
  <c r="H11" i="33"/>
  <c r="I24" i="33"/>
  <c r="D15" i="80" s="1"/>
  <c r="H23" i="33"/>
  <c r="H10" i="33"/>
  <c r="H9" i="33"/>
  <c r="H8" i="33"/>
  <c r="H16" i="33"/>
  <c r="H14" i="33"/>
  <c r="D21" i="80"/>
  <c r="G26" i="33"/>
  <c r="D9" i="80" s="1"/>
  <c r="H24" i="33"/>
  <c r="H22" i="33"/>
  <c r="H15" i="33"/>
  <c r="H7" i="33"/>
  <c r="C20" i="54"/>
  <c r="M15" i="64"/>
  <c r="P15" i="64" s="1"/>
  <c r="V17" i="32"/>
  <c r="S17" i="32"/>
  <c r="R16" i="32"/>
  <c r="X13" i="32"/>
  <c r="U13" i="32"/>
  <c r="T20" i="31"/>
  <c r="W20" i="31"/>
  <c r="T10" i="31"/>
  <c r="W10" i="31"/>
  <c r="T20" i="32"/>
  <c r="W20" i="32"/>
  <c r="C16" i="32"/>
  <c r="E13" i="32"/>
  <c r="V17" i="31"/>
  <c r="S17" i="31"/>
  <c r="V23" i="30"/>
  <c r="S23" i="30"/>
  <c r="O21" i="30"/>
  <c r="Q16" i="30"/>
  <c r="V16" i="30"/>
  <c r="S16" i="30"/>
  <c r="W14" i="29"/>
  <c r="T14" i="29"/>
  <c r="W8" i="29"/>
  <c r="T8" i="29"/>
  <c r="Q13" i="29"/>
  <c r="O16" i="29"/>
  <c r="S13" i="29"/>
  <c r="V13" i="29"/>
  <c r="S17" i="29"/>
  <c r="V17" i="29"/>
  <c r="U10" i="29"/>
  <c r="R13" i="29"/>
  <c r="X10" i="29"/>
  <c r="V23" i="29"/>
  <c r="S23" i="29"/>
  <c r="AB36" i="73"/>
  <c r="M11" i="60"/>
  <c r="P11" i="60" s="1"/>
  <c r="G4" i="67"/>
  <c r="C18" i="80" s="1"/>
  <c r="V24" i="31"/>
  <c r="S24" i="31"/>
  <c r="K21" i="30"/>
  <c r="M16" i="30"/>
  <c r="M11" i="65"/>
  <c r="P11" i="65" s="1"/>
  <c r="K13" i="65"/>
  <c r="D24" i="63"/>
  <c r="D23" i="63"/>
  <c r="D22" i="63"/>
  <c r="D20" i="63"/>
  <c r="D19" i="63"/>
  <c r="D18" i="63"/>
  <c r="D16" i="63"/>
  <c r="D14" i="63"/>
  <c r="C26" i="63"/>
  <c r="D10" i="63"/>
  <c r="D8" i="63"/>
  <c r="D7" i="63"/>
  <c r="D12" i="63"/>
  <c r="D11" i="63"/>
  <c r="D9" i="63"/>
  <c r="E24" i="63"/>
  <c r="D15" i="63"/>
  <c r="D13" i="63"/>
  <c r="W12" i="29"/>
  <c r="T12" i="29"/>
  <c r="C21" i="31"/>
  <c r="E16" i="31"/>
  <c r="D23" i="65"/>
  <c r="D20" i="65"/>
  <c r="D19" i="65"/>
  <c r="D18" i="65"/>
  <c r="D16" i="65"/>
  <c r="D15" i="65"/>
  <c r="D14" i="65"/>
  <c r="D13" i="65"/>
  <c r="D22" i="65"/>
  <c r="E24" i="65"/>
  <c r="D12" i="65"/>
  <c r="D10" i="65"/>
  <c r="D8" i="65"/>
  <c r="D7" i="65"/>
  <c r="D24" i="65"/>
  <c r="D11" i="65"/>
  <c r="D9" i="65"/>
  <c r="M12" i="65"/>
  <c r="P12" i="65" s="1"/>
  <c r="S24" i="29"/>
  <c r="V24" i="29"/>
  <c r="C21" i="61"/>
  <c r="D20" i="61"/>
  <c r="I24" i="56"/>
  <c r="H15" i="80" s="1"/>
  <c r="H23" i="56"/>
  <c r="H20" i="56"/>
  <c r="H19" i="56"/>
  <c r="H18" i="56"/>
  <c r="H16" i="56"/>
  <c r="H10" i="56"/>
  <c r="H24" i="56"/>
  <c r="H14" i="56"/>
  <c r="H12" i="56"/>
  <c r="H9" i="56"/>
  <c r="H8" i="56"/>
  <c r="H15" i="56"/>
  <c r="H13" i="56"/>
  <c r="H22" i="56"/>
  <c r="H11" i="56"/>
  <c r="H7" i="56"/>
  <c r="H21" i="80"/>
  <c r="M11" i="55"/>
  <c r="P11" i="55" s="1"/>
  <c r="D20" i="33"/>
  <c r="D19" i="33"/>
  <c r="D18" i="33"/>
  <c r="D13" i="33"/>
  <c r="D7" i="33"/>
  <c r="E24" i="33"/>
  <c r="D22" i="33"/>
  <c r="D15" i="33"/>
  <c r="D10" i="33"/>
  <c r="D23" i="33"/>
  <c r="D16" i="33"/>
  <c r="D9" i="33"/>
  <c r="D24" i="33"/>
  <c r="D12" i="33"/>
  <c r="D11" i="33"/>
  <c r="D8" i="33"/>
  <c r="Q15" i="65"/>
  <c r="Q15" i="64"/>
  <c r="P22" i="63"/>
  <c r="N8" i="60"/>
  <c r="J20" i="86" s="1"/>
  <c r="N15" i="60"/>
  <c r="J69" i="86" s="1"/>
  <c r="N8" i="58"/>
  <c r="N15" i="56"/>
  <c r="G69" i="86" s="1"/>
  <c r="Q8" i="55"/>
  <c r="M8" i="55"/>
  <c r="P8" i="55" s="1"/>
  <c r="S8" i="55" s="1"/>
  <c r="N8" i="53"/>
  <c r="D20" i="86" s="1"/>
  <c r="D20" i="87" s="1"/>
  <c r="Q15" i="53"/>
  <c r="N16" i="53"/>
  <c r="M15" i="33"/>
  <c r="P15" i="33" s="1"/>
  <c r="N19" i="33"/>
  <c r="J10" i="66"/>
  <c r="I8" i="67"/>
  <c r="J13" i="66"/>
  <c r="G24" i="63"/>
  <c r="H23" i="63" s="1"/>
  <c r="K16" i="64"/>
  <c r="O16" i="64" s="1"/>
  <c r="M15" i="63"/>
  <c r="P15" i="63" s="1"/>
  <c r="M15" i="61"/>
  <c r="P15" i="61" s="1"/>
  <c r="AA38" i="76"/>
  <c r="M15" i="55"/>
  <c r="P15" i="55" s="1"/>
  <c r="K19" i="55"/>
  <c r="P38" i="70"/>
  <c r="Q14" i="53"/>
  <c r="M14" i="53"/>
  <c r="P14" i="53" s="1"/>
  <c r="T14" i="53" s="1"/>
  <c r="O15" i="53"/>
  <c r="K15" i="54"/>
  <c r="O15" i="54" s="1"/>
  <c r="M15" i="53"/>
  <c r="P15" i="53" s="1"/>
  <c r="T15" i="53" s="1"/>
  <c r="P7" i="65"/>
  <c r="I10" i="63"/>
  <c r="G13" i="66"/>
  <c r="O11" i="66"/>
  <c r="I22" i="67"/>
  <c r="J18" i="66"/>
  <c r="J14" i="67"/>
  <c r="J19" i="67" s="1"/>
  <c r="I11" i="66"/>
  <c r="J11" i="67"/>
  <c r="I11" i="67" s="1"/>
  <c r="J16" i="66"/>
  <c r="I14" i="66"/>
  <c r="P11" i="63"/>
  <c r="G16" i="66"/>
  <c r="I16" i="63"/>
  <c r="G14" i="67"/>
  <c r="N18" i="63"/>
  <c r="N13" i="63"/>
  <c r="M13" i="63" s="1"/>
  <c r="N12" i="66"/>
  <c r="Q12" i="66" s="1"/>
  <c r="K10" i="63"/>
  <c r="O10" i="63" s="1"/>
  <c r="O8" i="63"/>
  <c r="M8" i="63"/>
  <c r="P8" i="63" s="1"/>
  <c r="K18" i="63"/>
  <c r="O18" i="63" s="1"/>
  <c r="Q12" i="63"/>
  <c r="AA37" i="77"/>
  <c r="Q11" i="57"/>
  <c r="M8" i="56"/>
  <c r="P8" i="56" s="1"/>
  <c r="K18" i="56"/>
  <c r="K8" i="54"/>
  <c r="AA37" i="70"/>
  <c r="K18" i="52"/>
  <c r="N8" i="52"/>
  <c r="E20" i="86" s="1"/>
  <c r="AA38" i="69"/>
  <c r="N13" i="53"/>
  <c r="Q13" i="53" s="1"/>
  <c r="Q12" i="53"/>
  <c r="O8" i="33"/>
  <c r="K10" i="33"/>
  <c r="K18" i="33"/>
  <c r="M8" i="33"/>
  <c r="P8" i="33" s="1"/>
  <c r="AA38" i="68"/>
  <c r="I22" i="66"/>
  <c r="Q22" i="66"/>
  <c r="I16" i="64"/>
  <c r="I8" i="66"/>
  <c r="I13" i="63"/>
  <c r="E10" i="66"/>
  <c r="E10" i="62"/>
  <c r="C24" i="62"/>
  <c r="F24" i="62"/>
  <c r="C27" i="62" s="1"/>
  <c r="O7" i="58"/>
  <c r="G20" i="58"/>
  <c r="I18" i="58"/>
  <c r="E10" i="58"/>
  <c r="O7" i="54"/>
  <c r="O13" i="53"/>
  <c r="O13" i="63"/>
  <c r="J20" i="62"/>
  <c r="C20" i="58"/>
  <c r="E18" i="58"/>
  <c r="I10" i="58"/>
  <c r="J10" i="67"/>
  <c r="C20" i="66"/>
  <c r="N22" i="67"/>
  <c r="Q22" i="67" s="1"/>
  <c r="C24" i="66"/>
  <c r="O22" i="58"/>
  <c r="M22" i="58"/>
  <c r="P22" i="58" s="1"/>
  <c r="O14" i="54"/>
  <c r="G20" i="54"/>
  <c r="M22" i="54"/>
  <c r="P22" i="54" s="1"/>
  <c r="O22" i="54"/>
  <c r="I9" i="66"/>
  <c r="G9" i="67"/>
  <c r="I19" i="63"/>
  <c r="I19" i="65"/>
  <c r="J20" i="63"/>
  <c r="I10" i="65"/>
  <c r="G24" i="65"/>
  <c r="I13" i="65"/>
  <c r="I18" i="64"/>
  <c r="I19" i="64"/>
  <c r="I18" i="65"/>
  <c r="I16" i="65"/>
  <c r="J24" i="63"/>
  <c r="I15" i="66"/>
  <c r="G15" i="67"/>
  <c r="I10" i="64"/>
  <c r="G24" i="64"/>
  <c r="J24" i="65"/>
  <c r="J24" i="64"/>
  <c r="G18" i="66"/>
  <c r="I13" i="64"/>
  <c r="I18" i="63"/>
  <c r="I12" i="66"/>
  <c r="G12" i="67"/>
  <c r="G10" i="66"/>
  <c r="I7" i="66"/>
  <c r="G19" i="66"/>
  <c r="G7" i="67"/>
  <c r="N90" i="83" l="1"/>
  <c r="G96" i="87"/>
  <c r="G97" i="87"/>
  <c r="M34" i="87"/>
  <c r="C97" i="87"/>
  <c r="C96" i="87"/>
  <c r="L96" i="87"/>
  <c r="L97" i="87"/>
  <c r="J55" i="87"/>
  <c r="M13" i="65"/>
  <c r="N48" i="87"/>
  <c r="N55" i="86"/>
  <c r="N55" i="87" s="1"/>
  <c r="N97" i="83"/>
  <c r="N113" i="83"/>
  <c r="N129" i="83"/>
  <c r="N20" i="87"/>
  <c r="N34" i="86"/>
  <c r="C19" i="80"/>
  <c r="M129" i="83"/>
  <c r="M97" i="83"/>
  <c r="M41" i="87"/>
  <c r="M55" i="86"/>
  <c r="L129" i="83"/>
  <c r="L113" i="83"/>
  <c r="L55" i="86"/>
  <c r="L90" i="86" s="1"/>
  <c r="O83" i="83"/>
  <c r="O22" i="62"/>
  <c r="K129" i="83"/>
  <c r="K113" i="83"/>
  <c r="K48" i="87"/>
  <c r="K55" i="86"/>
  <c r="K55" i="87" s="1"/>
  <c r="K20" i="87"/>
  <c r="K34" i="86"/>
  <c r="K34" i="87" s="1"/>
  <c r="K76" i="87"/>
  <c r="J69" i="87"/>
  <c r="J76" i="86"/>
  <c r="J76" i="87" s="1"/>
  <c r="J129" i="83"/>
  <c r="J97" i="83"/>
  <c r="J20" i="87"/>
  <c r="J34" i="86"/>
  <c r="I41" i="87"/>
  <c r="I55" i="86"/>
  <c r="I55" i="87" s="1"/>
  <c r="I113" i="83"/>
  <c r="I20" i="87"/>
  <c r="I34" i="86"/>
  <c r="H90" i="83"/>
  <c r="H97" i="83" s="1"/>
  <c r="O48" i="83"/>
  <c r="O55" i="83" s="1"/>
  <c r="H48" i="87"/>
  <c r="H55" i="86"/>
  <c r="H55" i="87" s="1"/>
  <c r="H20" i="87"/>
  <c r="O20" i="83"/>
  <c r="H34" i="87"/>
  <c r="G55" i="87"/>
  <c r="G97" i="83"/>
  <c r="G69" i="87"/>
  <c r="G76" i="86"/>
  <c r="F90" i="83"/>
  <c r="F97" i="83" s="1"/>
  <c r="F55" i="87"/>
  <c r="F27" i="87"/>
  <c r="F34" i="86"/>
  <c r="F34" i="87" s="1"/>
  <c r="O27" i="83"/>
  <c r="E27" i="87"/>
  <c r="O27" i="86"/>
  <c r="E129" i="83"/>
  <c r="E113" i="83"/>
  <c r="E20" i="87"/>
  <c r="E34" i="86"/>
  <c r="D41" i="87"/>
  <c r="D55" i="86"/>
  <c r="D55" i="87" s="1"/>
  <c r="O41" i="86"/>
  <c r="O41" i="87" s="1"/>
  <c r="D129" i="83"/>
  <c r="D97" i="83"/>
  <c r="D34" i="86"/>
  <c r="D34" i="87" s="1"/>
  <c r="O20" i="86"/>
  <c r="D76" i="87"/>
  <c r="C48" i="87"/>
  <c r="O48" i="86"/>
  <c r="C55" i="86"/>
  <c r="C55" i="87" s="1"/>
  <c r="C90" i="83"/>
  <c r="C97" i="83" s="1"/>
  <c r="R76" i="83"/>
  <c r="C76" i="87"/>
  <c r="C90" i="86"/>
  <c r="K20" i="53"/>
  <c r="M12" i="61"/>
  <c r="P12" i="61" s="1"/>
  <c r="Q8" i="61"/>
  <c r="Q12" i="57"/>
  <c r="K8" i="58"/>
  <c r="K10" i="58" s="1"/>
  <c r="O10" i="58" s="1"/>
  <c r="N10" i="61"/>
  <c r="M10" i="61" s="1"/>
  <c r="P10" i="61" s="1"/>
  <c r="N8" i="66"/>
  <c r="Q8" i="66" s="1"/>
  <c r="O12" i="66"/>
  <c r="AA38" i="71"/>
  <c r="M14" i="66"/>
  <c r="P14" i="66" s="1"/>
  <c r="H10" i="58"/>
  <c r="H13" i="58"/>
  <c r="I24" i="58"/>
  <c r="H18" i="58"/>
  <c r="H7" i="58"/>
  <c r="H14" i="58"/>
  <c r="H23" i="58"/>
  <c r="H9" i="58"/>
  <c r="H24" i="58"/>
  <c r="H19" i="58"/>
  <c r="H11" i="58"/>
  <c r="H20" i="58"/>
  <c r="H8" i="58"/>
  <c r="H15" i="58"/>
  <c r="H12" i="58"/>
  <c r="H22" i="58"/>
  <c r="H16" i="58"/>
  <c r="M10" i="55"/>
  <c r="P10" i="55" s="1"/>
  <c r="H10" i="54"/>
  <c r="H15" i="54"/>
  <c r="D12" i="54"/>
  <c r="D13" i="54"/>
  <c r="D14" i="54"/>
  <c r="D16" i="54"/>
  <c r="D7" i="54"/>
  <c r="D18" i="54"/>
  <c r="D9" i="54"/>
  <c r="D19" i="54"/>
  <c r="D22" i="54"/>
  <c r="D15" i="54"/>
  <c r="D17" i="54"/>
  <c r="D24" i="54"/>
  <c r="D23" i="54"/>
  <c r="D11" i="54"/>
  <c r="D8" i="54"/>
  <c r="D10" i="54"/>
  <c r="E24" i="54"/>
  <c r="H12" i="54"/>
  <c r="I24" i="54"/>
  <c r="H13" i="54"/>
  <c r="H14" i="54"/>
  <c r="H16" i="54"/>
  <c r="H18" i="54"/>
  <c r="H7" i="54"/>
  <c r="H19" i="54"/>
  <c r="H8" i="54"/>
  <c r="H22" i="54"/>
  <c r="G26" i="54"/>
  <c r="H9" i="54"/>
  <c r="H24" i="54"/>
  <c r="H20" i="54"/>
  <c r="H11" i="54"/>
  <c r="E20" i="54"/>
  <c r="G27" i="54"/>
  <c r="K20" i="52"/>
  <c r="K21" i="52" s="1"/>
  <c r="O21" i="52" s="1"/>
  <c r="E16" i="67"/>
  <c r="E19" i="67"/>
  <c r="C20" i="67"/>
  <c r="C21" i="67" s="1"/>
  <c r="N12" i="62"/>
  <c r="Q12" i="62" s="1"/>
  <c r="Q16" i="64"/>
  <c r="M8" i="61"/>
  <c r="P8" i="61" s="1"/>
  <c r="Q12" i="61"/>
  <c r="N18" i="61"/>
  <c r="N20" i="61" s="1"/>
  <c r="Q20" i="61" s="1"/>
  <c r="N13" i="61"/>
  <c r="Q13" i="61" s="1"/>
  <c r="H19" i="63"/>
  <c r="H10" i="63"/>
  <c r="E24" i="58"/>
  <c r="H22" i="63"/>
  <c r="H13" i="63"/>
  <c r="K24" i="55"/>
  <c r="L15" i="55" s="1"/>
  <c r="M19" i="33"/>
  <c r="P19" i="33" s="1"/>
  <c r="E10" i="67"/>
  <c r="M18" i="55"/>
  <c r="P18" i="55" s="1"/>
  <c r="M8" i="60"/>
  <c r="P8" i="60" s="1"/>
  <c r="M18" i="64"/>
  <c r="P18" i="64" s="1"/>
  <c r="K10" i="62"/>
  <c r="O10" i="62" s="1"/>
  <c r="K18" i="62"/>
  <c r="O18" i="62" s="1"/>
  <c r="O13" i="55"/>
  <c r="M12" i="54"/>
  <c r="P12" i="54" s="1"/>
  <c r="M16" i="65"/>
  <c r="P16" i="65" s="1"/>
  <c r="M16" i="63"/>
  <c r="P16" i="63" s="1"/>
  <c r="Q16" i="63"/>
  <c r="N20" i="63"/>
  <c r="Q20" i="63" s="1"/>
  <c r="K20" i="61"/>
  <c r="K16" i="62"/>
  <c r="O16" i="62" s="1"/>
  <c r="K20" i="60"/>
  <c r="M13" i="60"/>
  <c r="P13" i="60" s="1"/>
  <c r="K20" i="56"/>
  <c r="M7" i="54"/>
  <c r="P7" i="54" s="1"/>
  <c r="O19" i="53"/>
  <c r="N13" i="54"/>
  <c r="Q13" i="54" s="1"/>
  <c r="F24" i="67"/>
  <c r="C27" i="67" s="1"/>
  <c r="E13" i="67"/>
  <c r="M10" i="33"/>
  <c r="P10" i="33" s="1"/>
  <c r="S10" i="33" s="1"/>
  <c r="K13" i="62"/>
  <c r="O13" i="62" s="1"/>
  <c r="O18" i="60"/>
  <c r="K24" i="60"/>
  <c r="K26" i="60" s="1"/>
  <c r="O11" i="62"/>
  <c r="O10" i="60"/>
  <c r="O24" i="60" s="1"/>
  <c r="AA38" i="73"/>
  <c r="Q18" i="55"/>
  <c r="O18" i="64"/>
  <c r="K24" i="59"/>
  <c r="L19" i="59" s="1"/>
  <c r="J20" i="66"/>
  <c r="H7" i="63"/>
  <c r="H16" i="63"/>
  <c r="H8" i="63"/>
  <c r="H18" i="62"/>
  <c r="K20" i="59"/>
  <c r="K21" i="59" s="1"/>
  <c r="T10" i="30"/>
  <c r="W10" i="30"/>
  <c r="V13" i="31"/>
  <c r="O16" i="31"/>
  <c r="S13" i="31"/>
  <c r="Q13" i="31"/>
  <c r="E20" i="62"/>
  <c r="D10" i="58"/>
  <c r="D8" i="58"/>
  <c r="D12" i="58"/>
  <c r="D24" i="58"/>
  <c r="D20" i="58"/>
  <c r="D9" i="58"/>
  <c r="D7" i="58"/>
  <c r="D13" i="58"/>
  <c r="D11" i="58"/>
  <c r="D14" i="58"/>
  <c r="D19" i="58"/>
  <c r="D16" i="58"/>
  <c r="D15" i="58"/>
  <c r="C26" i="58"/>
  <c r="D17" i="58"/>
  <c r="D22" i="58"/>
  <c r="D18" i="58"/>
  <c r="Q16" i="65"/>
  <c r="N20" i="64"/>
  <c r="Q20" i="64" s="1"/>
  <c r="M19" i="64"/>
  <c r="P19" i="64" s="1"/>
  <c r="K24" i="63"/>
  <c r="O24" i="63" s="1"/>
  <c r="M19" i="63"/>
  <c r="P19" i="63" s="1"/>
  <c r="M19" i="61"/>
  <c r="P19" i="61" s="1"/>
  <c r="Q16" i="61"/>
  <c r="M16" i="61"/>
  <c r="P16" i="61" s="1"/>
  <c r="O18" i="59"/>
  <c r="M16" i="57"/>
  <c r="P16" i="57" s="1"/>
  <c r="Q16" i="33"/>
  <c r="G27" i="58"/>
  <c r="H11" i="62"/>
  <c r="H22" i="62"/>
  <c r="H24" i="62"/>
  <c r="Q8" i="53"/>
  <c r="M19" i="57"/>
  <c r="P19" i="57" s="1"/>
  <c r="S19" i="57" s="1"/>
  <c r="Q16" i="57"/>
  <c r="M13" i="56"/>
  <c r="P13" i="56" s="1"/>
  <c r="M13" i="53"/>
  <c r="P13" i="53" s="1"/>
  <c r="T13" i="53" s="1"/>
  <c r="N20" i="55"/>
  <c r="Q20" i="55" s="1"/>
  <c r="Q16" i="55"/>
  <c r="Q15" i="60"/>
  <c r="AA38" i="74"/>
  <c r="Q16" i="59"/>
  <c r="M13" i="52"/>
  <c r="P13" i="52" s="1"/>
  <c r="T13" i="52" s="1"/>
  <c r="K24" i="52"/>
  <c r="O24" i="52" s="1"/>
  <c r="O10" i="52"/>
  <c r="K24" i="53"/>
  <c r="L22" i="53" s="1"/>
  <c r="Q16" i="53"/>
  <c r="Q14" i="54"/>
  <c r="H24" i="63"/>
  <c r="H14" i="63"/>
  <c r="O22" i="66"/>
  <c r="N19" i="66"/>
  <c r="Q19" i="66" s="1"/>
  <c r="M19" i="65"/>
  <c r="P19" i="65" s="1"/>
  <c r="K22" i="67"/>
  <c r="O22" i="67" s="1"/>
  <c r="N16" i="66"/>
  <c r="Q16" i="66" s="1"/>
  <c r="M10" i="64"/>
  <c r="P10" i="64" s="1"/>
  <c r="N24" i="64"/>
  <c r="N5" i="80" s="1"/>
  <c r="O18" i="61"/>
  <c r="M12" i="57"/>
  <c r="P12" i="57" s="1"/>
  <c r="N12" i="58"/>
  <c r="Q12" i="58" s="1"/>
  <c r="N18" i="57"/>
  <c r="Q18" i="57" s="1"/>
  <c r="N13" i="57"/>
  <c r="Q13" i="57" s="1"/>
  <c r="M18" i="56"/>
  <c r="P18" i="56" s="1"/>
  <c r="AA37" i="72"/>
  <c r="Q10" i="55"/>
  <c r="N8" i="54"/>
  <c r="N10" i="54" s="1"/>
  <c r="Q10" i="54" s="1"/>
  <c r="K13" i="54"/>
  <c r="O13" i="54" s="1"/>
  <c r="M9" i="54"/>
  <c r="P9" i="54" s="1"/>
  <c r="M16" i="33"/>
  <c r="P16" i="33" s="1"/>
  <c r="S16" i="33" s="1"/>
  <c r="K9" i="67"/>
  <c r="O9" i="67" s="1"/>
  <c r="N24" i="33"/>
  <c r="K27" i="33" s="1"/>
  <c r="N14" i="67"/>
  <c r="Q14" i="67" s="1"/>
  <c r="H15" i="62"/>
  <c r="H8" i="62"/>
  <c r="H23" i="62"/>
  <c r="H10" i="62"/>
  <c r="H13" i="62"/>
  <c r="H12" i="62"/>
  <c r="I24" i="62"/>
  <c r="H9" i="62"/>
  <c r="H7" i="62"/>
  <c r="H14" i="62"/>
  <c r="H19" i="62"/>
  <c r="H16" i="62"/>
  <c r="I13" i="66"/>
  <c r="H20" i="62"/>
  <c r="I20" i="62"/>
  <c r="K24" i="65"/>
  <c r="L12" i="65" s="1"/>
  <c r="O13" i="65"/>
  <c r="K20" i="65"/>
  <c r="K21" i="65" s="1"/>
  <c r="M8" i="65"/>
  <c r="P8" i="65" s="1"/>
  <c r="N10" i="65"/>
  <c r="N18" i="65"/>
  <c r="Q8" i="65"/>
  <c r="O19" i="64"/>
  <c r="K20" i="64"/>
  <c r="M13" i="64"/>
  <c r="P13" i="64" s="1"/>
  <c r="M11" i="66"/>
  <c r="P11" i="66" s="1"/>
  <c r="K10" i="66"/>
  <c r="O10" i="66" s="1"/>
  <c r="O9" i="66"/>
  <c r="K18" i="66"/>
  <c r="O18" i="66" s="1"/>
  <c r="M9" i="66"/>
  <c r="P9" i="66" s="1"/>
  <c r="K24" i="64"/>
  <c r="L23" i="64" s="1"/>
  <c r="M7" i="66"/>
  <c r="P7" i="66" s="1"/>
  <c r="K7" i="67"/>
  <c r="O7" i="67" s="1"/>
  <c r="K19" i="66"/>
  <c r="M15" i="66"/>
  <c r="P15" i="66" s="1"/>
  <c r="O14" i="66"/>
  <c r="K16" i="66"/>
  <c r="O16" i="66" s="1"/>
  <c r="M10" i="63"/>
  <c r="P10" i="63" s="1"/>
  <c r="Q18" i="63"/>
  <c r="M14" i="62"/>
  <c r="P14" i="62" s="1"/>
  <c r="Q14" i="62"/>
  <c r="K19" i="62"/>
  <c r="O19" i="62" s="1"/>
  <c r="O14" i="62"/>
  <c r="K24" i="61"/>
  <c r="L22" i="61" s="1"/>
  <c r="M9" i="62"/>
  <c r="P9" i="62" s="1"/>
  <c r="N9" i="67"/>
  <c r="Q9" i="67" s="1"/>
  <c r="N7" i="67"/>
  <c r="Q7" i="67" s="1"/>
  <c r="M7" i="62"/>
  <c r="P7" i="62" s="1"/>
  <c r="O7" i="62"/>
  <c r="O16" i="59"/>
  <c r="M19" i="59"/>
  <c r="P19" i="59" s="1"/>
  <c r="M16" i="59"/>
  <c r="P16" i="59" s="1"/>
  <c r="M13" i="59"/>
  <c r="P13" i="59" s="1"/>
  <c r="Q8" i="59"/>
  <c r="N10" i="59"/>
  <c r="N18" i="59"/>
  <c r="M8" i="59"/>
  <c r="P8" i="59" s="1"/>
  <c r="K13" i="58"/>
  <c r="O13" i="58" s="1"/>
  <c r="K12" i="67"/>
  <c r="O12" i="67" s="1"/>
  <c r="K14" i="67"/>
  <c r="O14" i="67" s="1"/>
  <c r="K16" i="58"/>
  <c r="O16" i="58" s="1"/>
  <c r="M8" i="57"/>
  <c r="P8" i="57" s="1"/>
  <c r="K10" i="57"/>
  <c r="M10" i="57" s="1"/>
  <c r="P10" i="57" s="1"/>
  <c r="K18" i="57"/>
  <c r="O8" i="57"/>
  <c r="N11" i="67"/>
  <c r="Q11" i="67" s="1"/>
  <c r="Q7" i="58"/>
  <c r="M7" i="58"/>
  <c r="P7" i="58" s="1"/>
  <c r="M14" i="58"/>
  <c r="P14" i="58" s="1"/>
  <c r="O15" i="58"/>
  <c r="O13" i="56"/>
  <c r="K24" i="56"/>
  <c r="O24" i="56" s="1"/>
  <c r="O18" i="56"/>
  <c r="M11" i="58"/>
  <c r="P11" i="58" s="1"/>
  <c r="M10" i="56"/>
  <c r="P10" i="56" s="1"/>
  <c r="O11" i="58"/>
  <c r="K19" i="58"/>
  <c r="O19" i="58" s="1"/>
  <c r="M13" i="55"/>
  <c r="P13" i="55" s="1"/>
  <c r="N24" i="55"/>
  <c r="Q25" i="55" s="1"/>
  <c r="M16" i="55"/>
  <c r="P16" i="55" s="1"/>
  <c r="Q9" i="58"/>
  <c r="M9" i="58"/>
  <c r="P9" i="58" s="1"/>
  <c r="M19" i="53"/>
  <c r="P19" i="53" s="1"/>
  <c r="M13" i="33"/>
  <c r="P13" i="33" s="1"/>
  <c r="S13" i="33" s="1"/>
  <c r="K11" i="67"/>
  <c r="M11" i="54"/>
  <c r="P11" i="54" s="1"/>
  <c r="K19" i="54"/>
  <c r="O19" i="54" s="1"/>
  <c r="K15" i="67"/>
  <c r="K16" i="54"/>
  <c r="O16" i="54" s="1"/>
  <c r="C24" i="67"/>
  <c r="D19" i="67" s="1"/>
  <c r="E18" i="67"/>
  <c r="F20" i="67"/>
  <c r="D20" i="54"/>
  <c r="C21" i="54"/>
  <c r="Q11" i="62"/>
  <c r="M11" i="62"/>
  <c r="P11" i="62" s="1"/>
  <c r="C21" i="32"/>
  <c r="E16" i="32"/>
  <c r="X21" i="30"/>
  <c r="U21" i="30"/>
  <c r="D21" i="30"/>
  <c r="D20" i="30"/>
  <c r="D19" i="30"/>
  <c r="D18" i="30"/>
  <c r="D16" i="30"/>
  <c r="D14" i="30"/>
  <c r="D12" i="30"/>
  <c r="D10" i="30"/>
  <c r="D8" i="30"/>
  <c r="D15" i="30"/>
  <c r="D11" i="30"/>
  <c r="E21" i="30"/>
  <c r="I22" i="30" s="1"/>
  <c r="W22" i="30" s="1"/>
  <c r="D9" i="30"/>
  <c r="D7" i="30"/>
  <c r="T13" i="32"/>
  <c r="W13" i="32"/>
  <c r="R21" i="31"/>
  <c r="U16" i="31"/>
  <c r="X16" i="31"/>
  <c r="P13" i="65"/>
  <c r="D21" i="31"/>
  <c r="D19" i="31"/>
  <c r="D20" i="31"/>
  <c r="D16" i="31"/>
  <c r="D14" i="31"/>
  <c r="D12" i="31"/>
  <c r="D10" i="31"/>
  <c r="D8" i="31"/>
  <c r="D18" i="31"/>
  <c r="D15" i="31"/>
  <c r="D13" i="31"/>
  <c r="D11" i="31"/>
  <c r="D7" i="31"/>
  <c r="E21" i="31"/>
  <c r="I22" i="31" s="1"/>
  <c r="W22" i="31" s="1"/>
  <c r="D9" i="31"/>
  <c r="L19" i="30"/>
  <c r="M21" i="30"/>
  <c r="L16" i="30"/>
  <c r="L14" i="30"/>
  <c r="L12" i="30"/>
  <c r="L10" i="30"/>
  <c r="L8" i="30"/>
  <c r="L21" i="30"/>
  <c r="L20" i="30"/>
  <c r="L15" i="30"/>
  <c r="L11" i="30"/>
  <c r="L9" i="30"/>
  <c r="L18" i="30"/>
  <c r="L7" i="30"/>
  <c r="O21" i="29"/>
  <c r="Q16" i="29"/>
  <c r="V16" i="29"/>
  <c r="S16" i="29"/>
  <c r="W16" i="30"/>
  <c r="T16" i="30"/>
  <c r="U16" i="32"/>
  <c r="R21" i="32"/>
  <c r="X16" i="32"/>
  <c r="T13" i="29"/>
  <c r="W13" i="29"/>
  <c r="S21" i="30"/>
  <c r="P19" i="30"/>
  <c r="P18" i="30"/>
  <c r="P16" i="30"/>
  <c r="P14" i="30"/>
  <c r="P12" i="30"/>
  <c r="P10" i="30"/>
  <c r="P8" i="30"/>
  <c r="V21" i="30"/>
  <c r="Q21" i="30"/>
  <c r="P20" i="30"/>
  <c r="P15" i="30"/>
  <c r="P11" i="30"/>
  <c r="P9" i="30"/>
  <c r="P7" i="30"/>
  <c r="P21" i="30"/>
  <c r="K21" i="29"/>
  <c r="M16" i="29"/>
  <c r="G21" i="29"/>
  <c r="I16" i="29"/>
  <c r="K21" i="32"/>
  <c r="M16" i="32"/>
  <c r="L21" i="31"/>
  <c r="L19" i="31"/>
  <c r="L20" i="31"/>
  <c r="L18" i="31"/>
  <c r="M21" i="31"/>
  <c r="L16" i="31"/>
  <c r="L14" i="31"/>
  <c r="L12" i="31"/>
  <c r="L10" i="31"/>
  <c r="L8" i="31"/>
  <c r="L15" i="31"/>
  <c r="L11" i="31"/>
  <c r="L7" i="31"/>
  <c r="L9" i="31"/>
  <c r="L13" i="31"/>
  <c r="H21" i="31"/>
  <c r="H19" i="31"/>
  <c r="H20" i="31"/>
  <c r="H18" i="31"/>
  <c r="H16" i="31"/>
  <c r="H14" i="31"/>
  <c r="H12" i="31"/>
  <c r="H10" i="31"/>
  <c r="H8" i="31"/>
  <c r="I21" i="31"/>
  <c r="M22" i="31" s="1"/>
  <c r="H13" i="31"/>
  <c r="H15" i="31"/>
  <c r="H11" i="31"/>
  <c r="H7" i="31"/>
  <c r="H9" i="31"/>
  <c r="I21" i="30"/>
  <c r="M22" i="30" s="1"/>
  <c r="H19" i="30"/>
  <c r="H21" i="30"/>
  <c r="H20" i="30"/>
  <c r="H16" i="30"/>
  <c r="H14" i="30"/>
  <c r="H12" i="30"/>
  <c r="H10" i="30"/>
  <c r="H8" i="30"/>
  <c r="H18" i="30"/>
  <c r="H15" i="30"/>
  <c r="H11" i="30"/>
  <c r="H9" i="30"/>
  <c r="H7" i="30"/>
  <c r="U13" i="29"/>
  <c r="X13" i="29"/>
  <c r="R16" i="29"/>
  <c r="V16" i="32"/>
  <c r="O21" i="32"/>
  <c r="Q16" i="32"/>
  <c r="S16" i="32"/>
  <c r="C21" i="29"/>
  <c r="E16" i="29"/>
  <c r="G21" i="32"/>
  <c r="I16" i="32"/>
  <c r="H15" i="63"/>
  <c r="M21" i="80"/>
  <c r="G26" i="63"/>
  <c r="M9" i="80" s="1"/>
  <c r="H20" i="63"/>
  <c r="H12" i="63"/>
  <c r="H18" i="63"/>
  <c r="H9" i="63"/>
  <c r="H11" i="63"/>
  <c r="N8" i="62"/>
  <c r="Q8" i="62" s="1"/>
  <c r="N18" i="60"/>
  <c r="Q18" i="60" s="1"/>
  <c r="Q8" i="60"/>
  <c r="N10" i="60"/>
  <c r="Q10" i="60" s="1"/>
  <c r="M15" i="60"/>
  <c r="P15" i="60" s="1"/>
  <c r="N16" i="60"/>
  <c r="N19" i="60"/>
  <c r="N15" i="62"/>
  <c r="Q8" i="58"/>
  <c r="N10" i="58"/>
  <c r="Q15" i="56"/>
  <c r="N16" i="56"/>
  <c r="N19" i="56"/>
  <c r="N15" i="58"/>
  <c r="M15" i="56"/>
  <c r="P15" i="56" s="1"/>
  <c r="N15" i="52"/>
  <c r="E69" i="86" s="1"/>
  <c r="N18" i="53"/>
  <c r="Q18" i="53" s="1"/>
  <c r="N10" i="53"/>
  <c r="M8" i="53"/>
  <c r="P8" i="53" s="1"/>
  <c r="T8" i="53" s="1"/>
  <c r="M16" i="53"/>
  <c r="P16" i="53" s="1"/>
  <c r="T16" i="53" s="1"/>
  <c r="Q19" i="33"/>
  <c r="N20" i="33"/>
  <c r="Q20" i="33" s="1"/>
  <c r="P22" i="66"/>
  <c r="J18" i="67"/>
  <c r="J20" i="67" s="1"/>
  <c r="I14" i="67"/>
  <c r="J24" i="66"/>
  <c r="G27" i="66" s="1"/>
  <c r="J13" i="67"/>
  <c r="M16" i="64"/>
  <c r="P16" i="64" s="1"/>
  <c r="O19" i="55"/>
  <c r="K20" i="55"/>
  <c r="M19" i="55"/>
  <c r="P19" i="55" s="1"/>
  <c r="J16" i="67"/>
  <c r="I16" i="66"/>
  <c r="N24" i="63"/>
  <c r="K27" i="63" s="1"/>
  <c r="M11" i="80" s="1"/>
  <c r="Q13" i="63"/>
  <c r="P13" i="63"/>
  <c r="M12" i="66"/>
  <c r="P12" i="66" s="1"/>
  <c r="N13" i="66"/>
  <c r="Q13" i="66" s="1"/>
  <c r="M18" i="63"/>
  <c r="P18" i="63" s="1"/>
  <c r="K20" i="63"/>
  <c r="O13" i="66"/>
  <c r="K18" i="54"/>
  <c r="O18" i="54" s="1"/>
  <c r="K10" i="54"/>
  <c r="O10" i="54" s="1"/>
  <c r="O8" i="54"/>
  <c r="N10" i="52"/>
  <c r="Q8" i="52"/>
  <c r="N18" i="52"/>
  <c r="M8" i="52"/>
  <c r="P8" i="52" s="1"/>
  <c r="T8" i="52" s="1"/>
  <c r="O18" i="52"/>
  <c r="K24" i="33"/>
  <c r="L18" i="33" s="1"/>
  <c r="O10" i="33"/>
  <c r="O18" i="33"/>
  <c r="M18" i="33"/>
  <c r="P18" i="33" s="1"/>
  <c r="K20" i="33"/>
  <c r="K21" i="33" s="1"/>
  <c r="I20" i="54"/>
  <c r="G21" i="54"/>
  <c r="E24" i="62"/>
  <c r="D18" i="62"/>
  <c r="D16" i="62"/>
  <c r="D12" i="62"/>
  <c r="D8" i="62"/>
  <c r="D24" i="62"/>
  <c r="D22" i="62"/>
  <c r="D19" i="62"/>
  <c r="D13" i="62"/>
  <c r="D9" i="62"/>
  <c r="D20" i="62"/>
  <c r="D17" i="62"/>
  <c r="D14" i="62"/>
  <c r="D10" i="62"/>
  <c r="D23" i="62"/>
  <c r="D15" i="62"/>
  <c r="D11" i="62"/>
  <c r="D7" i="62"/>
  <c r="C26" i="62"/>
  <c r="D19" i="66"/>
  <c r="D18" i="66"/>
  <c r="D9" i="66"/>
  <c r="D8" i="66"/>
  <c r="E24" i="66"/>
  <c r="D16" i="66"/>
  <c r="D15" i="66"/>
  <c r="D7" i="66"/>
  <c r="D24" i="66"/>
  <c r="D17" i="66"/>
  <c r="D14" i="66"/>
  <c r="D13" i="66"/>
  <c r="D23" i="66"/>
  <c r="D22" i="66"/>
  <c r="D20" i="66"/>
  <c r="D12" i="66"/>
  <c r="D11" i="66"/>
  <c r="D10" i="66"/>
  <c r="C26" i="66"/>
  <c r="I20" i="58"/>
  <c r="G21" i="58"/>
  <c r="E20" i="66"/>
  <c r="C21" i="66"/>
  <c r="E20" i="58"/>
  <c r="C21" i="58"/>
  <c r="I19" i="66"/>
  <c r="G27" i="64"/>
  <c r="N6" i="80"/>
  <c r="M6" i="80"/>
  <c r="G27" i="63"/>
  <c r="I24" i="64"/>
  <c r="H24" i="64"/>
  <c r="H23" i="64"/>
  <c r="H22" i="64"/>
  <c r="G26" i="64"/>
  <c r="H14" i="64"/>
  <c r="H11" i="64"/>
  <c r="H8" i="64"/>
  <c r="H20" i="64"/>
  <c r="H19" i="64"/>
  <c r="H15" i="64"/>
  <c r="H9" i="64"/>
  <c r="N21" i="80"/>
  <c r="H13" i="64"/>
  <c r="H12" i="64"/>
  <c r="H7" i="64"/>
  <c r="H10" i="64"/>
  <c r="H16" i="64"/>
  <c r="H18" i="64"/>
  <c r="I10" i="66"/>
  <c r="G24" i="66"/>
  <c r="G27" i="65"/>
  <c r="O6" i="80"/>
  <c r="G21" i="65"/>
  <c r="I20" i="65"/>
  <c r="I20" i="64"/>
  <c r="I24" i="65"/>
  <c r="H20" i="65"/>
  <c r="H19" i="65"/>
  <c r="H18" i="65"/>
  <c r="H16" i="65"/>
  <c r="H15" i="65"/>
  <c r="H13" i="65"/>
  <c r="H12" i="65"/>
  <c r="H10" i="65"/>
  <c r="H9" i="65"/>
  <c r="H24" i="65"/>
  <c r="G26" i="65"/>
  <c r="H22" i="65"/>
  <c r="H11" i="65"/>
  <c r="H8" i="65"/>
  <c r="O21" i="80"/>
  <c r="H23" i="65"/>
  <c r="H7" i="65"/>
  <c r="H14" i="65"/>
  <c r="I20" i="63"/>
  <c r="I12" i="67"/>
  <c r="G13" i="67"/>
  <c r="G20" i="66"/>
  <c r="I18" i="66"/>
  <c r="I15" i="67"/>
  <c r="G16" i="67"/>
  <c r="I24" i="63"/>
  <c r="G10" i="67"/>
  <c r="G19" i="67"/>
  <c r="I7" i="67"/>
  <c r="I9" i="67"/>
  <c r="G18" i="67"/>
  <c r="D96" i="87" l="1"/>
  <c r="D97" i="87"/>
  <c r="F96" i="87"/>
  <c r="F97" i="87"/>
  <c r="H97" i="87"/>
  <c r="H96" i="87"/>
  <c r="M96" i="87"/>
  <c r="M97" i="87"/>
  <c r="K97" i="87"/>
  <c r="K96" i="87"/>
  <c r="N90" i="86"/>
  <c r="N34" i="87"/>
  <c r="O20" i="64"/>
  <c r="K21" i="64"/>
  <c r="O21" i="64" s="1"/>
  <c r="M55" i="87"/>
  <c r="M90" i="86"/>
  <c r="L55" i="87"/>
  <c r="L106" i="86"/>
  <c r="L90" i="87"/>
  <c r="K90" i="86"/>
  <c r="K90" i="87" s="1"/>
  <c r="J34" i="87"/>
  <c r="J90" i="86"/>
  <c r="O27" i="87"/>
  <c r="I34" i="87"/>
  <c r="I90" i="86"/>
  <c r="O34" i="83"/>
  <c r="O90" i="83" s="1"/>
  <c r="P13" i="83" s="1"/>
  <c r="H113" i="83"/>
  <c r="H90" i="86"/>
  <c r="H106" i="86" s="1"/>
  <c r="G76" i="87"/>
  <c r="G90" i="86"/>
  <c r="F113" i="83"/>
  <c r="F90" i="86"/>
  <c r="F106" i="86" s="1"/>
  <c r="O20" i="53"/>
  <c r="K21" i="53"/>
  <c r="E69" i="87"/>
  <c r="E76" i="86"/>
  <c r="E76" i="87" s="1"/>
  <c r="O69" i="86"/>
  <c r="O34" i="86"/>
  <c r="O20" i="87"/>
  <c r="E34" i="87"/>
  <c r="E90" i="86"/>
  <c r="D90" i="86"/>
  <c r="D106" i="86" s="1"/>
  <c r="O48" i="87"/>
  <c r="O55" i="86"/>
  <c r="O55" i="87" s="1"/>
  <c r="C129" i="83"/>
  <c r="C113" i="83"/>
  <c r="C90" i="87"/>
  <c r="C106" i="86"/>
  <c r="O20" i="63"/>
  <c r="K21" i="63"/>
  <c r="O21" i="63" s="1"/>
  <c r="O20" i="61"/>
  <c r="K21" i="61"/>
  <c r="O21" i="61" s="1"/>
  <c r="O20" i="56"/>
  <c r="K21" i="56"/>
  <c r="O21" i="56" s="1"/>
  <c r="O21" i="53"/>
  <c r="K18" i="58"/>
  <c r="K20" i="58" s="1"/>
  <c r="K21" i="58" s="1"/>
  <c r="O21" i="58" s="1"/>
  <c r="E20" i="67"/>
  <c r="M10" i="58"/>
  <c r="P10" i="58" s="1"/>
  <c r="O8" i="58"/>
  <c r="M8" i="58"/>
  <c r="P8" i="58" s="1"/>
  <c r="K8" i="67"/>
  <c r="O8" i="67" s="1"/>
  <c r="N18" i="66"/>
  <c r="Q18" i="66" s="1"/>
  <c r="M8" i="66"/>
  <c r="P8" i="66" s="1"/>
  <c r="Q10" i="61"/>
  <c r="N10" i="66"/>
  <c r="Q10" i="66" s="1"/>
  <c r="M12" i="62"/>
  <c r="P12" i="62" s="1"/>
  <c r="N13" i="62"/>
  <c r="Q13" i="62" s="1"/>
  <c r="O20" i="52"/>
  <c r="N24" i="61"/>
  <c r="Q25" i="61" s="1"/>
  <c r="M18" i="61"/>
  <c r="P18" i="61" s="1"/>
  <c r="Q18" i="61"/>
  <c r="M13" i="61"/>
  <c r="P13" i="61" s="1"/>
  <c r="O24" i="55"/>
  <c r="L22" i="55"/>
  <c r="L8" i="55"/>
  <c r="L20" i="55"/>
  <c r="L24" i="55"/>
  <c r="L23" i="55"/>
  <c r="L12" i="55"/>
  <c r="L10" i="55"/>
  <c r="G20" i="80"/>
  <c r="G22" i="80" s="1"/>
  <c r="K26" i="55"/>
  <c r="O26" i="55" s="1"/>
  <c r="L16" i="55"/>
  <c r="L13" i="55"/>
  <c r="L18" i="55"/>
  <c r="L9" i="55"/>
  <c r="L14" i="55"/>
  <c r="L19" i="55"/>
  <c r="L7" i="55"/>
  <c r="L11" i="55"/>
  <c r="K21" i="60"/>
  <c r="O21" i="60" s="1"/>
  <c r="N13" i="58"/>
  <c r="Q13" i="58" s="1"/>
  <c r="M12" i="58"/>
  <c r="P12" i="58" s="1"/>
  <c r="L10" i="63"/>
  <c r="L12" i="63"/>
  <c r="L16" i="63"/>
  <c r="L18" i="63"/>
  <c r="L22" i="63"/>
  <c r="L11" i="63"/>
  <c r="L8" i="63"/>
  <c r="L14" i="63"/>
  <c r="L9" i="63"/>
  <c r="L19" i="63"/>
  <c r="L15" i="63"/>
  <c r="L24" i="63"/>
  <c r="L23" i="63"/>
  <c r="M20" i="80"/>
  <c r="M22" i="80" s="1"/>
  <c r="K26" i="63"/>
  <c r="M8" i="80" s="1"/>
  <c r="M10" i="80" s="1"/>
  <c r="L7" i="63"/>
  <c r="L13" i="63"/>
  <c r="O20" i="60"/>
  <c r="L13" i="60"/>
  <c r="L19" i="60"/>
  <c r="L14" i="60"/>
  <c r="L18" i="60"/>
  <c r="K20" i="80"/>
  <c r="K22" i="80" s="1"/>
  <c r="L24" i="60"/>
  <c r="L22" i="60"/>
  <c r="L23" i="60"/>
  <c r="L9" i="60"/>
  <c r="L10" i="60"/>
  <c r="K24" i="62"/>
  <c r="L24" i="62" s="1"/>
  <c r="L14" i="65"/>
  <c r="L23" i="65"/>
  <c r="L9" i="65"/>
  <c r="L15" i="65"/>
  <c r="L19" i="65"/>
  <c r="Q24" i="64"/>
  <c r="L7" i="60"/>
  <c r="L11" i="60"/>
  <c r="L15" i="60"/>
  <c r="L20" i="60"/>
  <c r="L8" i="60"/>
  <c r="L12" i="60"/>
  <c r="L16" i="60"/>
  <c r="L15" i="59"/>
  <c r="K26" i="59"/>
  <c r="J8" i="80" s="1"/>
  <c r="J10" i="80" s="1"/>
  <c r="J20" i="80"/>
  <c r="J22" i="80" s="1"/>
  <c r="L9" i="59"/>
  <c r="L20" i="59"/>
  <c r="L11" i="59"/>
  <c r="O24" i="59"/>
  <c r="L7" i="59"/>
  <c r="L12" i="59"/>
  <c r="L18" i="59"/>
  <c r="L22" i="59"/>
  <c r="L16" i="59"/>
  <c r="L8" i="59"/>
  <c r="L13" i="59"/>
  <c r="L23" i="59"/>
  <c r="L13" i="52"/>
  <c r="L20" i="52"/>
  <c r="Q24" i="33"/>
  <c r="L24" i="59"/>
  <c r="L10" i="59"/>
  <c r="L14" i="59"/>
  <c r="O20" i="59"/>
  <c r="O21" i="59"/>
  <c r="L23" i="56"/>
  <c r="L24" i="53"/>
  <c r="L12" i="61"/>
  <c r="O24" i="61"/>
  <c r="L14" i="61"/>
  <c r="L24" i="61"/>
  <c r="L23" i="52"/>
  <c r="L8" i="52"/>
  <c r="L22" i="52"/>
  <c r="F20" i="80"/>
  <c r="F22" i="80" s="1"/>
  <c r="L15" i="52"/>
  <c r="L7" i="52"/>
  <c r="L18" i="52"/>
  <c r="L9" i="52"/>
  <c r="L12" i="52"/>
  <c r="L14" i="52"/>
  <c r="L19" i="52"/>
  <c r="L24" i="52"/>
  <c r="L11" i="52"/>
  <c r="L10" i="52"/>
  <c r="K26" i="52"/>
  <c r="O26" i="52" s="1"/>
  <c r="L16" i="52"/>
  <c r="W13" i="31"/>
  <c r="T13" i="31"/>
  <c r="V16" i="31"/>
  <c r="O21" i="31"/>
  <c r="Q16" i="31"/>
  <c r="S16" i="31"/>
  <c r="L7" i="64"/>
  <c r="L22" i="64"/>
  <c r="K26" i="64"/>
  <c r="N8" i="80" s="1"/>
  <c r="L12" i="64"/>
  <c r="Q25" i="64"/>
  <c r="O24" i="64"/>
  <c r="L14" i="64"/>
  <c r="L10" i="64"/>
  <c r="L15" i="64"/>
  <c r="L9" i="64"/>
  <c r="L11" i="64"/>
  <c r="L18" i="64"/>
  <c r="L8" i="64"/>
  <c r="L13" i="64"/>
  <c r="N20" i="80"/>
  <c r="N22" i="80" s="1"/>
  <c r="L19" i="64"/>
  <c r="L24" i="64"/>
  <c r="L16" i="64"/>
  <c r="M20" i="61"/>
  <c r="P20" i="61" s="1"/>
  <c r="C23" i="80"/>
  <c r="C25" i="80" s="1"/>
  <c r="N18" i="58"/>
  <c r="Q18" i="58" s="1"/>
  <c r="N12" i="67"/>
  <c r="Q12" i="67" s="1"/>
  <c r="E20" i="80"/>
  <c r="E22" i="80" s="1"/>
  <c r="L8" i="53"/>
  <c r="L12" i="53"/>
  <c r="L16" i="53"/>
  <c r="L19" i="53"/>
  <c r="L9" i="53"/>
  <c r="L13" i="53"/>
  <c r="L23" i="53"/>
  <c r="K26" i="53"/>
  <c r="E8" i="80" s="1"/>
  <c r="E10" i="80" s="1"/>
  <c r="L18" i="53"/>
  <c r="L20" i="53"/>
  <c r="L10" i="53"/>
  <c r="L14" i="53"/>
  <c r="O24" i="53"/>
  <c r="L7" i="53"/>
  <c r="L11" i="53"/>
  <c r="L15" i="53"/>
  <c r="M18" i="57"/>
  <c r="P18" i="57" s="1"/>
  <c r="S18" i="57" s="1"/>
  <c r="N20" i="57"/>
  <c r="Q20" i="57" s="1"/>
  <c r="M20" i="55"/>
  <c r="P20" i="55" s="1"/>
  <c r="N19" i="52"/>
  <c r="N20" i="52" s="1"/>
  <c r="M13" i="54"/>
  <c r="P13" i="54" s="1"/>
  <c r="M8" i="54"/>
  <c r="P8" i="54" s="1"/>
  <c r="Q8" i="54"/>
  <c r="N18" i="54"/>
  <c r="M18" i="54" s="1"/>
  <c r="P18" i="54" s="1"/>
  <c r="L22" i="56"/>
  <c r="M24" i="64"/>
  <c r="N14" i="80" s="1"/>
  <c r="L20" i="64"/>
  <c r="M22" i="67"/>
  <c r="P22" i="67" s="1"/>
  <c r="L10" i="65"/>
  <c r="L24" i="65"/>
  <c r="O24" i="65"/>
  <c r="L18" i="65"/>
  <c r="L22" i="65"/>
  <c r="N7" i="80"/>
  <c r="M20" i="64"/>
  <c r="P20" i="64" s="1"/>
  <c r="K27" i="64"/>
  <c r="N11" i="80" s="1"/>
  <c r="L20" i="80"/>
  <c r="L22" i="80" s="1"/>
  <c r="L16" i="61"/>
  <c r="L8" i="61"/>
  <c r="L7" i="61"/>
  <c r="L19" i="61"/>
  <c r="N24" i="57"/>
  <c r="M13" i="57"/>
  <c r="P13" i="57" s="1"/>
  <c r="L9" i="56"/>
  <c r="L13" i="56"/>
  <c r="L18" i="56"/>
  <c r="G5" i="80"/>
  <c r="G7" i="80" s="1"/>
  <c r="D5" i="80"/>
  <c r="Q25" i="33"/>
  <c r="D20" i="67"/>
  <c r="D9" i="67"/>
  <c r="D13" i="67"/>
  <c r="D8" i="67"/>
  <c r="D22" i="67"/>
  <c r="D14" i="67"/>
  <c r="D10" i="67"/>
  <c r="D24" i="67"/>
  <c r="E24" i="67"/>
  <c r="D15" i="67"/>
  <c r="D18" i="67"/>
  <c r="C26" i="67"/>
  <c r="D7" i="67"/>
  <c r="D17" i="67"/>
  <c r="D11" i="67"/>
  <c r="D16" i="67"/>
  <c r="D12" i="67"/>
  <c r="D23" i="67"/>
  <c r="M7" i="67"/>
  <c r="P7" i="67" s="1"/>
  <c r="O20" i="65"/>
  <c r="L11" i="65"/>
  <c r="L20" i="65"/>
  <c r="K26" i="65"/>
  <c r="O8" i="80" s="1"/>
  <c r="L8" i="65"/>
  <c r="O21" i="65"/>
  <c r="O20" i="80"/>
  <c r="O22" i="80" s="1"/>
  <c r="L16" i="65"/>
  <c r="L13" i="65"/>
  <c r="L7" i="65"/>
  <c r="N20" i="65"/>
  <c r="M18" i="65"/>
  <c r="P18" i="65" s="1"/>
  <c r="Q18" i="65"/>
  <c r="Q10" i="65"/>
  <c r="M10" i="65"/>
  <c r="P10" i="65" s="1"/>
  <c r="N24" i="65"/>
  <c r="K20" i="66"/>
  <c r="K21" i="66" s="1"/>
  <c r="K24" i="66"/>
  <c r="L22" i="66" s="1"/>
  <c r="M16" i="66"/>
  <c r="P16" i="66" s="1"/>
  <c r="O19" i="66"/>
  <c r="M19" i="66"/>
  <c r="P19" i="66" s="1"/>
  <c r="Q25" i="63"/>
  <c r="M20" i="63"/>
  <c r="P20" i="63" s="1"/>
  <c r="M14" i="67"/>
  <c r="P14" i="67" s="1"/>
  <c r="K20" i="62"/>
  <c r="O20" i="62" s="1"/>
  <c r="L11" i="61"/>
  <c r="L13" i="61"/>
  <c r="L18" i="61"/>
  <c r="L23" i="61"/>
  <c r="K26" i="61"/>
  <c r="O26" i="61" s="1"/>
  <c r="L9" i="61"/>
  <c r="L10" i="61"/>
  <c r="L15" i="61"/>
  <c r="L20" i="61"/>
  <c r="M9" i="67"/>
  <c r="P9" i="67" s="1"/>
  <c r="N8" i="67"/>
  <c r="Q8" i="67" s="1"/>
  <c r="N20" i="59"/>
  <c r="M18" i="59"/>
  <c r="P18" i="59" s="1"/>
  <c r="Q18" i="59"/>
  <c r="N24" i="59"/>
  <c r="Q10" i="59"/>
  <c r="M10" i="59"/>
  <c r="P10" i="59" s="1"/>
  <c r="K24" i="58"/>
  <c r="L23" i="58" s="1"/>
  <c r="K16" i="67"/>
  <c r="O10" i="57"/>
  <c r="K24" i="57"/>
  <c r="K20" i="57"/>
  <c r="K21" i="57" s="1"/>
  <c r="O18" i="57"/>
  <c r="M11" i="67"/>
  <c r="P11" i="67" s="1"/>
  <c r="K26" i="56"/>
  <c r="H8" i="80" s="1"/>
  <c r="H10" i="80" s="1"/>
  <c r="L10" i="56"/>
  <c r="L14" i="56"/>
  <c r="L19" i="56"/>
  <c r="L24" i="56"/>
  <c r="L7" i="56"/>
  <c r="L11" i="56"/>
  <c r="L20" i="56"/>
  <c r="L15" i="56"/>
  <c r="O15" i="67"/>
  <c r="H20" i="80"/>
  <c r="H22" i="80" s="1"/>
  <c r="L8" i="56"/>
  <c r="L12" i="56"/>
  <c r="L16" i="56"/>
  <c r="Q10" i="58"/>
  <c r="K27" i="55"/>
  <c r="O27" i="55" s="1"/>
  <c r="M24" i="55"/>
  <c r="P24" i="55" s="1"/>
  <c r="Q24" i="55"/>
  <c r="O11" i="67"/>
  <c r="K13" i="67"/>
  <c r="N20" i="53"/>
  <c r="Q20" i="53" s="1"/>
  <c r="K20" i="54"/>
  <c r="K21" i="54" s="1"/>
  <c r="O21" i="54" s="1"/>
  <c r="L20" i="33"/>
  <c r="L14" i="33"/>
  <c r="K19" i="67"/>
  <c r="K24" i="54"/>
  <c r="L22" i="54" s="1"/>
  <c r="L19" i="33"/>
  <c r="L15" i="33"/>
  <c r="M24" i="33"/>
  <c r="P25" i="33" s="1"/>
  <c r="O24" i="33"/>
  <c r="M18" i="60"/>
  <c r="P18" i="60" s="1"/>
  <c r="P21" i="32"/>
  <c r="P19" i="32"/>
  <c r="P15" i="32"/>
  <c r="P13" i="32"/>
  <c r="P11" i="32"/>
  <c r="P9" i="32"/>
  <c r="P7" i="32"/>
  <c r="S21" i="32"/>
  <c r="V21" i="32"/>
  <c r="P20" i="32"/>
  <c r="P18" i="32"/>
  <c r="P16" i="32"/>
  <c r="P14" i="32"/>
  <c r="P12" i="32"/>
  <c r="P10" i="32"/>
  <c r="P8" i="32"/>
  <c r="Q21" i="32"/>
  <c r="L21" i="32"/>
  <c r="L19" i="32"/>
  <c r="L15" i="32"/>
  <c r="L13" i="32"/>
  <c r="L11" i="32"/>
  <c r="L9" i="32"/>
  <c r="L7" i="32"/>
  <c r="L20" i="32"/>
  <c r="L18" i="32"/>
  <c r="L16" i="32"/>
  <c r="L14" i="32"/>
  <c r="L12" i="32"/>
  <c r="L10" i="32"/>
  <c r="L8" i="32"/>
  <c r="M21" i="32"/>
  <c r="L20" i="29"/>
  <c r="L18" i="29"/>
  <c r="M21" i="29"/>
  <c r="L19" i="29"/>
  <c r="L15" i="29"/>
  <c r="L13" i="29"/>
  <c r="L11" i="29"/>
  <c r="L9" i="29"/>
  <c r="L7" i="29"/>
  <c r="L21" i="29"/>
  <c r="L16" i="29"/>
  <c r="L8" i="29"/>
  <c r="L14" i="29"/>
  <c r="L12" i="29"/>
  <c r="L10" i="29"/>
  <c r="T16" i="29"/>
  <c r="W16" i="29"/>
  <c r="D20" i="29"/>
  <c r="E21" i="29"/>
  <c r="I22" i="29" s="1"/>
  <c r="W22" i="29" s="1"/>
  <c r="D21" i="29"/>
  <c r="D19" i="29"/>
  <c r="D18" i="29"/>
  <c r="D16" i="29"/>
  <c r="D15" i="29"/>
  <c r="D13" i="29"/>
  <c r="D11" i="29"/>
  <c r="D9" i="29"/>
  <c r="D7" i="29"/>
  <c r="D14" i="29"/>
  <c r="D12" i="29"/>
  <c r="D10" i="29"/>
  <c r="D8" i="29"/>
  <c r="S21" i="29"/>
  <c r="V21" i="29"/>
  <c r="P20" i="29"/>
  <c r="P18" i="29"/>
  <c r="Q21" i="29"/>
  <c r="P19" i="29"/>
  <c r="P16" i="29"/>
  <c r="P21" i="29"/>
  <c r="P15" i="29"/>
  <c r="P13" i="29"/>
  <c r="P11" i="29"/>
  <c r="P9" i="29"/>
  <c r="P7" i="29"/>
  <c r="P10" i="29"/>
  <c r="P8" i="29"/>
  <c r="P14" i="29"/>
  <c r="P12" i="29"/>
  <c r="U16" i="29"/>
  <c r="R21" i="29"/>
  <c r="X16" i="29"/>
  <c r="H20" i="29"/>
  <c r="H18" i="29"/>
  <c r="I21" i="29"/>
  <c r="M22" i="29" s="1"/>
  <c r="H19" i="29"/>
  <c r="H15" i="29"/>
  <c r="H13" i="29"/>
  <c r="H11" i="29"/>
  <c r="H9" i="29"/>
  <c r="H7" i="29"/>
  <c r="H16" i="29"/>
  <c r="H21" i="29"/>
  <c r="H8" i="29"/>
  <c r="H14" i="29"/>
  <c r="H12" i="29"/>
  <c r="H10" i="29"/>
  <c r="X21" i="32"/>
  <c r="U21" i="32"/>
  <c r="H21" i="32"/>
  <c r="H19" i="32"/>
  <c r="H15" i="32"/>
  <c r="H13" i="32"/>
  <c r="H11" i="32"/>
  <c r="H9" i="32"/>
  <c r="H7" i="32"/>
  <c r="H20" i="32"/>
  <c r="H18" i="32"/>
  <c r="H16" i="32"/>
  <c r="H14" i="32"/>
  <c r="H12" i="32"/>
  <c r="H10" i="32"/>
  <c r="H8" i="32"/>
  <c r="I21" i="32"/>
  <c r="M22" i="32" s="1"/>
  <c r="T16" i="32"/>
  <c r="W16" i="32"/>
  <c r="W21" i="30"/>
  <c r="T21" i="30"/>
  <c r="T22" i="30" s="1"/>
  <c r="X21" i="31"/>
  <c r="U21" i="31"/>
  <c r="D21" i="32"/>
  <c r="D19" i="32"/>
  <c r="D15" i="32"/>
  <c r="D13" i="32"/>
  <c r="D11" i="32"/>
  <c r="D9" i="32"/>
  <c r="D7" i="32"/>
  <c r="D20" i="32"/>
  <c r="D18" i="32"/>
  <c r="D16" i="32"/>
  <c r="D14" i="32"/>
  <c r="D12" i="32"/>
  <c r="D10" i="32"/>
  <c r="D8" i="32"/>
  <c r="E21" i="32"/>
  <c r="I22" i="32" s="1"/>
  <c r="W22" i="32" s="1"/>
  <c r="Q24" i="63"/>
  <c r="M24" i="63"/>
  <c r="M14" i="80" s="1"/>
  <c r="M8" i="62"/>
  <c r="P8" i="62" s="1"/>
  <c r="N10" i="62"/>
  <c r="M10" i="60"/>
  <c r="P10" i="60" s="1"/>
  <c r="N18" i="62"/>
  <c r="M18" i="62" s="1"/>
  <c r="P18" i="62" s="1"/>
  <c r="N20" i="60"/>
  <c r="Q20" i="60" s="1"/>
  <c r="N24" i="60"/>
  <c r="Q24" i="60" s="1"/>
  <c r="Q15" i="62"/>
  <c r="N16" i="62"/>
  <c r="N19" i="62"/>
  <c r="M15" i="62"/>
  <c r="P15" i="62" s="1"/>
  <c r="Q19" i="60"/>
  <c r="M19" i="60"/>
  <c r="P19" i="60" s="1"/>
  <c r="Q16" i="60"/>
  <c r="M16" i="60"/>
  <c r="P16" i="60" s="1"/>
  <c r="Q15" i="58"/>
  <c r="N16" i="58"/>
  <c r="M15" i="58"/>
  <c r="P15" i="58" s="1"/>
  <c r="N19" i="58"/>
  <c r="Q19" i="56"/>
  <c r="N20" i="56"/>
  <c r="M19" i="56"/>
  <c r="P19" i="56" s="1"/>
  <c r="Q16" i="56"/>
  <c r="N24" i="56"/>
  <c r="M16" i="56"/>
  <c r="P16" i="56" s="1"/>
  <c r="N15" i="54"/>
  <c r="N19" i="54" s="1"/>
  <c r="N16" i="52"/>
  <c r="Q15" i="52"/>
  <c r="M15" i="52"/>
  <c r="P15" i="52" s="1"/>
  <c r="T15" i="52" s="1"/>
  <c r="M18" i="53"/>
  <c r="P18" i="53" s="1"/>
  <c r="M10" i="53"/>
  <c r="P10" i="53" s="1"/>
  <c r="T10" i="53" s="1"/>
  <c r="N24" i="53"/>
  <c r="Q10" i="53"/>
  <c r="M10" i="54"/>
  <c r="P10" i="54" s="1"/>
  <c r="J24" i="67"/>
  <c r="G27" i="67" s="1"/>
  <c r="C12" i="80" s="1"/>
  <c r="O20" i="55"/>
  <c r="K21" i="55"/>
  <c r="O21" i="55" s="1"/>
  <c r="M5" i="80"/>
  <c r="L20" i="63"/>
  <c r="M13" i="66"/>
  <c r="P13" i="66" s="1"/>
  <c r="Q18" i="52"/>
  <c r="M18" i="52"/>
  <c r="P18" i="52" s="1"/>
  <c r="T18" i="52" s="1"/>
  <c r="Q10" i="52"/>
  <c r="M10" i="52"/>
  <c r="P10" i="52" s="1"/>
  <c r="T10" i="52" s="1"/>
  <c r="L10" i="33"/>
  <c r="L7" i="33"/>
  <c r="L23" i="33"/>
  <c r="L22" i="33"/>
  <c r="L9" i="33"/>
  <c r="L13" i="33"/>
  <c r="L8" i="33"/>
  <c r="K26" i="33"/>
  <c r="D8" i="80" s="1"/>
  <c r="D10" i="80" s="1"/>
  <c r="L24" i="33"/>
  <c r="L12" i="33"/>
  <c r="L16" i="33"/>
  <c r="L11" i="33"/>
  <c r="D20" i="80"/>
  <c r="D22" i="80" s="1"/>
  <c r="M20" i="33"/>
  <c r="P20" i="33" s="1"/>
  <c r="O20" i="33"/>
  <c r="O21" i="33"/>
  <c r="O26" i="60"/>
  <c r="K8" i="80"/>
  <c r="K10" i="80" s="1"/>
  <c r="O27" i="33"/>
  <c r="D11" i="80"/>
  <c r="D13" i="80" s="1"/>
  <c r="I20" i="66"/>
  <c r="G21" i="66"/>
  <c r="G20" i="67"/>
  <c r="I18" i="67"/>
  <c r="O15" i="80"/>
  <c r="G26" i="66"/>
  <c r="I24" i="66"/>
  <c r="H23" i="66"/>
  <c r="H18" i="66"/>
  <c r="H16" i="66"/>
  <c r="H12" i="66"/>
  <c r="H8" i="66"/>
  <c r="H24" i="66"/>
  <c r="H19" i="66"/>
  <c r="H13" i="66"/>
  <c r="H9" i="66"/>
  <c r="H11" i="66"/>
  <c r="H14" i="66"/>
  <c r="H22" i="66"/>
  <c r="H20" i="66"/>
  <c r="H15" i="66"/>
  <c r="H10" i="66"/>
  <c r="H7" i="66"/>
  <c r="G24" i="67"/>
  <c r="I10" i="67"/>
  <c r="I13" i="67"/>
  <c r="O9" i="80"/>
  <c r="C6" i="80"/>
  <c r="O27" i="63"/>
  <c r="M12" i="80"/>
  <c r="M13" i="80" s="1"/>
  <c r="I19" i="67"/>
  <c r="O12" i="80"/>
  <c r="N12" i="80"/>
  <c r="M15" i="80"/>
  <c r="I16" i="67"/>
  <c r="N9" i="80"/>
  <c r="N15" i="80"/>
  <c r="E96" i="87" l="1"/>
  <c r="E97" i="87"/>
  <c r="I97" i="87"/>
  <c r="I96" i="87"/>
  <c r="C92" i="87"/>
  <c r="C93" i="87"/>
  <c r="J97" i="87"/>
  <c r="J96" i="87"/>
  <c r="K93" i="87"/>
  <c r="K92" i="87"/>
  <c r="N96" i="87"/>
  <c r="N97" i="87"/>
  <c r="L93" i="87"/>
  <c r="L92" i="87"/>
  <c r="N106" i="86"/>
  <c r="N90" i="87"/>
  <c r="M90" i="87"/>
  <c r="M106" i="86"/>
  <c r="K106" i="86"/>
  <c r="J106" i="86"/>
  <c r="J90" i="87"/>
  <c r="I90" i="87"/>
  <c r="I106" i="86"/>
  <c r="O34" i="87"/>
  <c r="O113" i="83"/>
  <c r="O121" i="83" s="1"/>
  <c r="H90" i="87"/>
  <c r="G90" i="87"/>
  <c r="G106" i="86"/>
  <c r="F90" i="87"/>
  <c r="O76" i="86"/>
  <c r="O76" i="87" s="1"/>
  <c r="O69" i="87"/>
  <c r="E106" i="86"/>
  <c r="E90" i="87"/>
  <c r="P20" i="83"/>
  <c r="P48" i="83"/>
  <c r="P62" i="83"/>
  <c r="O97" i="83"/>
  <c r="P27" i="83"/>
  <c r="P34" i="83"/>
  <c r="P41" i="83"/>
  <c r="P76" i="83"/>
  <c r="P55" i="83"/>
  <c r="P69" i="83"/>
  <c r="P83" i="83"/>
  <c r="S90" i="83"/>
  <c r="R87" i="83"/>
  <c r="D90" i="87"/>
  <c r="O18" i="58"/>
  <c r="K10" i="67"/>
  <c r="O10" i="67" s="1"/>
  <c r="K18" i="67"/>
  <c r="O18" i="67" s="1"/>
  <c r="M18" i="66"/>
  <c r="P18" i="66" s="1"/>
  <c r="N20" i="66"/>
  <c r="Q20" i="66" s="1"/>
  <c r="N24" i="66"/>
  <c r="K27" i="66" s="1"/>
  <c r="O27" i="66" s="1"/>
  <c r="M10" i="66"/>
  <c r="P10" i="66" s="1"/>
  <c r="L5" i="80"/>
  <c r="L7" i="80" s="1"/>
  <c r="M24" i="61"/>
  <c r="Q24" i="61"/>
  <c r="K27" i="61"/>
  <c r="L11" i="80" s="1"/>
  <c r="L13" i="80" s="1"/>
  <c r="M13" i="62"/>
  <c r="P13" i="62" s="1"/>
  <c r="G8" i="80"/>
  <c r="G10" i="80" s="1"/>
  <c r="M7" i="80"/>
  <c r="D7" i="80"/>
  <c r="M13" i="58"/>
  <c r="P13" i="58" s="1"/>
  <c r="M12" i="67"/>
  <c r="P12" i="67" s="1"/>
  <c r="P25" i="64"/>
  <c r="O26" i="63"/>
  <c r="O26" i="59"/>
  <c r="L10" i="62"/>
  <c r="L8" i="62"/>
  <c r="L22" i="62"/>
  <c r="L16" i="62"/>
  <c r="L12" i="62"/>
  <c r="O24" i="62"/>
  <c r="L18" i="62"/>
  <c r="L14" i="62"/>
  <c r="K26" i="62"/>
  <c r="O26" i="62" s="1"/>
  <c r="L9" i="62"/>
  <c r="L23" i="62"/>
  <c r="L7" i="62"/>
  <c r="L11" i="62"/>
  <c r="L13" i="62"/>
  <c r="L19" i="62"/>
  <c r="L15" i="62"/>
  <c r="M19" i="52"/>
  <c r="P19" i="52" s="1"/>
  <c r="T19" i="52" s="1"/>
  <c r="N13" i="67"/>
  <c r="Q13" i="67" s="1"/>
  <c r="O10" i="80"/>
  <c r="N16" i="80"/>
  <c r="M18" i="58"/>
  <c r="P18" i="58" s="1"/>
  <c r="O26" i="53"/>
  <c r="L8" i="80"/>
  <c r="L10" i="80" s="1"/>
  <c r="F8" i="80"/>
  <c r="F10" i="80" s="1"/>
  <c r="P21" i="31"/>
  <c r="P20" i="31"/>
  <c r="P14" i="31"/>
  <c r="P15" i="31"/>
  <c r="P9" i="31"/>
  <c r="P19" i="31"/>
  <c r="P18" i="31"/>
  <c r="P12" i="31"/>
  <c r="P11" i="31"/>
  <c r="S21" i="31"/>
  <c r="Q21" i="31"/>
  <c r="P10" i="31"/>
  <c r="P7" i="31"/>
  <c r="V21" i="31"/>
  <c r="P16" i="31"/>
  <c r="P8" i="31"/>
  <c r="P13" i="31"/>
  <c r="Q19" i="52"/>
  <c r="T16" i="31"/>
  <c r="W16" i="31"/>
  <c r="O26" i="65"/>
  <c r="N10" i="80"/>
  <c r="N13" i="80"/>
  <c r="O26" i="64"/>
  <c r="O27" i="64"/>
  <c r="P24" i="64"/>
  <c r="L15" i="66"/>
  <c r="O26" i="56"/>
  <c r="L13" i="58"/>
  <c r="L11" i="58"/>
  <c r="P25" i="55"/>
  <c r="G14" i="80"/>
  <c r="G16" i="80" s="1"/>
  <c r="L19" i="58"/>
  <c r="L15" i="58"/>
  <c r="L14" i="58"/>
  <c r="L12" i="58"/>
  <c r="L10" i="58"/>
  <c r="L16" i="58"/>
  <c r="Q18" i="54"/>
  <c r="O13" i="67"/>
  <c r="M20" i="53"/>
  <c r="P20" i="53" s="1"/>
  <c r="O16" i="67"/>
  <c r="M16" i="52"/>
  <c r="P16" i="52" s="1"/>
  <c r="T16" i="52" s="1"/>
  <c r="O20" i="66"/>
  <c r="L12" i="54"/>
  <c r="L23" i="66"/>
  <c r="L11" i="66"/>
  <c r="O24" i="66"/>
  <c r="L20" i="66"/>
  <c r="L13" i="66"/>
  <c r="L18" i="66"/>
  <c r="L9" i="66"/>
  <c r="L7" i="66"/>
  <c r="L20" i="62"/>
  <c r="K21" i="62"/>
  <c r="O21" i="62" s="1"/>
  <c r="Q24" i="57"/>
  <c r="I5" i="80"/>
  <c r="Q25" i="57"/>
  <c r="K27" i="57"/>
  <c r="G11" i="80"/>
  <c r="G13" i="80" s="1"/>
  <c r="L18" i="54"/>
  <c r="O20" i="54"/>
  <c r="L24" i="54"/>
  <c r="L13" i="54"/>
  <c r="P24" i="33"/>
  <c r="O5" i="80"/>
  <c r="O7" i="80" s="1"/>
  <c r="K27" i="65"/>
  <c r="M24" i="65"/>
  <c r="Q24" i="65"/>
  <c r="Q25" i="65"/>
  <c r="Q20" i="65"/>
  <c r="M20" i="65"/>
  <c r="P20" i="65" s="1"/>
  <c r="L10" i="66"/>
  <c r="L12" i="66"/>
  <c r="L14" i="66"/>
  <c r="L8" i="66"/>
  <c r="K26" i="66"/>
  <c r="O26" i="66" s="1"/>
  <c r="L19" i="66"/>
  <c r="L24" i="66"/>
  <c r="L16" i="66"/>
  <c r="M8" i="67"/>
  <c r="P8" i="67" s="1"/>
  <c r="M16" i="80"/>
  <c r="N10" i="67"/>
  <c r="Q10" i="67" s="1"/>
  <c r="N18" i="67"/>
  <c r="Q18" i="67" s="1"/>
  <c r="J5" i="80"/>
  <c r="M24" i="59"/>
  <c r="Q25" i="59"/>
  <c r="K27" i="59"/>
  <c r="Q24" i="59"/>
  <c r="Q20" i="59"/>
  <c r="M20" i="59"/>
  <c r="P20" i="59" s="1"/>
  <c r="O20" i="58"/>
  <c r="L20" i="58"/>
  <c r="L22" i="58"/>
  <c r="K26" i="58"/>
  <c r="O26" i="58" s="1"/>
  <c r="L18" i="58"/>
  <c r="O24" i="58"/>
  <c r="L24" i="58"/>
  <c r="L9" i="58"/>
  <c r="L8" i="58"/>
  <c r="L7" i="58"/>
  <c r="L19" i="57"/>
  <c r="L14" i="57"/>
  <c r="L10" i="57"/>
  <c r="K26" i="57"/>
  <c r="L18" i="57"/>
  <c r="L24" i="57"/>
  <c r="L13" i="57"/>
  <c r="L9" i="57"/>
  <c r="L23" i="57"/>
  <c r="L22" i="57"/>
  <c r="L16" i="57"/>
  <c r="L12" i="57"/>
  <c r="L8" i="57"/>
  <c r="M24" i="57"/>
  <c r="L15" i="57"/>
  <c r="O24" i="57"/>
  <c r="L11" i="57"/>
  <c r="L7" i="57"/>
  <c r="I20" i="80"/>
  <c r="I22" i="80" s="1"/>
  <c r="L20" i="57"/>
  <c r="M20" i="57"/>
  <c r="P20" i="57" s="1"/>
  <c r="O21" i="57"/>
  <c r="O20" i="57"/>
  <c r="O19" i="67"/>
  <c r="L7" i="54"/>
  <c r="K26" i="54"/>
  <c r="O26" i="54" s="1"/>
  <c r="L15" i="54"/>
  <c r="L19" i="54"/>
  <c r="L9" i="54"/>
  <c r="L8" i="54"/>
  <c r="L16" i="54"/>
  <c r="L20" i="54"/>
  <c r="L23" i="54"/>
  <c r="L14" i="54"/>
  <c r="L11" i="54"/>
  <c r="L10" i="54"/>
  <c r="O24" i="54"/>
  <c r="D14" i="80"/>
  <c r="D16" i="80" s="1"/>
  <c r="O26" i="33"/>
  <c r="U21" i="29"/>
  <c r="X21" i="29"/>
  <c r="W21" i="29"/>
  <c r="T21" i="29"/>
  <c r="T22" i="29" s="1"/>
  <c r="T21" i="32"/>
  <c r="T22" i="32" s="1"/>
  <c r="W21" i="32"/>
  <c r="P25" i="63"/>
  <c r="P24" i="63"/>
  <c r="N20" i="62"/>
  <c r="Q10" i="62"/>
  <c r="M10" i="62"/>
  <c r="P10" i="62" s="1"/>
  <c r="Q18" i="62"/>
  <c r="M20" i="60"/>
  <c r="P20" i="60" s="1"/>
  <c r="Q25" i="60"/>
  <c r="K5" i="80"/>
  <c r="K7" i="80" s="1"/>
  <c r="K27" i="60"/>
  <c r="M24" i="60"/>
  <c r="P25" i="60" s="1"/>
  <c r="Q19" i="62"/>
  <c r="M19" i="62"/>
  <c r="P19" i="62" s="1"/>
  <c r="Q16" i="62"/>
  <c r="M16" i="62"/>
  <c r="P16" i="62" s="1"/>
  <c r="N24" i="62"/>
  <c r="Q19" i="58"/>
  <c r="M19" i="58"/>
  <c r="P19" i="58" s="1"/>
  <c r="N20" i="58"/>
  <c r="Q20" i="56"/>
  <c r="M20" i="56"/>
  <c r="P20" i="56" s="1"/>
  <c r="Q16" i="58"/>
  <c r="N24" i="58"/>
  <c r="M16" i="58"/>
  <c r="P16" i="58" s="1"/>
  <c r="Q25" i="56"/>
  <c r="K27" i="56"/>
  <c r="M24" i="56"/>
  <c r="Q24" i="56"/>
  <c r="H5" i="80"/>
  <c r="H7" i="80" s="1"/>
  <c r="Q16" i="52"/>
  <c r="M15" i="54"/>
  <c r="P15" i="54" s="1"/>
  <c r="Q15" i="54"/>
  <c r="N15" i="67"/>
  <c r="N16" i="67" s="1"/>
  <c r="N16" i="54"/>
  <c r="M16" i="54" s="1"/>
  <c r="P16" i="54" s="1"/>
  <c r="N24" i="52"/>
  <c r="Q24" i="52" s="1"/>
  <c r="M24" i="53"/>
  <c r="Q24" i="53"/>
  <c r="K27" i="53"/>
  <c r="Q25" i="53"/>
  <c r="E5" i="80"/>
  <c r="E7" i="80" s="1"/>
  <c r="Q19" i="54"/>
  <c r="M19" i="54"/>
  <c r="P19" i="54" s="1"/>
  <c r="N20" i="54"/>
  <c r="O21" i="66"/>
  <c r="Q20" i="52"/>
  <c r="M20" i="52"/>
  <c r="P20" i="52" s="1"/>
  <c r="G26" i="67"/>
  <c r="I24" i="67"/>
  <c r="H23" i="67"/>
  <c r="H19" i="67"/>
  <c r="H15" i="67"/>
  <c r="H13" i="67"/>
  <c r="H7" i="67"/>
  <c r="H11" i="67"/>
  <c r="H24" i="67"/>
  <c r="H18" i="67"/>
  <c r="H16" i="67"/>
  <c r="H8" i="67"/>
  <c r="H22" i="67"/>
  <c r="H9" i="67"/>
  <c r="H14" i="67"/>
  <c r="H12" i="67"/>
  <c r="H10" i="67"/>
  <c r="H20" i="67"/>
  <c r="C21" i="80"/>
  <c r="G21" i="67"/>
  <c r="I20" i="67"/>
  <c r="D93" i="87" l="1"/>
  <c r="D92" i="87"/>
  <c r="E92" i="87"/>
  <c r="E93" i="87"/>
  <c r="M92" i="87"/>
  <c r="M93" i="87"/>
  <c r="O96" i="87"/>
  <c r="O97" i="87"/>
  <c r="N92" i="87"/>
  <c r="N93" i="87"/>
  <c r="I93" i="87"/>
  <c r="I92" i="87"/>
  <c r="F92" i="87"/>
  <c r="F93" i="87"/>
  <c r="J93" i="87"/>
  <c r="J92" i="87"/>
  <c r="G92" i="87"/>
  <c r="G93" i="87"/>
  <c r="H92" i="87"/>
  <c r="H93" i="87"/>
  <c r="O90" i="86"/>
  <c r="P69" i="86" s="1"/>
  <c r="K20" i="67"/>
  <c r="O20" i="67" s="1"/>
  <c r="K24" i="67"/>
  <c r="L16" i="67" s="1"/>
  <c r="M20" i="66"/>
  <c r="P20" i="66" s="1"/>
  <c r="M24" i="66"/>
  <c r="P24" i="66" s="1"/>
  <c r="Q24" i="66"/>
  <c r="Q25" i="66"/>
  <c r="P25" i="61"/>
  <c r="P24" i="61"/>
  <c r="L14" i="80"/>
  <c r="L16" i="80" s="1"/>
  <c r="O27" i="61"/>
  <c r="Q20" i="62"/>
  <c r="J7" i="80"/>
  <c r="I7" i="80"/>
  <c r="M13" i="67"/>
  <c r="P13" i="67" s="1"/>
  <c r="T21" i="31"/>
  <c r="T22" i="31" s="1"/>
  <c r="W21" i="31"/>
  <c r="M10" i="67"/>
  <c r="P10" i="67" s="1"/>
  <c r="M18" i="67"/>
  <c r="P18" i="67" s="1"/>
  <c r="O27" i="57"/>
  <c r="I11" i="80"/>
  <c r="I13" i="80" s="1"/>
  <c r="O14" i="80"/>
  <c r="O16" i="80" s="1"/>
  <c r="P24" i="65"/>
  <c r="P25" i="65"/>
  <c r="O11" i="80"/>
  <c r="O13" i="80" s="1"/>
  <c r="O27" i="65"/>
  <c r="N24" i="67"/>
  <c r="O27" i="59"/>
  <c r="J11" i="80"/>
  <c r="J13" i="80" s="1"/>
  <c r="P24" i="59"/>
  <c r="J14" i="80"/>
  <c r="J16" i="80" s="1"/>
  <c r="P25" i="59"/>
  <c r="O26" i="57"/>
  <c r="I8" i="80"/>
  <c r="I10" i="80" s="1"/>
  <c r="P24" i="57"/>
  <c r="P25" i="57"/>
  <c r="I14" i="80"/>
  <c r="I16" i="80" s="1"/>
  <c r="Q16" i="54"/>
  <c r="M20" i="62"/>
  <c r="P20" i="62" s="1"/>
  <c r="O27" i="60"/>
  <c r="K11" i="80"/>
  <c r="K13" i="80" s="1"/>
  <c r="K14" i="80"/>
  <c r="K16" i="80" s="1"/>
  <c r="P24" i="60"/>
  <c r="Q24" i="62"/>
  <c r="K27" i="62"/>
  <c r="O27" i="62" s="1"/>
  <c r="M24" i="62"/>
  <c r="Q25" i="62"/>
  <c r="P24" i="56"/>
  <c r="P25" i="56"/>
  <c r="H14" i="80"/>
  <c r="H16" i="80" s="1"/>
  <c r="K27" i="58"/>
  <c r="O27" i="58" s="1"/>
  <c r="Q25" i="58"/>
  <c r="M24" i="58"/>
  <c r="Q24" i="58"/>
  <c r="Q20" i="58"/>
  <c r="M20" i="58"/>
  <c r="P20" i="58" s="1"/>
  <c r="O27" i="56"/>
  <c r="H11" i="80"/>
  <c r="H13" i="80" s="1"/>
  <c r="F5" i="80"/>
  <c r="F7" i="80" s="1"/>
  <c r="N24" i="54"/>
  <c r="Q24" i="54" s="1"/>
  <c r="M24" i="52"/>
  <c r="P24" i="52" s="1"/>
  <c r="M15" i="67"/>
  <c r="P15" i="67" s="1"/>
  <c r="Q25" i="52"/>
  <c r="N19" i="67"/>
  <c r="M19" i="67" s="1"/>
  <c r="P19" i="67" s="1"/>
  <c r="Q15" i="67"/>
  <c r="K27" i="52"/>
  <c r="F11" i="80" s="1"/>
  <c r="F13" i="80" s="1"/>
  <c r="P25" i="53"/>
  <c r="P24" i="53"/>
  <c r="E14" i="80"/>
  <c r="E16" i="80" s="1"/>
  <c r="E11" i="80"/>
  <c r="E13" i="80" s="1"/>
  <c r="O27" i="53"/>
  <c r="Q20" i="54"/>
  <c r="M20" i="54"/>
  <c r="P20" i="54" s="1"/>
  <c r="Q16" i="67"/>
  <c r="M16" i="67"/>
  <c r="P16" i="67" s="1"/>
  <c r="C9" i="80"/>
  <c r="C15" i="80"/>
  <c r="O90" i="87" l="1"/>
  <c r="P76" i="86"/>
  <c r="P55" i="86"/>
  <c r="P48" i="86"/>
  <c r="P20" i="86"/>
  <c r="P83" i="86"/>
  <c r="P13" i="86"/>
  <c r="P34" i="86"/>
  <c r="O106" i="86"/>
  <c r="P41" i="86"/>
  <c r="P27" i="86"/>
  <c r="P62" i="86"/>
  <c r="K21" i="67"/>
  <c r="O21" i="67" s="1"/>
  <c r="L11" i="67"/>
  <c r="K26" i="67"/>
  <c r="L14" i="67"/>
  <c r="C20" i="80"/>
  <c r="C22" i="80" s="1"/>
  <c r="L12" i="67"/>
  <c r="L7" i="67"/>
  <c r="L15" i="67"/>
  <c r="L22" i="67"/>
  <c r="L9" i="67"/>
  <c r="L8" i="67"/>
  <c r="L10" i="67"/>
  <c r="L13" i="67"/>
  <c r="L20" i="67"/>
  <c r="L24" i="67"/>
  <c r="L23" i="67"/>
  <c r="L18" i="67"/>
  <c r="O24" i="67"/>
  <c r="L19" i="67"/>
  <c r="P25" i="66"/>
  <c r="Q25" i="67"/>
  <c r="M24" i="67"/>
  <c r="K27" i="67"/>
  <c r="C11" i="80" s="1"/>
  <c r="C13" i="80" s="1"/>
  <c r="Q24" i="67"/>
  <c r="P24" i="62"/>
  <c r="P25" i="62"/>
  <c r="P24" i="58"/>
  <c r="P25" i="58"/>
  <c r="Q19" i="67"/>
  <c r="C5" i="80"/>
  <c r="C7" i="80" s="1"/>
  <c r="F14" i="80"/>
  <c r="F16" i="80" s="1"/>
  <c r="K27" i="54"/>
  <c r="O27" i="54" s="1"/>
  <c r="O27" i="52"/>
  <c r="N20" i="67"/>
  <c r="Q20" i="67" s="1"/>
  <c r="M24" i="54"/>
  <c r="P25" i="54" s="1"/>
  <c r="P25" i="52"/>
  <c r="Q25" i="54"/>
  <c r="O92" i="87" l="1"/>
  <c r="O93" i="87"/>
  <c r="C8" i="80"/>
  <c r="C10" i="80" s="1"/>
  <c r="D5" i="88"/>
  <c r="E10" i="88" s="1"/>
  <c r="O26" i="67"/>
  <c r="C14" i="80"/>
  <c r="C16" i="80" s="1"/>
  <c r="P25" i="67"/>
  <c r="P24" i="67"/>
  <c r="O27" i="67"/>
  <c r="M20" i="67"/>
  <c r="P20" i="67" s="1"/>
  <c r="P24" i="54"/>
  <c r="M112" i="83"/>
  <c r="N112" i="83"/>
  <c r="F129" i="83"/>
  <c r="O129" i="83" s="1"/>
  <c r="G129" i="83"/>
  <c r="H129" i="83"/>
  <c r="I129" i="83"/>
  <c r="O112" i="83" l="1"/>
  <c r="O120" i="8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J9" authorId="0" shapeId="0" xr:uid="{A206C5D7-7D1F-463E-ADFC-D800E446B111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Collette
25% Wash</t>
        </r>
      </text>
    </comment>
    <comment ref="P13" authorId="0" shapeId="0" xr:uid="{9421AEFD-7A97-4142-8C48-66CD1BBC8B29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Tessa Fresh</t>
        </r>
      </text>
    </comment>
    <comment ref="N20" authorId="0" shapeId="0" xr:uid="{5B8AC8F3-4983-4DCA-90EE-02DF95D687CD}">
      <text>
        <r>
          <rPr>
            <sz val="9"/>
            <color indexed="81"/>
            <rFont val="Tahoma"/>
            <family val="2"/>
          </rPr>
          <t>Ali Class 12</t>
        </r>
      </text>
    </comment>
    <comment ref="J21" authorId="0" shapeId="0" xr:uid="{3F8D9BA0-577B-4D78-B978-4D0C7A0A729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Collette - Washed by 50%</t>
        </r>
      </text>
    </comment>
    <comment ref="J23" authorId="0" shapeId="0" xr:uid="{91FC8BE3-04ED-486A-8248-8ED4C3298170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Collette - Washed by 25%</t>
        </r>
      </text>
    </comment>
    <comment ref="J26" authorId="0" shapeId="0" xr:uid="{FA02FEC4-CB69-45B8-9DFB-3C7901F61A51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Finest Travel Afica 
Grand Tour + Wonders of C (Both washed 100%)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P17" authorId="0" shapeId="0" xr:uid="{B418769A-E7D1-4960-BD30-7747A4853517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 xml:space="preserve">GolfStore Winter Meeting </t>
        </r>
      </text>
    </comment>
    <comment ref="J26" authorId="0" shapeId="0" xr:uid="{56BE27F7-144D-4412-A887-4B0C3A33F245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Groups washed by 25%</t>
        </r>
      </text>
    </comment>
    <comment ref="J28" authorId="0" shapeId="0" xr:uid="{7E81FC17-179E-46A4-B21F-E7A8B42E6F3E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Groups washed by 25%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J11" authorId="0" shapeId="0" xr:uid="{7CB65B93-B951-4976-8191-AFB9C978B55E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J16" authorId="0" shapeId="0" xr:uid="{635E644B-7B6C-4280-A6E9-D41E5225654B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Hakan Nielson</t>
        </r>
      </text>
    </comment>
    <comment ref="J23" authorId="0" shapeId="0" xr:uid="{F53B325B-0B81-431C-8250-BEEE4E6E7621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Collette Vactions washed by 25%</t>
        </r>
      </text>
    </comment>
    <comment ref="J25" authorId="0" shapeId="0" xr:uid="{3E7E2C17-D9C8-489E-8E8A-D14FB5CD23BC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 Washed by 25%</t>
        </r>
      </text>
    </comment>
    <comment ref="J30" authorId="0" shapeId="0" xr:uid="{15A31C9B-F8D2-495C-8482-FB6FBCFC218F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 Washed by 25%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J9" authorId="0" shapeId="0" xr:uid="{7EE8A422-FBE9-4A56-A00A-A8626106A38A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P28" authorId="0" shapeId="0" xr:uid="{DF251950-61EF-4C52-88C9-0C588976282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Nick Fitness - Washed</t>
        </r>
      </text>
    </comment>
    <comment ref="P30" authorId="0" shapeId="0" xr:uid="{B35F2BF7-4453-43A2-84B9-28924D9170F0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Aspen Institute - Still Prov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K8" authorId="0" shapeId="0" xr:uid="{AE7EFDBB-5CD8-449E-95B2-8800E1141FF9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Holding 141 @ R 1 268</t>
        </r>
      </text>
    </comment>
    <comment ref="K12" authorId="0" shapeId="0" xr:uid="{73695310-9383-4E49-9EE3-0B0286FF86D8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 xml:space="preserve">Holiding 107 @ R 957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J11" authorId="0" shapeId="0" xr:uid="{41A0FBEB-6E3C-40D5-9F07-3D720E0C8B9C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SA Time - Eurp</t>
        </r>
      </text>
    </comment>
    <comment ref="N17" authorId="0" shapeId="0" xr:uid="{CE24CE8D-D6B7-4205-B3AF-2EA16103BCD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ALI Group
</t>
        </r>
      </text>
    </comment>
    <comment ref="P20" authorId="0" shapeId="0" xr:uid="{7F448277-41F3-47A8-85FC-DFF389B11A68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Nando's Central Kitchen</t>
        </r>
      </text>
    </comment>
    <comment ref="J28" authorId="0" shapeId="0" xr:uid="{67935901-E849-4AFC-B1FB-1B56229CAA42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Washed Clay Pigeon Shooting - Release date 08 June
16 Rooms @ R 1 555</t>
        </r>
      </text>
    </comment>
    <comment ref="J32" authorId="0" shapeId="0" xr:uid="{B22CADE6-AFDB-4CB6-AF71-3BEEC588A6C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- Washed 25%</t>
        </r>
      </text>
    </comment>
    <comment ref="J34" authorId="0" shapeId="0" xr:uid="{15B9E3FB-0AD8-40B5-BCC6-4F0167096197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Washed by 25%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K8" authorId="0" shapeId="0" xr:uid="{5F01EEBC-5406-4DD3-B183-68A4694D10BC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Holding 169 @
R 1387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P9" authorId="0" shapeId="0" xr:uid="{A69F43F1-2AD0-47F3-AB63-260C4F7E3765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Mytox Symposium - Washed as allocation
10 x 6 Nights @ R 1707</t>
        </r>
      </text>
    </comment>
    <comment ref="P12" authorId="0" shapeId="0" xr:uid="{486F351C-3007-4A93-9D67-C61940146639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University of Stellenbosch</t>
        </r>
      </text>
    </comment>
    <comment ref="J20" authorId="0" shapeId="0" xr:uid="{382FDD3C-8E1B-4406-B66A-74F83B6DB08C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Wonders of Cape - 11 Rooms x 2 Nights
SSA 2209 - 8 Rooms x 2 Nights
Both Washed by 50%</t>
        </r>
      </text>
    </comment>
    <comment ref="J22" authorId="0" shapeId="0" xr:uid="{7CB98508-4CFB-4757-A0D0-49252CF14622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J24" authorId="0" shapeId="0" xr:uid="{A4CF7FCC-749C-465E-8B87-6628B1E193F6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N28" authorId="0" shapeId="0" xr:uid="{92FB0666-752F-4A4A-8FF5-5F9AFE5B868B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Futurelect</t>
        </r>
      </text>
    </comment>
    <comment ref="J29" authorId="0" shapeId="0" xr:uid="{AB8FEBCA-5988-408D-BFBA-E12FB45A4BCD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J31" authorId="0" shapeId="0" xr:uid="{A9172450-91EE-4F1E-A2C3-7661083659A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 xml:space="preserve">Collette Washed by 25%
</t>
        </r>
      </text>
    </comment>
    <comment ref="J36" authorId="0" shapeId="0" xr:uid="{F85701C0-F998-4321-931B-3D7D87242851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K8" authorId="0" shapeId="0" xr:uid="{754BDD49-0802-45F1-A095-10C44061D56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Holding 54 @ 
R 1908</t>
        </r>
      </text>
    </comment>
    <comment ref="G15" authorId="0" shapeId="0" xr:uid="{EADD2D1B-183C-4707-860F-753212717E57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Gastroenterology - 83 RNights
Type Dev - 36 Rnights
OSA Photoics - 74 RNights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J7" authorId="0" shapeId="0" xr:uid="{6E2AAB46-D14D-46D8-9212-031AF99763C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</t>
        </r>
      </text>
    </comment>
    <comment ref="P7" authorId="0" shapeId="0" xr:uid="{E94D03AD-5D4A-4817-B72A-C90037C3369F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Cape Wine - Iccommodate PTY</t>
        </r>
      </text>
    </comment>
    <comment ref="J8" authorId="0" shapeId="0" xr:uid="{12BC3452-411A-4C2C-A4D6-D5EBD210E8E5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 - washed by 25%</t>
        </r>
      </text>
    </comment>
    <comment ref="P8" authorId="0" shapeId="0" xr:uid="{F7B0E921-4DE4-4BF2-85C8-AC4E4B7DC442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Spier Wines</t>
        </r>
      </text>
    </comment>
    <comment ref="J13" authorId="0" shapeId="0" xr:uid="{599D377C-B786-4217-96E9-DEDEC7C2C4DB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 - Washed by 25%</t>
        </r>
      </text>
    </comment>
    <comment ref="J15" authorId="0" shapeId="0" xr:uid="{96DA2025-B55C-4630-9F70-50447E752755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 - washed by 25%</t>
        </r>
      </text>
    </comment>
    <comment ref="J17" authorId="0" shapeId="0" xr:uid="{297F0EDF-BAE6-4ECD-B40D-A0FA059B7280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SAA - 8 Rnights = Washed 100%</t>
        </r>
      </text>
    </comment>
    <comment ref="J20" authorId="0" shapeId="0" xr:uid="{07EC1AB4-684E-4AFD-A6F1-3E5CD83A1DDA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 - Washed by 25%</t>
        </r>
      </text>
    </comment>
    <comment ref="J22" authorId="0" shapeId="0" xr:uid="{864D3B43-1711-4BFE-A83B-DA9E922C37F0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 - Washed by 25%</t>
        </r>
      </text>
    </comment>
    <comment ref="J27" authorId="0" shapeId="0" xr:uid="{9C5C33E3-B445-44E2-A9A9-CE38AD0E8085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 - Washed by 25%</t>
        </r>
      </text>
    </comment>
    <comment ref="J28" authorId="0" shapeId="0" xr:uid="{D837D09F-D881-4666-8FCA-6565B904A7F2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Gebeco Washed 50%</t>
        </r>
      </text>
    </comment>
    <comment ref="J32" authorId="0" shapeId="0" xr:uid="{CEAC9715-8208-4B0B-9717-52CC76AE09F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Gebeco - washed by 50%</t>
        </r>
      </text>
    </comment>
    <comment ref="J34" authorId="0" shapeId="0" xr:uid="{92F4713E-0A7B-476F-80DC-8F5EB4CECC44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J36" authorId="0" shapeId="0" xr:uid="{0B853B36-978B-4403-A55A-02BF9E0E230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P37" authorId="0" shapeId="0" xr:uid="{31CBB0C5-B4EF-4EB6-A3B1-D4474321681B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Chenin Alloc 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J7" authorId="0" shapeId="0" xr:uid="{7AAB93BD-99D4-4FDB-8B00-CA833714C177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Chrono - 50% wash</t>
        </r>
      </text>
    </comment>
    <comment ref="P7" authorId="0" shapeId="0" xr:uid="{BEF0BC41-B288-497E-87F2-48DD58AB9B2A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Washed Chenin Alloc</t>
        </r>
      </text>
    </comment>
    <comment ref="J10" authorId="0" shapeId="0" xr:uid="{220383CB-E8FA-46E8-BF48-2E9E45C213E2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Washed Collette by 25%</t>
        </r>
      </text>
    </comment>
    <comment ref="J12" authorId="0" shapeId="0" xr:uid="{06D31F94-71F7-44C5-8C59-675E810CFE14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Washed by 25%</t>
        </r>
      </text>
    </comment>
    <comment ref="J17" authorId="0" shapeId="0" xr:uid="{662A1467-DBE5-4C12-8530-6B9D3758986A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J19" authorId="0" shapeId="0" xr:uid="{8312FFBD-85DA-4F9B-A1BD-53E38A827719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J24" authorId="0" shapeId="0" xr:uid="{DD991651-DD36-457A-A39A-720E108F2CDD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DerTour Kol - washed by 50%</t>
        </r>
      </text>
    </comment>
    <comment ref="D26" authorId="0" shapeId="0" xr:uid="{1BA28C22-6428-4738-9AAD-40673F9B4AE5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Bythe Wedding - Rooming List already in</t>
        </r>
      </text>
    </comment>
    <comment ref="J26" authorId="0" shapeId="0" xr:uid="{B0E6661E-FCB3-4EF8-B5AE-B64FEA5C9568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J31" authorId="0" shapeId="0" xr:uid="{A17D6AE4-9E43-4257-8DE2-E402A339E68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- Washed by 25%</t>
        </r>
      </text>
    </comment>
    <comment ref="J33" authorId="0" shapeId="0" xr:uid="{C9D7D1F8-A51D-4173-92B7-D745E0D414F6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P11" authorId="0" shapeId="0" xr:uid="{C16E45AB-A225-4B16-99C4-4CCD9C7926A7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Brics Maths Alloc washed</t>
        </r>
      </text>
    </comment>
    <comment ref="D13" authorId="0" shapeId="0" xr:uid="{75CB4DB4-2C05-491E-8D63-F0A3DE825892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40 Rooms on Allocation - Sonam Wedding</t>
        </r>
      </text>
    </comment>
    <comment ref="D20" authorId="0" shapeId="0" xr:uid="{F4B1DE36-8B87-431C-BA64-CEF61E8E6559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Wedding Allocaiton - washed by 50%</t>
        </r>
      </text>
    </comment>
  </commentList>
</comments>
</file>

<file path=xl/sharedStrings.xml><?xml version="1.0" encoding="utf-8"?>
<sst xmlns="http://schemas.openxmlformats.org/spreadsheetml/2006/main" count="2290" uniqueCount="237">
  <si>
    <t>as at</t>
  </si>
  <si>
    <t>Total Rooms</t>
  </si>
  <si>
    <t>Segment</t>
  </si>
  <si>
    <t>Actuals 2013</t>
  </si>
  <si>
    <t>Rmnts</t>
  </si>
  <si>
    <t>Bus Mix</t>
  </si>
  <si>
    <t>ADR</t>
  </si>
  <si>
    <t>Rev</t>
  </si>
  <si>
    <t>DIRECT</t>
  </si>
  <si>
    <t>THIRD PARTY WEBSITES</t>
  </si>
  <si>
    <t>CORPORATE</t>
  </si>
  <si>
    <t>GCC/ TRAVEL AGENT</t>
  </si>
  <si>
    <t>WHOLESALE</t>
  </si>
  <si>
    <t>Total Transient</t>
  </si>
  <si>
    <t>GROUPS</t>
  </si>
  <si>
    <t>CASINOS</t>
  </si>
  <si>
    <t>TOTAL w/o comp</t>
  </si>
  <si>
    <t>OCC % w/o comp</t>
  </si>
  <si>
    <t>COMPS/ HOUSE USE</t>
  </si>
  <si>
    <t>OWNERS</t>
  </si>
  <si>
    <t>TOTAL</t>
  </si>
  <si>
    <t>OCC %</t>
  </si>
  <si>
    <t xml:space="preserve">REVPAR </t>
  </si>
  <si>
    <t>Comments:</t>
  </si>
  <si>
    <t>Q1</t>
  </si>
  <si>
    <t>Q2</t>
  </si>
  <si>
    <t>Q3</t>
  </si>
  <si>
    <t>Q4</t>
  </si>
  <si>
    <t>OTHER INCOME/ADJ</t>
  </si>
  <si>
    <t>TOTAL FIT</t>
  </si>
  <si>
    <t>Board Forecast 2014</t>
  </si>
  <si>
    <t>(Actuals+OTB) 2014</t>
  </si>
  <si>
    <t>(Actuals+OTB) 2013</t>
  </si>
  <si>
    <t>Var OTB 14/13</t>
  </si>
  <si>
    <t>Var OTB vs Budget</t>
  </si>
  <si>
    <t>Spier</t>
  </si>
  <si>
    <t>TOTAL DIRECT</t>
  </si>
  <si>
    <t>Groups Leisure</t>
  </si>
  <si>
    <t>Individuals Direct</t>
  </si>
  <si>
    <t>TOTAL STO</t>
  </si>
  <si>
    <t>Group STO</t>
  </si>
  <si>
    <t>Individual FIT</t>
  </si>
  <si>
    <t>TOTAL CONFERENCE</t>
  </si>
  <si>
    <t>Group Corporate</t>
  </si>
  <si>
    <t>Individuals Packages</t>
  </si>
  <si>
    <t>Total Group</t>
  </si>
  <si>
    <t>TOTAL Thought Leaders</t>
  </si>
  <si>
    <t>Group Affiliates</t>
  </si>
  <si>
    <t>enter day per month</t>
  </si>
  <si>
    <t>Event/Group</t>
  </si>
  <si>
    <t>GRP Leisure</t>
  </si>
  <si>
    <t>IND Direct</t>
  </si>
  <si>
    <t>IND Package</t>
  </si>
  <si>
    <t>GRP STO</t>
  </si>
  <si>
    <t>IND FIT</t>
  </si>
  <si>
    <t>GRP Affiliates</t>
  </si>
  <si>
    <t>GRP CORP</t>
  </si>
  <si>
    <t>COMP</t>
  </si>
  <si>
    <t>Rms</t>
  </si>
  <si>
    <t>Occ%</t>
  </si>
  <si>
    <t>ZAR</t>
  </si>
  <si>
    <t xml:space="preserve">ZAR </t>
  </si>
  <si>
    <t>Tot. ZAR</t>
  </si>
  <si>
    <t>Sun</t>
  </si>
  <si>
    <t>Mon</t>
  </si>
  <si>
    <t>Tue</t>
  </si>
  <si>
    <t>Wed</t>
  </si>
  <si>
    <t>Thu</t>
  </si>
  <si>
    <t>Fri</t>
  </si>
  <si>
    <t>Sat</t>
  </si>
  <si>
    <t xml:space="preserve">
</t>
  </si>
  <si>
    <t>Total REV</t>
  </si>
  <si>
    <t xml:space="preserve">School </t>
  </si>
  <si>
    <t>Heritage Day</t>
  </si>
  <si>
    <t>Human Rights</t>
  </si>
  <si>
    <t>Workers Day</t>
  </si>
  <si>
    <t>Youth Day</t>
  </si>
  <si>
    <t>Holidays</t>
  </si>
  <si>
    <t>Day of Recon</t>
  </si>
  <si>
    <t>Day of Goodwill</t>
  </si>
  <si>
    <t>New Year</t>
  </si>
  <si>
    <t>Freedom Day</t>
  </si>
  <si>
    <t>6510-10-10-10</t>
  </si>
  <si>
    <t>Acc #</t>
  </si>
  <si>
    <t>Acc Name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</si>
  <si>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</si>
  <si>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</si>
  <si>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</si>
  <si>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</si>
  <si>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</si>
  <si>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</si>
  <si>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</si>
  <si>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</si>
  <si>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</si>
  <si>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</si>
  <si>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</si>
  <si>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</si>
  <si>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Total</t>
  </si>
  <si>
    <t>Variance</t>
  </si>
  <si>
    <t>ROOMS REVENUE INCL. STATS</t>
  </si>
  <si>
    <t>Summary - Accomodation &amp; Conferencing Revenue incl. STATS</t>
  </si>
  <si>
    <t>Womens Day</t>
  </si>
  <si>
    <t>Xmas Day</t>
  </si>
  <si>
    <t>School</t>
  </si>
  <si>
    <t>Holiday</t>
  </si>
  <si>
    <t>Actuals 2020 / 2021</t>
  </si>
  <si>
    <t>Var Budget vs Actuals 20/21</t>
  </si>
  <si>
    <t>Rooms Business Mix Q1 2022</t>
  </si>
  <si>
    <t>Rooms Business Mix Q2 2022</t>
  </si>
  <si>
    <t>Accommodation - 2022</t>
  </si>
  <si>
    <t>Occupancy - 2022</t>
  </si>
  <si>
    <t>RevPar - 2022</t>
  </si>
  <si>
    <t>Rooms - 2022</t>
  </si>
  <si>
    <t>Rooms Nights - 2022</t>
  </si>
  <si>
    <t>Comp Nights - 2022</t>
  </si>
  <si>
    <t>Average guest per room occ - 2022</t>
  </si>
  <si>
    <t>Average Length of Stay - 2022</t>
  </si>
  <si>
    <t>ADR - 2022</t>
  </si>
  <si>
    <t>JULY 2022</t>
  </si>
  <si>
    <t>Rooms Business Mix July 2022</t>
  </si>
  <si>
    <t>Budget 2022 / 2023</t>
  </si>
  <si>
    <t>Var Budget vs Actuals 21/22</t>
  </si>
  <si>
    <t>Actuals 2021 / 2022</t>
  </si>
  <si>
    <t>Notes:</t>
  </si>
  <si>
    <t>AUGUST 2022</t>
  </si>
  <si>
    <t>Rooms Business Mix August 2022</t>
  </si>
  <si>
    <t>SEPTEMBER 2022</t>
  </si>
  <si>
    <t>Rooms Business Mix September 2022</t>
  </si>
  <si>
    <t>Var Budget vs Actuals 22/23</t>
  </si>
  <si>
    <t>OCTOBER 2022</t>
  </si>
  <si>
    <t>Rooms Business Mix October 2022</t>
  </si>
  <si>
    <t>NOVEMBER 2022</t>
  </si>
  <si>
    <t>Rooms Business Mix November 2022</t>
  </si>
  <si>
    <t>DECEMBER 2022</t>
  </si>
  <si>
    <t>Rooms Business Mix December 2022</t>
  </si>
  <si>
    <t>JANUARY 2023</t>
  </si>
  <si>
    <t>Rooms Business Mix January 2023</t>
  </si>
  <si>
    <t>FEBRUARY 2023</t>
  </si>
  <si>
    <t>Rooms Business Mix February 2023</t>
  </si>
  <si>
    <t>Var Budget vs Actuals 21/223</t>
  </si>
  <si>
    <t>MARCH 2023</t>
  </si>
  <si>
    <t>Rooms Business Mix March 2023</t>
  </si>
  <si>
    <t>Rooms Business Mix Q3 2023</t>
  </si>
  <si>
    <t>APRIL 2023</t>
  </si>
  <si>
    <t>Rooms Business Mix April 2023</t>
  </si>
  <si>
    <t>MAY 2023</t>
  </si>
  <si>
    <t>Rooms Business Mix May 2023</t>
  </si>
  <si>
    <t>JUNE 2023</t>
  </si>
  <si>
    <t>Rooms Business Mix June 2023</t>
  </si>
  <si>
    <t>Rooms Business Mix Q4 2023</t>
  </si>
  <si>
    <t>Rooms Business Mix 2022 / 2023</t>
  </si>
  <si>
    <t>Accommodation - 2023</t>
  </si>
  <si>
    <t>Occupancy - 2023</t>
  </si>
  <si>
    <t>RevPar - 2023</t>
  </si>
  <si>
    <t>ADR - 2023</t>
  </si>
  <si>
    <t>Rooms - 2023</t>
  </si>
  <si>
    <t>Rooms Nights - 2023</t>
  </si>
  <si>
    <t>Comp Nights - 2023</t>
  </si>
  <si>
    <t>Average guest per room occ - 2023</t>
  </si>
  <si>
    <t>Average Length of Stay - 2023</t>
  </si>
  <si>
    <t>Budget 2021 / 2022</t>
  </si>
  <si>
    <t>Group Leisure</t>
  </si>
  <si>
    <t>School Holidays</t>
  </si>
  <si>
    <t>Coastal SH</t>
  </si>
  <si>
    <t>Good Friday</t>
  </si>
  <si>
    <t>Family Day</t>
  </si>
  <si>
    <t>SPIER ROOM NIGHTS</t>
  </si>
  <si>
    <t>Room Nights</t>
  </si>
  <si>
    <t>July</t>
  </si>
  <si>
    <t>August</t>
  </si>
  <si>
    <t>September</t>
  </si>
  <si>
    <t>October</t>
  </si>
  <si>
    <t>November</t>
  </si>
  <si>
    <t>December</t>
  </si>
  <si>
    <t>January</t>
  </si>
  <si>
    <t xml:space="preserve">February </t>
  </si>
  <si>
    <t>March</t>
  </si>
  <si>
    <t>April</t>
  </si>
  <si>
    <t>June</t>
  </si>
  <si>
    <t>Buss Mix</t>
  </si>
  <si>
    <t>2016/2017</t>
  </si>
  <si>
    <t>2017/2018</t>
  </si>
  <si>
    <t>2018/2019</t>
  </si>
  <si>
    <t>2019/2020</t>
  </si>
  <si>
    <t>2020/2021</t>
  </si>
  <si>
    <t>Direct</t>
  </si>
  <si>
    <t>Packages</t>
  </si>
  <si>
    <t>STO</t>
  </si>
  <si>
    <t>Available Rooms</t>
  </si>
  <si>
    <t>Guests</t>
  </si>
  <si>
    <t>Avg Guest Per Room Occupied</t>
  </si>
  <si>
    <t>Arrival Rooms</t>
  </si>
  <si>
    <t>Avg LOS</t>
  </si>
  <si>
    <t>SPIER AVERAGE RATE</t>
  </si>
  <si>
    <t>SPIER ROOM REVENUE</t>
  </si>
  <si>
    <t>RevPAR</t>
  </si>
  <si>
    <t>MEET</t>
  </si>
  <si>
    <t>2021/2022</t>
  </si>
  <si>
    <t>2022/2023</t>
  </si>
  <si>
    <t>5 YEAR FORECAST</t>
  </si>
  <si>
    <t>Current normal</t>
  </si>
  <si>
    <t>Forecast 2022</t>
  </si>
  <si>
    <t>Base year</t>
  </si>
  <si>
    <t>YEAR 1</t>
  </si>
  <si>
    <t>YEAR 2</t>
  </si>
  <si>
    <t>YEAR 3</t>
  </si>
  <si>
    <t>YEAR 4</t>
  </si>
  <si>
    <t>YEAR 5</t>
  </si>
  <si>
    <t>Occupancy %</t>
  </si>
  <si>
    <t>Ave roomrate</t>
  </si>
  <si>
    <t>BUDGET 22 / 23</t>
  </si>
  <si>
    <t>Increase based on Budget 22 / 23</t>
  </si>
  <si>
    <t>Increase based on Base Year</t>
  </si>
  <si>
    <t>Increase based on Forecast</t>
  </si>
  <si>
    <t>% Diff to PY</t>
  </si>
  <si>
    <t>% Diff to 2018 / 2019</t>
  </si>
  <si>
    <t>Business Mix</t>
  </si>
  <si>
    <t>Meetings</t>
  </si>
  <si>
    <t>Budget 22 / 23</t>
  </si>
  <si>
    <t>Room nights</t>
  </si>
  <si>
    <t>No of days in trade</t>
  </si>
  <si>
    <t xml:space="preserve">Available rooms </t>
  </si>
  <si>
    <t>Average room rate</t>
  </si>
  <si>
    <t>RevPar</t>
  </si>
  <si>
    <t>On the Books for Q1 2023</t>
  </si>
  <si>
    <t>On the Books 2021 / 2022</t>
  </si>
  <si>
    <t>2021 / 2022</t>
  </si>
  <si>
    <t>2022 / 2023</t>
  </si>
  <si>
    <t>2018 / 2019</t>
  </si>
  <si>
    <t>Occupancy</t>
  </si>
  <si>
    <t>Average Rate</t>
  </si>
  <si>
    <t>18/19</t>
  </si>
  <si>
    <t>19/20</t>
  </si>
  <si>
    <t>20/21</t>
  </si>
  <si>
    <t>21/22</t>
  </si>
  <si>
    <t>22/23</t>
  </si>
  <si>
    <t>JUYO Forecasting formatter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</si>
</sst>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2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 * #,##0_ ;_ * \-#,##0_ ;_ * &quot;-&quot;_ ;_ @_ "/>
    <numFmt numFmtId="167" formatCode="_ * #,##0.00_ ;_ * \-#,##0.00_ ;_ * &quot;-&quot;??_ ;_ @_ "/>
    <numFmt numFmtId="168" formatCode="[$-409]d\-mmm\-yy;@"/>
    <numFmt numFmtId="169" formatCode="0.0%"/>
    <numFmt numFmtId="170" formatCode="_(* #,##0_);_(* \(#,##0\);_(* &quot;-&quot;??_);_(@_)"/>
    <numFmt numFmtId="171" formatCode="[$-409]mmmm\-yy;@"/>
    <numFmt numFmtId="172" formatCode="#,##0.0000_);\(#,##0.0000\)"/>
    <numFmt numFmtId="173" formatCode="General_)"/>
    <numFmt numFmtId="174" formatCode="0.000"/>
    <numFmt numFmtId="175" formatCode="0\ \ "/>
    <numFmt numFmtId="176" formatCode="mmmm\ yyyy\ "/>
    <numFmt numFmtId="177" formatCode="0%\ \ \ ;\(0%\)\ \ ;&quot;   -   &quot;"/>
    <numFmt numFmtId="178" formatCode="#,##0;\(#,##0\)"/>
    <numFmt numFmtId="179" formatCode="[$-409]dddd\,\ mmmm\ dd\,\ yyyy"/>
    <numFmt numFmtId="180" formatCode="#,##0\ \ ;\(#,##0\)\ "/>
    <numFmt numFmtId="181" formatCode="0.0%\ "/>
    <numFmt numFmtId="182" formatCode="#,#00%"/>
    <numFmt numFmtId="183" formatCode="#,##0.00\ \ ;\(#,##0.00\)\ ;&quot;       -     &quot;"/>
    <numFmt numFmtId="184" formatCode="#,##0.000\ \ ;\(#,##0.000\)\ ;&quot;       -     &quot;"/>
    <numFmt numFmtId="185" formatCode="dd"/>
    <numFmt numFmtId="186" formatCode="_ * #,##0.00_ ;_ * \-#,##0.00_ ;_ * &quot;-&quot;_ ;_ @_ "/>
    <numFmt numFmtId="187" formatCode="m/d/yy;@"/>
    <numFmt numFmtId="188" formatCode="_(* #,##0.0_);_(* \(#,##0.0\);_(* &quot;-&quot;??_);_(@_)"/>
    <numFmt numFmtId="189" formatCode="_-* #,##0.00\ _z_ł_-;\-* #,##0.00\ _z_ł_-;_-* &quot;-&quot;??\ _z_ł_-;_-@_-"/>
    <numFmt numFmtId="190" formatCode="_ * #,##0_ ;_ * \-#,##0_ ;_ * &quot;-&quot;??_ ;_ @_ "/>
    <numFmt numFmtId="191" formatCode="_ * #,##0.0_ ;_ * \-#,##0.0_ ;_ * &quot;-&quot;??_ ;_ @_ "/>
    <numFmt numFmtId="192" formatCode="[$R-1C09]\ #,##0"/>
    <numFmt numFmtId="193" formatCode="_-* #,##0_-;\-* #,##0_-;_-* &quot;-&quot;??_-;_-@_-"/>
  </numFmts>
  <fonts count="9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20"/>
      <name val="Arial"/>
      <family val="2"/>
    </font>
    <font>
      <sz val="20"/>
      <color theme="1"/>
      <name val="Arial"/>
      <family val="2"/>
    </font>
    <font>
      <sz val="18"/>
      <name val="Arial"/>
      <family val="2"/>
    </font>
    <font>
      <sz val="18"/>
      <color theme="1"/>
      <name val="Arial"/>
      <family val="2"/>
    </font>
    <font>
      <b/>
      <sz val="18"/>
      <name val="Arial"/>
      <family val="2"/>
    </font>
    <font>
      <sz val="16"/>
      <name val="Arial"/>
      <family val="2"/>
    </font>
    <font>
      <b/>
      <u/>
      <sz val="18"/>
      <name val="Arial"/>
      <family val="2"/>
    </font>
    <font>
      <b/>
      <sz val="18"/>
      <color rgb="FFFF0000"/>
      <name val="Arial"/>
      <family val="2"/>
    </font>
    <font>
      <sz val="9"/>
      <name val="Times New Roman"/>
      <family val="1"/>
    </font>
    <font>
      <b/>
      <sz val="8"/>
      <name val="Helv"/>
    </font>
    <font>
      <b/>
      <u/>
      <sz val="14"/>
      <name val="MS Sans Serif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color indexed="12"/>
      <name val="MS Sans Serif"/>
      <family val="2"/>
    </font>
    <font>
      <b/>
      <sz val="12"/>
      <name val="Arial"/>
      <family val="2"/>
    </font>
    <font>
      <sz val="12"/>
      <name val="Arial"/>
      <family val="2"/>
    </font>
    <font>
      <sz val="11"/>
      <color indexed="63"/>
      <name val="Calibri"/>
      <family val="2"/>
    </font>
    <font>
      <sz val="12"/>
      <name val="Helv"/>
    </font>
    <font>
      <b/>
      <u/>
      <sz val="12"/>
      <name val="MS Sans Serif"/>
      <family val="2"/>
    </font>
    <font>
      <b/>
      <i/>
      <sz val="10"/>
      <name val="MS Sans Serif"/>
      <family val="2"/>
    </font>
    <font>
      <b/>
      <i/>
      <u/>
      <sz val="11"/>
      <name val="MS Sans Serif"/>
      <family val="2"/>
    </font>
    <font>
      <i/>
      <sz val="10"/>
      <name val="Helv"/>
    </font>
    <font>
      <b/>
      <sz val="10"/>
      <name val="Helv"/>
    </font>
    <font>
      <b/>
      <sz val="12"/>
      <name val="Helv"/>
    </font>
    <font>
      <b/>
      <sz val="9"/>
      <name val="MS Sans Serif"/>
      <family val="2"/>
    </font>
    <font>
      <i/>
      <sz val="16"/>
      <name val="Arial"/>
      <family val="2"/>
    </font>
    <font>
      <i/>
      <sz val="16"/>
      <color theme="1"/>
      <name val="Arial"/>
      <family val="2"/>
    </font>
    <font>
      <i/>
      <sz val="15"/>
      <name val="Arial"/>
      <family val="2"/>
    </font>
    <font>
      <i/>
      <sz val="15"/>
      <color theme="1"/>
      <name val="Arial"/>
      <family val="2"/>
    </font>
    <font>
      <i/>
      <sz val="16"/>
      <color rgb="FFFF0000"/>
      <name val="Arial"/>
      <family val="2"/>
    </font>
    <font>
      <sz val="18"/>
      <color theme="0"/>
      <name val="Arial"/>
      <family val="2"/>
    </font>
    <font>
      <b/>
      <sz val="20"/>
      <name val="Arial Narrow"/>
      <family val="2"/>
    </font>
    <font>
      <sz val="10"/>
      <name val="Arial Narrow"/>
      <family val="2"/>
    </font>
    <font>
      <sz val="10"/>
      <color theme="0"/>
      <name val="Arial Narrow"/>
      <family val="2"/>
    </font>
    <font>
      <sz val="10"/>
      <color theme="0" tint="-4.9989318521683403E-2"/>
      <name val="Arial Narrow"/>
      <family val="2"/>
    </font>
    <font>
      <b/>
      <sz val="16"/>
      <color indexed="59"/>
      <name val="Arial Narrow"/>
      <family val="2"/>
    </font>
    <font>
      <sz val="12"/>
      <name val="Arial Narrow"/>
      <family val="2"/>
    </font>
    <font>
      <sz val="12"/>
      <color theme="0"/>
      <name val="Arial Narrow"/>
      <family val="2"/>
    </font>
    <font>
      <sz val="12"/>
      <color theme="1"/>
      <name val="Arial Narrow"/>
      <family val="2"/>
    </font>
    <font>
      <sz val="12"/>
      <color theme="1"/>
      <name val="Calibri"/>
      <family val="2"/>
      <scheme val="minor"/>
    </font>
    <font>
      <b/>
      <sz val="12"/>
      <name val="Arial Narrow"/>
      <family val="2"/>
    </font>
    <font>
      <sz val="12"/>
      <color rgb="FFFF0000"/>
      <name val="Arial Narrow"/>
      <family val="2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2"/>
      <color theme="9" tint="-0.249977111117893"/>
      <name val="Arial Narrow"/>
      <family val="2"/>
    </font>
    <font>
      <sz val="8"/>
      <color theme="1"/>
      <name val="Century Gothic"/>
      <family val="2"/>
    </font>
    <font>
      <b/>
      <sz val="8"/>
      <color theme="1"/>
      <name val="Century Gothic"/>
      <family val="2"/>
    </font>
    <font>
      <b/>
      <sz val="8"/>
      <color rgb="FFFF0000"/>
      <name val="Century Gothic"/>
      <family val="2"/>
    </font>
    <font>
      <sz val="8"/>
      <color rgb="FFFF0000"/>
      <name val="Century Gothic"/>
      <family val="2"/>
    </font>
    <font>
      <b/>
      <sz val="8"/>
      <name val="Century Gothic"/>
      <family val="2"/>
    </font>
    <font>
      <b/>
      <u/>
      <sz val="8"/>
      <color theme="1"/>
      <name val="Century Gothic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name val="Arial"/>
      <family val="2"/>
      <charset val="238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6"/>
      <color rgb="FFFF0000"/>
      <name val="Arial"/>
      <family val="2"/>
    </font>
    <font>
      <sz val="8"/>
      <name val="Calibri"/>
      <family val="2"/>
      <scheme val="minor"/>
    </font>
    <font>
      <i/>
      <sz val="12"/>
      <name val="Arial Narrow"/>
      <family val="2"/>
    </font>
    <font>
      <sz val="11"/>
      <color theme="1"/>
      <name val="Arial Narrow"/>
      <family val="2"/>
    </font>
    <font>
      <sz val="10"/>
      <color rgb="FFFF0000"/>
      <name val="Arial Narrow"/>
      <family val="2"/>
    </font>
    <font>
      <b/>
      <sz val="18"/>
      <color theme="1"/>
      <name val="Arial"/>
      <family val="2"/>
    </font>
    <font>
      <sz val="10"/>
      <color theme="5" tint="-0.249977111117893"/>
      <name val="Arial Narrow"/>
      <family val="2"/>
    </font>
    <font>
      <sz val="10"/>
      <color rgb="FFC00000"/>
      <name val="Arial Narrow"/>
      <family val="2"/>
    </font>
    <font>
      <b/>
      <u/>
      <sz val="18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48"/>
      <color theme="1"/>
      <name val="Calibri"/>
      <family val="2"/>
      <scheme val="minor"/>
    </font>
    <font>
      <sz val="12"/>
      <color rgb="FF0070C0"/>
      <name val="Arial Narrow"/>
      <family val="2"/>
    </font>
    <font>
      <sz val="12"/>
      <color indexed="81"/>
      <name val="Tahoma"/>
      <family val="2"/>
    </font>
    <font>
      <sz val="12"/>
      <color rgb="FF00B0F0"/>
      <name val="Arial Narrow"/>
      <family val="2"/>
    </font>
    <font>
      <sz val="11"/>
      <color indexed="81"/>
      <name val="Tahoma"/>
      <family val="2"/>
    </font>
    <font>
      <b/>
      <sz val="10"/>
      <name val="Arial"/>
      <family val="2"/>
    </font>
    <font>
      <i/>
      <sz val="1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</fills>
  <borders count="9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062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37" fontId="3" fillId="0" borderId="0"/>
    <xf numFmtId="165" fontId="3" fillId="0" borderId="0" applyFont="0" applyFill="0" applyBorder="0" applyAlignment="0" applyProtection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172" fontId="3" fillId="0" borderId="0" applyFill="0" applyBorder="0" applyAlignment="0"/>
    <xf numFmtId="173" fontId="12" fillId="0" borderId="0" applyFill="0" applyBorder="0" applyAlignment="0"/>
    <xf numFmtId="174" fontId="12" fillId="0" borderId="0" applyFill="0" applyBorder="0" applyAlignment="0"/>
    <xf numFmtId="175" fontId="3" fillId="0" borderId="0" applyFill="0" applyBorder="0" applyAlignment="0"/>
    <xf numFmtId="176" fontId="3" fillId="0" borderId="0" applyFill="0" applyBorder="0" applyAlignment="0"/>
    <xf numFmtId="172" fontId="3" fillId="0" borderId="0" applyFill="0" applyBorder="0" applyAlignment="0"/>
    <xf numFmtId="177" fontId="3" fillId="0" borderId="0" applyFill="0" applyBorder="0" applyAlignment="0"/>
    <xf numFmtId="173" fontId="12" fillId="0" borderId="0" applyFill="0" applyBorder="0" applyAlignment="0"/>
    <xf numFmtId="3" fontId="13" fillId="0" borderId="0">
      <alignment horizontal="center"/>
    </xf>
    <xf numFmtId="178" fontId="3" fillId="0" borderId="22" applyFill="0" applyBorder="0" applyAlignment="0" applyProtection="0"/>
    <xf numFmtId="172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80" fontId="14" fillId="0" borderId="0">
      <alignment horizontal="left" vertical="center"/>
    </xf>
    <xf numFmtId="173" fontId="12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4" fontId="15" fillId="0" borderId="0" applyFill="0" applyBorder="0" applyAlignment="0"/>
    <xf numFmtId="14" fontId="15" fillId="0" borderId="0" applyFill="0" applyBorder="0" applyAlignment="0"/>
    <xf numFmtId="14" fontId="15" fillId="0" borderId="0" applyFill="0" applyBorder="0" applyAlignment="0"/>
    <xf numFmtId="14" fontId="15" fillId="0" borderId="0" applyFill="0" applyBorder="0" applyAlignment="0"/>
    <xf numFmtId="14" fontId="15" fillId="0" borderId="0" applyFill="0" applyBorder="0" applyAlignment="0"/>
    <xf numFmtId="38" fontId="16" fillId="0" borderId="23">
      <alignment vertical="center"/>
    </xf>
    <xf numFmtId="172" fontId="3" fillId="0" borderId="0" applyFill="0" applyBorder="0" applyAlignment="0"/>
    <xf numFmtId="173" fontId="12" fillId="0" borderId="0" applyFill="0" applyBorder="0" applyAlignment="0"/>
    <xf numFmtId="172" fontId="3" fillId="0" borderId="0" applyFill="0" applyBorder="0" applyAlignment="0"/>
    <xf numFmtId="177" fontId="3" fillId="0" borderId="0" applyFill="0" applyBorder="0" applyAlignment="0"/>
    <xf numFmtId="173" fontId="12" fillId="0" borderId="0" applyFill="0" applyBorder="0" applyAlignment="0"/>
    <xf numFmtId="180" fontId="17" fillId="0" borderId="19" applyBorder="0">
      <alignment vertical="center"/>
    </xf>
    <xf numFmtId="0" fontId="18" fillId="0" borderId="24" applyNumberFormat="0" applyAlignment="0" applyProtection="0">
      <alignment horizontal="left" vertical="center"/>
    </xf>
    <xf numFmtId="0" fontId="18" fillId="0" borderId="9">
      <alignment horizontal="left" vertical="center"/>
    </xf>
    <xf numFmtId="172" fontId="3" fillId="0" borderId="0" applyFill="0" applyBorder="0" applyAlignment="0"/>
    <xf numFmtId="173" fontId="12" fillId="0" borderId="0" applyFill="0" applyBorder="0" applyAlignment="0"/>
    <xf numFmtId="172" fontId="3" fillId="0" borderId="0" applyFill="0" applyBorder="0" applyAlignment="0"/>
    <xf numFmtId="177" fontId="3" fillId="0" borderId="0" applyFill="0" applyBorder="0" applyAlignment="0"/>
    <xf numFmtId="173" fontId="12" fillId="0" borderId="0" applyFill="0" applyBorder="0" applyAlignment="0"/>
    <xf numFmtId="43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4" borderId="25" applyNumberFormat="0" applyFont="0" applyAlignment="0" applyProtection="0"/>
    <xf numFmtId="0" fontId="20" fillId="4" borderId="25" applyNumberFormat="0" applyFont="0" applyAlignment="0" applyProtection="0"/>
    <xf numFmtId="1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82" fontId="21" fillId="0" borderId="0"/>
    <xf numFmtId="172" fontId="3" fillId="0" borderId="0" applyFill="0" applyBorder="0" applyAlignment="0"/>
    <xf numFmtId="173" fontId="12" fillId="0" borderId="0" applyFill="0" applyBorder="0" applyAlignment="0"/>
    <xf numFmtId="172" fontId="3" fillId="0" borderId="0" applyFill="0" applyBorder="0" applyAlignment="0"/>
    <xf numFmtId="177" fontId="3" fillId="0" borderId="0" applyFill="0" applyBorder="0" applyAlignment="0"/>
    <xf numFmtId="173" fontId="12" fillId="0" borderId="0" applyFill="0" applyBorder="0" applyAlignment="0"/>
    <xf numFmtId="180" fontId="22" fillId="0" borderId="0">
      <alignment horizontal="left" vertical="center"/>
    </xf>
    <xf numFmtId="180" fontId="23" fillId="0" borderId="0">
      <alignment horizontal="left" vertical="center"/>
    </xf>
    <xf numFmtId="180" fontId="24" fillId="0" borderId="0" applyNumberFormat="0" applyFill="0" applyBorder="0" applyProtection="0">
      <alignment vertical="center"/>
    </xf>
    <xf numFmtId="37" fontId="25" fillId="0" borderId="0">
      <alignment horizontal="left"/>
    </xf>
    <xf numFmtId="3" fontId="26" fillId="0" borderId="0"/>
    <xf numFmtId="3" fontId="27" fillId="0" borderId="0"/>
    <xf numFmtId="180" fontId="28" fillId="0" borderId="0" applyNumberFormat="0" applyFill="0" applyBorder="0" applyProtection="0">
      <alignment vertical="center"/>
    </xf>
    <xf numFmtId="49" fontId="15" fillId="0" borderId="0" applyFill="0" applyBorder="0" applyAlignment="0"/>
    <xf numFmtId="49" fontId="15" fillId="0" borderId="0" applyFill="0" applyBorder="0" applyAlignment="0"/>
    <xf numFmtId="49" fontId="15" fillId="0" borderId="0" applyFill="0" applyBorder="0" applyAlignment="0"/>
    <xf numFmtId="49" fontId="15" fillId="0" borderId="0" applyFill="0" applyBorder="0" applyAlignment="0"/>
    <xf numFmtId="49" fontId="15" fillId="0" borderId="0" applyFill="0" applyBorder="0" applyAlignment="0"/>
    <xf numFmtId="183" fontId="3" fillId="0" borderId="0" applyFill="0" applyBorder="0" applyAlignment="0"/>
    <xf numFmtId="184" fontId="3" fillId="0" borderId="0" applyFill="0" applyBorder="0" applyAlignment="0"/>
    <xf numFmtId="0" fontId="56" fillId="0" borderId="0" applyNumberFormat="0" applyFill="0" applyBorder="0" applyAlignment="0" applyProtection="0"/>
    <xf numFmtId="0" fontId="57" fillId="0" borderId="52" applyNumberFormat="0" applyFill="0" applyAlignment="0" applyProtection="0"/>
    <xf numFmtId="0" fontId="58" fillId="0" borderId="53" applyNumberFormat="0" applyFill="0" applyAlignment="0" applyProtection="0"/>
    <xf numFmtId="0" fontId="59" fillId="0" borderId="54" applyNumberFormat="0" applyFill="0" applyAlignment="0" applyProtection="0"/>
    <xf numFmtId="0" fontId="59" fillId="0" borderId="0" applyNumberFormat="0" applyFill="0" applyBorder="0" applyAlignment="0" applyProtection="0"/>
    <xf numFmtId="0" fontId="60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61" fillId="21" borderId="0" applyNumberFormat="0" applyBorder="0" applyAlignment="0" applyProtection="0"/>
    <xf numFmtId="0" fontId="61" fillId="25" borderId="0" applyNumberFormat="0" applyBorder="0" applyAlignment="0" applyProtection="0"/>
    <xf numFmtId="0" fontId="61" fillId="29" borderId="0" applyNumberFormat="0" applyBorder="0" applyAlignment="0" applyProtection="0"/>
    <xf numFmtId="0" fontId="61" fillId="33" borderId="0" applyNumberFormat="0" applyBorder="0" applyAlignment="0" applyProtection="0"/>
    <xf numFmtId="0" fontId="61" fillId="37" borderId="0" applyNumberFormat="0" applyBorder="0" applyAlignment="0" applyProtection="0"/>
    <xf numFmtId="0" fontId="61" fillId="41" borderId="0" applyNumberFormat="0" applyBorder="0" applyAlignment="0" applyProtection="0"/>
    <xf numFmtId="0" fontId="61" fillId="18" borderId="0" applyNumberFormat="0" applyBorder="0" applyAlignment="0" applyProtection="0"/>
    <xf numFmtId="0" fontId="61" fillId="22" borderId="0" applyNumberFormat="0" applyBorder="0" applyAlignment="0" applyProtection="0"/>
    <xf numFmtId="0" fontId="61" fillId="26" borderId="0" applyNumberFormat="0" applyBorder="0" applyAlignment="0" applyProtection="0"/>
    <xf numFmtId="0" fontId="61" fillId="30" borderId="0" applyNumberFormat="0" applyBorder="0" applyAlignment="0" applyProtection="0"/>
    <xf numFmtId="0" fontId="61" fillId="34" borderId="0" applyNumberFormat="0" applyBorder="0" applyAlignment="0" applyProtection="0"/>
    <xf numFmtId="0" fontId="61" fillId="38" borderId="0" applyNumberFormat="0" applyBorder="0" applyAlignment="0" applyProtection="0"/>
    <xf numFmtId="0" fontId="62" fillId="12" borderId="0" applyNumberFormat="0" applyBorder="0" applyAlignment="0" applyProtection="0"/>
    <xf numFmtId="0" fontId="63" fillId="15" borderId="55" applyNumberFormat="0" applyAlignment="0" applyProtection="0"/>
    <xf numFmtId="0" fontId="64" fillId="16" borderId="58" applyNumberFormat="0" applyAlignment="0" applyProtection="0"/>
    <xf numFmtId="189" fontId="60" fillId="0" borderId="0" applyFont="0" applyFill="0" applyBorder="0" applyAlignment="0" applyProtection="0"/>
    <xf numFmtId="0" fontId="65" fillId="0" borderId="0" applyNumberFormat="0" applyFill="0" applyBorder="0" applyAlignment="0" applyProtection="0"/>
    <xf numFmtId="0" fontId="66" fillId="11" borderId="0" applyNumberFormat="0" applyBorder="0" applyAlignment="0" applyProtection="0"/>
    <xf numFmtId="9" fontId="60" fillId="0" borderId="0" applyFont="0" applyFill="0" applyBorder="0" applyAlignment="0" applyProtection="0"/>
    <xf numFmtId="0" fontId="67" fillId="14" borderId="55" applyNumberFormat="0" applyAlignment="0" applyProtection="0"/>
    <xf numFmtId="0" fontId="68" fillId="0" borderId="57" applyNumberFormat="0" applyFill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0" fontId="69" fillId="13" borderId="0" applyNumberFormat="0" applyBorder="0" applyAlignment="0" applyProtection="0"/>
    <xf numFmtId="0" fontId="1" fillId="0" borderId="0"/>
    <xf numFmtId="0" fontId="1" fillId="17" borderId="59" applyNumberFormat="0" applyFont="0" applyAlignment="0" applyProtection="0"/>
    <xf numFmtId="0" fontId="1" fillId="17" borderId="59" applyNumberFormat="0" applyFont="0" applyAlignment="0" applyProtection="0"/>
    <xf numFmtId="0" fontId="1" fillId="17" borderId="59" applyNumberFormat="0" applyFont="0" applyAlignment="0" applyProtection="0"/>
    <xf numFmtId="0" fontId="1" fillId="17" borderId="59" applyNumberFormat="0" applyFont="0" applyAlignment="0" applyProtection="0"/>
    <xf numFmtId="0" fontId="70" fillId="15" borderId="56" applyNumberFormat="0" applyAlignment="0" applyProtection="0"/>
    <xf numFmtId="9" fontId="60" fillId="0" borderId="0" applyFont="0" applyFill="0" applyBorder="0" applyAlignment="0" applyProtection="0"/>
    <xf numFmtId="0" fontId="71" fillId="0" borderId="60" applyNumberFormat="0" applyFill="0" applyAlignment="0" applyProtection="0"/>
    <xf numFmtId="0" fontId="72" fillId="0" borderId="0" applyNumberForma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66" fillId="11" borderId="0" applyNumberFormat="0" applyBorder="0" applyAlignment="0" applyProtection="0"/>
    <xf numFmtId="0" fontId="62" fillId="12" borderId="0" applyNumberFormat="0" applyBorder="0" applyAlignment="0" applyProtection="0"/>
    <xf numFmtId="0" fontId="67" fillId="14" borderId="55" applyNumberFormat="0" applyAlignment="0" applyProtection="0"/>
    <xf numFmtId="0" fontId="70" fillId="15" borderId="56" applyNumberFormat="0" applyAlignment="0" applyProtection="0"/>
    <xf numFmtId="0" fontId="63" fillId="15" borderId="55" applyNumberFormat="0" applyAlignment="0" applyProtection="0"/>
    <xf numFmtId="0" fontId="68" fillId="0" borderId="57" applyNumberFormat="0" applyFill="0" applyAlignment="0" applyProtection="0"/>
    <xf numFmtId="0" fontId="64" fillId="16" borderId="58" applyNumberFormat="0" applyAlignment="0" applyProtection="0"/>
    <xf numFmtId="0" fontId="72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71" fillId="0" borderId="60" applyNumberFormat="0" applyFill="0" applyAlignment="0" applyProtection="0"/>
    <xf numFmtId="0" fontId="6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6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6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6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6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6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60" fillId="0" borderId="0"/>
    <xf numFmtId="18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801">
    <xf numFmtId="0" fontId="0" fillId="0" borderId="0" xfId="0"/>
    <xf numFmtId="0" fontId="5" fillId="3" borderId="0" xfId="0" applyFont="1" applyFill="1"/>
    <xf numFmtId="0" fontId="6" fillId="3" borderId="0" xfId="4" applyNumberFormat="1" applyFont="1" applyFill="1" applyAlignment="1" applyProtection="1">
      <alignment horizontal="right"/>
      <protection locked="0"/>
    </xf>
    <xf numFmtId="0" fontId="6" fillId="3" borderId="0" xfId="4" applyNumberFormat="1" applyFont="1" applyFill="1" applyAlignment="1" applyProtection="1">
      <alignment horizontal="left"/>
      <protection locked="0"/>
    </xf>
    <xf numFmtId="0" fontId="6" fillId="3" borderId="0" xfId="4" applyNumberFormat="1" applyFont="1" applyFill="1" applyProtection="1">
      <protection locked="0"/>
    </xf>
    <xf numFmtId="0" fontId="7" fillId="3" borderId="0" xfId="0" applyFont="1" applyFill="1"/>
    <xf numFmtId="0" fontId="8" fillId="3" borderId="7" xfId="4" applyNumberFormat="1" applyFont="1" applyFill="1" applyBorder="1" applyAlignment="1" applyProtection="1">
      <alignment horizontal="right"/>
      <protection hidden="1"/>
    </xf>
    <xf numFmtId="3" fontId="6" fillId="2" borderId="8" xfId="4" applyNumberFormat="1" applyFont="1" applyFill="1" applyBorder="1" applyProtection="1">
      <protection locked="0"/>
    </xf>
    <xf numFmtId="3" fontId="8" fillId="3" borderId="7" xfId="4" applyNumberFormat="1" applyFont="1" applyFill="1" applyBorder="1" applyProtection="1">
      <protection hidden="1"/>
    </xf>
    <xf numFmtId="3" fontId="8" fillId="3" borderId="9" xfId="4" applyNumberFormat="1" applyFont="1" applyFill="1" applyBorder="1" applyProtection="1">
      <protection hidden="1"/>
    </xf>
    <xf numFmtId="3" fontId="8" fillId="3" borderId="10" xfId="4" applyNumberFormat="1" applyFont="1" applyFill="1" applyBorder="1" applyProtection="1">
      <protection hidden="1"/>
    </xf>
    <xf numFmtId="3" fontId="6" fillId="3" borderId="9" xfId="0" applyNumberFormat="1" applyFont="1" applyFill="1" applyBorder="1"/>
    <xf numFmtId="0" fontId="6" fillId="3" borderId="9" xfId="0" applyFont="1" applyFill="1" applyBorder="1"/>
    <xf numFmtId="0" fontId="6" fillId="3" borderId="10" xfId="0" applyFont="1" applyFill="1" applyBorder="1"/>
    <xf numFmtId="0" fontId="8" fillId="3" borderId="2" xfId="4" applyNumberFormat="1" applyFont="1" applyFill="1" applyBorder="1" applyAlignment="1" applyProtection="1">
      <alignment horizontal="center" vertical="center"/>
      <protection hidden="1"/>
    </xf>
    <xf numFmtId="0" fontId="8" fillId="3" borderId="7" xfId="4" applyNumberFormat="1" applyFont="1" applyFill="1" applyBorder="1" applyAlignment="1" applyProtection="1">
      <alignment horizontal="center" vertical="center" wrapText="1"/>
      <protection hidden="1"/>
    </xf>
    <xf numFmtId="0" fontId="6" fillId="3" borderId="12" xfId="4" applyNumberFormat="1" applyFont="1" applyFill="1" applyBorder="1" applyAlignment="1" applyProtection="1">
      <alignment horizontal="center" vertical="center" wrapText="1"/>
      <protection locked="0" hidden="1"/>
    </xf>
    <xf numFmtId="0" fontId="9" fillId="3" borderId="13" xfId="4" applyNumberFormat="1" applyFont="1" applyFill="1" applyBorder="1" applyAlignment="1" applyProtection="1">
      <alignment horizontal="center" vertical="center" wrapText="1"/>
      <protection locked="0" hidden="1"/>
    </xf>
    <xf numFmtId="0" fontId="6" fillId="3" borderId="13" xfId="4" applyNumberFormat="1" applyFont="1" applyFill="1" applyBorder="1" applyAlignment="1" applyProtection="1">
      <alignment horizontal="center" vertical="center" wrapText="1"/>
      <protection locked="0" hidden="1"/>
    </xf>
    <xf numFmtId="0" fontId="6" fillId="3" borderId="14" xfId="4" applyNumberFormat="1" applyFont="1" applyFill="1" applyBorder="1" applyAlignment="1" applyProtection="1">
      <alignment horizontal="center" vertical="center" wrapText="1"/>
      <protection locked="0" hidden="1"/>
    </xf>
    <xf numFmtId="0" fontId="6" fillId="3" borderId="11" xfId="4" applyNumberFormat="1" applyFont="1" applyFill="1" applyBorder="1" applyAlignment="1" applyProtection="1">
      <alignment horizontal="left" vertical="center"/>
      <protection hidden="1"/>
    </xf>
    <xf numFmtId="9" fontId="6" fillId="3" borderId="16" xfId="2" applyFont="1" applyFill="1" applyBorder="1" applyAlignment="1" applyProtection="1">
      <alignment vertical="center"/>
      <protection hidden="1"/>
    </xf>
    <xf numFmtId="0" fontId="8" fillId="2" borderId="7" xfId="4" applyNumberFormat="1" applyFont="1" applyFill="1" applyBorder="1" applyAlignment="1" applyProtection="1">
      <alignment horizontal="left" vertical="center"/>
      <protection hidden="1"/>
    </xf>
    <xf numFmtId="9" fontId="8" fillId="2" borderId="13" xfId="2" applyFont="1" applyFill="1" applyBorder="1" applyAlignment="1" applyProtection="1">
      <alignment vertical="center"/>
      <protection hidden="1"/>
    </xf>
    <xf numFmtId="169" fontId="8" fillId="2" borderId="12" xfId="2" applyNumberFormat="1" applyFont="1" applyFill="1" applyBorder="1" applyAlignment="1" applyProtection="1">
      <alignment vertical="center"/>
      <protection hidden="1"/>
    </xf>
    <xf numFmtId="0" fontId="6" fillId="3" borderId="7" xfId="4" applyNumberFormat="1" applyFont="1" applyFill="1" applyBorder="1" applyAlignment="1" applyProtection="1">
      <alignment horizontal="left" vertical="center"/>
      <protection hidden="1"/>
    </xf>
    <xf numFmtId="9" fontId="6" fillId="3" borderId="13" xfId="2" applyFont="1" applyFill="1" applyBorder="1" applyAlignment="1" applyProtection="1">
      <alignment vertical="center"/>
      <protection hidden="1"/>
    </xf>
    <xf numFmtId="0" fontId="6" fillId="3" borderId="19" xfId="4" applyNumberFormat="1" applyFont="1" applyFill="1" applyBorder="1" applyAlignment="1" applyProtection="1">
      <alignment horizontal="left" vertical="center"/>
      <protection hidden="1"/>
    </xf>
    <xf numFmtId="0" fontId="8" fillId="2" borderId="2" xfId="4" applyNumberFormat="1" applyFont="1" applyFill="1" applyBorder="1" applyAlignment="1" applyProtection="1">
      <alignment horizontal="left" vertical="center"/>
      <protection hidden="1"/>
    </xf>
    <xf numFmtId="10" fontId="8" fillId="2" borderId="7" xfId="2" applyNumberFormat="1" applyFont="1" applyFill="1" applyBorder="1" applyAlignment="1" applyProtection="1">
      <alignment horizontal="left" vertical="center"/>
      <protection hidden="1"/>
    </xf>
    <xf numFmtId="169" fontId="8" fillId="3" borderId="0" xfId="4" applyNumberFormat="1" applyFont="1" applyFill="1" applyAlignment="1" applyProtection="1">
      <alignment vertical="center"/>
      <protection hidden="1"/>
    </xf>
    <xf numFmtId="169" fontId="8" fillId="3" borderId="20" xfId="4" applyNumberFormat="1" applyFont="1" applyFill="1" applyBorder="1" applyAlignment="1" applyProtection="1">
      <alignment vertical="center"/>
      <protection hidden="1"/>
    </xf>
    <xf numFmtId="0" fontId="8" fillId="3" borderId="11" xfId="4" applyNumberFormat="1" applyFont="1" applyFill="1" applyBorder="1" applyAlignment="1" applyProtection="1">
      <alignment horizontal="left" vertical="center"/>
      <protection hidden="1"/>
    </xf>
    <xf numFmtId="3" fontId="8" fillId="3" borderId="11" xfId="4" applyNumberFormat="1" applyFont="1" applyFill="1" applyBorder="1" applyAlignment="1" applyProtection="1">
      <alignment vertical="center"/>
      <protection hidden="1"/>
    </xf>
    <xf numFmtId="169" fontId="6" fillId="3" borderId="0" xfId="2" applyNumberFormat="1" applyFont="1" applyFill="1" applyAlignment="1" applyProtection="1">
      <alignment vertical="center"/>
      <protection hidden="1"/>
    </xf>
    <xf numFmtId="3" fontId="8" fillId="3" borderId="0" xfId="4" applyNumberFormat="1" applyFont="1" applyFill="1" applyAlignment="1" applyProtection="1">
      <alignment vertical="center"/>
      <protection hidden="1"/>
    </xf>
    <xf numFmtId="3" fontId="8" fillId="3" borderId="20" xfId="4" applyNumberFormat="1" applyFont="1" applyFill="1" applyBorder="1" applyAlignment="1" applyProtection="1">
      <alignment vertical="center"/>
      <protection hidden="1"/>
    </xf>
    <xf numFmtId="169" fontId="8" fillId="3" borderId="0" xfId="2" applyNumberFormat="1" applyFont="1" applyFill="1" applyAlignment="1" applyProtection="1">
      <alignment vertical="center"/>
      <protection hidden="1"/>
    </xf>
    <xf numFmtId="169" fontId="8" fillId="3" borderId="20" xfId="2" applyNumberFormat="1" applyFont="1" applyFill="1" applyBorder="1" applyAlignment="1" applyProtection="1">
      <alignment vertical="center"/>
      <protection hidden="1"/>
    </xf>
    <xf numFmtId="169" fontId="8" fillId="3" borderId="11" xfId="4" applyNumberFormat="1" applyFont="1" applyFill="1" applyBorder="1" applyAlignment="1" applyProtection="1">
      <alignment vertical="center"/>
      <protection hidden="1"/>
    </xf>
    <xf numFmtId="10" fontId="8" fillId="2" borderId="2" xfId="2" applyNumberFormat="1" applyFont="1" applyFill="1" applyBorder="1" applyAlignment="1" applyProtection="1">
      <alignment horizontal="left" vertical="center"/>
      <protection hidden="1"/>
    </xf>
    <xf numFmtId="169" fontId="8" fillId="2" borderId="21" xfId="2" applyNumberFormat="1" applyFont="1" applyFill="1" applyBorder="1" applyAlignment="1" applyProtection="1">
      <alignment vertical="center"/>
      <protection hidden="1"/>
    </xf>
    <xf numFmtId="2" fontId="8" fillId="2" borderId="5" xfId="4" applyNumberFormat="1" applyFont="1" applyFill="1" applyBorder="1" applyAlignment="1" applyProtection="1">
      <alignment horizontal="left" vertical="center"/>
      <protection hidden="1"/>
    </xf>
    <xf numFmtId="3" fontId="8" fillId="2" borderId="22" xfId="5" applyNumberFormat="1" applyFont="1" applyFill="1" applyBorder="1" applyAlignment="1" applyProtection="1">
      <alignment vertical="center"/>
      <protection hidden="1"/>
    </xf>
    <xf numFmtId="0" fontId="8" fillId="3" borderId="5" xfId="4" applyNumberFormat="1" applyFont="1" applyFill="1" applyBorder="1" applyAlignment="1" applyProtection="1">
      <alignment horizontal="right" vertical="center" wrapText="1"/>
      <protection hidden="1"/>
    </xf>
    <xf numFmtId="0" fontId="8" fillId="3" borderId="1" xfId="4" applyNumberFormat="1" applyFont="1" applyFill="1" applyBorder="1" applyAlignment="1" applyProtection="1">
      <alignment horizontal="right" vertical="center" wrapText="1"/>
      <protection hidden="1"/>
    </xf>
    <xf numFmtId="170" fontId="8" fillId="3" borderId="6" xfId="5" applyNumberFormat="1" applyFont="1" applyFill="1" applyBorder="1" applyAlignment="1" applyProtection="1">
      <alignment vertical="center"/>
      <protection hidden="1"/>
    </xf>
    <xf numFmtId="0" fontId="11" fillId="3" borderId="11" xfId="4" applyNumberFormat="1" applyFont="1" applyFill="1" applyBorder="1" applyProtection="1">
      <protection locked="0"/>
    </xf>
    <xf numFmtId="0" fontId="11" fillId="3" borderId="0" xfId="4" applyNumberFormat="1" applyFont="1" applyFill="1" applyProtection="1">
      <protection locked="0"/>
    </xf>
    <xf numFmtId="0" fontId="11" fillId="3" borderId="20" xfId="4" applyNumberFormat="1" applyFont="1" applyFill="1" applyBorder="1" applyProtection="1">
      <protection locked="0"/>
    </xf>
    <xf numFmtId="0" fontId="11" fillId="3" borderId="5" xfId="4" applyNumberFormat="1" applyFont="1" applyFill="1" applyBorder="1" applyProtection="1">
      <protection locked="0"/>
    </xf>
    <xf numFmtId="0" fontId="11" fillId="3" borderId="1" xfId="4" applyNumberFormat="1" applyFont="1" applyFill="1" applyBorder="1" applyProtection="1">
      <protection locked="0"/>
    </xf>
    <xf numFmtId="0" fontId="11" fillId="3" borderId="6" xfId="4" applyNumberFormat="1" applyFont="1" applyFill="1" applyBorder="1" applyProtection="1">
      <protection locked="0"/>
    </xf>
    <xf numFmtId="168" fontId="6" fillId="3" borderId="0" xfId="4" applyNumberFormat="1" applyFont="1" applyFill="1" applyAlignment="1" applyProtection="1">
      <alignment horizontal="left"/>
      <protection locked="0"/>
    </xf>
    <xf numFmtId="169" fontId="8" fillId="2" borderId="12" xfId="4" applyNumberFormat="1" applyFont="1" applyFill="1" applyBorder="1" applyAlignment="1" applyProtection="1">
      <alignment vertical="center"/>
      <protection hidden="1"/>
    </xf>
    <xf numFmtId="3" fontId="6" fillId="3" borderId="15" xfId="4" applyNumberFormat="1" applyFont="1" applyFill="1" applyBorder="1" applyAlignment="1" applyProtection="1">
      <alignment vertical="center"/>
      <protection hidden="1"/>
    </xf>
    <xf numFmtId="3" fontId="8" fillId="2" borderId="12" xfId="4" applyNumberFormat="1" applyFont="1" applyFill="1" applyBorder="1" applyAlignment="1" applyProtection="1">
      <alignment vertical="center"/>
      <protection hidden="1"/>
    </xf>
    <xf numFmtId="3" fontId="6" fillId="3" borderId="12" xfId="4" applyNumberFormat="1" applyFont="1" applyFill="1" applyBorder="1" applyAlignment="1" applyProtection="1">
      <alignment vertical="center"/>
      <protection hidden="1"/>
    </xf>
    <xf numFmtId="3" fontId="6" fillId="3" borderId="16" xfId="4" applyNumberFormat="1" applyFont="1" applyFill="1" applyBorder="1" applyAlignment="1" applyProtection="1">
      <alignment vertical="center"/>
      <protection hidden="1"/>
    </xf>
    <xf numFmtId="3" fontId="6" fillId="3" borderId="17" xfId="4" applyNumberFormat="1" applyFont="1" applyFill="1" applyBorder="1" applyAlignment="1" applyProtection="1">
      <alignment vertical="center"/>
      <protection hidden="1"/>
    </xf>
    <xf numFmtId="3" fontId="8" fillId="2" borderId="13" xfId="4" applyNumberFormat="1" applyFont="1" applyFill="1" applyBorder="1" applyAlignment="1" applyProtection="1">
      <alignment vertical="center"/>
      <protection hidden="1"/>
    </xf>
    <xf numFmtId="3" fontId="8" fillId="2" borderId="18" xfId="4" applyNumberFormat="1" applyFont="1" applyFill="1" applyBorder="1" applyAlignment="1" applyProtection="1">
      <alignment vertical="center"/>
      <protection hidden="1"/>
    </xf>
    <xf numFmtId="3" fontId="6" fillId="3" borderId="13" xfId="4" applyNumberFormat="1" applyFont="1" applyFill="1" applyBorder="1" applyAlignment="1" applyProtection="1">
      <alignment vertical="center"/>
      <protection hidden="1"/>
    </xf>
    <xf numFmtId="3" fontId="6" fillId="3" borderId="14" xfId="4" applyNumberFormat="1" applyFont="1" applyFill="1" applyBorder="1" applyAlignment="1" applyProtection="1">
      <alignment vertical="center"/>
      <protection hidden="1"/>
    </xf>
    <xf numFmtId="3" fontId="8" fillId="2" borderId="14" xfId="4" applyNumberFormat="1" applyFont="1" applyFill="1" applyBorder="1" applyAlignment="1" applyProtection="1">
      <alignment vertical="center"/>
      <protection hidden="1"/>
    </xf>
    <xf numFmtId="3" fontId="6" fillId="3" borderId="13" xfId="1" applyNumberFormat="1" applyFont="1" applyFill="1" applyBorder="1" applyAlignment="1" applyProtection="1">
      <alignment vertical="center"/>
      <protection hidden="1"/>
    </xf>
    <xf numFmtId="3" fontId="8" fillId="2" borderId="10" xfId="4" applyNumberFormat="1" applyFont="1" applyFill="1" applyBorder="1" applyAlignment="1" applyProtection="1">
      <alignment vertical="center"/>
      <protection hidden="1"/>
    </xf>
    <xf numFmtId="3" fontId="8" fillId="3" borderId="12" xfId="4" applyNumberFormat="1" applyFont="1" applyFill="1" applyBorder="1" applyAlignment="1" applyProtection="1">
      <alignment vertical="center"/>
      <protection hidden="1"/>
    </xf>
    <xf numFmtId="3" fontId="8" fillId="3" borderId="13" xfId="4" applyNumberFormat="1" applyFont="1" applyFill="1" applyBorder="1" applyAlignment="1" applyProtection="1">
      <alignment vertical="center"/>
      <protection hidden="1"/>
    </xf>
    <xf numFmtId="3" fontId="8" fillId="3" borderId="10" xfId="4" applyNumberFormat="1" applyFont="1" applyFill="1" applyBorder="1" applyAlignment="1" applyProtection="1">
      <alignment vertical="center"/>
      <protection hidden="1"/>
    </xf>
    <xf numFmtId="3" fontId="8" fillId="3" borderId="15" xfId="4" applyNumberFormat="1" applyFont="1" applyFill="1" applyBorder="1" applyAlignment="1" applyProtection="1">
      <alignment vertical="center"/>
      <protection hidden="1"/>
    </xf>
    <xf numFmtId="3" fontId="8" fillId="3" borderId="16" xfId="4" applyNumberFormat="1" applyFont="1" applyFill="1" applyBorder="1" applyAlignment="1" applyProtection="1">
      <alignment vertical="center"/>
      <protection hidden="1"/>
    </xf>
    <xf numFmtId="3" fontId="6" fillId="3" borderId="10" xfId="4" applyNumberFormat="1" applyFont="1" applyFill="1" applyBorder="1" applyAlignment="1" applyProtection="1">
      <alignment vertical="center"/>
      <protection hidden="1"/>
    </xf>
    <xf numFmtId="0" fontId="29" fillId="3" borderId="11" xfId="4" applyNumberFormat="1" applyFont="1" applyFill="1" applyBorder="1" applyAlignment="1" applyProtection="1">
      <alignment horizontal="left" vertical="center"/>
      <protection hidden="1"/>
    </xf>
    <xf numFmtId="3" fontId="29" fillId="3" borderId="15" xfId="4" applyNumberFormat="1" applyFont="1" applyFill="1" applyBorder="1" applyAlignment="1" applyProtection="1">
      <alignment vertical="center"/>
      <protection hidden="1"/>
    </xf>
    <xf numFmtId="9" fontId="29" fillId="3" borderId="16" xfId="2" applyFont="1" applyFill="1" applyBorder="1" applyAlignment="1" applyProtection="1">
      <alignment vertical="center"/>
      <protection hidden="1"/>
    </xf>
    <xf numFmtId="3" fontId="29" fillId="3" borderId="16" xfId="4" applyNumberFormat="1" applyFont="1" applyFill="1" applyBorder="1" applyAlignment="1" applyProtection="1">
      <alignment vertical="center"/>
      <protection hidden="1"/>
    </xf>
    <xf numFmtId="3" fontId="29" fillId="3" borderId="17" xfId="4" applyNumberFormat="1" applyFont="1" applyFill="1" applyBorder="1" applyAlignment="1" applyProtection="1">
      <alignment vertical="center"/>
      <protection hidden="1"/>
    </xf>
    <xf numFmtId="0" fontId="30" fillId="3" borderId="0" xfId="0" applyFont="1" applyFill="1"/>
    <xf numFmtId="0" fontId="31" fillId="3" borderId="11" xfId="4" applyNumberFormat="1" applyFont="1" applyFill="1" applyBorder="1" applyAlignment="1" applyProtection="1">
      <alignment horizontal="left" vertical="center"/>
      <protection hidden="1"/>
    </xf>
    <xf numFmtId="3" fontId="31" fillId="3" borderId="15" xfId="4" applyNumberFormat="1" applyFont="1" applyFill="1" applyBorder="1" applyAlignment="1" applyProtection="1">
      <alignment vertical="center"/>
      <protection hidden="1"/>
    </xf>
    <xf numFmtId="9" fontId="31" fillId="3" borderId="16" xfId="2" applyFont="1" applyFill="1" applyBorder="1" applyAlignment="1" applyProtection="1">
      <alignment vertical="center"/>
      <protection hidden="1"/>
    </xf>
    <xf numFmtId="3" fontId="31" fillId="3" borderId="16" xfId="4" applyNumberFormat="1" applyFont="1" applyFill="1" applyBorder="1" applyAlignment="1" applyProtection="1">
      <alignment vertical="center"/>
      <protection hidden="1"/>
    </xf>
    <xf numFmtId="3" fontId="31" fillId="3" borderId="17" xfId="4" applyNumberFormat="1" applyFont="1" applyFill="1" applyBorder="1" applyAlignment="1" applyProtection="1">
      <alignment vertical="center"/>
      <protection hidden="1"/>
    </xf>
    <xf numFmtId="0" fontId="32" fillId="3" borderId="0" xfId="0" applyFont="1" applyFill="1"/>
    <xf numFmtId="0" fontId="6" fillId="3" borderId="11" xfId="4" quotePrefix="1" applyNumberFormat="1" applyFont="1" applyFill="1" applyBorder="1" applyProtection="1">
      <protection locked="0"/>
    </xf>
    <xf numFmtId="0" fontId="7" fillId="3" borderId="20" xfId="0" applyFont="1" applyFill="1" applyBorder="1"/>
    <xf numFmtId="3" fontId="6" fillId="3" borderId="0" xfId="4" applyNumberFormat="1" applyFont="1" applyFill="1" applyAlignment="1" applyProtection="1">
      <alignment vertical="center"/>
      <protection hidden="1"/>
    </xf>
    <xf numFmtId="3" fontId="6" fillId="3" borderId="20" xfId="4" applyNumberFormat="1" applyFont="1" applyFill="1" applyBorder="1" applyAlignment="1" applyProtection="1">
      <alignment vertical="center"/>
      <protection hidden="1"/>
    </xf>
    <xf numFmtId="0" fontId="33" fillId="3" borderId="11" xfId="4" applyNumberFormat="1" applyFont="1" applyFill="1" applyBorder="1" applyAlignment="1" applyProtection="1">
      <alignment horizontal="left" vertical="center"/>
      <protection hidden="1"/>
    </xf>
    <xf numFmtId="3" fontId="33" fillId="3" borderId="15" xfId="4" applyNumberFormat="1" applyFont="1" applyFill="1" applyBorder="1" applyAlignment="1" applyProtection="1">
      <alignment vertical="center"/>
      <protection hidden="1"/>
    </xf>
    <xf numFmtId="9" fontId="33" fillId="3" borderId="16" xfId="2" applyFont="1" applyFill="1" applyBorder="1" applyAlignment="1" applyProtection="1">
      <alignment vertical="center"/>
      <protection hidden="1"/>
    </xf>
    <xf numFmtId="3" fontId="33" fillId="3" borderId="16" xfId="4" applyNumberFormat="1" applyFont="1" applyFill="1" applyBorder="1" applyAlignment="1" applyProtection="1">
      <alignment vertical="center"/>
      <protection hidden="1"/>
    </xf>
    <xf numFmtId="3" fontId="33" fillId="3" borderId="17" xfId="4" applyNumberFormat="1" applyFont="1" applyFill="1" applyBorder="1" applyAlignment="1" applyProtection="1">
      <alignment vertical="center"/>
      <protection hidden="1"/>
    </xf>
    <xf numFmtId="0" fontId="33" fillId="3" borderId="0" xfId="0" applyFont="1" applyFill="1"/>
    <xf numFmtId="3" fontId="33" fillId="3" borderId="0" xfId="4" applyNumberFormat="1" applyFont="1" applyFill="1" applyAlignment="1" applyProtection="1">
      <alignment vertical="center"/>
      <protection hidden="1"/>
    </xf>
    <xf numFmtId="3" fontId="33" fillId="3" borderId="20" xfId="4" applyNumberFormat="1" applyFont="1" applyFill="1" applyBorder="1" applyAlignment="1" applyProtection="1">
      <alignment vertical="center"/>
      <protection hidden="1"/>
    </xf>
    <xf numFmtId="0" fontId="8" fillId="3" borderId="0" xfId="4" applyNumberFormat="1" applyFont="1" applyFill="1" applyAlignment="1" applyProtection="1">
      <alignment horizontal="right" vertical="center" wrapText="1"/>
      <protection hidden="1"/>
    </xf>
    <xf numFmtId="170" fontId="8" fillId="3" borderId="0" xfId="5" applyNumberFormat="1" applyFont="1" applyFill="1" applyAlignment="1" applyProtection="1">
      <alignment vertical="center"/>
      <protection hidden="1"/>
    </xf>
    <xf numFmtId="2" fontId="8" fillId="3" borderId="0" xfId="4" applyNumberFormat="1" applyFont="1" applyFill="1" applyAlignment="1" applyProtection="1">
      <alignment horizontal="left" vertical="center"/>
      <protection hidden="1"/>
    </xf>
    <xf numFmtId="3" fontId="8" fillId="3" borderId="0" xfId="5" applyNumberFormat="1" applyFont="1" applyFill="1" applyAlignment="1" applyProtection="1">
      <alignment vertical="center"/>
      <protection hidden="1"/>
    </xf>
    <xf numFmtId="3" fontId="6" fillId="5" borderId="15" xfId="4" applyNumberFormat="1" applyFont="1" applyFill="1" applyBorder="1" applyAlignment="1" applyProtection="1">
      <alignment vertical="center"/>
      <protection hidden="1"/>
    </xf>
    <xf numFmtId="9" fontId="6" fillId="5" borderId="16" xfId="2" applyFont="1" applyFill="1" applyBorder="1" applyAlignment="1" applyProtection="1">
      <alignment vertical="center"/>
      <protection hidden="1"/>
    </xf>
    <xf numFmtId="3" fontId="6" fillId="5" borderId="16" xfId="4" applyNumberFormat="1" applyFont="1" applyFill="1" applyBorder="1" applyAlignment="1" applyProtection="1">
      <alignment vertical="center"/>
      <protection hidden="1"/>
    </xf>
    <xf numFmtId="3" fontId="6" fillId="5" borderId="0" xfId="4" applyNumberFormat="1" applyFont="1" applyFill="1" applyAlignment="1" applyProtection="1">
      <alignment vertical="center"/>
      <protection hidden="1"/>
    </xf>
    <xf numFmtId="3" fontId="6" fillId="2" borderId="12" xfId="4" applyNumberFormat="1" applyFont="1" applyFill="1" applyBorder="1" applyAlignment="1" applyProtection="1">
      <alignment vertical="center"/>
      <protection hidden="1"/>
    </xf>
    <xf numFmtId="9" fontId="6" fillId="2" borderId="13" xfId="2" applyFont="1" applyFill="1" applyBorder="1" applyAlignment="1" applyProtection="1">
      <alignment vertical="center"/>
      <protection hidden="1"/>
    </xf>
    <xf numFmtId="3" fontId="6" fillId="2" borderId="13" xfId="4" applyNumberFormat="1" applyFont="1" applyFill="1" applyBorder="1" applyAlignment="1" applyProtection="1">
      <alignment vertical="center"/>
      <protection hidden="1"/>
    </xf>
    <xf numFmtId="3" fontId="6" fillId="2" borderId="14" xfId="4" applyNumberFormat="1" applyFont="1" applyFill="1" applyBorder="1" applyAlignment="1" applyProtection="1">
      <alignment vertical="center"/>
      <protection hidden="1"/>
    </xf>
    <xf numFmtId="169" fontId="34" fillId="3" borderId="0" xfId="2" applyNumberFormat="1" applyFont="1" applyFill="1" applyAlignment="1" applyProtection="1">
      <alignment vertical="center"/>
      <protection hidden="1"/>
    </xf>
    <xf numFmtId="0" fontId="35" fillId="6" borderId="0" xfId="0" applyFont="1" applyFill="1"/>
    <xf numFmtId="0" fontId="36" fillId="6" borderId="0" xfId="0" applyFont="1" applyFill="1"/>
    <xf numFmtId="0" fontId="36" fillId="3" borderId="0" xfId="0" applyFont="1" applyFill="1"/>
    <xf numFmtId="0" fontId="37" fillId="3" borderId="0" xfId="0" applyFont="1" applyFill="1"/>
    <xf numFmtId="0" fontId="36" fillId="0" borderId="0" xfId="0" applyFont="1"/>
    <xf numFmtId="0" fontId="36" fillId="6" borderId="8" xfId="0" applyFont="1" applyFill="1" applyBorder="1" applyAlignment="1">
      <alignment wrapText="1"/>
    </xf>
    <xf numFmtId="0" fontId="36" fillId="3" borderId="0" xfId="0" applyFont="1" applyFill="1" applyAlignment="1">
      <alignment wrapText="1"/>
    </xf>
    <xf numFmtId="0" fontId="37" fillId="3" borderId="0" xfId="0" applyFont="1" applyFill="1" applyAlignment="1">
      <alignment wrapText="1"/>
    </xf>
    <xf numFmtId="0" fontId="36" fillId="0" borderId="0" xfId="0" applyFont="1" applyAlignment="1">
      <alignment wrapText="1"/>
    </xf>
    <xf numFmtId="0" fontId="40" fillId="6" borderId="8" xfId="0" applyFont="1" applyFill="1" applyBorder="1"/>
    <xf numFmtId="0" fontId="40" fillId="6" borderId="7" xfId="0" applyFont="1" applyFill="1" applyBorder="1"/>
    <xf numFmtId="0" fontId="40" fillId="6" borderId="10" xfId="0" applyFont="1" applyFill="1" applyBorder="1"/>
    <xf numFmtId="1" fontId="40" fillId="6" borderId="18" xfId="0" applyNumberFormat="1" applyFont="1" applyFill="1" applyBorder="1"/>
    <xf numFmtId="0" fontId="40" fillId="6" borderId="27" xfId="0" applyFont="1" applyFill="1" applyBorder="1" applyAlignment="1">
      <alignment horizontal="center"/>
    </xf>
    <xf numFmtId="0" fontId="40" fillId="6" borderId="9" xfId="0" applyFont="1" applyFill="1" applyBorder="1" applyAlignment="1">
      <alignment horizontal="center"/>
    </xf>
    <xf numFmtId="0" fontId="40" fillId="6" borderId="10" xfId="0" applyFont="1" applyFill="1" applyBorder="1" applyAlignment="1">
      <alignment horizontal="right"/>
    </xf>
    <xf numFmtId="0" fontId="40" fillId="3" borderId="0" xfId="0" applyFont="1" applyFill="1"/>
    <xf numFmtId="0" fontId="41" fillId="3" borderId="0" xfId="0" applyFont="1" applyFill="1"/>
    <xf numFmtId="0" fontId="40" fillId="0" borderId="0" xfId="0" applyFont="1"/>
    <xf numFmtId="0" fontId="40" fillId="6" borderId="19" xfId="0" applyFont="1" applyFill="1" applyBorder="1"/>
    <xf numFmtId="0" fontId="40" fillId="6" borderId="7" xfId="0" applyFont="1" applyFill="1" applyBorder="1" applyAlignment="1">
      <alignment horizontal="center"/>
    </xf>
    <xf numFmtId="0" fontId="40" fillId="6" borderId="18" xfId="0" applyFont="1" applyFill="1" applyBorder="1" applyAlignment="1">
      <alignment horizontal="center"/>
    </xf>
    <xf numFmtId="0" fontId="40" fillId="6" borderId="18" xfId="0" applyFont="1" applyFill="1" applyBorder="1"/>
    <xf numFmtId="0" fontId="40" fillId="3" borderId="27" xfId="0" applyFont="1" applyFill="1" applyBorder="1" applyAlignment="1">
      <alignment horizontal="center"/>
    </xf>
    <xf numFmtId="0" fontId="40" fillId="3" borderId="9" xfId="0" applyFont="1" applyFill="1" applyBorder="1" applyAlignment="1">
      <alignment horizontal="center"/>
    </xf>
    <xf numFmtId="0" fontId="40" fillId="2" borderId="10" xfId="0" applyFont="1" applyFill="1" applyBorder="1"/>
    <xf numFmtId="0" fontId="40" fillId="3" borderId="11" xfId="0" applyFont="1" applyFill="1" applyBorder="1"/>
    <xf numFmtId="185" fontId="40" fillId="3" borderId="20" xfId="0" applyNumberFormat="1" applyFont="1" applyFill="1" applyBorder="1"/>
    <xf numFmtId="166" fontId="40" fillId="3" borderId="11" xfId="0" applyNumberFormat="1" applyFont="1" applyFill="1" applyBorder="1" applyProtection="1">
      <protection locked="0"/>
    </xf>
    <xf numFmtId="166" fontId="40" fillId="3" borderId="28" xfId="0" applyNumberFormat="1" applyFont="1" applyFill="1" applyBorder="1" applyProtection="1">
      <protection locked="0"/>
    </xf>
    <xf numFmtId="166" fontId="40" fillId="3" borderId="26" xfId="0" applyNumberFormat="1" applyFont="1" applyFill="1" applyBorder="1" applyProtection="1">
      <protection locked="0"/>
    </xf>
    <xf numFmtId="166" fontId="40" fillId="3" borderId="0" xfId="0" applyNumberFormat="1" applyFont="1" applyFill="1" applyProtection="1">
      <protection locked="0"/>
    </xf>
    <xf numFmtId="166" fontId="40" fillId="3" borderId="26" xfId="0" applyNumberFormat="1" applyFont="1" applyFill="1" applyBorder="1"/>
    <xf numFmtId="166" fontId="40" fillId="3" borderId="0" xfId="0" applyNumberFormat="1" applyFont="1" applyFill="1"/>
    <xf numFmtId="166" fontId="40" fillId="3" borderId="0" xfId="1" applyNumberFormat="1" applyFont="1" applyFill="1" applyAlignment="1">
      <alignment horizontal="right"/>
    </xf>
    <xf numFmtId="169" fontId="40" fillId="3" borderId="20" xfId="2" applyNumberFormat="1" applyFont="1" applyFill="1" applyBorder="1"/>
    <xf numFmtId="0" fontId="40" fillId="3" borderId="3" xfId="0" applyFont="1" applyFill="1" applyBorder="1"/>
    <xf numFmtId="166" fontId="40" fillId="3" borderId="0" xfId="1" applyNumberFormat="1" applyFont="1" applyFill="1" applyAlignment="1">
      <alignment horizontal="right" shrinkToFit="1"/>
    </xf>
    <xf numFmtId="169" fontId="40" fillId="3" borderId="20" xfId="2" applyNumberFormat="1" applyFont="1" applyFill="1" applyBorder="1" applyAlignment="1">
      <alignment shrinkToFit="1"/>
    </xf>
    <xf numFmtId="0" fontId="42" fillId="3" borderId="19" xfId="0" quotePrefix="1" applyFont="1" applyFill="1" applyBorder="1" applyAlignment="1">
      <alignment vertical="center" wrapText="1"/>
    </xf>
    <xf numFmtId="0" fontId="40" fillId="3" borderId="5" xfId="0" applyFont="1" applyFill="1" applyBorder="1"/>
    <xf numFmtId="185" fontId="40" fillId="3" borderId="6" xfId="0" applyNumberFormat="1" applyFont="1" applyFill="1" applyBorder="1"/>
    <xf numFmtId="166" fontId="40" fillId="3" borderId="5" xfId="0" applyNumberFormat="1" applyFont="1" applyFill="1" applyBorder="1" applyProtection="1">
      <protection locked="0"/>
    </xf>
    <xf numFmtId="166" fontId="40" fillId="3" borderId="29" xfId="0" applyNumberFormat="1" applyFont="1" applyFill="1" applyBorder="1" applyProtection="1">
      <protection locked="0"/>
    </xf>
    <xf numFmtId="166" fontId="40" fillId="3" borderId="30" xfId="0" applyNumberFormat="1" applyFont="1" applyFill="1" applyBorder="1" applyProtection="1">
      <protection locked="0"/>
    </xf>
    <xf numFmtId="166" fontId="40" fillId="3" borderId="1" xfId="0" applyNumberFormat="1" applyFont="1" applyFill="1" applyBorder="1" applyProtection="1">
      <protection locked="0"/>
    </xf>
    <xf numFmtId="166" fontId="40" fillId="3" borderId="30" xfId="0" applyNumberFormat="1" applyFont="1" applyFill="1" applyBorder="1"/>
    <xf numFmtId="166" fontId="40" fillId="3" borderId="1" xfId="0" applyNumberFormat="1" applyFont="1" applyFill="1" applyBorder="1"/>
    <xf numFmtId="166" fontId="40" fillId="3" borderId="1" xfId="1" applyNumberFormat="1" applyFont="1" applyFill="1" applyBorder="1" applyAlignment="1">
      <alignment horizontal="right" shrinkToFit="1"/>
    </xf>
    <xf numFmtId="169" fontId="40" fillId="3" borderId="6" xfId="2" applyNumberFormat="1" applyFont="1" applyFill="1" applyBorder="1" applyAlignment="1">
      <alignment shrinkToFit="1"/>
    </xf>
    <xf numFmtId="0" fontId="40" fillId="3" borderId="1" xfId="0" applyFont="1" applyFill="1" applyBorder="1"/>
    <xf numFmtId="185" fontId="40" fillId="6" borderId="20" xfId="0" applyNumberFormat="1" applyFont="1" applyFill="1" applyBorder="1"/>
    <xf numFmtId="166" fontId="40" fillId="6" borderId="11" xfId="0" applyNumberFormat="1" applyFont="1" applyFill="1" applyBorder="1" applyProtection="1">
      <protection locked="0"/>
    </xf>
    <xf numFmtId="166" fontId="40" fillId="6" borderId="28" xfId="0" applyNumberFormat="1" applyFont="1" applyFill="1" applyBorder="1" applyProtection="1">
      <protection locked="0"/>
    </xf>
    <xf numFmtId="166" fontId="40" fillId="6" borderId="26" xfId="0" applyNumberFormat="1" applyFont="1" applyFill="1" applyBorder="1" applyProtection="1">
      <protection locked="0"/>
    </xf>
    <xf numFmtId="166" fontId="40" fillId="6" borderId="0" xfId="0" applyNumberFormat="1" applyFont="1" applyFill="1" applyProtection="1">
      <protection locked="0"/>
    </xf>
    <xf numFmtId="166" fontId="40" fillId="6" borderId="26" xfId="0" applyNumberFormat="1" applyFont="1" applyFill="1" applyBorder="1"/>
    <xf numFmtId="166" fontId="40" fillId="6" borderId="0" xfId="0" applyNumberFormat="1" applyFont="1" applyFill="1"/>
    <xf numFmtId="0" fontId="43" fillId="3" borderId="19" xfId="0" quotePrefix="1" applyFont="1" applyFill="1" applyBorder="1" applyAlignment="1">
      <alignment vertical="center" wrapText="1"/>
    </xf>
    <xf numFmtId="0" fontId="40" fillId="0" borderId="1" xfId="0" applyFont="1" applyBorder="1"/>
    <xf numFmtId="0" fontId="40" fillId="0" borderId="19" xfId="0" applyFont="1" applyBorder="1"/>
    <xf numFmtId="0" fontId="44" fillId="6" borderId="31" xfId="0" applyFont="1" applyFill="1" applyBorder="1" applyAlignment="1">
      <alignment horizontal="left" wrapText="1"/>
    </xf>
    <xf numFmtId="0" fontId="40" fillId="6" borderId="32" xfId="0" applyFont="1" applyFill="1" applyBorder="1" applyAlignment="1">
      <alignment horizontal="left"/>
    </xf>
    <xf numFmtId="166" fontId="40" fillId="6" borderId="31" xfId="0" applyNumberFormat="1" applyFont="1" applyFill="1" applyBorder="1" applyAlignment="1">
      <alignment shrinkToFit="1"/>
    </xf>
    <xf numFmtId="166" fontId="40" fillId="6" borderId="33" xfId="0" applyNumberFormat="1" applyFont="1" applyFill="1" applyBorder="1" applyAlignment="1">
      <alignment shrinkToFit="1"/>
    </xf>
    <xf numFmtId="166" fontId="40" fillId="6" borderId="34" xfId="0" applyNumberFormat="1" applyFont="1" applyFill="1" applyBorder="1" applyAlignment="1">
      <alignment shrinkToFit="1"/>
    </xf>
    <xf numFmtId="166" fontId="40" fillId="6" borderId="32" xfId="0" applyNumberFormat="1" applyFont="1" applyFill="1" applyBorder="1" applyAlignment="1">
      <alignment shrinkToFit="1"/>
    </xf>
    <xf numFmtId="186" fontId="40" fillId="3" borderId="32" xfId="0" applyNumberFormat="1" applyFont="1" applyFill="1" applyBorder="1" applyAlignment="1">
      <alignment shrinkToFit="1"/>
    </xf>
    <xf numFmtId="169" fontId="40" fillId="6" borderId="35" xfId="2" applyNumberFormat="1" applyFont="1" applyFill="1" applyBorder="1" applyAlignment="1">
      <alignment shrinkToFit="1"/>
    </xf>
    <xf numFmtId="0" fontId="44" fillId="6" borderId="36" xfId="0" applyFont="1" applyFill="1" applyBorder="1" applyAlignment="1">
      <alignment horizontal="left"/>
    </xf>
    <xf numFmtId="0" fontId="40" fillId="6" borderId="37" xfId="0" applyFont="1" applyFill="1" applyBorder="1" applyAlignment="1">
      <alignment horizontal="left"/>
    </xf>
    <xf numFmtId="166" fontId="40" fillId="3" borderId="38" xfId="0" applyNumberFormat="1" applyFont="1" applyFill="1" applyBorder="1"/>
    <xf numFmtId="166" fontId="40" fillId="3" borderId="39" xfId="0" applyNumberFormat="1" applyFont="1" applyFill="1" applyBorder="1"/>
    <xf numFmtId="166" fontId="40" fillId="6" borderId="39" xfId="0" applyNumberFormat="1" applyFont="1" applyFill="1" applyBorder="1" applyAlignment="1">
      <alignment shrinkToFit="1"/>
    </xf>
    <xf numFmtId="166" fontId="40" fillId="6" borderId="37" xfId="0" applyNumberFormat="1" applyFont="1" applyFill="1" applyBorder="1" applyAlignment="1">
      <alignment shrinkToFit="1"/>
    </xf>
    <xf numFmtId="1" fontId="40" fillId="6" borderId="40" xfId="0" applyNumberFormat="1" applyFont="1" applyFill="1" applyBorder="1" applyAlignment="1">
      <alignment shrinkToFit="1"/>
    </xf>
    <xf numFmtId="187" fontId="35" fillId="6" borderId="0" xfId="0" applyNumberFormat="1" applyFont="1" applyFill="1"/>
    <xf numFmtId="0" fontId="40" fillId="3" borderId="2" xfId="0" applyFont="1" applyFill="1" applyBorder="1"/>
    <xf numFmtId="185" fontId="40" fillId="3" borderId="4" xfId="0" applyNumberFormat="1" applyFont="1" applyFill="1" applyBorder="1"/>
    <xf numFmtId="166" fontId="40" fillId="3" borderId="2" xfId="0" applyNumberFormat="1" applyFont="1" applyFill="1" applyBorder="1" applyAlignment="1" applyProtection="1">
      <alignment horizontal="center"/>
      <protection locked="0"/>
    </xf>
    <xf numFmtId="166" fontId="40" fillId="3" borderId="41" xfId="0" applyNumberFormat="1" applyFont="1" applyFill="1" applyBorder="1" applyProtection="1">
      <protection locked="0"/>
    </xf>
    <xf numFmtId="166" fontId="40" fillId="3" borderId="42" xfId="0" applyNumberFormat="1" applyFont="1" applyFill="1" applyBorder="1" applyProtection="1">
      <protection locked="0"/>
    </xf>
    <xf numFmtId="166" fontId="40" fillId="3" borderId="3" xfId="0" applyNumberFormat="1" applyFont="1" applyFill="1" applyBorder="1" applyProtection="1">
      <protection locked="0"/>
    </xf>
    <xf numFmtId="166" fontId="40" fillId="3" borderId="42" xfId="0" applyNumberFormat="1" applyFont="1" applyFill="1" applyBorder="1"/>
    <xf numFmtId="166" fontId="40" fillId="3" borderId="3" xfId="0" applyNumberFormat="1" applyFont="1" applyFill="1" applyBorder="1"/>
    <xf numFmtId="166" fontId="40" fillId="3" borderId="3" xfId="1" applyNumberFormat="1" applyFont="1" applyFill="1" applyBorder="1" applyAlignment="1">
      <alignment horizontal="right"/>
    </xf>
    <xf numFmtId="169" fontId="40" fillId="3" borderId="4" xfId="2" applyNumberFormat="1" applyFont="1" applyFill="1" applyBorder="1"/>
    <xf numFmtId="166" fontId="40" fillId="3" borderId="1" xfId="1" applyNumberFormat="1" applyFont="1" applyFill="1" applyBorder="1" applyAlignment="1">
      <alignment horizontal="right"/>
    </xf>
    <xf numFmtId="169" fontId="40" fillId="3" borderId="6" xfId="2" applyNumberFormat="1" applyFont="1" applyFill="1" applyBorder="1"/>
    <xf numFmtId="185" fontId="40" fillId="6" borderId="6" xfId="0" applyNumberFormat="1" applyFont="1" applyFill="1" applyBorder="1"/>
    <xf numFmtId="166" fontId="40" fillId="6" borderId="5" xfId="0" applyNumberFormat="1" applyFont="1" applyFill="1" applyBorder="1" applyProtection="1">
      <protection locked="0"/>
    </xf>
    <xf numFmtId="166" fontId="40" fillId="6" borderId="29" xfId="0" applyNumberFormat="1" applyFont="1" applyFill="1" applyBorder="1" applyProtection="1">
      <protection locked="0"/>
    </xf>
    <xf numFmtId="166" fontId="40" fillId="6" borderId="30" xfId="0" applyNumberFormat="1" applyFont="1" applyFill="1" applyBorder="1" applyProtection="1">
      <protection locked="0"/>
    </xf>
    <xf numFmtId="166" fontId="40" fillId="6" borderId="1" xfId="0" applyNumberFormat="1" applyFont="1" applyFill="1" applyBorder="1" applyProtection="1">
      <protection locked="0"/>
    </xf>
    <xf numFmtId="166" fontId="40" fillId="6" borderId="30" xfId="0" applyNumberFormat="1" applyFont="1" applyFill="1" applyBorder="1"/>
    <xf numFmtId="166" fontId="40" fillId="6" borderId="1" xfId="0" applyNumberFormat="1" applyFont="1" applyFill="1" applyBorder="1"/>
    <xf numFmtId="0" fontId="42" fillId="3" borderId="19" xfId="0" quotePrefix="1" applyFont="1" applyFill="1" applyBorder="1" applyAlignment="1">
      <alignment horizontal="center" vertical="center" wrapText="1"/>
    </xf>
    <xf numFmtId="0" fontId="42" fillId="3" borderId="21" xfId="0" quotePrefix="1" applyFont="1" applyFill="1" applyBorder="1" applyAlignment="1">
      <alignment vertical="center" wrapText="1"/>
    </xf>
    <xf numFmtId="0" fontId="40" fillId="0" borderId="19" xfId="0" applyFont="1" applyBorder="1" applyAlignment="1">
      <alignment horizontal="center"/>
    </xf>
    <xf numFmtId="0" fontId="43" fillId="3" borderId="19" xfId="0" applyFont="1" applyFill="1" applyBorder="1" applyAlignment="1">
      <alignment vertical="center" wrapText="1"/>
    </xf>
    <xf numFmtId="9" fontId="33" fillId="3" borderId="0" xfId="2" applyFont="1" applyFill="1"/>
    <xf numFmtId="166" fontId="36" fillId="6" borderId="0" xfId="0" applyNumberFormat="1" applyFont="1" applyFill="1"/>
    <xf numFmtId="0" fontId="40" fillId="7" borderId="0" xfId="0" applyFont="1" applyFill="1"/>
    <xf numFmtId="0" fontId="45" fillId="3" borderId="19" xfId="0" quotePrefix="1" applyFont="1" applyFill="1" applyBorder="1" applyAlignment="1">
      <alignment vertical="center" wrapText="1"/>
    </xf>
    <xf numFmtId="166" fontId="45" fillId="3" borderId="0" xfId="0" applyNumberFormat="1" applyFont="1" applyFill="1"/>
    <xf numFmtId="0" fontId="45" fillId="3" borderId="0" xfId="0" applyFont="1" applyFill="1"/>
    <xf numFmtId="0" fontId="45" fillId="3" borderId="1" xfId="0" applyFont="1" applyFill="1" applyBorder="1"/>
    <xf numFmtId="0" fontId="45" fillId="0" borderId="1" xfId="0" applyFont="1" applyBorder="1"/>
    <xf numFmtId="170" fontId="40" fillId="3" borderId="32" xfId="1" applyNumberFormat="1" applyFont="1" applyFill="1" applyBorder="1" applyAlignment="1">
      <alignment shrinkToFit="1"/>
    </xf>
    <xf numFmtId="166" fontId="40" fillId="3" borderId="32" xfId="0" applyNumberFormat="1" applyFont="1" applyFill="1" applyBorder="1" applyAlignment="1">
      <alignment shrinkToFit="1"/>
    </xf>
    <xf numFmtId="0" fontId="45" fillId="0" borderId="0" xfId="0" applyFont="1"/>
    <xf numFmtId="0" fontId="46" fillId="3" borderId="19" xfId="0" quotePrefix="1" applyFont="1" applyFill="1" applyBorder="1" applyAlignment="1">
      <alignment vertical="center" wrapText="1"/>
    </xf>
    <xf numFmtId="0" fontId="45" fillId="3" borderId="3" xfId="0" applyFont="1" applyFill="1" applyBorder="1"/>
    <xf numFmtId="9" fontId="7" fillId="3" borderId="0" xfId="2" applyFont="1" applyFill="1"/>
    <xf numFmtId="3" fontId="33" fillId="3" borderId="0" xfId="0" applyNumberFormat="1" applyFont="1" applyFill="1"/>
    <xf numFmtId="0" fontId="40" fillId="3" borderId="19" xfId="0" quotePrefix="1" applyFont="1" applyFill="1" applyBorder="1" applyAlignment="1">
      <alignment vertical="center" wrapText="1"/>
    </xf>
    <xf numFmtId="170" fontId="36" fillId="6" borderId="0" xfId="0" applyNumberFormat="1" applyFont="1" applyFill="1"/>
    <xf numFmtId="166" fontId="41" fillId="3" borderId="0" xfId="0" applyNumberFormat="1" applyFont="1" applyFill="1"/>
    <xf numFmtId="0" fontId="40" fillId="7" borderId="1" xfId="0" applyFont="1" applyFill="1" applyBorder="1"/>
    <xf numFmtId="0" fontId="47" fillId="3" borderId="19" xfId="0" quotePrefix="1" applyFont="1" applyFill="1" applyBorder="1" applyAlignment="1">
      <alignment vertical="center" wrapText="1"/>
    </xf>
    <xf numFmtId="0" fontId="40" fillId="3" borderId="19" xfId="0" quotePrefix="1" applyFont="1" applyFill="1" applyBorder="1" applyAlignment="1">
      <alignment horizontal="center" vertical="center" wrapText="1"/>
    </xf>
    <xf numFmtId="0" fontId="47" fillId="3" borderId="19" xfId="0" applyFont="1" applyFill="1" applyBorder="1" applyAlignment="1">
      <alignment vertical="center" wrapText="1"/>
    </xf>
    <xf numFmtId="0" fontId="46" fillId="3" borderId="19" xfId="0" quotePrefix="1" applyFont="1" applyFill="1" applyBorder="1" applyAlignment="1">
      <alignment horizontal="center" vertical="center" wrapText="1"/>
    </xf>
    <xf numFmtId="0" fontId="44" fillId="3" borderId="31" xfId="0" applyFont="1" applyFill="1" applyBorder="1" applyAlignment="1">
      <alignment horizontal="left" wrapText="1"/>
    </xf>
    <xf numFmtId="0" fontId="40" fillId="3" borderId="32" xfId="0" applyFont="1" applyFill="1" applyBorder="1" applyAlignment="1">
      <alignment horizontal="left"/>
    </xf>
    <xf numFmtId="166" fontId="40" fillId="3" borderId="31" xfId="0" applyNumberFormat="1" applyFont="1" applyFill="1" applyBorder="1" applyAlignment="1">
      <alignment shrinkToFit="1"/>
    </xf>
    <xf numFmtId="166" fontId="40" fillId="3" borderId="33" xfId="0" applyNumberFormat="1" applyFont="1" applyFill="1" applyBorder="1" applyAlignment="1">
      <alignment shrinkToFit="1"/>
    </xf>
    <xf numFmtId="166" fontId="40" fillId="3" borderId="34" xfId="0" applyNumberFormat="1" applyFont="1" applyFill="1" applyBorder="1" applyAlignment="1">
      <alignment shrinkToFit="1"/>
    </xf>
    <xf numFmtId="169" fontId="40" fillId="3" borderId="35" xfId="2" applyNumberFormat="1" applyFont="1" applyFill="1" applyBorder="1" applyAlignment="1">
      <alignment shrinkToFit="1"/>
    </xf>
    <xf numFmtId="0" fontId="40" fillId="3" borderId="21" xfId="0" quotePrefix="1" applyFont="1" applyFill="1" applyBorder="1" applyAlignment="1">
      <alignment vertical="center" wrapText="1"/>
    </xf>
    <xf numFmtId="0" fontId="40" fillId="3" borderId="37" xfId="0" applyFont="1" applyFill="1" applyBorder="1" applyAlignment="1">
      <alignment horizontal="left"/>
    </xf>
    <xf numFmtId="166" fontId="40" fillId="3" borderId="39" xfId="0" applyNumberFormat="1" applyFont="1" applyFill="1" applyBorder="1" applyAlignment="1">
      <alignment shrinkToFit="1"/>
    </xf>
    <xf numFmtId="166" fontId="40" fillId="3" borderId="37" xfId="0" applyNumberFormat="1" applyFont="1" applyFill="1" applyBorder="1" applyAlignment="1">
      <alignment shrinkToFit="1"/>
    </xf>
    <xf numFmtId="1" fontId="40" fillId="3" borderId="40" xfId="0" applyNumberFormat="1" applyFont="1" applyFill="1" applyBorder="1" applyAlignment="1">
      <alignment shrinkToFit="1"/>
    </xf>
    <xf numFmtId="0" fontId="49" fillId="3" borderId="0" xfId="0" applyFont="1" applyFill="1"/>
    <xf numFmtId="166" fontId="37" fillId="6" borderId="0" xfId="0" applyNumberFormat="1" applyFont="1" applyFill="1"/>
    <xf numFmtId="0" fontId="37" fillId="6" borderId="0" xfId="0" applyFont="1" applyFill="1"/>
    <xf numFmtId="170" fontId="37" fillId="6" borderId="0" xfId="0" applyNumberFormat="1" applyFont="1" applyFill="1"/>
    <xf numFmtId="0" fontId="50" fillId="0" borderId="0" xfId="0" applyFont="1"/>
    <xf numFmtId="0" fontId="51" fillId="0" borderId="44" xfId="0" applyFont="1" applyBorder="1"/>
    <xf numFmtId="0" fontId="50" fillId="0" borderId="45" xfId="0" applyFont="1" applyBorder="1"/>
    <xf numFmtId="0" fontId="50" fillId="0" borderId="46" xfId="0" applyFont="1" applyBorder="1"/>
    <xf numFmtId="0" fontId="52" fillId="5" borderId="47" xfId="0" applyFont="1" applyFill="1" applyBorder="1"/>
    <xf numFmtId="0" fontId="52" fillId="5" borderId="0" xfId="0" applyFont="1" applyFill="1"/>
    <xf numFmtId="0" fontId="52" fillId="5" borderId="0" xfId="0" applyFont="1" applyFill="1" applyAlignment="1">
      <alignment horizontal="center"/>
    </xf>
    <xf numFmtId="0" fontId="52" fillId="5" borderId="48" xfId="0" applyFont="1" applyFill="1" applyBorder="1" applyAlignment="1">
      <alignment horizontal="center"/>
    </xf>
    <xf numFmtId="0" fontId="50" fillId="0" borderId="47" xfId="0" applyFont="1" applyBorder="1"/>
    <xf numFmtId="170" fontId="50" fillId="0" borderId="0" xfId="1" applyNumberFormat="1" applyFont="1"/>
    <xf numFmtId="170" fontId="50" fillId="0" borderId="48" xfId="1" applyNumberFormat="1" applyFont="1" applyBorder="1"/>
    <xf numFmtId="9" fontId="50" fillId="0" borderId="0" xfId="2" applyFont="1"/>
    <xf numFmtId="9" fontId="50" fillId="0" borderId="48" xfId="2" applyFont="1" applyBorder="1"/>
    <xf numFmtId="3" fontId="50" fillId="0" borderId="0" xfId="0" applyNumberFormat="1" applyFont="1"/>
    <xf numFmtId="3" fontId="50" fillId="0" borderId="48" xfId="0" applyNumberFormat="1" applyFont="1" applyBorder="1"/>
    <xf numFmtId="188" fontId="50" fillId="0" borderId="0" xfId="1" applyNumberFormat="1" applyFont="1"/>
    <xf numFmtId="188" fontId="50" fillId="0" borderId="0" xfId="0" applyNumberFormat="1" applyFont="1"/>
    <xf numFmtId="188" fontId="50" fillId="0" borderId="48" xfId="0" applyNumberFormat="1" applyFont="1" applyBorder="1"/>
    <xf numFmtId="188" fontId="50" fillId="0" borderId="48" xfId="1" applyNumberFormat="1" applyFont="1" applyBorder="1"/>
    <xf numFmtId="170" fontId="54" fillId="5" borderId="0" xfId="1" applyNumberFormat="1" applyFont="1" applyFill="1"/>
    <xf numFmtId="9" fontId="54" fillId="5" borderId="0" xfId="2" applyFont="1" applyFill="1"/>
    <xf numFmtId="3" fontId="54" fillId="5" borderId="0" xfId="0" applyNumberFormat="1" applyFont="1" applyFill="1"/>
    <xf numFmtId="188" fontId="54" fillId="5" borderId="0" xfId="1" applyNumberFormat="1" applyFont="1" applyFill="1"/>
    <xf numFmtId="0" fontId="53" fillId="0" borderId="47" xfId="0" applyFont="1" applyBorder="1"/>
    <xf numFmtId="9" fontId="52" fillId="5" borderId="0" xfId="2" applyFont="1" applyFill="1"/>
    <xf numFmtId="9" fontId="52" fillId="5" borderId="48" xfId="2" applyFont="1" applyFill="1" applyBorder="1"/>
    <xf numFmtId="0" fontId="53" fillId="0" borderId="0" xfId="0" applyFont="1"/>
    <xf numFmtId="0" fontId="53" fillId="0" borderId="49" xfId="0" applyFont="1" applyBorder="1"/>
    <xf numFmtId="0" fontId="52" fillId="5" borderId="50" xfId="0" applyFont="1" applyFill="1" applyBorder="1"/>
    <xf numFmtId="9" fontId="52" fillId="5" borderId="50" xfId="2" applyFont="1" applyFill="1" applyBorder="1"/>
    <xf numFmtId="9" fontId="52" fillId="5" borderId="51" xfId="2" applyFont="1" applyFill="1" applyBorder="1"/>
    <xf numFmtId="0" fontId="55" fillId="0" borderId="0" xfId="0" applyFont="1"/>
    <xf numFmtId="0" fontId="42" fillId="9" borderId="19" xfId="0" quotePrefix="1" applyFont="1" applyFill="1" applyBorder="1" applyAlignment="1">
      <alignment horizontal="center" vertical="center" wrapText="1"/>
    </xf>
    <xf numFmtId="0" fontId="40" fillId="9" borderId="11" xfId="0" applyFont="1" applyFill="1" applyBorder="1"/>
    <xf numFmtId="185" fontId="40" fillId="9" borderId="20" xfId="0" applyNumberFormat="1" applyFont="1" applyFill="1" applyBorder="1"/>
    <xf numFmtId="166" fontId="40" fillId="9" borderId="11" xfId="0" applyNumberFormat="1" applyFont="1" applyFill="1" applyBorder="1" applyProtection="1">
      <protection locked="0"/>
    </xf>
    <xf numFmtId="166" fontId="40" fillId="9" borderId="28" xfId="0" applyNumberFormat="1" applyFont="1" applyFill="1" applyBorder="1" applyProtection="1">
      <protection locked="0"/>
    </xf>
    <xf numFmtId="166" fontId="40" fillId="9" borderId="26" xfId="0" applyNumberFormat="1" applyFont="1" applyFill="1" applyBorder="1" applyProtection="1">
      <protection locked="0"/>
    </xf>
    <xf numFmtId="166" fontId="40" fillId="9" borderId="26" xfId="0" applyNumberFormat="1" applyFont="1" applyFill="1" applyBorder="1"/>
    <xf numFmtId="169" fontId="40" fillId="9" borderId="20" xfId="2" applyNumberFormat="1" applyFont="1" applyFill="1" applyBorder="1" applyAlignment="1">
      <alignment shrinkToFit="1"/>
    </xf>
    <xf numFmtId="0" fontId="42" fillId="9" borderId="21" xfId="0" quotePrefix="1" applyFont="1" applyFill="1" applyBorder="1" applyAlignment="1">
      <alignment vertical="center" wrapText="1"/>
    </xf>
    <xf numFmtId="0" fontId="40" fillId="10" borderId="19" xfId="0" quotePrefix="1" applyFont="1" applyFill="1" applyBorder="1" applyAlignment="1">
      <alignment horizontal="center" vertical="center" wrapText="1"/>
    </xf>
    <xf numFmtId="0" fontId="40" fillId="3" borderId="19" xfId="0" applyFont="1" applyFill="1" applyBorder="1"/>
    <xf numFmtId="0" fontId="40" fillId="9" borderId="19" xfId="0" quotePrefix="1" applyFont="1" applyFill="1" applyBorder="1" applyAlignment="1">
      <alignment horizontal="center" vertical="center"/>
    </xf>
    <xf numFmtId="0" fontId="40" fillId="10" borderId="19" xfId="0" quotePrefix="1" applyFont="1" applyFill="1" applyBorder="1" applyAlignment="1">
      <alignment vertical="center" wrapText="1"/>
    </xf>
    <xf numFmtId="0" fontId="47" fillId="10" borderId="19" xfId="0" applyFont="1" applyFill="1" applyBorder="1" applyAlignment="1">
      <alignment vertical="center" wrapText="1"/>
    </xf>
    <xf numFmtId="0" fontId="47" fillId="10" borderId="19" xfId="0" quotePrefix="1" applyFont="1" applyFill="1" applyBorder="1" applyAlignment="1">
      <alignment vertical="center" wrapText="1"/>
    </xf>
    <xf numFmtId="0" fontId="40" fillId="10" borderId="19" xfId="0" applyFont="1" applyFill="1" applyBorder="1"/>
    <xf numFmtId="0" fontId="42" fillId="9" borderId="19" xfId="0" quotePrefix="1" applyFont="1" applyFill="1" applyBorder="1" applyAlignment="1">
      <alignment vertical="center" wrapText="1"/>
    </xf>
    <xf numFmtId="0" fontId="0" fillId="3" borderId="0" xfId="0" applyFill="1"/>
    <xf numFmtId="167" fontId="40" fillId="3" borderId="0" xfId="0" applyNumberFormat="1" applyFont="1" applyFill="1"/>
    <xf numFmtId="170" fontId="40" fillId="3" borderId="26" xfId="1" applyNumberFormat="1" applyFont="1" applyFill="1" applyBorder="1" applyProtection="1">
      <protection locked="0"/>
    </xf>
    <xf numFmtId="166" fontId="40" fillId="3" borderId="26" xfId="957" applyNumberFormat="1" applyFont="1" applyFill="1" applyBorder="1" applyProtection="1">
      <protection locked="0"/>
    </xf>
    <xf numFmtId="166" fontId="40" fillId="3" borderId="28" xfId="957" applyNumberFormat="1" applyFont="1" applyFill="1" applyBorder="1" applyProtection="1">
      <protection locked="0"/>
    </xf>
    <xf numFmtId="170" fontId="40" fillId="3" borderId="0" xfId="1" applyNumberFormat="1" applyFont="1" applyFill="1"/>
    <xf numFmtId="0" fontId="73" fillId="3" borderId="0" xfId="0" applyFont="1" applyFill="1"/>
    <xf numFmtId="167" fontId="45" fillId="3" borderId="0" xfId="0" applyNumberFormat="1" applyFont="1" applyFill="1"/>
    <xf numFmtId="0" fontId="45" fillId="3" borderId="19" xfId="0" applyFont="1" applyFill="1" applyBorder="1"/>
    <xf numFmtId="0" fontId="45" fillId="3" borderId="19" xfId="0" quotePrefix="1" applyFont="1" applyFill="1" applyBorder="1" applyAlignment="1">
      <alignment horizontal="center" vertical="center" wrapText="1"/>
    </xf>
    <xf numFmtId="0" fontId="45" fillId="3" borderId="21" xfId="0" quotePrefix="1" applyFont="1" applyFill="1" applyBorder="1" applyAlignment="1">
      <alignment vertical="center" wrapText="1"/>
    </xf>
    <xf numFmtId="4" fontId="6" fillId="3" borderId="14" xfId="4" applyNumberFormat="1" applyFont="1" applyFill="1" applyBorder="1" applyAlignment="1" applyProtection="1">
      <alignment vertical="center"/>
      <protection hidden="1"/>
    </xf>
    <xf numFmtId="0" fontId="43" fillId="3" borderId="19" xfId="0" quotePrefix="1" applyFont="1" applyFill="1" applyBorder="1" applyAlignment="1">
      <alignment horizontal="center" vertical="center" wrapText="1"/>
    </xf>
    <xf numFmtId="0" fontId="40" fillId="3" borderId="43" xfId="0" quotePrefix="1" applyFont="1" applyFill="1" applyBorder="1" applyAlignment="1">
      <alignment vertical="center" wrapText="1"/>
    </xf>
    <xf numFmtId="0" fontId="48" fillId="9" borderId="19" xfId="0" quotePrefix="1" applyFont="1" applyFill="1" applyBorder="1" applyAlignment="1">
      <alignment horizontal="center" vertical="center" wrapText="1"/>
    </xf>
    <xf numFmtId="169" fontId="7" fillId="3" borderId="0" xfId="2" applyNumberFormat="1" applyFont="1" applyFill="1"/>
    <xf numFmtId="0" fontId="33" fillId="3" borderId="0" xfId="2" applyNumberFormat="1" applyFont="1" applyFill="1"/>
    <xf numFmtId="170" fontId="8" fillId="3" borderId="20" xfId="1" applyNumberFormat="1" applyFont="1" applyFill="1" applyBorder="1" applyAlignment="1" applyProtection="1">
      <alignment vertical="center"/>
      <protection hidden="1"/>
    </xf>
    <xf numFmtId="9" fontId="8" fillId="3" borderId="5" xfId="2" applyFont="1" applyFill="1" applyBorder="1" applyAlignment="1" applyProtection="1">
      <alignment horizontal="right" vertical="center" wrapText="1"/>
      <protection hidden="1"/>
    </xf>
    <xf numFmtId="167" fontId="36" fillId="6" borderId="0" xfId="0" applyNumberFormat="1" applyFont="1" applyFill="1"/>
    <xf numFmtId="185" fontId="40" fillId="3" borderId="1" xfId="0" applyNumberFormat="1" applyFont="1" applyFill="1" applyBorder="1"/>
    <xf numFmtId="0" fontId="43" fillId="3" borderId="19" xfId="0" applyFont="1" applyFill="1" applyBorder="1" applyAlignment="1">
      <alignment horizontal="center" vertical="center" wrapText="1"/>
    </xf>
    <xf numFmtId="0" fontId="47" fillId="10" borderId="19" xfId="0" applyFont="1" applyFill="1" applyBorder="1" applyAlignment="1">
      <alignment vertical="center"/>
    </xf>
    <xf numFmtId="185" fontId="40" fillId="3" borderId="3" xfId="0" applyNumberFormat="1" applyFont="1" applyFill="1" applyBorder="1"/>
    <xf numFmtId="185" fontId="40" fillId="3" borderId="0" xfId="0" applyNumberFormat="1" applyFont="1" applyFill="1"/>
    <xf numFmtId="185" fontId="40" fillId="6" borderId="0" xfId="0" applyNumberFormat="1" applyFont="1" applyFill="1"/>
    <xf numFmtId="166" fontId="40" fillId="3" borderId="36" xfId="0" applyNumberFormat="1" applyFont="1" applyFill="1" applyBorder="1" applyProtection="1">
      <protection locked="0"/>
    </xf>
    <xf numFmtId="166" fontId="40" fillId="3" borderId="38" xfId="0" applyNumberFormat="1" applyFont="1" applyFill="1" applyBorder="1" applyProtection="1">
      <protection locked="0"/>
    </xf>
    <xf numFmtId="166" fontId="40" fillId="3" borderId="37" xfId="0" applyNumberFormat="1" applyFont="1" applyFill="1" applyBorder="1" applyProtection="1">
      <protection locked="0"/>
    </xf>
    <xf numFmtId="166" fontId="40" fillId="3" borderId="39" xfId="0" applyNumberFormat="1" applyFont="1" applyFill="1" applyBorder="1" applyProtection="1">
      <protection locked="0"/>
    </xf>
    <xf numFmtId="3" fontId="7" fillId="3" borderId="0" xfId="0" applyNumberFormat="1" applyFont="1" applyFill="1"/>
    <xf numFmtId="3" fontId="8" fillId="3" borderId="20" xfId="2" applyNumberFormat="1" applyFont="1" applyFill="1" applyBorder="1" applyAlignment="1" applyProtection="1">
      <alignment vertical="center"/>
      <protection hidden="1"/>
    </xf>
    <xf numFmtId="166" fontId="40" fillId="3" borderId="0" xfId="1" applyNumberFormat="1" applyFont="1" applyFill="1" applyBorder="1" applyAlignment="1">
      <alignment horizontal="right" shrinkToFit="1"/>
    </xf>
    <xf numFmtId="0" fontId="40" fillId="6" borderId="3" xfId="0" applyFont="1" applyFill="1" applyBorder="1" applyAlignment="1">
      <alignment horizontal="center"/>
    </xf>
    <xf numFmtId="166" fontId="40" fillId="3" borderId="0" xfId="1" applyNumberFormat="1" applyFont="1" applyFill="1" applyBorder="1" applyAlignment="1">
      <alignment horizontal="right"/>
    </xf>
    <xf numFmtId="0" fontId="40" fillId="9" borderId="5" xfId="0" applyFont="1" applyFill="1" applyBorder="1"/>
    <xf numFmtId="185" fontId="40" fillId="9" borderId="6" xfId="0" applyNumberFormat="1" applyFont="1" applyFill="1" applyBorder="1"/>
    <xf numFmtId="166" fontId="40" fillId="9" borderId="5" xfId="0" applyNumberFormat="1" applyFont="1" applyFill="1" applyBorder="1" applyProtection="1">
      <protection locked="0"/>
    </xf>
    <xf numFmtId="166" fontId="40" fillId="9" borderId="29" xfId="0" applyNumberFormat="1" applyFont="1" applyFill="1" applyBorder="1" applyProtection="1">
      <protection locked="0"/>
    </xf>
    <xf numFmtId="166" fontId="40" fillId="9" borderId="30" xfId="0" applyNumberFormat="1" applyFont="1" applyFill="1" applyBorder="1" applyProtection="1">
      <protection locked="0"/>
    </xf>
    <xf numFmtId="166" fontId="40" fillId="9" borderId="1" xfId="0" applyNumberFormat="1" applyFont="1" applyFill="1" applyBorder="1" applyProtection="1">
      <protection locked="0"/>
    </xf>
    <xf numFmtId="166" fontId="40" fillId="9" borderId="30" xfId="0" applyNumberFormat="1" applyFont="1" applyFill="1" applyBorder="1"/>
    <xf numFmtId="166" fontId="40" fillId="9" borderId="1" xfId="0" applyNumberFormat="1" applyFont="1" applyFill="1" applyBorder="1"/>
    <xf numFmtId="166" fontId="40" fillId="9" borderId="1" xfId="1" applyNumberFormat="1" applyFont="1" applyFill="1" applyBorder="1" applyAlignment="1">
      <alignment horizontal="right" shrinkToFit="1"/>
    </xf>
    <xf numFmtId="169" fontId="40" fillId="9" borderId="6" xfId="2" applyNumberFormat="1" applyFont="1" applyFill="1" applyBorder="1" applyAlignment="1">
      <alignment shrinkToFit="1"/>
    </xf>
    <xf numFmtId="166" fontId="75" fillId="3" borderId="0" xfId="0" applyNumberFormat="1" applyFont="1" applyFill="1" applyProtection="1">
      <protection locked="0"/>
    </xf>
    <xf numFmtId="166" fontId="75" fillId="3" borderId="26" xfId="0" applyNumberFormat="1" applyFont="1" applyFill="1" applyBorder="1" applyProtection="1">
      <protection locked="0"/>
    </xf>
    <xf numFmtId="166" fontId="40" fillId="9" borderId="0" xfId="0" applyNumberFormat="1" applyFont="1" applyFill="1" applyProtection="1">
      <protection locked="0"/>
    </xf>
    <xf numFmtId="166" fontId="40" fillId="9" borderId="0" xfId="0" applyNumberFormat="1" applyFont="1" applyFill="1"/>
    <xf numFmtId="166" fontId="40" fillId="9" borderId="0" xfId="1" applyNumberFormat="1" applyFont="1" applyFill="1" applyBorder="1" applyAlignment="1">
      <alignment horizontal="right" shrinkToFit="1"/>
    </xf>
    <xf numFmtId="0" fontId="40" fillId="9" borderId="19" xfId="0" quotePrefix="1" applyFont="1" applyFill="1" applyBorder="1" applyAlignment="1">
      <alignment horizontal="center" vertical="center" wrapText="1"/>
    </xf>
    <xf numFmtId="166" fontId="40" fillId="9" borderId="0" xfId="1" applyNumberFormat="1" applyFont="1" applyFill="1" applyAlignment="1">
      <alignment horizontal="right" shrinkToFit="1"/>
    </xf>
    <xf numFmtId="0" fontId="36" fillId="9" borderId="19" xfId="0" quotePrefix="1" applyFont="1" applyFill="1" applyBorder="1" applyAlignment="1">
      <alignment horizontal="center" vertical="center"/>
    </xf>
    <xf numFmtId="0" fontId="40" fillId="9" borderId="21" xfId="0" quotePrefix="1" applyFont="1" applyFill="1" applyBorder="1" applyAlignment="1">
      <alignment horizontal="center" vertical="center" wrapText="1"/>
    </xf>
    <xf numFmtId="0" fontId="76" fillId="9" borderId="19" xfId="0" quotePrefix="1" applyFont="1" applyFill="1" applyBorder="1" applyAlignment="1">
      <alignment horizontal="center" vertical="center"/>
    </xf>
    <xf numFmtId="166" fontId="45" fillId="3" borderId="26" xfId="0" applyNumberFormat="1" applyFont="1" applyFill="1" applyBorder="1" applyProtection="1">
      <protection locked="0"/>
    </xf>
    <xf numFmtId="166" fontId="45" fillId="3" borderId="0" xfId="0" applyNumberFormat="1" applyFont="1" applyFill="1" applyProtection="1">
      <protection locked="0"/>
    </xf>
    <xf numFmtId="166" fontId="77" fillId="6" borderId="0" xfId="0" applyNumberFormat="1" applyFont="1" applyFill="1"/>
    <xf numFmtId="166" fontId="40" fillId="8" borderId="0" xfId="0" applyNumberFormat="1" applyFont="1" applyFill="1"/>
    <xf numFmtId="0" fontId="7" fillId="3" borderId="1" xfId="0" applyFont="1" applyFill="1" applyBorder="1"/>
    <xf numFmtId="0" fontId="7" fillId="3" borderId="6" xfId="0" applyFont="1" applyFill="1" applyBorder="1"/>
    <xf numFmtId="0" fontId="7" fillId="3" borderId="11" xfId="0" applyFont="1" applyFill="1" applyBorder="1"/>
    <xf numFmtId="0" fontId="7" fillId="3" borderId="5" xfId="0" applyFont="1" applyFill="1" applyBorder="1"/>
    <xf numFmtId="0" fontId="78" fillId="3" borderId="0" xfId="0" applyFont="1" applyFill="1" applyAlignment="1">
      <alignment horizontal="center" vertical="center"/>
    </xf>
    <xf numFmtId="9" fontId="78" fillId="3" borderId="0" xfId="2" applyFont="1" applyFill="1"/>
    <xf numFmtId="0" fontId="78" fillId="3" borderId="0" xfId="0" applyFont="1" applyFill="1"/>
    <xf numFmtId="3" fontId="78" fillId="3" borderId="0" xfId="0" applyNumberFormat="1" applyFont="1" applyFill="1"/>
    <xf numFmtId="166" fontId="75" fillId="3" borderId="30" xfId="0" applyNumberFormat="1" applyFont="1" applyFill="1" applyBorder="1" applyProtection="1">
      <protection locked="0"/>
    </xf>
    <xf numFmtId="166" fontId="75" fillId="3" borderId="1" xfId="0" applyNumberFormat="1" applyFont="1" applyFill="1" applyBorder="1" applyProtection="1">
      <protection locked="0"/>
    </xf>
    <xf numFmtId="0" fontId="76" fillId="3" borderId="19" xfId="0" quotePrefix="1" applyFont="1" applyFill="1" applyBorder="1" applyAlignment="1">
      <alignment horizontal="center" vertical="center"/>
    </xf>
    <xf numFmtId="0" fontId="40" fillId="9" borderId="7" xfId="0" applyFont="1" applyFill="1" applyBorder="1"/>
    <xf numFmtId="185" fontId="40" fillId="9" borderId="10" xfId="0" applyNumberFormat="1" applyFont="1" applyFill="1" applyBorder="1"/>
    <xf numFmtId="166" fontId="40" fillId="9" borderId="7" xfId="0" applyNumberFormat="1" applyFont="1" applyFill="1" applyBorder="1" applyAlignment="1" applyProtection="1">
      <alignment horizontal="center"/>
      <protection locked="0"/>
    </xf>
    <xf numFmtId="166" fontId="40" fillId="9" borderId="18" xfId="0" applyNumberFormat="1" applyFont="1" applyFill="1" applyBorder="1" applyProtection="1">
      <protection locked="0"/>
    </xf>
    <xf numFmtId="166" fontId="40" fillId="9" borderId="27" xfId="0" applyNumberFormat="1" applyFont="1" applyFill="1" applyBorder="1" applyProtection="1">
      <protection locked="0"/>
    </xf>
    <xf numFmtId="166" fontId="40" fillId="9" borderId="9" xfId="0" applyNumberFormat="1" applyFont="1" applyFill="1" applyBorder="1" applyProtection="1">
      <protection locked="0"/>
    </xf>
    <xf numFmtId="166" fontId="40" fillId="9" borderId="27" xfId="0" applyNumberFormat="1" applyFont="1" applyFill="1" applyBorder="1"/>
    <xf numFmtId="166" fontId="40" fillId="9" borderId="9" xfId="0" applyNumberFormat="1" applyFont="1" applyFill="1" applyBorder="1"/>
    <xf numFmtId="166" fontId="40" fillId="9" borderId="9" xfId="1" applyNumberFormat="1" applyFont="1" applyFill="1" applyBorder="1" applyAlignment="1">
      <alignment horizontal="right"/>
    </xf>
    <xf numFmtId="169" fontId="40" fillId="9" borderId="10" xfId="2" applyNumberFormat="1" applyFont="1" applyFill="1" applyBorder="1"/>
    <xf numFmtId="3" fontId="33" fillId="0" borderId="16" xfId="4" applyNumberFormat="1" applyFont="1" applyBorder="1" applyAlignment="1" applyProtection="1">
      <alignment vertical="center"/>
      <protection hidden="1"/>
    </xf>
    <xf numFmtId="0" fontId="7" fillId="0" borderId="0" xfId="0" applyFont="1"/>
    <xf numFmtId="0" fontId="50" fillId="3" borderId="0" xfId="0" applyFont="1" applyFill="1"/>
    <xf numFmtId="188" fontId="50" fillId="8" borderId="0" xfId="0" applyNumberFormat="1" applyFont="1" applyFill="1"/>
    <xf numFmtId="188" fontId="50" fillId="8" borderId="48" xfId="0" applyNumberFormat="1" applyFont="1" applyFill="1" applyBorder="1"/>
    <xf numFmtId="188" fontId="50" fillId="8" borderId="0" xfId="1" applyNumberFormat="1" applyFont="1" applyFill="1"/>
    <xf numFmtId="188" fontId="50" fillId="8" borderId="48" xfId="1" applyNumberFormat="1" applyFont="1" applyFill="1" applyBorder="1"/>
    <xf numFmtId="0" fontId="79" fillId="6" borderId="0" xfId="0" applyFont="1" applyFill="1"/>
    <xf numFmtId="0" fontId="80" fillId="6" borderId="0" xfId="0" applyFont="1" applyFill="1"/>
    <xf numFmtId="0" fontId="77" fillId="6" borderId="0" xfId="0" applyFont="1" applyFill="1"/>
    <xf numFmtId="0" fontId="47" fillId="3" borderId="19" xfId="0" applyFont="1" applyFill="1" applyBorder="1" applyAlignment="1">
      <alignment horizontal="center" vertical="center" wrapText="1"/>
    </xf>
    <xf numFmtId="166" fontId="40" fillId="3" borderId="41" xfId="0" applyNumberFormat="1" applyFont="1" applyFill="1" applyBorder="1" applyAlignment="1" applyProtection="1">
      <alignment horizontal="center"/>
      <protection locked="0"/>
    </xf>
    <xf numFmtId="0" fontId="7" fillId="3" borderId="3" xfId="0" applyFont="1" applyFill="1" applyBorder="1"/>
    <xf numFmtId="0" fontId="7" fillId="3" borderId="4" xfId="0" applyFont="1" applyFill="1" applyBorder="1"/>
    <xf numFmtId="0" fontId="81" fillId="3" borderId="2" xfId="0" applyFont="1" applyFill="1" applyBorder="1"/>
    <xf numFmtId="166" fontId="40" fillId="0" borderId="26" xfId="0" applyNumberFormat="1" applyFont="1" applyBorder="1" applyProtection="1">
      <protection locked="0"/>
    </xf>
    <xf numFmtId="166" fontId="40" fillId="0" borderId="0" xfId="0" applyNumberFormat="1" applyFont="1" applyProtection="1">
      <protection locked="0"/>
    </xf>
    <xf numFmtId="166" fontId="40" fillId="3" borderId="30" xfId="957" applyNumberFormat="1" applyFont="1" applyFill="1" applyBorder="1" applyProtection="1">
      <protection locked="0"/>
    </xf>
    <xf numFmtId="166" fontId="40" fillId="3" borderId="29" xfId="957" applyNumberFormat="1" applyFont="1" applyFill="1" applyBorder="1" applyProtection="1">
      <protection locked="0"/>
    </xf>
    <xf numFmtId="0" fontId="40" fillId="3" borderId="19" xfId="0" applyFont="1" applyFill="1" applyBorder="1" applyAlignment="1">
      <alignment horizontal="center"/>
    </xf>
    <xf numFmtId="170" fontId="40" fillId="3" borderId="30" xfId="1" applyNumberFormat="1" applyFont="1" applyFill="1" applyBorder="1" applyProtection="1">
      <protection locked="0"/>
    </xf>
    <xf numFmtId="0" fontId="40" fillId="3" borderId="7" xfId="0" applyFont="1" applyFill="1" applyBorder="1"/>
    <xf numFmtId="0" fontId="40" fillId="3" borderId="10" xfId="0" applyFont="1" applyFill="1" applyBorder="1"/>
    <xf numFmtId="0" fontId="40" fillId="3" borderId="7" xfId="0" applyFont="1" applyFill="1" applyBorder="1" applyAlignment="1">
      <alignment horizontal="center"/>
    </xf>
    <xf numFmtId="0" fontId="40" fillId="3" borderId="18" xfId="0" applyFont="1" applyFill="1" applyBorder="1" applyAlignment="1">
      <alignment horizontal="center"/>
    </xf>
    <xf numFmtId="0" fontId="40" fillId="3" borderId="18" xfId="0" applyFont="1" applyFill="1" applyBorder="1"/>
    <xf numFmtId="0" fontId="40" fillId="9" borderId="2" xfId="0" applyFont="1" applyFill="1" applyBorder="1"/>
    <xf numFmtId="185" fontId="40" fillId="9" borderId="4" xfId="0" applyNumberFormat="1" applyFont="1" applyFill="1" applyBorder="1"/>
    <xf numFmtId="166" fontId="40" fillId="9" borderId="2" xfId="0" applyNumberFormat="1" applyFont="1" applyFill="1" applyBorder="1" applyAlignment="1" applyProtection="1">
      <alignment horizontal="center"/>
      <protection locked="0"/>
    </xf>
    <xf numFmtId="166" fontId="40" fillId="9" borderId="41" xfId="0" applyNumberFormat="1" applyFont="1" applyFill="1" applyBorder="1" applyProtection="1">
      <protection locked="0"/>
    </xf>
    <xf numFmtId="166" fontId="40" fillId="9" borderId="42" xfId="0" applyNumberFormat="1" applyFont="1" applyFill="1" applyBorder="1" applyProtection="1">
      <protection locked="0"/>
    </xf>
    <xf numFmtId="166" fontId="40" fillId="9" borderId="3" xfId="0" applyNumberFormat="1" applyFont="1" applyFill="1" applyBorder="1" applyProtection="1">
      <protection locked="0"/>
    </xf>
    <xf numFmtId="166" fontId="40" fillId="9" borderId="42" xfId="0" applyNumberFormat="1" applyFont="1" applyFill="1" applyBorder="1"/>
    <xf numFmtId="166" fontId="40" fillId="9" borderId="3" xfId="0" applyNumberFormat="1" applyFont="1" applyFill="1" applyBorder="1"/>
    <xf numFmtId="166" fontId="40" fillId="9" borderId="3" xfId="1" applyNumberFormat="1" applyFont="1" applyFill="1" applyBorder="1" applyAlignment="1">
      <alignment horizontal="right"/>
    </xf>
    <xf numFmtId="169" fontId="40" fillId="9" borderId="4" xfId="2" applyNumberFormat="1" applyFont="1" applyFill="1" applyBorder="1"/>
    <xf numFmtId="0" fontId="42" fillId="3" borderId="43" xfId="0" quotePrefix="1" applyFont="1" applyFill="1" applyBorder="1" applyAlignment="1">
      <alignment horizontal="center" vertical="center" wrapText="1"/>
    </xf>
    <xf numFmtId="166" fontId="40" fillId="0" borderId="28" xfId="0" applyNumberFormat="1" applyFont="1" applyBorder="1" applyProtection="1">
      <protection locked="0"/>
    </xf>
    <xf numFmtId="3" fontId="11" fillId="2" borderId="14" xfId="4" applyNumberFormat="1" applyFont="1" applyFill="1" applyBorder="1" applyAlignment="1" applyProtection="1">
      <alignment vertical="center"/>
      <protection hidden="1"/>
    </xf>
    <xf numFmtId="0" fontId="42" fillId="10" borderId="21" xfId="0" quotePrefix="1" applyFont="1" applyFill="1" applyBorder="1" applyAlignment="1">
      <alignment horizontal="center" vertical="center" wrapText="1"/>
    </xf>
    <xf numFmtId="0" fontId="42" fillId="10" borderId="19" xfId="0" quotePrefix="1" applyFont="1" applyFill="1" applyBorder="1" applyAlignment="1">
      <alignment horizontal="center" vertical="center" wrapText="1"/>
    </xf>
    <xf numFmtId="0" fontId="42" fillId="10" borderId="19" xfId="0" quotePrefix="1" applyFont="1" applyFill="1" applyBorder="1" applyAlignment="1">
      <alignment horizontal="center" vertical="center"/>
    </xf>
    <xf numFmtId="0" fontId="42" fillId="10" borderId="19" xfId="0" quotePrefix="1" applyFont="1" applyFill="1" applyBorder="1" applyAlignment="1">
      <alignment vertical="center" wrapText="1"/>
    </xf>
    <xf numFmtId="0" fontId="43" fillId="10" borderId="19" xfId="0" applyFont="1" applyFill="1" applyBorder="1" applyAlignment="1">
      <alignment vertical="center" wrapText="1"/>
    </xf>
    <xf numFmtId="0" fontId="42" fillId="10" borderId="21" xfId="0" quotePrefix="1" applyFont="1" applyFill="1" applyBorder="1" applyAlignment="1">
      <alignment vertical="center" wrapText="1"/>
    </xf>
    <xf numFmtId="0" fontId="40" fillId="42" borderId="19" xfId="0" quotePrefix="1" applyFont="1" applyFill="1" applyBorder="1" applyAlignment="1">
      <alignment vertical="center" wrapText="1"/>
    </xf>
    <xf numFmtId="0" fontId="42" fillId="42" borderId="19" xfId="0" quotePrefix="1" applyFont="1" applyFill="1" applyBorder="1" applyAlignment="1">
      <alignment vertical="center" wrapText="1"/>
    </xf>
    <xf numFmtId="0" fontId="43" fillId="42" borderId="19" xfId="0" applyFont="1" applyFill="1" applyBorder="1" applyAlignment="1">
      <alignment vertical="center" wrapText="1"/>
    </xf>
    <xf numFmtId="0" fontId="40" fillId="42" borderId="19" xfId="0" quotePrefix="1" applyFont="1" applyFill="1" applyBorder="1" applyAlignment="1">
      <alignment horizontal="center" vertical="center" wrapText="1"/>
    </xf>
    <xf numFmtId="0" fontId="45" fillId="10" borderId="19" xfId="0" quotePrefix="1" applyFont="1" applyFill="1" applyBorder="1" applyAlignment="1">
      <alignment vertical="center" wrapText="1"/>
    </xf>
    <xf numFmtId="166" fontId="40" fillId="9" borderId="0" xfId="1" applyNumberFormat="1" applyFont="1" applyFill="1" applyBorder="1" applyAlignment="1">
      <alignment horizontal="right"/>
    </xf>
    <xf numFmtId="169" fontId="40" fillId="9" borderId="20" xfId="2" applyNumberFormat="1" applyFont="1" applyFill="1" applyBorder="1"/>
    <xf numFmtId="0" fontId="47" fillId="9" borderId="19" xfId="0" applyFont="1" applyFill="1" applyBorder="1" applyAlignment="1">
      <alignment horizontal="center" vertical="center" wrapText="1"/>
    </xf>
    <xf numFmtId="190" fontId="0" fillId="3" borderId="0" xfId="1020" applyNumberFormat="1" applyFont="1" applyFill="1"/>
    <xf numFmtId="0" fontId="71" fillId="3" borderId="63" xfId="0" applyFont="1" applyFill="1" applyBorder="1" applyAlignment="1">
      <alignment horizontal="center"/>
    </xf>
    <xf numFmtId="0" fontId="71" fillId="3" borderId="64" xfId="0" applyFont="1" applyFill="1" applyBorder="1" applyAlignment="1">
      <alignment horizontal="center"/>
    </xf>
    <xf numFmtId="0" fontId="71" fillId="3" borderId="65" xfId="0" applyFont="1" applyFill="1" applyBorder="1" applyAlignment="1">
      <alignment horizontal="center"/>
    </xf>
    <xf numFmtId="0" fontId="71" fillId="3" borderId="66" xfId="0" applyFont="1" applyFill="1" applyBorder="1" applyAlignment="1">
      <alignment horizontal="center"/>
    </xf>
    <xf numFmtId="0" fontId="71" fillId="3" borderId="66" xfId="0" applyFont="1" applyFill="1" applyBorder="1"/>
    <xf numFmtId="0" fontId="0" fillId="2" borderId="68" xfId="0" applyFill="1" applyBorder="1"/>
    <xf numFmtId="190" fontId="0" fillId="2" borderId="10" xfId="1020" applyNumberFormat="1" applyFont="1" applyFill="1" applyBorder="1"/>
    <xf numFmtId="190" fontId="0" fillId="2" borderId="8" xfId="1020" applyNumberFormat="1" applyFont="1" applyFill="1" applyBorder="1"/>
    <xf numFmtId="190" fontId="0" fillId="2" borderId="7" xfId="1020" applyNumberFormat="1" applyFont="1" applyFill="1" applyBorder="1"/>
    <xf numFmtId="190" fontId="0" fillId="2" borderId="69" xfId="1020" applyNumberFormat="1" applyFont="1" applyFill="1" applyBorder="1"/>
    <xf numFmtId="9" fontId="0" fillId="2" borderId="69" xfId="2" applyFont="1" applyFill="1" applyBorder="1"/>
    <xf numFmtId="0" fontId="0" fillId="2" borderId="70" xfId="0" applyFill="1" applyBorder="1"/>
    <xf numFmtId="190" fontId="0" fillId="2" borderId="4" xfId="1020" applyNumberFormat="1" applyFont="1" applyFill="1" applyBorder="1"/>
    <xf numFmtId="190" fontId="0" fillId="2" borderId="21" xfId="1020" applyNumberFormat="1" applyFont="1" applyFill="1" applyBorder="1"/>
    <xf numFmtId="190" fontId="0" fillId="2" borderId="2" xfId="1020" applyNumberFormat="1" applyFont="1" applyFill="1" applyBorder="1"/>
    <xf numFmtId="190" fontId="0" fillId="2" borderId="71" xfId="1020" applyNumberFormat="1" applyFont="1" applyFill="1" applyBorder="1"/>
    <xf numFmtId="9" fontId="0" fillId="2" borderId="71" xfId="2" applyFont="1" applyFill="1" applyBorder="1"/>
    <xf numFmtId="190" fontId="0" fillId="43" borderId="8" xfId="1020" applyNumberFormat="1" applyFont="1" applyFill="1" applyBorder="1"/>
    <xf numFmtId="190" fontId="0" fillId="43" borderId="7" xfId="1020" applyNumberFormat="1" applyFont="1" applyFill="1" applyBorder="1"/>
    <xf numFmtId="9" fontId="0" fillId="3" borderId="0" xfId="2" applyFont="1" applyFill="1"/>
    <xf numFmtId="0" fontId="0" fillId="9" borderId="73" xfId="0" applyFill="1" applyBorder="1"/>
    <xf numFmtId="190" fontId="0" fillId="9" borderId="74" xfId="1020" applyNumberFormat="1" applyFont="1" applyFill="1" applyBorder="1"/>
    <xf numFmtId="190" fontId="0" fillId="9" borderId="75" xfId="1020" applyNumberFormat="1" applyFont="1" applyFill="1" applyBorder="1"/>
    <xf numFmtId="190" fontId="0" fillId="9" borderId="76" xfId="1020" applyNumberFormat="1" applyFont="1" applyFill="1" applyBorder="1"/>
    <xf numFmtId="190" fontId="0" fillId="9" borderId="73" xfId="1020" applyNumberFormat="1" applyFont="1" applyFill="1" applyBorder="1"/>
    <xf numFmtId="9" fontId="0" fillId="9" borderId="73" xfId="2" applyFont="1" applyFill="1" applyBorder="1"/>
    <xf numFmtId="0" fontId="0" fillId="2" borderId="77" xfId="0" applyFill="1" applyBorder="1"/>
    <xf numFmtId="190" fontId="0" fillId="2" borderId="6" xfId="1020" applyNumberFormat="1" applyFont="1" applyFill="1" applyBorder="1"/>
    <xf numFmtId="190" fontId="0" fillId="2" borderId="22" xfId="1020" applyNumberFormat="1" applyFont="1" applyFill="1" applyBorder="1"/>
    <xf numFmtId="190" fontId="0" fillId="2" borderId="5" xfId="1020" applyNumberFormat="1" applyFont="1" applyFill="1" applyBorder="1"/>
    <xf numFmtId="190" fontId="0" fillId="2" borderId="78" xfId="1020" applyNumberFormat="1" applyFont="1" applyFill="1" applyBorder="1"/>
    <xf numFmtId="9" fontId="0" fillId="2" borderId="78" xfId="2" applyFont="1" applyFill="1" applyBorder="1"/>
    <xf numFmtId="10" fontId="0" fillId="3" borderId="0" xfId="2" applyNumberFormat="1" applyFont="1" applyFill="1"/>
    <xf numFmtId="167" fontId="0" fillId="3" borderId="0" xfId="0" applyNumberFormat="1" applyFill="1"/>
    <xf numFmtId="0" fontId="0" fillId="9" borderId="72" xfId="0" applyFill="1" applyBorder="1"/>
    <xf numFmtId="190" fontId="0" fillId="9" borderId="40" xfId="1020" applyNumberFormat="1" applyFont="1" applyFill="1" applyBorder="1"/>
    <xf numFmtId="190" fontId="0" fillId="9" borderId="43" xfId="1020" applyNumberFormat="1" applyFont="1" applyFill="1" applyBorder="1"/>
    <xf numFmtId="190" fontId="0" fillId="9" borderId="36" xfId="1020" applyNumberFormat="1" applyFont="1" applyFill="1" applyBorder="1"/>
    <xf numFmtId="190" fontId="0" fillId="9" borderId="72" xfId="1020" applyNumberFormat="1" applyFont="1" applyFill="1" applyBorder="1"/>
    <xf numFmtId="0" fontId="0" fillId="3" borderId="77" xfId="0" applyFill="1" applyBorder="1"/>
    <xf numFmtId="190" fontId="0" fillId="3" borderId="6" xfId="1020" applyNumberFormat="1" applyFont="1" applyFill="1" applyBorder="1"/>
    <xf numFmtId="190" fontId="0" fillId="3" borderId="22" xfId="1020" applyNumberFormat="1" applyFont="1" applyFill="1" applyBorder="1"/>
    <xf numFmtId="190" fontId="0" fillId="3" borderId="5" xfId="1020" applyNumberFormat="1" applyFont="1" applyFill="1" applyBorder="1"/>
    <xf numFmtId="190" fontId="0" fillId="3" borderId="78" xfId="1020" applyNumberFormat="1" applyFont="1" applyFill="1" applyBorder="1"/>
    <xf numFmtId="9" fontId="0" fillId="3" borderId="78" xfId="2" applyFont="1" applyFill="1" applyBorder="1"/>
    <xf numFmtId="190" fontId="0" fillId="3" borderId="0" xfId="0" applyNumberFormat="1" applyFill="1"/>
    <xf numFmtId="0" fontId="0" fillId="3" borderId="70" xfId="0" applyFill="1" applyBorder="1"/>
    <xf numFmtId="190" fontId="0" fillId="3" borderId="10" xfId="1020" applyNumberFormat="1" applyFont="1" applyFill="1" applyBorder="1"/>
    <xf numFmtId="190" fontId="0" fillId="3" borderId="8" xfId="1020" applyNumberFormat="1" applyFont="1" applyFill="1" applyBorder="1"/>
    <xf numFmtId="190" fontId="0" fillId="3" borderId="7" xfId="1020" applyNumberFormat="1" applyFont="1" applyFill="1" applyBorder="1"/>
    <xf numFmtId="190" fontId="0" fillId="3" borderId="69" xfId="1020" applyNumberFormat="1" applyFont="1" applyFill="1" applyBorder="1"/>
    <xf numFmtId="9" fontId="0" fillId="3" borderId="69" xfId="2" applyFont="1" applyFill="1" applyBorder="1"/>
    <xf numFmtId="190" fontId="0" fillId="3" borderId="21" xfId="1020" applyNumberFormat="1" applyFont="1" applyFill="1" applyBorder="1"/>
    <xf numFmtId="190" fontId="0" fillId="3" borderId="0" xfId="2" applyNumberFormat="1" applyFont="1" applyFill="1"/>
    <xf numFmtId="167" fontId="0" fillId="3" borderId="0" xfId="1020" applyFont="1" applyFill="1"/>
    <xf numFmtId="190" fontId="0" fillId="9" borderId="37" xfId="1020" applyNumberFormat="1" applyFont="1" applyFill="1" applyBorder="1"/>
    <xf numFmtId="190" fontId="0" fillId="3" borderId="2" xfId="1020" applyNumberFormat="1" applyFont="1" applyFill="1" applyBorder="1"/>
    <xf numFmtId="169" fontId="0" fillId="9" borderId="72" xfId="2" applyNumberFormat="1" applyFont="1" applyFill="1" applyBorder="1"/>
    <xf numFmtId="190" fontId="72" fillId="3" borderId="0" xfId="2" applyNumberFormat="1" applyFont="1" applyFill="1"/>
    <xf numFmtId="0" fontId="0" fillId="3" borderId="68" xfId="0" applyFill="1" applyBorder="1"/>
    <xf numFmtId="190" fontId="0" fillId="3" borderId="4" xfId="1020" applyNumberFormat="1" applyFont="1" applyFill="1" applyBorder="1"/>
    <xf numFmtId="190" fontId="0" fillId="3" borderId="71" xfId="1020" applyNumberFormat="1" applyFont="1" applyFill="1" applyBorder="1"/>
    <xf numFmtId="190" fontId="48" fillId="3" borderId="4" xfId="1020" applyNumberFormat="1" applyFont="1" applyFill="1" applyBorder="1"/>
    <xf numFmtId="190" fontId="48" fillId="3" borderId="21" xfId="1020" applyNumberFormat="1" applyFont="1" applyFill="1" applyBorder="1"/>
    <xf numFmtId="190" fontId="48" fillId="3" borderId="8" xfId="1020" applyNumberFormat="1" applyFont="1" applyFill="1" applyBorder="1"/>
    <xf numFmtId="190" fontId="48" fillId="3" borderId="2" xfId="1020" applyNumberFormat="1" applyFont="1" applyFill="1" applyBorder="1"/>
    <xf numFmtId="190" fontId="48" fillId="3" borderId="71" xfId="1020" applyNumberFormat="1" applyFont="1" applyFill="1" applyBorder="1"/>
    <xf numFmtId="190" fontId="48" fillId="3" borderId="10" xfId="1020" applyNumberFormat="1" applyFont="1" applyFill="1" applyBorder="1"/>
    <xf numFmtId="190" fontId="48" fillId="3" borderId="7" xfId="1020" applyNumberFormat="1" applyFont="1" applyFill="1" applyBorder="1"/>
    <xf numFmtId="0" fontId="0" fillId="2" borderId="69" xfId="0" applyFill="1" applyBorder="1"/>
    <xf numFmtId="0" fontId="0" fillId="2" borderId="71" xfId="0" applyFill="1" applyBorder="1"/>
    <xf numFmtId="190" fontId="48" fillId="43" borderId="8" xfId="1020" applyNumberFormat="1" applyFont="1" applyFill="1" applyBorder="1"/>
    <xf numFmtId="0" fontId="0" fillId="3" borderId="0" xfId="2" applyNumberFormat="1" applyFont="1" applyFill="1"/>
    <xf numFmtId="190" fontId="48" fillId="9" borderId="40" xfId="1020" applyNumberFormat="1" applyFont="1" applyFill="1" applyBorder="1"/>
    <xf numFmtId="190" fontId="72" fillId="8" borderId="0" xfId="2" applyNumberFormat="1" applyFont="1" applyFill="1"/>
    <xf numFmtId="9" fontId="0" fillId="3" borderId="10" xfId="2" applyFont="1" applyFill="1" applyBorder="1"/>
    <xf numFmtId="9" fontId="0" fillId="3" borderId="8" xfId="2" applyFont="1" applyFill="1" applyBorder="1"/>
    <xf numFmtId="9" fontId="0" fillId="3" borderId="7" xfId="2" applyFont="1" applyFill="1" applyBorder="1"/>
    <xf numFmtId="169" fontId="0" fillId="3" borderId="69" xfId="2" applyNumberFormat="1" applyFont="1" applyFill="1" applyBorder="1"/>
    <xf numFmtId="9" fontId="0" fillId="43" borderId="8" xfId="2" applyFont="1" applyFill="1" applyBorder="1"/>
    <xf numFmtId="9" fontId="0" fillId="43" borderId="7" xfId="2" applyFont="1" applyFill="1" applyBorder="1"/>
    <xf numFmtId="9" fontId="0" fillId="9" borderId="40" xfId="2" applyFont="1" applyFill="1" applyBorder="1"/>
    <xf numFmtId="9" fontId="0" fillId="9" borderId="43" xfId="2" applyFont="1" applyFill="1" applyBorder="1"/>
    <xf numFmtId="9" fontId="0" fillId="9" borderId="36" xfId="2" applyFont="1" applyFill="1" applyBorder="1"/>
    <xf numFmtId="0" fontId="0" fillId="3" borderId="69" xfId="0" applyFill="1" applyBorder="1"/>
    <xf numFmtId="0" fontId="0" fillId="3" borderId="10" xfId="0" applyFill="1" applyBorder="1"/>
    <xf numFmtId="0" fontId="0" fillId="3" borderId="8" xfId="0" applyFill="1" applyBorder="1"/>
    <xf numFmtId="0" fontId="0" fillId="3" borderId="7" xfId="0" applyFill="1" applyBorder="1"/>
    <xf numFmtId="0" fontId="0" fillId="3" borderId="71" xfId="0" applyFill="1" applyBorder="1"/>
    <xf numFmtId="0" fontId="0" fillId="3" borderId="4" xfId="0" applyFill="1" applyBorder="1"/>
    <xf numFmtId="0" fontId="0" fillId="3" borderId="21" xfId="0" applyFill="1" applyBorder="1"/>
    <xf numFmtId="0" fontId="0" fillId="3" borderId="2" xfId="0" applyFill="1" applyBorder="1"/>
    <xf numFmtId="0" fontId="0" fillId="3" borderId="72" xfId="0" applyFill="1" applyBorder="1"/>
    <xf numFmtId="190" fontId="0" fillId="3" borderId="40" xfId="1020" applyNumberFormat="1" applyFont="1" applyFill="1" applyBorder="1"/>
    <xf numFmtId="190" fontId="0" fillId="3" borderId="37" xfId="1020" applyNumberFormat="1" applyFont="1" applyFill="1" applyBorder="1"/>
    <xf numFmtId="190" fontId="0" fillId="3" borderId="72" xfId="1020" applyNumberFormat="1" applyFont="1" applyFill="1" applyBorder="1"/>
    <xf numFmtId="9" fontId="0" fillId="3" borderId="0" xfId="0" applyNumberFormat="1" applyFill="1"/>
    <xf numFmtId="0" fontId="0" fillId="3" borderId="80" xfId="0" applyFill="1" applyBorder="1"/>
    <xf numFmtId="0" fontId="0" fillId="3" borderId="0" xfId="0" applyFill="1" applyAlignment="1">
      <alignment horizontal="center" vertical="center" wrapText="1"/>
    </xf>
    <xf numFmtId="191" fontId="0" fillId="3" borderId="10" xfId="1020" applyNumberFormat="1" applyFont="1" applyFill="1" applyBorder="1"/>
    <xf numFmtId="191" fontId="0" fillId="3" borderId="8" xfId="1020" applyNumberFormat="1" applyFont="1" applyFill="1" applyBorder="1"/>
    <xf numFmtId="191" fontId="0" fillId="3" borderId="69" xfId="1020" applyNumberFormat="1" applyFont="1" applyFill="1" applyBorder="1"/>
    <xf numFmtId="191" fontId="0" fillId="3" borderId="4" xfId="1020" applyNumberFormat="1" applyFont="1" applyFill="1" applyBorder="1"/>
    <xf numFmtId="191" fontId="0" fillId="3" borderId="21" xfId="1020" applyNumberFormat="1" applyFont="1" applyFill="1" applyBorder="1"/>
    <xf numFmtId="191" fontId="0" fillId="3" borderId="71" xfId="1020" applyNumberFormat="1" applyFont="1" applyFill="1" applyBorder="1"/>
    <xf numFmtId="190" fontId="48" fillId="3" borderId="82" xfId="1020" applyNumberFormat="1" applyFont="1" applyFill="1" applyBorder="1"/>
    <xf numFmtId="190" fontId="48" fillId="3" borderId="83" xfId="1020" applyNumberFormat="1" applyFont="1" applyFill="1" applyBorder="1"/>
    <xf numFmtId="190" fontId="48" fillId="3" borderId="84" xfId="1020" applyNumberFormat="1" applyFont="1" applyFill="1" applyBorder="1"/>
    <xf numFmtId="190" fontId="48" fillId="3" borderId="85" xfId="1020" applyNumberFormat="1" applyFont="1" applyFill="1" applyBorder="1"/>
    <xf numFmtId="190" fontId="48" fillId="3" borderId="69" xfId="1020" applyNumberFormat="1" applyFont="1" applyFill="1" applyBorder="1"/>
    <xf numFmtId="190" fontId="48" fillId="3" borderId="6" xfId="1020" applyNumberFormat="1" applyFont="1" applyFill="1" applyBorder="1"/>
    <xf numFmtId="0" fontId="0" fillId="3" borderId="81" xfId="0" applyFill="1" applyBorder="1"/>
    <xf numFmtId="190" fontId="0" fillId="43" borderId="21" xfId="1020" applyNumberFormat="1" applyFont="1" applyFill="1" applyBorder="1"/>
    <xf numFmtId="190" fontId="0" fillId="43" borderId="2" xfId="1020" applyNumberFormat="1" applyFont="1" applyFill="1" applyBorder="1"/>
    <xf numFmtId="190" fontId="0" fillId="9" borderId="10" xfId="1020" applyNumberFormat="1" applyFont="1" applyFill="1" applyBorder="1"/>
    <xf numFmtId="190" fontId="0" fillId="9" borderId="8" xfId="1020" applyNumberFormat="1" applyFont="1" applyFill="1" applyBorder="1"/>
    <xf numFmtId="190" fontId="0" fillId="9" borderId="7" xfId="1020" applyNumberFormat="1" applyFont="1" applyFill="1" applyBorder="1"/>
    <xf numFmtId="190" fontId="0" fillId="9" borderId="69" xfId="1020" applyNumberFormat="1" applyFont="1" applyFill="1" applyBorder="1"/>
    <xf numFmtId="9" fontId="0" fillId="9" borderId="69" xfId="2" applyFont="1" applyFill="1" applyBorder="1"/>
    <xf numFmtId="0" fontId="0" fillId="43" borderId="8" xfId="0" applyFill="1" applyBorder="1"/>
    <xf numFmtId="0" fontId="0" fillId="43" borderId="7" xfId="0" applyFill="1" applyBorder="1"/>
    <xf numFmtId="0" fontId="0" fillId="3" borderId="73" xfId="0" applyFill="1" applyBorder="1"/>
    <xf numFmtId="190" fontId="48" fillId="3" borderId="74" xfId="1020" applyNumberFormat="1" applyFont="1" applyFill="1" applyBorder="1"/>
    <xf numFmtId="190" fontId="48" fillId="3" borderId="75" xfId="1020" applyNumberFormat="1" applyFont="1" applyFill="1" applyBorder="1"/>
    <xf numFmtId="167" fontId="48" fillId="3" borderId="10" xfId="1020" applyFont="1" applyFill="1" applyBorder="1"/>
    <xf numFmtId="167" fontId="48" fillId="3" borderId="8" xfId="1020" applyFont="1" applyFill="1" applyBorder="1"/>
    <xf numFmtId="167" fontId="48" fillId="3" borderId="7" xfId="1020" applyFont="1" applyFill="1" applyBorder="1"/>
    <xf numFmtId="167" fontId="48" fillId="3" borderId="69" xfId="1020" applyFont="1" applyFill="1" applyBorder="1"/>
    <xf numFmtId="167" fontId="48" fillId="3" borderId="4" xfId="1020" applyFont="1" applyFill="1" applyBorder="1"/>
    <xf numFmtId="167" fontId="48" fillId="3" borderId="21" xfId="1020" applyFont="1" applyFill="1" applyBorder="1"/>
    <xf numFmtId="167" fontId="48" fillId="3" borderId="2" xfId="1020" applyFont="1" applyFill="1" applyBorder="1"/>
    <xf numFmtId="167" fontId="48" fillId="3" borderId="71" xfId="1020" applyFont="1" applyFill="1" applyBorder="1"/>
    <xf numFmtId="190" fontId="48" fillId="3" borderId="76" xfId="1020" applyNumberFormat="1" applyFont="1" applyFill="1" applyBorder="1"/>
    <xf numFmtId="190" fontId="48" fillId="3" borderId="73" xfId="1020" applyNumberFormat="1" applyFont="1" applyFill="1" applyBorder="1"/>
    <xf numFmtId="167" fontId="48" fillId="3" borderId="82" xfId="1020" applyFont="1" applyFill="1" applyBorder="1"/>
    <xf numFmtId="167" fontId="48" fillId="3" borderId="83" xfId="1020" applyFont="1" applyFill="1" applyBorder="1"/>
    <xf numFmtId="167" fontId="48" fillId="3" borderId="84" xfId="1020" applyFont="1" applyFill="1" applyBorder="1"/>
    <xf numFmtId="167" fontId="48" fillId="3" borderId="85" xfId="1020" applyFont="1" applyFill="1" applyBorder="1"/>
    <xf numFmtId="167" fontId="48" fillId="3" borderId="74" xfId="1020" applyFont="1" applyFill="1" applyBorder="1"/>
    <xf numFmtId="167" fontId="48" fillId="3" borderId="75" xfId="1020" applyFont="1" applyFill="1" applyBorder="1"/>
    <xf numFmtId="167" fontId="48" fillId="3" borderId="76" xfId="1020" applyFont="1" applyFill="1" applyBorder="1"/>
    <xf numFmtId="167" fontId="48" fillId="3" borderId="73" xfId="1020" applyFont="1" applyFill="1" applyBorder="1"/>
    <xf numFmtId="0" fontId="0" fillId="3" borderId="78" xfId="0" applyFill="1" applyBorder="1"/>
    <xf numFmtId="191" fontId="0" fillId="3" borderId="82" xfId="1020" applyNumberFormat="1" applyFont="1" applyFill="1" applyBorder="1"/>
    <xf numFmtId="191" fontId="0" fillId="3" borderId="83" xfId="1020" applyNumberFormat="1" applyFont="1" applyFill="1" applyBorder="1"/>
    <xf numFmtId="191" fontId="0" fillId="3" borderId="84" xfId="1020" applyNumberFormat="1" applyFont="1" applyFill="1" applyBorder="1"/>
    <xf numFmtId="191" fontId="0" fillId="3" borderId="85" xfId="1020" applyNumberFormat="1" applyFont="1" applyFill="1" applyBorder="1"/>
    <xf numFmtId="191" fontId="0" fillId="3" borderId="74" xfId="1020" applyNumberFormat="1" applyFont="1" applyFill="1" applyBorder="1"/>
    <xf numFmtId="191" fontId="0" fillId="3" borderId="75" xfId="1020" applyNumberFormat="1" applyFont="1" applyFill="1" applyBorder="1"/>
    <xf numFmtId="9" fontId="48" fillId="3" borderId="69" xfId="2" applyFont="1" applyFill="1" applyBorder="1"/>
    <xf numFmtId="167" fontId="48" fillId="43" borderId="8" xfId="1020" applyFont="1" applyFill="1" applyBorder="1"/>
    <xf numFmtId="167" fontId="48" fillId="43" borderId="7" xfId="1020" applyFont="1" applyFill="1" applyBorder="1"/>
    <xf numFmtId="190" fontId="48" fillId="3" borderId="40" xfId="1020" applyNumberFormat="1" applyFont="1" applyFill="1" applyBorder="1"/>
    <xf numFmtId="190" fontId="48" fillId="43" borderId="6" xfId="1020" applyNumberFormat="1" applyFont="1" applyFill="1" applyBorder="1"/>
    <xf numFmtId="191" fontId="48" fillId="3" borderId="8" xfId="1020" applyNumberFormat="1" applyFont="1" applyFill="1" applyBorder="1"/>
    <xf numFmtId="191" fontId="48" fillId="3" borderId="7" xfId="1020" applyNumberFormat="1" applyFont="1" applyFill="1" applyBorder="1"/>
    <xf numFmtId="191" fontId="48" fillId="3" borderId="69" xfId="1020" applyNumberFormat="1" applyFont="1" applyFill="1" applyBorder="1"/>
    <xf numFmtId="191" fontId="48" fillId="3" borderId="75" xfId="1020" applyNumberFormat="1" applyFont="1" applyFill="1" applyBorder="1"/>
    <xf numFmtId="191" fontId="48" fillId="3" borderId="76" xfId="1020" applyNumberFormat="1" applyFont="1" applyFill="1" applyBorder="1"/>
    <xf numFmtId="190" fontId="48" fillId="3" borderId="0" xfId="2" applyNumberFormat="1" applyFont="1" applyFill="1"/>
    <xf numFmtId="166" fontId="49" fillId="3" borderId="26" xfId="0" applyNumberFormat="1" applyFont="1" applyFill="1" applyBorder="1" applyProtection="1">
      <protection locked="0"/>
    </xf>
    <xf numFmtId="166" fontId="49" fillId="3" borderId="0" xfId="0" applyNumberFormat="1" applyFont="1" applyFill="1" applyProtection="1">
      <protection locked="0"/>
    </xf>
    <xf numFmtId="166" fontId="85" fillId="3" borderId="26" xfId="0" applyNumberFormat="1" applyFont="1" applyFill="1" applyBorder="1" applyProtection="1">
      <protection locked="0"/>
    </xf>
    <xf numFmtId="166" fontId="85" fillId="3" borderId="28" xfId="0" applyNumberFormat="1" applyFont="1" applyFill="1" applyBorder="1" applyProtection="1">
      <protection locked="0"/>
    </xf>
    <xf numFmtId="166" fontId="85" fillId="3" borderId="30" xfId="0" applyNumberFormat="1" applyFont="1" applyFill="1" applyBorder="1" applyProtection="1">
      <protection locked="0"/>
    </xf>
    <xf numFmtId="166" fontId="85" fillId="3" borderId="29" xfId="0" applyNumberFormat="1" applyFont="1" applyFill="1" applyBorder="1" applyProtection="1">
      <protection locked="0"/>
    </xf>
    <xf numFmtId="166" fontId="85" fillId="0" borderId="26" xfId="0" applyNumberFormat="1" applyFont="1" applyBorder="1" applyProtection="1">
      <protection locked="0"/>
    </xf>
    <xf numFmtId="166" fontId="85" fillId="0" borderId="28" xfId="0" applyNumberFormat="1" applyFont="1" applyBorder="1" applyProtection="1">
      <protection locked="0"/>
    </xf>
    <xf numFmtId="166" fontId="49" fillId="0" borderId="42" xfId="0" applyNumberFormat="1" applyFont="1" applyBorder="1" applyProtection="1">
      <protection locked="0"/>
    </xf>
    <xf numFmtId="166" fontId="49" fillId="0" borderId="3" xfId="0" applyNumberFormat="1" applyFont="1" applyBorder="1" applyProtection="1">
      <protection locked="0"/>
    </xf>
    <xf numFmtId="166" fontId="87" fillId="3" borderId="11" xfId="0" applyNumberFormat="1" applyFont="1" applyFill="1" applyBorder="1" applyProtection="1">
      <protection locked="0"/>
    </xf>
    <xf numFmtId="166" fontId="87" fillId="3" borderId="26" xfId="0" applyNumberFormat="1" applyFont="1" applyFill="1" applyBorder="1" applyProtection="1">
      <protection locked="0"/>
    </xf>
    <xf numFmtId="166" fontId="87" fillId="3" borderId="0" xfId="0" applyNumberFormat="1" applyFont="1" applyFill="1" applyProtection="1">
      <protection locked="0"/>
    </xf>
    <xf numFmtId="166" fontId="87" fillId="3" borderId="30" xfId="0" applyNumberFormat="1" applyFont="1" applyFill="1" applyBorder="1" applyProtection="1">
      <protection locked="0"/>
    </xf>
    <xf numFmtId="166" fontId="87" fillId="3" borderId="1" xfId="0" applyNumberFormat="1" applyFont="1" applyFill="1" applyBorder="1" applyProtection="1">
      <protection locked="0"/>
    </xf>
    <xf numFmtId="0" fontId="40" fillId="7" borderId="5" xfId="0" applyFont="1" applyFill="1" applyBorder="1"/>
    <xf numFmtId="185" fontId="40" fillId="7" borderId="6" xfId="0" applyNumberFormat="1" applyFont="1" applyFill="1" applyBorder="1"/>
    <xf numFmtId="166" fontId="40" fillId="7" borderId="5" xfId="0" applyNumberFormat="1" applyFont="1" applyFill="1" applyBorder="1" applyProtection="1">
      <protection locked="0"/>
    </xf>
    <xf numFmtId="166" fontId="40" fillId="7" borderId="29" xfId="0" applyNumberFormat="1" applyFont="1" applyFill="1" applyBorder="1" applyProtection="1">
      <protection locked="0"/>
    </xf>
    <xf numFmtId="166" fontId="40" fillId="7" borderId="30" xfId="0" applyNumberFormat="1" applyFont="1" applyFill="1" applyBorder="1" applyProtection="1">
      <protection locked="0"/>
    </xf>
    <xf numFmtId="166" fontId="40" fillId="7" borderId="1" xfId="0" applyNumberFormat="1" applyFont="1" applyFill="1" applyBorder="1" applyProtection="1">
      <protection locked="0"/>
    </xf>
    <xf numFmtId="166" fontId="40" fillId="7" borderId="30" xfId="0" applyNumberFormat="1" applyFont="1" applyFill="1" applyBorder="1"/>
    <xf numFmtId="166" fontId="40" fillId="7" borderId="1" xfId="0" applyNumberFormat="1" applyFont="1" applyFill="1" applyBorder="1"/>
    <xf numFmtId="166" fontId="40" fillId="7" borderId="1" xfId="1" applyNumberFormat="1" applyFont="1" applyFill="1" applyBorder="1" applyAlignment="1">
      <alignment horizontal="right"/>
    </xf>
    <xf numFmtId="169" fontId="40" fillId="7" borderId="6" xfId="2" applyNumberFormat="1" applyFont="1" applyFill="1" applyBorder="1"/>
    <xf numFmtId="0" fontId="40" fillId="7" borderId="11" xfId="0" applyFont="1" applyFill="1" applyBorder="1"/>
    <xf numFmtId="185" fontId="40" fillId="7" borderId="20" xfId="0" applyNumberFormat="1" applyFont="1" applyFill="1" applyBorder="1"/>
    <xf numFmtId="166" fontId="40" fillId="7" borderId="11" xfId="0" applyNumberFormat="1" applyFont="1" applyFill="1" applyBorder="1" applyProtection="1">
      <protection locked="0"/>
    </xf>
    <xf numFmtId="166" fontId="40" fillId="7" borderId="28" xfId="0" applyNumberFormat="1" applyFont="1" applyFill="1" applyBorder="1" applyProtection="1">
      <protection locked="0"/>
    </xf>
    <xf numFmtId="166" fontId="40" fillId="7" borderId="26" xfId="0" applyNumberFormat="1" applyFont="1" applyFill="1" applyBorder="1" applyProtection="1">
      <protection locked="0"/>
    </xf>
    <xf numFmtId="166" fontId="40" fillId="7" borderId="0" xfId="0" applyNumberFormat="1" applyFont="1" applyFill="1" applyProtection="1">
      <protection locked="0"/>
    </xf>
    <xf numFmtId="166" fontId="40" fillId="7" borderId="26" xfId="0" applyNumberFormat="1" applyFont="1" applyFill="1" applyBorder="1"/>
    <xf numFmtId="166" fontId="40" fillId="7" borderId="0" xfId="0" applyNumberFormat="1" applyFont="1" applyFill="1"/>
    <xf numFmtId="166" fontId="40" fillId="7" borderId="0" xfId="1" applyNumberFormat="1" applyFont="1" applyFill="1" applyBorder="1" applyAlignment="1">
      <alignment horizontal="right"/>
    </xf>
    <xf numFmtId="169" fontId="40" fillId="7" borderId="20" xfId="2" applyNumberFormat="1" applyFont="1" applyFill="1" applyBorder="1"/>
    <xf numFmtId="166" fontId="40" fillId="7" borderId="0" xfId="1" applyNumberFormat="1" applyFont="1" applyFill="1" applyAlignment="1">
      <alignment horizontal="right" shrinkToFit="1"/>
    </xf>
    <xf numFmtId="169" fontId="40" fillId="7" borderId="20" xfId="2" applyNumberFormat="1" applyFont="1" applyFill="1" applyBorder="1" applyAlignment="1">
      <alignment shrinkToFit="1"/>
    </xf>
    <xf numFmtId="166" fontId="40" fillId="7" borderId="1" xfId="1" applyNumberFormat="1" applyFont="1" applyFill="1" applyBorder="1" applyAlignment="1">
      <alignment horizontal="right" shrinkToFit="1"/>
    </xf>
    <xf numFmtId="169" fontId="40" fillId="7" borderId="6" xfId="2" applyNumberFormat="1" applyFont="1" applyFill="1" applyBorder="1" applyAlignment="1">
      <alignment shrinkToFit="1"/>
    </xf>
    <xf numFmtId="0" fontId="40" fillId="7" borderId="2" xfId="0" applyFont="1" applyFill="1" applyBorder="1"/>
    <xf numFmtId="185" fontId="40" fillId="7" borderId="4" xfId="0" applyNumberFormat="1" applyFont="1" applyFill="1" applyBorder="1"/>
    <xf numFmtId="166" fontId="40" fillId="7" borderId="2" xfId="0" applyNumberFormat="1" applyFont="1" applyFill="1" applyBorder="1" applyAlignment="1" applyProtection="1">
      <alignment horizontal="center"/>
      <protection locked="0"/>
    </xf>
    <xf numFmtId="166" fontId="40" fillId="7" borderId="41" xfId="0" applyNumberFormat="1" applyFont="1" applyFill="1" applyBorder="1" applyProtection="1">
      <protection locked="0"/>
    </xf>
    <xf numFmtId="166" fontId="40" fillId="7" borderId="42" xfId="0" applyNumberFormat="1" applyFont="1" applyFill="1" applyBorder="1" applyProtection="1">
      <protection locked="0"/>
    </xf>
    <xf numFmtId="166" fontId="40" fillId="7" borderId="3" xfId="0" applyNumberFormat="1" applyFont="1" applyFill="1" applyBorder="1" applyProtection="1">
      <protection locked="0"/>
    </xf>
    <xf numFmtId="166" fontId="40" fillId="7" borderId="42" xfId="0" applyNumberFormat="1" applyFont="1" applyFill="1" applyBorder="1"/>
    <xf numFmtId="166" fontId="40" fillId="7" borderId="3" xfId="0" applyNumberFormat="1" applyFont="1" applyFill="1" applyBorder="1"/>
    <xf numFmtId="166" fontId="40" fillId="7" borderId="3" xfId="1" applyNumberFormat="1" applyFont="1" applyFill="1" applyBorder="1" applyAlignment="1">
      <alignment horizontal="right"/>
    </xf>
    <xf numFmtId="169" fontId="40" fillId="7" borderId="4" xfId="2" applyNumberFormat="1" applyFont="1" applyFill="1" applyBorder="1"/>
    <xf numFmtId="166" fontId="40" fillId="7" borderId="0" xfId="1" applyNumberFormat="1" applyFont="1" applyFill="1" applyAlignment="1">
      <alignment horizontal="right"/>
    </xf>
    <xf numFmtId="166" fontId="40" fillId="7" borderId="0" xfId="1" applyNumberFormat="1" applyFont="1" applyFill="1" applyBorder="1" applyAlignment="1">
      <alignment horizontal="right" shrinkToFit="1"/>
    </xf>
    <xf numFmtId="0" fontId="40" fillId="44" borderId="11" xfId="0" applyFont="1" applyFill="1" applyBorder="1"/>
    <xf numFmtId="185" fontId="40" fillId="44" borderId="20" xfId="0" applyNumberFormat="1" applyFont="1" applyFill="1" applyBorder="1"/>
    <xf numFmtId="166" fontId="40" fillId="44" borderId="11" xfId="0" applyNumberFormat="1" applyFont="1" applyFill="1" applyBorder="1" applyProtection="1">
      <protection locked="0"/>
    </xf>
    <xf numFmtId="166" fontId="40" fillId="44" borderId="28" xfId="0" applyNumberFormat="1" applyFont="1" applyFill="1" applyBorder="1" applyProtection="1">
      <protection locked="0"/>
    </xf>
    <xf numFmtId="166" fontId="40" fillId="44" borderId="26" xfId="0" applyNumberFormat="1" applyFont="1" applyFill="1" applyBorder="1" applyProtection="1">
      <protection locked="0"/>
    </xf>
    <xf numFmtId="166" fontId="40" fillId="44" borderId="0" xfId="0" applyNumberFormat="1" applyFont="1" applyFill="1" applyProtection="1">
      <protection locked="0"/>
    </xf>
    <xf numFmtId="166" fontId="49" fillId="44" borderId="26" xfId="0" applyNumberFormat="1" applyFont="1" applyFill="1" applyBorder="1" applyProtection="1">
      <protection locked="0"/>
    </xf>
    <xf numFmtId="166" fontId="49" fillId="44" borderId="0" xfId="0" applyNumberFormat="1" applyFont="1" applyFill="1" applyProtection="1">
      <protection locked="0"/>
    </xf>
    <xf numFmtId="166" fontId="40" fillId="44" borderId="26" xfId="0" applyNumberFormat="1" applyFont="1" applyFill="1" applyBorder="1"/>
    <xf numFmtId="166" fontId="40" fillId="44" borderId="0" xfId="0" applyNumberFormat="1" applyFont="1" applyFill="1"/>
    <xf numFmtId="166" fontId="40" fillId="44" borderId="0" xfId="1" applyNumberFormat="1" applyFont="1" applyFill="1" applyBorder="1" applyAlignment="1">
      <alignment horizontal="right" shrinkToFit="1"/>
    </xf>
    <xf numFmtId="169" fontId="40" fillId="44" borderId="20" xfId="2" applyNumberFormat="1" applyFont="1" applyFill="1" applyBorder="1" applyAlignment="1">
      <alignment shrinkToFit="1"/>
    </xf>
    <xf numFmtId="166" fontId="49" fillId="3" borderId="42" xfId="0" applyNumberFormat="1" applyFont="1" applyFill="1" applyBorder="1" applyProtection="1">
      <protection locked="0"/>
    </xf>
    <xf numFmtId="166" fontId="49" fillId="3" borderId="3" xfId="0" applyNumberFormat="1" applyFont="1" applyFill="1" applyBorder="1" applyProtection="1">
      <protection locked="0"/>
    </xf>
    <xf numFmtId="166" fontId="49" fillId="7" borderId="26" xfId="0" applyNumberFormat="1" applyFont="1" applyFill="1" applyBorder="1" applyProtection="1">
      <protection locked="0"/>
    </xf>
    <xf numFmtId="166" fontId="49" fillId="7" borderId="0" xfId="0" applyNumberFormat="1" applyFont="1" applyFill="1" applyProtection="1">
      <protection locked="0"/>
    </xf>
    <xf numFmtId="166" fontId="85" fillId="3" borderId="0" xfId="0" applyNumberFormat="1" applyFont="1" applyFill="1" applyProtection="1">
      <protection locked="0"/>
    </xf>
    <xf numFmtId="166" fontId="40" fillId="44" borderId="0" xfId="1" applyNumberFormat="1" applyFont="1" applyFill="1" applyAlignment="1">
      <alignment horizontal="right" shrinkToFit="1"/>
    </xf>
    <xf numFmtId="0" fontId="40" fillId="44" borderId="5" xfId="0" applyFont="1" applyFill="1" applyBorder="1"/>
    <xf numFmtId="185" fontId="40" fillId="44" borderId="6" xfId="0" applyNumberFormat="1" applyFont="1" applyFill="1" applyBorder="1"/>
    <xf numFmtId="166" fontId="40" fillId="44" borderId="5" xfId="0" applyNumberFormat="1" applyFont="1" applyFill="1" applyBorder="1" applyProtection="1">
      <protection locked="0"/>
    </xf>
    <xf numFmtId="166" fontId="40" fillId="44" borderId="29" xfId="0" applyNumberFormat="1" applyFont="1" applyFill="1" applyBorder="1" applyProtection="1">
      <protection locked="0"/>
    </xf>
    <xf numFmtId="166" fontId="40" fillId="44" borderId="30" xfId="0" applyNumberFormat="1" applyFont="1" applyFill="1" applyBorder="1" applyProtection="1">
      <protection locked="0"/>
    </xf>
    <xf numFmtId="166" fontId="40" fillId="44" borderId="1" xfId="0" applyNumberFormat="1" applyFont="1" applyFill="1" applyBorder="1" applyProtection="1">
      <protection locked="0"/>
    </xf>
    <xf numFmtId="166" fontId="40" fillId="44" borderId="30" xfId="0" applyNumberFormat="1" applyFont="1" applyFill="1" applyBorder="1"/>
    <xf numFmtId="166" fontId="40" fillId="44" borderId="1" xfId="0" applyNumberFormat="1" applyFont="1" applyFill="1" applyBorder="1"/>
    <xf numFmtId="166" fontId="40" fillId="44" borderId="1" xfId="1" applyNumberFormat="1" applyFont="1" applyFill="1" applyBorder="1" applyAlignment="1">
      <alignment horizontal="right" shrinkToFit="1"/>
    </xf>
    <xf numFmtId="169" fontId="40" fillId="44" borderId="6" xfId="2" applyNumberFormat="1" applyFont="1" applyFill="1" applyBorder="1" applyAlignment="1">
      <alignment shrinkToFit="1"/>
    </xf>
    <xf numFmtId="166" fontId="85" fillId="3" borderId="11" xfId="0" applyNumberFormat="1" applyFont="1" applyFill="1" applyBorder="1" applyProtection="1">
      <protection locked="0"/>
    </xf>
    <xf numFmtId="166" fontId="85" fillId="44" borderId="11" xfId="0" applyNumberFormat="1" applyFont="1" applyFill="1" applyBorder="1" applyProtection="1">
      <protection locked="0"/>
    </xf>
    <xf numFmtId="166" fontId="85" fillId="44" borderId="28" xfId="0" applyNumberFormat="1" applyFont="1" applyFill="1" applyBorder="1" applyProtection="1">
      <protection locked="0"/>
    </xf>
    <xf numFmtId="166" fontId="85" fillId="44" borderId="5" xfId="0" applyNumberFormat="1" applyFont="1" applyFill="1" applyBorder="1" applyProtection="1">
      <protection locked="0"/>
    </xf>
    <xf numFmtId="166" fontId="85" fillId="44" borderId="29" xfId="0" applyNumberFormat="1" applyFont="1" applyFill="1" applyBorder="1" applyProtection="1">
      <protection locked="0"/>
    </xf>
    <xf numFmtId="166" fontId="49" fillId="3" borderId="30" xfId="0" applyNumberFormat="1" applyFont="1" applyFill="1" applyBorder="1" applyProtection="1">
      <protection locked="0"/>
    </xf>
    <xf numFmtId="166" fontId="49" fillId="3" borderId="1" xfId="0" applyNumberFormat="1" applyFont="1" applyFill="1" applyBorder="1" applyProtection="1">
      <protection locked="0"/>
    </xf>
    <xf numFmtId="0" fontId="89" fillId="3" borderId="0" xfId="0" applyFont="1" applyFill="1"/>
    <xf numFmtId="0" fontId="90" fillId="3" borderId="0" xfId="0" applyFont="1" applyFill="1"/>
    <xf numFmtId="0" fontId="91" fillId="3" borderId="0" xfId="0" applyFont="1" applyFill="1"/>
    <xf numFmtId="0" fontId="3" fillId="3" borderId="0" xfId="0" applyFont="1" applyFill="1"/>
    <xf numFmtId="0" fontId="92" fillId="3" borderId="0" xfId="0" applyFont="1" applyFill="1"/>
    <xf numFmtId="166" fontId="92" fillId="3" borderId="0" xfId="0" applyNumberFormat="1" applyFont="1" applyFill="1"/>
    <xf numFmtId="0" fontId="89" fillId="3" borderId="0" xfId="0" applyFont="1" applyFill="1" applyAlignment="1">
      <alignment horizontal="center"/>
    </xf>
    <xf numFmtId="0" fontId="89" fillId="3" borderId="8" xfId="0" applyFont="1" applyFill="1" applyBorder="1" applyAlignment="1">
      <alignment horizontal="center"/>
    </xf>
    <xf numFmtId="0" fontId="93" fillId="3" borderId="8" xfId="0" applyFont="1" applyFill="1" applyBorder="1" applyAlignment="1">
      <alignment horizontal="center"/>
    </xf>
    <xf numFmtId="0" fontId="89" fillId="43" borderId="8" xfId="0" applyFont="1" applyFill="1" applyBorder="1" applyAlignment="1">
      <alignment horizontal="center"/>
    </xf>
    <xf numFmtId="178" fontId="3" fillId="3" borderId="0" xfId="0" applyNumberFormat="1" applyFont="1" applyFill="1" applyAlignment="1">
      <alignment horizontal="center"/>
    </xf>
    <xf numFmtId="0" fontId="94" fillId="3" borderId="0" xfId="0" applyFont="1" applyFill="1"/>
    <xf numFmtId="9" fontId="90" fillId="3" borderId="8" xfId="2" applyFont="1" applyFill="1" applyBorder="1" applyAlignment="1" applyProtection="1">
      <alignment horizontal="center"/>
    </xf>
    <xf numFmtId="9" fontId="90" fillId="43" borderId="8" xfId="2" applyFont="1" applyFill="1" applyBorder="1" applyAlignment="1" applyProtection="1">
      <alignment horizontal="center"/>
    </xf>
    <xf numFmtId="192" fontId="90" fillId="3" borderId="8" xfId="0" applyNumberFormat="1" applyFont="1" applyFill="1" applyBorder="1" applyAlignment="1">
      <alignment horizontal="center"/>
    </xf>
    <xf numFmtId="192" fontId="90" fillId="43" borderId="8" xfId="0" applyNumberFormat="1" applyFont="1" applyFill="1" applyBorder="1" applyAlignment="1">
      <alignment horizontal="center"/>
    </xf>
    <xf numFmtId="9" fontId="92" fillId="3" borderId="0" xfId="0" applyNumberFormat="1" applyFont="1" applyFill="1"/>
    <xf numFmtId="0" fontId="95" fillId="3" borderId="0" xfId="0" applyFont="1" applyFill="1"/>
    <xf numFmtId="9" fontId="94" fillId="3" borderId="8" xfId="0" applyNumberFormat="1" applyFont="1" applyFill="1" applyBorder="1"/>
    <xf numFmtId="193" fontId="96" fillId="0" borderId="87" xfId="1058" applyNumberFormat="1" applyFont="1" applyFill="1" applyBorder="1" applyProtection="1">
      <protection locked="0"/>
    </xf>
    <xf numFmtId="193" fontId="96" fillId="45" borderId="8" xfId="1058" applyNumberFormat="1" applyFont="1" applyFill="1" applyBorder="1" applyProtection="1"/>
    <xf numFmtId="9" fontId="96" fillId="45" borderId="8" xfId="2" applyFont="1" applyFill="1" applyBorder="1" applyProtection="1"/>
    <xf numFmtId="9" fontId="96" fillId="45" borderId="87" xfId="2" applyFont="1" applyFill="1" applyBorder="1" applyProtection="1"/>
    <xf numFmtId="0" fontId="96" fillId="45" borderId="44" xfId="0" applyFont="1" applyFill="1" applyBorder="1"/>
    <xf numFmtId="0" fontId="96" fillId="45" borderId="45" xfId="0" applyFont="1" applyFill="1" applyBorder="1"/>
    <xf numFmtId="193" fontId="96" fillId="45" borderId="8" xfId="1060" applyNumberFormat="1" applyFont="1" applyFill="1" applyBorder="1" applyProtection="1"/>
    <xf numFmtId="0" fontId="96" fillId="45" borderId="47" xfId="0" applyFont="1" applyFill="1" applyBorder="1"/>
    <xf numFmtId="0" fontId="96" fillId="45" borderId="0" xfId="0" applyFont="1" applyFill="1"/>
    <xf numFmtId="0" fontId="96" fillId="45" borderId="49" xfId="0" applyFont="1" applyFill="1" applyBorder="1"/>
    <xf numFmtId="0" fontId="96" fillId="45" borderId="50" xfId="0" applyFont="1" applyFill="1" applyBorder="1"/>
    <xf numFmtId="193" fontId="96" fillId="45" borderId="86" xfId="1058" applyNumberFormat="1" applyFont="1" applyFill="1" applyBorder="1" applyProtection="1"/>
    <xf numFmtId="193" fontId="96" fillId="0" borderId="87" xfId="1060" applyNumberFormat="1" applyFont="1" applyFill="1" applyBorder="1" applyProtection="1">
      <protection locked="0"/>
    </xf>
    <xf numFmtId="193" fontId="96" fillId="45" borderId="86" xfId="1060" applyNumberFormat="1" applyFont="1" applyFill="1" applyBorder="1" applyProtection="1"/>
    <xf numFmtId="0" fontId="98" fillId="3" borderId="0" xfId="0" applyFont="1" applyFill="1"/>
    <xf numFmtId="9" fontId="96" fillId="44" borderId="87" xfId="2" applyFont="1" applyFill="1" applyBorder="1" applyProtection="1"/>
    <xf numFmtId="193" fontId="96" fillId="44" borderId="8" xfId="1060" applyNumberFormat="1" applyFont="1" applyFill="1" applyBorder="1" applyProtection="1"/>
    <xf numFmtId="193" fontId="96" fillId="44" borderId="86" xfId="1060" applyNumberFormat="1" applyFont="1" applyFill="1" applyBorder="1" applyProtection="1"/>
    <xf numFmtId="0" fontId="71" fillId="3" borderId="0" xfId="0" applyFont="1" applyFill="1"/>
    <xf numFmtId="193" fontId="97" fillId="0" borderId="88" xfId="1058" applyNumberFormat="1" applyFont="1" applyBorder="1" applyProtection="1">
      <protection locked="0"/>
    </xf>
    <xf numFmtId="193" fontId="97" fillId="45" borderId="89" xfId="1058" applyNumberFormat="1" applyFont="1" applyFill="1" applyBorder="1" applyProtection="1"/>
    <xf numFmtId="9" fontId="97" fillId="45" borderId="89" xfId="2" applyFont="1" applyFill="1" applyBorder="1" applyProtection="1"/>
    <xf numFmtId="193" fontId="97" fillId="45" borderId="90" xfId="1058" applyNumberFormat="1" applyFont="1" applyFill="1" applyBorder="1" applyProtection="1"/>
    <xf numFmtId="193" fontId="97" fillId="0" borderId="88" xfId="1060" applyNumberFormat="1" applyFont="1" applyBorder="1" applyProtection="1">
      <protection locked="0"/>
    </xf>
    <xf numFmtId="193" fontId="97" fillId="45" borderId="89" xfId="1060" applyNumberFormat="1" applyFont="1" applyFill="1" applyBorder="1" applyProtection="1"/>
    <xf numFmtId="193" fontId="97" fillId="45" borderId="90" xfId="1060" applyNumberFormat="1" applyFont="1" applyFill="1" applyBorder="1" applyProtection="1"/>
    <xf numFmtId="9" fontId="97" fillId="45" borderId="88" xfId="2" applyFont="1" applyFill="1" applyBorder="1" applyProtection="1"/>
    <xf numFmtId="9" fontId="97" fillId="44" borderId="88" xfId="2" applyFont="1" applyFill="1" applyBorder="1" applyProtection="1"/>
    <xf numFmtId="193" fontId="97" fillId="44" borderId="89" xfId="1060" applyNumberFormat="1" applyFont="1" applyFill="1" applyBorder="1" applyProtection="1"/>
    <xf numFmtId="193" fontId="97" fillId="44" borderId="90" xfId="1060" applyNumberFormat="1" applyFont="1" applyFill="1" applyBorder="1" applyProtection="1"/>
    <xf numFmtId="0" fontId="0" fillId="8" borderId="70" xfId="0" applyFill="1" applyBorder="1"/>
    <xf numFmtId="190" fontId="0" fillId="8" borderId="10" xfId="1020" applyNumberFormat="1" applyFont="1" applyFill="1" applyBorder="1"/>
    <xf numFmtId="190" fontId="0" fillId="8" borderId="8" xfId="1020" applyNumberFormat="1" applyFont="1" applyFill="1" applyBorder="1"/>
    <xf numFmtId="190" fontId="48" fillId="8" borderId="8" xfId="1020" applyNumberFormat="1" applyFont="1" applyFill="1" applyBorder="1"/>
    <xf numFmtId="190" fontId="0" fillId="8" borderId="7" xfId="1020" applyNumberFormat="1" applyFont="1" applyFill="1" applyBorder="1"/>
    <xf numFmtId="190" fontId="0" fillId="8" borderId="69" xfId="1020" applyNumberFormat="1" applyFont="1" applyFill="1" applyBorder="1"/>
    <xf numFmtId="190" fontId="0" fillId="8" borderId="0" xfId="0" applyNumberFormat="1" applyFill="1"/>
    <xf numFmtId="0" fontId="0" fillId="8" borderId="0" xfId="0" applyFill="1"/>
    <xf numFmtId="9" fontId="0" fillId="8" borderId="10" xfId="2" applyFont="1" applyFill="1" applyBorder="1"/>
    <xf numFmtId="9" fontId="0" fillId="8" borderId="8" xfId="2" applyFont="1" applyFill="1" applyBorder="1"/>
    <xf numFmtId="9" fontId="0" fillId="8" borderId="7" xfId="2" applyFont="1" applyFill="1" applyBorder="1"/>
    <xf numFmtId="169" fontId="0" fillId="8" borderId="69" xfId="2" applyNumberFormat="1" applyFont="1" applyFill="1" applyBorder="1"/>
    <xf numFmtId="190" fontId="0" fillId="8" borderId="0" xfId="1020" applyNumberFormat="1" applyFont="1" applyFill="1"/>
    <xf numFmtId="193" fontId="0" fillId="3" borderId="0" xfId="0" applyNumberFormat="1" applyFill="1"/>
    <xf numFmtId="0" fontId="71" fillId="3" borderId="0" xfId="0" applyFont="1" applyFill="1" applyAlignment="1">
      <alignment horizontal="center"/>
    </xf>
    <xf numFmtId="170" fontId="0" fillId="3" borderId="0" xfId="1" applyNumberFormat="1" applyFont="1" applyFill="1"/>
    <xf numFmtId="0" fontId="0" fillId="2" borderId="79" xfId="0" applyFill="1" applyBorder="1" applyAlignment="1">
      <alignment horizontal="center"/>
    </xf>
    <xf numFmtId="0" fontId="0" fillId="2" borderId="67" xfId="0" applyFill="1" applyBorder="1" applyAlignment="1">
      <alignment horizontal="center"/>
    </xf>
    <xf numFmtId="0" fontId="0" fillId="2" borderId="72" xfId="0" applyFill="1" applyBorder="1" applyAlignment="1">
      <alignment horizontal="center"/>
    </xf>
    <xf numFmtId="0" fontId="0" fillId="3" borderId="79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0" fillId="3" borderId="72" xfId="0" applyFill="1" applyBorder="1" applyAlignment="1">
      <alignment horizontal="center" vertical="center" wrapText="1"/>
    </xf>
    <xf numFmtId="0" fontId="84" fillId="3" borderId="0" xfId="0" applyFont="1" applyFill="1" applyAlignment="1">
      <alignment horizontal="center" vertical="center"/>
    </xf>
    <xf numFmtId="0" fontId="71" fillId="3" borderId="61" xfId="0" applyFont="1" applyFill="1" applyBorder="1" applyAlignment="1">
      <alignment horizontal="center"/>
    </xf>
    <xf numFmtId="0" fontId="71" fillId="3" borderId="62" xfId="0" applyFont="1" applyFill="1" applyBorder="1" applyAlignment="1">
      <alignment horizontal="center"/>
    </xf>
    <xf numFmtId="0" fontId="0" fillId="2" borderId="67" xfId="0" applyFill="1" applyBorder="1" applyAlignment="1">
      <alignment horizontal="center" vertical="center" wrapText="1"/>
    </xf>
    <xf numFmtId="0" fontId="0" fillId="2" borderId="72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/>
    </xf>
    <xf numFmtId="0" fontId="0" fillId="3" borderId="72" xfId="0" applyFill="1" applyBorder="1" applyAlignment="1">
      <alignment horizontal="center" vertical="center"/>
    </xf>
    <xf numFmtId="0" fontId="0" fillId="2" borderId="79" xfId="0" applyFill="1" applyBorder="1" applyAlignment="1">
      <alignment horizontal="center" vertical="center" wrapText="1"/>
    </xf>
    <xf numFmtId="0" fontId="4" fillId="2" borderId="2" xfId="4" applyNumberFormat="1" applyFont="1" applyFill="1" applyBorder="1" applyAlignment="1" applyProtection="1">
      <alignment horizontal="center" wrapText="1"/>
      <protection hidden="1"/>
    </xf>
    <xf numFmtId="0" fontId="4" fillId="2" borderId="3" xfId="4" applyNumberFormat="1" applyFont="1" applyFill="1" applyBorder="1" applyAlignment="1" applyProtection="1">
      <alignment horizontal="center" wrapText="1"/>
      <protection hidden="1"/>
    </xf>
    <xf numFmtId="0" fontId="4" fillId="2" borderId="4" xfId="4" applyNumberFormat="1" applyFont="1" applyFill="1" applyBorder="1" applyAlignment="1" applyProtection="1">
      <alignment horizontal="center" wrapText="1"/>
      <protection hidden="1"/>
    </xf>
    <xf numFmtId="0" fontId="4" fillId="2" borderId="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17" fontId="8" fillId="3" borderId="7" xfId="4" applyNumberFormat="1" applyFont="1" applyFill="1" applyBorder="1" applyAlignment="1" applyProtection="1">
      <alignment horizontal="center" vertical="center" shrinkToFit="1"/>
      <protection locked="0" hidden="1"/>
    </xf>
    <xf numFmtId="17" fontId="8" fillId="3" borderId="9" xfId="4" applyNumberFormat="1" applyFont="1" applyFill="1" applyBorder="1" applyAlignment="1" applyProtection="1">
      <alignment horizontal="center" vertical="center" shrinkToFit="1"/>
      <protection locked="0" hidden="1"/>
    </xf>
    <xf numFmtId="17" fontId="8" fillId="3" borderId="10" xfId="4" applyNumberFormat="1" applyFont="1" applyFill="1" applyBorder="1" applyAlignment="1" applyProtection="1">
      <alignment horizontal="center" vertical="center" shrinkToFit="1"/>
      <protection locked="0" hidden="1"/>
    </xf>
    <xf numFmtId="168" fontId="6" fillId="3" borderId="0" xfId="4" applyNumberFormat="1" applyFont="1" applyFill="1" applyAlignment="1" applyProtection="1">
      <alignment horizontal="center"/>
      <protection locked="0"/>
    </xf>
    <xf numFmtId="170" fontId="40" fillId="6" borderId="39" xfId="0" applyNumberFormat="1" applyFont="1" applyFill="1" applyBorder="1" applyAlignment="1">
      <alignment horizontal="center"/>
    </xf>
    <xf numFmtId="170" fontId="40" fillId="6" borderId="38" xfId="0" applyNumberFormat="1" applyFont="1" applyFill="1" applyBorder="1" applyAlignment="1">
      <alignment horizontal="center"/>
    </xf>
    <xf numFmtId="170" fontId="40" fillId="6" borderId="37" xfId="0" applyNumberFormat="1" applyFont="1" applyFill="1" applyBorder="1" applyAlignment="1">
      <alignment horizontal="center"/>
    </xf>
    <xf numFmtId="0" fontId="43" fillId="3" borderId="19" xfId="0" quotePrefix="1" applyFont="1" applyFill="1" applyBorder="1" applyAlignment="1">
      <alignment horizontal="center" vertical="center" wrapText="1"/>
    </xf>
    <xf numFmtId="0" fontId="42" fillId="3" borderId="19" xfId="0" quotePrefix="1" applyFont="1" applyFill="1" applyBorder="1" applyAlignment="1">
      <alignment horizontal="center" vertical="center" wrapText="1"/>
    </xf>
    <xf numFmtId="170" fontId="40" fillId="6" borderId="36" xfId="0" applyNumberFormat="1" applyFont="1" applyFill="1" applyBorder="1" applyAlignment="1">
      <alignment horizontal="center"/>
    </xf>
    <xf numFmtId="0" fontId="42" fillId="10" borderId="19" xfId="0" quotePrefix="1" applyFont="1" applyFill="1" applyBorder="1" applyAlignment="1">
      <alignment horizontal="center" vertical="center" wrapText="1"/>
    </xf>
    <xf numFmtId="1" fontId="40" fillId="6" borderId="9" xfId="0" applyNumberFormat="1" applyFont="1" applyFill="1" applyBorder="1" applyAlignment="1">
      <alignment horizontal="center"/>
    </xf>
    <xf numFmtId="1" fontId="40" fillId="0" borderId="27" xfId="0" applyNumberFormat="1" applyFont="1" applyBorder="1" applyAlignment="1">
      <alignment horizontal="center"/>
    </xf>
    <xf numFmtId="1" fontId="40" fillId="0" borderId="18" xfId="0" applyNumberFormat="1" applyFont="1" applyBorder="1" applyAlignment="1">
      <alignment horizontal="center"/>
    </xf>
    <xf numFmtId="0" fontId="38" fillId="2" borderId="7" xfId="0" applyFont="1" applyFill="1" applyBorder="1" applyAlignment="1">
      <alignment horizontal="left" wrapText="1"/>
    </xf>
    <xf numFmtId="0" fontId="38" fillId="2" borderId="10" xfId="0" applyFont="1" applyFill="1" applyBorder="1" applyAlignment="1">
      <alignment horizontal="left" wrapText="1"/>
    </xf>
    <xf numFmtId="17" fontId="39" fillId="2" borderId="2" xfId="0" quotePrefix="1" applyNumberFormat="1" applyFont="1" applyFill="1" applyBorder="1" applyAlignment="1">
      <alignment horizontal="center" vertical="center" wrapText="1"/>
    </xf>
    <xf numFmtId="0" fontId="39" fillId="2" borderId="3" xfId="0" applyFont="1" applyFill="1" applyBorder="1" applyAlignment="1">
      <alignment horizontal="center" vertical="center" wrapText="1"/>
    </xf>
    <xf numFmtId="0" fontId="39" fillId="2" borderId="4" xfId="0" applyFont="1" applyFill="1" applyBorder="1" applyAlignment="1">
      <alignment horizontal="center" vertical="center" wrapText="1"/>
    </xf>
    <xf numFmtId="1" fontId="40" fillId="6" borderId="7" xfId="0" applyNumberFormat="1" applyFont="1" applyFill="1" applyBorder="1" applyAlignment="1">
      <alignment horizontal="center"/>
    </xf>
    <xf numFmtId="1" fontId="40" fillId="6" borderId="13" xfId="0" applyNumberFormat="1" applyFont="1" applyFill="1" applyBorder="1" applyAlignment="1">
      <alignment horizontal="center"/>
    </xf>
    <xf numFmtId="1" fontId="40" fillId="6" borderId="27" xfId="0" applyNumberFormat="1" applyFont="1" applyFill="1" applyBorder="1" applyAlignment="1">
      <alignment horizontal="center"/>
    </xf>
    <xf numFmtId="1" fontId="40" fillId="6" borderId="18" xfId="0" applyNumberFormat="1" applyFont="1" applyFill="1" applyBorder="1" applyAlignment="1">
      <alignment horizontal="center"/>
    </xf>
    <xf numFmtId="170" fontId="40" fillId="3" borderId="36" xfId="0" applyNumberFormat="1" applyFont="1" applyFill="1" applyBorder="1" applyAlignment="1">
      <alignment horizontal="center"/>
    </xf>
    <xf numFmtId="170" fontId="40" fillId="3" borderId="38" xfId="0" applyNumberFormat="1" applyFont="1" applyFill="1" applyBorder="1" applyAlignment="1">
      <alignment horizontal="center"/>
    </xf>
    <xf numFmtId="170" fontId="40" fillId="3" borderId="39" xfId="0" applyNumberFormat="1" applyFont="1" applyFill="1" applyBorder="1" applyAlignment="1">
      <alignment horizontal="center"/>
    </xf>
    <xf numFmtId="170" fontId="40" fillId="3" borderId="37" xfId="0" applyNumberFormat="1" applyFont="1" applyFill="1" applyBorder="1" applyAlignment="1">
      <alignment horizontal="center"/>
    </xf>
    <xf numFmtId="0" fontId="10" fillId="3" borderId="2" xfId="4" applyNumberFormat="1" applyFont="1" applyFill="1" applyBorder="1" applyAlignment="1" applyProtection="1">
      <alignment horizontal="left"/>
      <protection locked="0"/>
    </xf>
    <xf numFmtId="0" fontId="10" fillId="3" borderId="3" xfId="4" applyNumberFormat="1" applyFont="1" applyFill="1" applyBorder="1" applyAlignment="1" applyProtection="1">
      <alignment horizontal="left"/>
      <protection locked="0"/>
    </xf>
    <xf numFmtId="0" fontId="10" fillId="3" borderId="4" xfId="4" applyNumberFormat="1" applyFont="1" applyFill="1" applyBorder="1" applyAlignment="1" applyProtection="1">
      <alignment horizontal="left"/>
      <protection locked="0"/>
    </xf>
    <xf numFmtId="0" fontId="47" fillId="3" borderId="19" xfId="0" quotePrefix="1" applyFont="1" applyFill="1" applyBorder="1" applyAlignment="1">
      <alignment horizontal="center" vertical="center" wrapText="1"/>
    </xf>
    <xf numFmtId="0" fontId="42" fillId="3" borderId="21" xfId="0" quotePrefix="1" applyFont="1" applyFill="1" applyBorder="1" applyAlignment="1">
      <alignment horizontal="center" vertical="center" wrapText="1"/>
    </xf>
    <xf numFmtId="0" fontId="40" fillId="3" borderId="19" xfId="0" quotePrefix="1" applyFont="1" applyFill="1" applyBorder="1" applyAlignment="1">
      <alignment horizontal="center" vertical="center" wrapText="1"/>
    </xf>
    <xf numFmtId="0" fontId="47" fillId="3" borderId="19" xfId="0" applyFont="1" applyFill="1" applyBorder="1" applyAlignment="1">
      <alignment horizontal="center" vertical="center" wrapText="1"/>
    </xf>
    <xf numFmtId="0" fontId="40" fillId="10" borderId="19" xfId="0" quotePrefix="1" applyFont="1" applyFill="1" applyBorder="1" applyAlignment="1">
      <alignment horizontal="center" vertical="center" wrapText="1"/>
    </xf>
    <xf numFmtId="0" fontId="43" fillId="3" borderId="19" xfId="0" applyFont="1" applyFill="1" applyBorder="1" applyAlignment="1">
      <alignment horizontal="center" vertical="center" wrapText="1"/>
    </xf>
    <xf numFmtId="171" fontId="4" fillId="2" borderId="5" xfId="0" applyNumberFormat="1" applyFont="1" applyFill="1" applyBorder="1" applyAlignment="1">
      <alignment horizontal="center"/>
    </xf>
    <xf numFmtId="171" fontId="4" fillId="2" borderId="1" xfId="0" applyNumberFormat="1" applyFont="1" applyFill="1" applyBorder="1" applyAlignment="1">
      <alignment horizontal="center"/>
    </xf>
    <xf numFmtId="171" fontId="4" fillId="2" borderId="6" xfId="0" applyNumberFormat="1" applyFont="1" applyFill="1" applyBorder="1" applyAlignment="1">
      <alignment horizontal="center"/>
    </xf>
  </cellXfs>
  <cellStyles count="1062">
    <cellStyle name="%" xfId="6" xr:uid="{00000000-0005-0000-0000-000000000000}"/>
    <cellStyle name="% 2" xfId="7" xr:uid="{00000000-0005-0000-0000-000001000000}"/>
    <cellStyle name="% 3" xfId="8" xr:uid="{00000000-0005-0000-0000-000002000000}"/>
    <cellStyle name="% 4" xfId="9" xr:uid="{00000000-0005-0000-0000-000003000000}"/>
    <cellStyle name="% 5" xfId="10" xr:uid="{00000000-0005-0000-0000-000004000000}"/>
    <cellStyle name="%_101028 Pickup By Market seg_2010 report_LSG" xfId="11" xr:uid="{00000000-0005-0000-0000-000005000000}"/>
    <cellStyle name="%_101201 Pickup By Market seg_2010 report_LSG" xfId="12" xr:uid="{00000000-0005-0000-0000-000006000000}"/>
    <cellStyle name="%_101231 Pickup By Market seg_2010 report_LSG" xfId="13" xr:uid="{00000000-0005-0000-0000-000007000000}"/>
    <cellStyle name="%_110201 Pickup By Market seg_2011 report_LSG" xfId="14" xr:uid="{00000000-0005-0000-0000-000008000000}"/>
    <cellStyle name="%_110227 Pickup By Market seg_2011 report_LSG" xfId="15" xr:uid="{00000000-0005-0000-0000-000009000000}"/>
    <cellStyle name="%_110330 Pickup By Market seg_2011 report_LSG" xfId="16" xr:uid="{00000000-0005-0000-0000-00000A000000}"/>
    <cellStyle name="%_110429 Pickup By Market seg_2011 report_LSG" xfId="17" xr:uid="{00000000-0005-0000-0000-00000B000000}"/>
    <cellStyle name="%_110501 Pickup By Market seg_2011 report_LSG" xfId="18" xr:uid="{00000000-0005-0000-0000-00000C000000}"/>
    <cellStyle name="%_110530 Pickup By Market seg_2011 report_LSG" xfId="19" xr:uid="{00000000-0005-0000-0000-00000D000000}"/>
    <cellStyle name="%_110608 Pickup By Market seg_2011 report_LSG" xfId="20" xr:uid="{00000000-0005-0000-0000-00000E000000}"/>
    <cellStyle name="%_110610 Pickup By Market seg_2011 report_LSG" xfId="21" xr:uid="{00000000-0005-0000-0000-00000F000000}"/>
    <cellStyle name="%_110729 Pickup By Market seg_2011 report_LSG" xfId="22" xr:uid="{00000000-0005-0000-0000-000010000000}"/>
    <cellStyle name="%_110830 Pickup By Market seg_2011 report_LSG" xfId="23" xr:uid="{00000000-0005-0000-0000-000011000000}"/>
    <cellStyle name="%_110928 Pickup By Market seg_2011 report_LSG" xfId="24" xr:uid="{00000000-0005-0000-0000-000012000000}"/>
    <cellStyle name="%_111030 Pickup By Market seg_2011 report_LSG" xfId="25" xr:uid="{00000000-0005-0000-0000-000013000000}"/>
    <cellStyle name="%_Mkt Sgmt Report" xfId="26" xr:uid="{00000000-0005-0000-0000-000014000000}"/>
    <cellStyle name="%_Pickup by Segment" xfId="27" xr:uid="{00000000-0005-0000-0000-000015000000}"/>
    <cellStyle name="20% - Accent1" xfId="1032" builtinId="30" customBuiltin="1"/>
    <cellStyle name="20% - Accent1 2" xfId="958" xr:uid="{00000000-0005-0000-0000-000016000000}"/>
    <cellStyle name="20% - Accent2" xfId="1035" builtinId="34" customBuiltin="1"/>
    <cellStyle name="20% - Accent2 2" xfId="959" xr:uid="{00000000-0005-0000-0000-000017000000}"/>
    <cellStyle name="20% - Accent3" xfId="1038" builtinId="38" customBuiltin="1"/>
    <cellStyle name="20% - Accent3 2" xfId="960" xr:uid="{00000000-0005-0000-0000-000018000000}"/>
    <cellStyle name="20% - Accent4" xfId="1041" builtinId="42" customBuiltin="1"/>
    <cellStyle name="20% - Accent4 2" xfId="961" xr:uid="{00000000-0005-0000-0000-000019000000}"/>
    <cellStyle name="20% - Accent5" xfId="1044" builtinId="46" customBuiltin="1"/>
    <cellStyle name="20% - Accent5 2" xfId="962" xr:uid="{00000000-0005-0000-0000-00001A000000}"/>
    <cellStyle name="20% - Accent6" xfId="1047" builtinId="50" customBuiltin="1"/>
    <cellStyle name="20% - Accent6 2" xfId="963" xr:uid="{00000000-0005-0000-0000-00001B000000}"/>
    <cellStyle name="40% - Accent1" xfId="1033" builtinId="31" customBuiltin="1"/>
    <cellStyle name="40% - Accent1 2" xfId="964" xr:uid="{00000000-0005-0000-0000-00001C000000}"/>
    <cellStyle name="40% - Accent2" xfId="1036" builtinId="35" customBuiltin="1"/>
    <cellStyle name="40% - Accent2 2" xfId="965" xr:uid="{00000000-0005-0000-0000-00001D000000}"/>
    <cellStyle name="40% - Accent3" xfId="1039" builtinId="39" customBuiltin="1"/>
    <cellStyle name="40% - Accent3 2" xfId="966" xr:uid="{00000000-0005-0000-0000-00001E000000}"/>
    <cellStyle name="40% - Accent4" xfId="1042" builtinId="43" customBuiltin="1"/>
    <cellStyle name="40% - Accent4 2" xfId="967" xr:uid="{00000000-0005-0000-0000-00001F000000}"/>
    <cellStyle name="40% - Accent5" xfId="1045" builtinId="47" customBuiltin="1"/>
    <cellStyle name="40% - Accent5 2" xfId="968" xr:uid="{00000000-0005-0000-0000-000020000000}"/>
    <cellStyle name="40% - Accent6" xfId="1048" builtinId="51" customBuiltin="1"/>
    <cellStyle name="40% - Accent6 2" xfId="969" xr:uid="{00000000-0005-0000-0000-000021000000}"/>
    <cellStyle name="60% - Accent1 2" xfId="970" xr:uid="{00000000-0005-0000-0000-000022000000}"/>
    <cellStyle name="60% - Accent2 2" xfId="971" xr:uid="{00000000-0005-0000-0000-000023000000}"/>
    <cellStyle name="60% - Accent3 2" xfId="972" xr:uid="{00000000-0005-0000-0000-000024000000}"/>
    <cellStyle name="60% - Accent4 2" xfId="973" xr:uid="{00000000-0005-0000-0000-000025000000}"/>
    <cellStyle name="60% - Accent5 2" xfId="974" xr:uid="{00000000-0005-0000-0000-000026000000}"/>
    <cellStyle name="60% - Accent6 2" xfId="975" xr:uid="{00000000-0005-0000-0000-000027000000}"/>
    <cellStyle name="Accent1" xfId="1031" builtinId="29" customBuiltin="1"/>
    <cellStyle name="Accent1 2" xfId="976" xr:uid="{00000000-0005-0000-0000-000028000000}"/>
    <cellStyle name="Accent2" xfId="1034" builtinId="33" customBuiltin="1"/>
    <cellStyle name="Accent2 2" xfId="977" xr:uid="{00000000-0005-0000-0000-000029000000}"/>
    <cellStyle name="Accent3" xfId="1037" builtinId="37" customBuiltin="1"/>
    <cellStyle name="Accent3 2" xfId="978" xr:uid="{00000000-0005-0000-0000-00002A000000}"/>
    <cellStyle name="Accent4" xfId="1040" builtinId="41" customBuiltin="1"/>
    <cellStyle name="Accent4 2" xfId="979" xr:uid="{00000000-0005-0000-0000-00002B000000}"/>
    <cellStyle name="Accent5" xfId="1043" builtinId="45" customBuiltin="1"/>
    <cellStyle name="Accent5 2" xfId="980" xr:uid="{00000000-0005-0000-0000-00002C000000}"/>
    <cellStyle name="Accent6" xfId="1046" builtinId="49" customBuiltin="1"/>
    <cellStyle name="Accent6 2" xfId="981" xr:uid="{00000000-0005-0000-0000-00002D000000}"/>
    <cellStyle name="Bad" xfId="1022" builtinId="27" customBuiltin="1"/>
    <cellStyle name="Bad 2" xfId="982" xr:uid="{00000000-0005-0000-0000-00002E000000}"/>
    <cellStyle name="Calc Currency (0)" xfId="28" xr:uid="{00000000-0005-0000-0000-00002F000000}"/>
    <cellStyle name="Calc Currency (2)" xfId="29" xr:uid="{00000000-0005-0000-0000-000030000000}"/>
    <cellStyle name="Calc Percent (0)" xfId="30" xr:uid="{00000000-0005-0000-0000-000031000000}"/>
    <cellStyle name="Calc Percent (1)" xfId="31" xr:uid="{00000000-0005-0000-0000-000032000000}"/>
    <cellStyle name="Calc Percent (2)" xfId="32" xr:uid="{00000000-0005-0000-0000-000033000000}"/>
    <cellStyle name="Calc Units (0)" xfId="33" xr:uid="{00000000-0005-0000-0000-000034000000}"/>
    <cellStyle name="Calc Units (1)" xfId="34" xr:uid="{00000000-0005-0000-0000-000035000000}"/>
    <cellStyle name="Calc Units (2)" xfId="35" xr:uid="{00000000-0005-0000-0000-000036000000}"/>
    <cellStyle name="Calculation" xfId="1025" builtinId="22" customBuiltin="1"/>
    <cellStyle name="Calculation 2" xfId="983" xr:uid="{00000000-0005-0000-0000-000037000000}"/>
    <cellStyle name="Check Cell" xfId="1027" builtinId="23" customBuiltin="1"/>
    <cellStyle name="Check Cell 2" xfId="984" xr:uid="{00000000-0005-0000-0000-000038000000}"/>
    <cellStyle name="Col-Head" xfId="36" xr:uid="{00000000-0005-0000-0000-000039000000}"/>
    <cellStyle name="comm_SRCO9312.XLS" xfId="37" xr:uid="{00000000-0005-0000-0000-00003A000000}"/>
    <cellStyle name="Comma" xfId="1" builtinId="3"/>
    <cellStyle name="Comma [00]" xfId="38" xr:uid="{00000000-0005-0000-0000-00003C000000}"/>
    <cellStyle name="Comma 10" xfId="1010" xr:uid="{00000000-0005-0000-0000-00003D000000}"/>
    <cellStyle name="Comma 11" xfId="1012" xr:uid="{00000000-0005-0000-0000-00003E000000}"/>
    <cellStyle name="Comma 12" xfId="1009" xr:uid="{00000000-0005-0000-0000-00003F000000}"/>
    <cellStyle name="Comma 12 2" xfId="1061" xr:uid="{B53FE78A-B0B9-4E35-9E5E-AD482641BA16}"/>
    <cellStyle name="Comma 13" xfId="1013" xr:uid="{00000000-0005-0000-0000-000040000000}"/>
    <cellStyle name="Comma 13 2" xfId="39" xr:uid="{00000000-0005-0000-0000-000041000000}"/>
    <cellStyle name="Comma 13 3" xfId="40" xr:uid="{00000000-0005-0000-0000-000042000000}"/>
    <cellStyle name="Comma 13 4" xfId="41" xr:uid="{00000000-0005-0000-0000-000043000000}"/>
    <cellStyle name="Comma 13 5" xfId="42" xr:uid="{00000000-0005-0000-0000-000044000000}"/>
    <cellStyle name="Comma 14" xfId="1008" xr:uid="{00000000-0005-0000-0000-000045000000}"/>
    <cellStyle name="Comma 15" xfId="1018" xr:uid="{00000000-0005-0000-0000-000046000000}"/>
    <cellStyle name="Comma 16" xfId="1020" xr:uid="{00000000-0005-0000-0000-000047000000}"/>
    <cellStyle name="Comma 17" xfId="1049" xr:uid="{1EDD3181-A80B-413D-8D06-D1E38B36BC75}"/>
    <cellStyle name="Comma 18" xfId="1050" xr:uid="{951F24E1-A22B-42C5-AACE-F7EACE37EAE5}"/>
    <cellStyle name="Comma 19" xfId="1055" xr:uid="{EE04B594-A0AB-429F-B65C-12CA092B840B}"/>
    <cellStyle name="Comma 2" xfId="43" xr:uid="{00000000-0005-0000-0000-000048000000}"/>
    <cellStyle name="Comma 2 2" xfId="44" xr:uid="{00000000-0005-0000-0000-000049000000}"/>
    <cellStyle name="Comma 2 2 2" xfId="45" xr:uid="{00000000-0005-0000-0000-00004A000000}"/>
    <cellStyle name="Comma 2 2 3" xfId="46" xr:uid="{00000000-0005-0000-0000-00004B000000}"/>
    <cellStyle name="Comma 2 2 4" xfId="47" xr:uid="{00000000-0005-0000-0000-00004C000000}"/>
    <cellStyle name="Comma 2 2 5" xfId="48" xr:uid="{00000000-0005-0000-0000-00004D000000}"/>
    <cellStyle name="Comma 2 3" xfId="49" xr:uid="{00000000-0005-0000-0000-00004E000000}"/>
    <cellStyle name="Comma 2 3 2" xfId="50" xr:uid="{00000000-0005-0000-0000-00004F000000}"/>
    <cellStyle name="Comma 2 3 3" xfId="51" xr:uid="{00000000-0005-0000-0000-000050000000}"/>
    <cellStyle name="Comma 2 3 4" xfId="52" xr:uid="{00000000-0005-0000-0000-000051000000}"/>
    <cellStyle name="Comma 2 3 5" xfId="53" xr:uid="{00000000-0005-0000-0000-000052000000}"/>
    <cellStyle name="Comma 2 4" xfId="54" xr:uid="{00000000-0005-0000-0000-000053000000}"/>
    <cellStyle name="Comma 2 4 2" xfId="55" xr:uid="{00000000-0005-0000-0000-000054000000}"/>
    <cellStyle name="Comma 2 4 3" xfId="56" xr:uid="{00000000-0005-0000-0000-000055000000}"/>
    <cellStyle name="Comma 2 4 4" xfId="57" xr:uid="{00000000-0005-0000-0000-000056000000}"/>
    <cellStyle name="Comma 2 4 5" xfId="58" xr:uid="{00000000-0005-0000-0000-000057000000}"/>
    <cellStyle name="Comma 2 5" xfId="1052" xr:uid="{42203C23-80ED-4407-9324-8CF1C8C86BAB}"/>
    <cellStyle name="Comma 20" xfId="1056" xr:uid="{CF825050-B79E-4C73-8270-93748F6A4964}"/>
    <cellStyle name="Comma 21" xfId="1059" xr:uid="{7846614B-32C8-49EB-9D80-4E81EE80E9DA}"/>
    <cellStyle name="Comma 22" xfId="1058" xr:uid="{0A39BD9D-8A38-4F17-BAB4-7E076FE01390}"/>
    <cellStyle name="Comma 23" xfId="1060" xr:uid="{F2896A5F-FC49-4132-92E3-69C70D0F402A}"/>
    <cellStyle name="Comma 24 2" xfId="59" xr:uid="{00000000-0005-0000-0000-000058000000}"/>
    <cellStyle name="Comma 24 3" xfId="60" xr:uid="{00000000-0005-0000-0000-000059000000}"/>
    <cellStyle name="Comma 24 4" xfId="61" xr:uid="{00000000-0005-0000-0000-00005A000000}"/>
    <cellStyle name="Comma 24 5" xfId="62" xr:uid="{00000000-0005-0000-0000-00005B000000}"/>
    <cellStyle name="Comma 3" xfId="63" xr:uid="{00000000-0005-0000-0000-00005C000000}"/>
    <cellStyle name="Comma 3 2" xfId="64" xr:uid="{00000000-0005-0000-0000-00005D000000}"/>
    <cellStyle name="Comma 3 3" xfId="1054" xr:uid="{80C1424B-2F8C-4903-AF26-70AA29A74E30}"/>
    <cellStyle name="Comma 3 5" xfId="65" xr:uid="{00000000-0005-0000-0000-00005E000000}"/>
    <cellStyle name="Comma 4" xfId="985" xr:uid="{00000000-0005-0000-0000-00005F000000}"/>
    <cellStyle name="Comma 5" xfId="66" xr:uid="{00000000-0005-0000-0000-000060000000}"/>
    <cellStyle name="Comma 54" xfId="67" xr:uid="{00000000-0005-0000-0000-000061000000}"/>
    <cellStyle name="Comma 6" xfId="1004" xr:uid="{00000000-0005-0000-0000-000062000000}"/>
    <cellStyle name="Comma 7" xfId="1003" xr:uid="{00000000-0005-0000-0000-000063000000}"/>
    <cellStyle name="Comma 8" xfId="1005" xr:uid="{00000000-0005-0000-0000-000064000000}"/>
    <cellStyle name="Comma 9" xfId="1011" xr:uid="{00000000-0005-0000-0000-000065000000}"/>
    <cellStyle name="Comma_060718_AKS_Basic Assumption 2007" xfId="5" xr:uid="{00000000-0005-0000-0000-000066000000}"/>
    <cellStyle name="Company" xfId="68" xr:uid="{00000000-0005-0000-0000-000067000000}"/>
    <cellStyle name="Currency [00]" xfId="69" xr:uid="{00000000-0005-0000-0000-000068000000}"/>
    <cellStyle name="Currency 2" xfId="70" xr:uid="{00000000-0005-0000-0000-000069000000}"/>
    <cellStyle name="Currency 2 2" xfId="71" xr:uid="{00000000-0005-0000-0000-00006A000000}"/>
    <cellStyle name="Currency 2 3" xfId="72" xr:uid="{00000000-0005-0000-0000-00006B000000}"/>
    <cellStyle name="Currency 2 4" xfId="73" xr:uid="{00000000-0005-0000-0000-00006C000000}"/>
    <cellStyle name="Currency 2 5" xfId="74" xr:uid="{00000000-0005-0000-0000-00006D000000}"/>
    <cellStyle name="Currency 2 6" xfId="75" xr:uid="{00000000-0005-0000-0000-00006E000000}"/>
    <cellStyle name="Currency 3" xfId="76" xr:uid="{00000000-0005-0000-0000-00006F000000}"/>
    <cellStyle name="Currency 4" xfId="77" xr:uid="{00000000-0005-0000-0000-000070000000}"/>
    <cellStyle name="Currency 4 2" xfId="78" xr:uid="{00000000-0005-0000-0000-000071000000}"/>
    <cellStyle name="Currency 4 3" xfId="79" xr:uid="{00000000-0005-0000-0000-000072000000}"/>
    <cellStyle name="Currency 4 4" xfId="80" xr:uid="{00000000-0005-0000-0000-000073000000}"/>
    <cellStyle name="Currency 4 5" xfId="81" xr:uid="{00000000-0005-0000-0000-000074000000}"/>
    <cellStyle name="Currency 5" xfId="82" xr:uid="{00000000-0005-0000-0000-000075000000}"/>
    <cellStyle name="Currency 5 2" xfId="83" xr:uid="{00000000-0005-0000-0000-000076000000}"/>
    <cellStyle name="Currency 5 3" xfId="84" xr:uid="{00000000-0005-0000-0000-000077000000}"/>
    <cellStyle name="Currency 5 4" xfId="85" xr:uid="{00000000-0005-0000-0000-000078000000}"/>
    <cellStyle name="Currency 5 5" xfId="86" xr:uid="{00000000-0005-0000-0000-000079000000}"/>
    <cellStyle name="Currency 6" xfId="87" xr:uid="{00000000-0005-0000-0000-00007A000000}"/>
    <cellStyle name="Currency 6 2" xfId="88" xr:uid="{00000000-0005-0000-0000-00007B000000}"/>
    <cellStyle name="Currency 6 2 2" xfId="89" xr:uid="{00000000-0005-0000-0000-00007C000000}"/>
    <cellStyle name="Currency 6 2 3" xfId="90" xr:uid="{00000000-0005-0000-0000-00007D000000}"/>
    <cellStyle name="Currency 6 2 4" xfId="91" xr:uid="{00000000-0005-0000-0000-00007E000000}"/>
    <cellStyle name="Currency 6 2 5" xfId="92" xr:uid="{00000000-0005-0000-0000-00007F000000}"/>
    <cellStyle name="Currency 6 3" xfId="93" xr:uid="{00000000-0005-0000-0000-000080000000}"/>
    <cellStyle name="Currency 6 4" xfId="94" xr:uid="{00000000-0005-0000-0000-000081000000}"/>
    <cellStyle name="Currency 6 5" xfId="95" xr:uid="{00000000-0005-0000-0000-000082000000}"/>
    <cellStyle name="Currency 6 6" xfId="96" xr:uid="{00000000-0005-0000-0000-000083000000}"/>
    <cellStyle name="Currency 7" xfId="1057" xr:uid="{8CBD8A3A-D35F-4E3F-927C-5D8A08160FD7}"/>
    <cellStyle name="Date Short" xfId="97" xr:uid="{00000000-0005-0000-0000-000084000000}"/>
    <cellStyle name="Date Short 2" xfId="98" xr:uid="{00000000-0005-0000-0000-000085000000}"/>
    <cellStyle name="Date Short 3" xfId="99" xr:uid="{00000000-0005-0000-0000-000086000000}"/>
    <cellStyle name="Date Short 4" xfId="100" xr:uid="{00000000-0005-0000-0000-000087000000}"/>
    <cellStyle name="Date Short 5" xfId="101" xr:uid="{00000000-0005-0000-0000-000088000000}"/>
    <cellStyle name="DELTA" xfId="102" xr:uid="{00000000-0005-0000-0000-000089000000}"/>
    <cellStyle name="Enter Currency (0)" xfId="103" xr:uid="{00000000-0005-0000-0000-00008A000000}"/>
    <cellStyle name="Enter Currency (2)" xfId="104" xr:uid="{00000000-0005-0000-0000-00008B000000}"/>
    <cellStyle name="Enter Units (0)" xfId="105" xr:uid="{00000000-0005-0000-0000-00008C000000}"/>
    <cellStyle name="Enter Units (1)" xfId="106" xr:uid="{00000000-0005-0000-0000-00008D000000}"/>
    <cellStyle name="Enter Units (2)" xfId="107" xr:uid="{00000000-0005-0000-0000-00008E000000}"/>
    <cellStyle name="Explanatory Text" xfId="1029" builtinId="53" customBuiltin="1"/>
    <cellStyle name="Explanatory Text 2" xfId="986" xr:uid="{00000000-0005-0000-0000-00008F000000}"/>
    <cellStyle name="Formul" xfId="108" xr:uid="{00000000-0005-0000-0000-000090000000}"/>
    <cellStyle name="Good" xfId="1021" builtinId="26" customBuiltin="1"/>
    <cellStyle name="Good 2" xfId="987" xr:uid="{00000000-0005-0000-0000-000091000000}"/>
    <cellStyle name="Header1" xfId="109" xr:uid="{00000000-0005-0000-0000-000092000000}"/>
    <cellStyle name="Header2" xfId="110" xr:uid="{00000000-0005-0000-0000-000093000000}"/>
    <cellStyle name="Heading 1" xfId="953" builtinId="16" customBuiltin="1"/>
    <cellStyle name="Heading 2" xfId="954" builtinId="17" customBuiltin="1"/>
    <cellStyle name="Heading 3" xfId="955" builtinId="18" customBuiltin="1"/>
    <cellStyle name="Heading 4" xfId="956" builtinId="19" customBuiltin="1"/>
    <cellStyle name="Input" xfId="1023" builtinId="20" customBuiltin="1"/>
    <cellStyle name="Input 2" xfId="989" xr:uid="{00000000-0005-0000-0000-000098000000}"/>
    <cellStyle name="Link Currency (0)" xfId="111" xr:uid="{00000000-0005-0000-0000-000099000000}"/>
    <cellStyle name="Link Currency (2)" xfId="112" xr:uid="{00000000-0005-0000-0000-00009A000000}"/>
    <cellStyle name="Link Units (0)" xfId="113" xr:uid="{00000000-0005-0000-0000-00009B000000}"/>
    <cellStyle name="Link Units (1)" xfId="114" xr:uid="{00000000-0005-0000-0000-00009C000000}"/>
    <cellStyle name="Link Units (2)" xfId="115" xr:uid="{00000000-0005-0000-0000-00009D000000}"/>
    <cellStyle name="Linked Cell" xfId="1026" builtinId="24" customBuiltin="1"/>
    <cellStyle name="Linked Cell 2" xfId="990" xr:uid="{00000000-0005-0000-0000-00009E000000}"/>
    <cellStyle name="Milliers_M3PLAN2000" xfId="116" xr:uid="{00000000-0005-0000-0000-00009F000000}"/>
    <cellStyle name="Monétaire_M3PLAN2000" xfId="117" xr:uid="{00000000-0005-0000-0000-0000A0000000}"/>
    <cellStyle name="Neutral 2" xfId="993" xr:uid="{00000000-0005-0000-0000-0000A1000000}"/>
    <cellStyle name="Normal" xfId="0" builtinId="0"/>
    <cellStyle name="Normal 10" xfId="118" xr:uid="{00000000-0005-0000-0000-0000A3000000}"/>
    <cellStyle name="Normal 11" xfId="119" xr:uid="{00000000-0005-0000-0000-0000A4000000}"/>
    <cellStyle name="Normal 11 2" xfId="120" xr:uid="{00000000-0005-0000-0000-0000A5000000}"/>
    <cellStyle name="Normal 11 3" xfId="121" xr:uid="{00000000-0005-0000-0000-0000A6000000}"/>
    <cellStyle name="Normal 11 4" xfId="122" xr:uid="{00000000-0005-0000-0000-0000A7000000}"/>
    <cellStyle name="Normal 11 5" xfId="123" xr:uid="{00000000-0005-0000-0000-0000A8000000}"/>
    <cellStyle name="Normal 11 6" xfId="124" xr:uid="{00000000-0005-0000-0000-0000A9000000}"/>
    <cellStyle name="Normal 12" xfId="125" xr:uid="{00000000-0005-0000-0000-0000AA000000}"/>
    <cellStyle name="Normal 13" xfId="957" xr:uid="{00000000-0005-0000-0000-0000AB000000}"/>
    <cellStyle name="Normal 2" xfId="3" xr:uid="{00000000-0005-0000-0000-0000AC000000}"/>
    <cellStyle name="Normal 2 10" xfId="126" xr:uid="{00000000-0005-0000-0000-0000AD000000}"/>
    <cellStyle name="Normal 2 10 10" xfId="127" xr:uid="{00000000-0005-0000-0000-0000AE000000}"/>
    <cellStyle name="Normal 2 10 11" xfId="128" xr:uid="{00000000-0005-0000-0000-0000AF000000}"/>
    <cellStyle name="Normal 2 10 12" xfId="129" xr:uid="{00000000-0005-0000-0000-0000B0000000}"/>
    <cellStyle name="Normal 2 10 13" xfId="130" xr:uid="{00000000-0005-0000-0000-0000B1000000}"/>
    <cellStyle name="Normal 2 10 14" xfId="131" xr:uid="{00000000-0005-0000-0000-0000B2000000}"/>
    <cellStyle name="Normal 2 10 15" xfId="132" xr:uid="{00000000-0005-0000-0000-0000B3000000}"/>
    <cellStyle name="Normal 2 10 16" xfId="133" xr:uid="{00000000-0005-0000-0000-0000B4000000}"/>
    <cellStyle name="Normal 2 10 2" xfId="134" xr:uid="{00000000-0005-0000-0000-0000B5000000}"/>
    <cellStyle name="Normal 2 10 3" xfId="135" xr:uid="{00000000-0005-0000-0000-0000B6000000}"/>
    <cellStyle name="Normal 2 10 4" xfId="136" xr:uid="{00000000-0005-0000-0000-0000B7000000}"/>
    <cellStyle name="Normal 2 10 5" xfId="137" xr:uid="{00000000-0005-0000-0000-0000B8000000}"/>
    <cellStyle name="Normal 2 10 6" xfId="138" xr:uid="{00000000-0005-0000-0000-0000B9000000}"/>
    <cellStyle name="Normal 2 10 7" xfId="139" xr:uid="{00000000-0005-0000-0000-0000BA000000}"/>
    <cellStyle name="Normal 2 10 8" xfId="140" xr:uid="{00000000-0005-0000-0000-0000BB000000}"/>
    <cellStyle name="Normal 2 10 9" xfId="141" xr:uid="{00000000-0005-0000-0000-0000BC000000}"/>
    <cellStyle name="Normal 2 11" xfId="142" xr:uid="{00000000-0005-0000-0000-0000BD000000}"/>
    <cellStyle name="Normal 2 11 10" xfId="143" xr:uid="{00000000-0005-0000-0000-0000BE000000}"/>
    <cellStyle name="Normal 2 11 11" xfId="144" xr:uid="{00000000-0005-0000-0000-0000BF000000}"/>
    <cellStyle name="Normal 2 11 12" xfId="145" xr:uid="{00000000-0005-0000-0000-0000C0000000}"/>
    <cellStyle name="Normal 2 11 13" xfId="146" xr:uid="{00000000-0005-0000-0000-0000C1000000}"/>
    <cellStyle name="Normal 2 11 14" xfId="147" xr:uid="{00000000-0005-0000-0000-0000C2000000}"/>
    <cellStyle name="Normal 2 11 15" xfId="148" xr:uid="{00000000-0005-0000-0000-0000C3000000}"/>
    <cellStyle name="Normal 2 11 16" xfId="149" xr:uid="{00000000-0005-0000-0000-0000C4000000}"/>
    <cellStyle name="Normal 2 11 2" xfId="150" xr:uid="{00000000-0005-0000-0000-0000C5000000}"/>
    <cellStyle name="Normal 2 11 3" xfId="151" xr:uid="{00000000-0005-0000-0000-0000C6000000}"/>
    <cellStyle name="Normal 2 11 4" xfId="152" xr:uid="{00000000-0005-0000-0000-0000C7000000}"/>
    <cellStyle name="Normal 2 11 5" xfId="153" xr:uid="{00000000-0005-0000-0000-0000C8000000}"/>
    <cellStyle name="Normal 2 11 6" xfId="154" xr:uid="{00000000-0005-0000-0000-0000C9000000}"/>
    <cellStyle name="Normal 2 11 7" xfId="155" xr:uid="{00000000-0005-0000-0000-0000CA000000}"/>
    <cellStyle name="Normal 2 11 8" xfId="156" xr:uid="{00000000-0005-0000-0000-0000CB000000}"/>
    <cellStyle name="Normal 2 11 9" xfId="157" xr:uid="{00000000-0005-0000-0000-0000CC000000}"/>
    <cellStyle name="Normal 2 12" xfId="158" xr:uid="{00000000-0005-0000-0000-0000CD000000}"/>
    <cellStyle name="Normal 2 12 10" xfId="159" xr:uid="{00000000-0005-0000-0000-0000CE000000}"/>
    <cellStyle name="Normal 2 12 11" xfId="160" xr:uid="{00000000-0005-0000-0000-0000CF000000}"/>
    <cellStyle name="Normal 2 12 12" xfId="161" xr:uid="{00000000-0005-0000-0000-0000D0000000}"/>
    <cellStyle name="Normal 2 12 13" xfId="162" xr:uid="{00000000-0005-0000-0000-0000D1000000}"/>
    <cellStyle name="Normal 2 12 14" xfId="163" xr:uid="{00000000-0005-0000-0000-0000D2000000}"/>
    <cellStyle name="Normal 2 12 15" xfId="164" xr:uid="{00000000-0005-0000-0000-0000D3000000}"/>
    <cellStyle name="Normal 2 12 16" xfId="165" xr:uid="{00000000-0005-0000-0000-0000D4000000}"/>
    <cellStyle name="Normal 2 12 2" xfId="166" xr:uid="{00000000-0005-0000-0000-0000D5000000}"/>
    <cellStyle name="Normal 2 12 3" xfId="167" xr:uid="{00000000-0005-0000-0000-0000D6000000}"/>
    <cellStyle name="Normal 2 12 4" xfId="168" xr:uid="{00000000-0005-0000-0000-0000D7000000}"/>
    <cellStyle name="Normal 2 12 5" xfId="169" xr:uid="{00000000-0005-0000-0000-0000D8000000}"/>
    <cellStyle name="Normal 2 12 6" xfId="170" xr:uid="{00000000-0005-0000-0000-0000D9000000}"/>
    <cellStyle name="Normal 2 12 7" xfId="171" xr:uid="{00000000-0005-0000-0000-0000DA000000}"/>
    <cellStyle name="Normal 2 12 8" xfId="172" xr:uid="{00000000-0005-0000-0000-0000DB000000}"/>
    <cellStyle name="Normal 2 12 9" xfId="173" xr:uid="{00000000-0005-0000-0000-0000DC000000}"/>
    <cellStyle name="Normal 2 13" xfId="174" xr:uid="{00000000-0005-0000-0000-0000DD000000}"/>
    <cellStyle name="Normal 2 13 10" xfId="175" xr:uid="{00000000-0005-0000-0000-0000DE000000}"/>
    <cellStyle name="Normal 2 13 11" xfId="176" xr:uid="{00000000-0005-0000-0000-0000DF000000}"/>
    <cellStyle name="Normal 2 13 12" xfId="177" xr:uid="{00000000-0005-0000-0000-0000E0000000}"/>
    <cellStyle name="Normal 2 13 13" xfId="178" xr:uid="{00000000-0005-0000-0000-0000E1000000}"/>
    <cellStyle name="Normal 2 13 14" xfId="179" xr:uid="{00000000-0005-0000-0000-0000E2000000}"/>
    <cellStyle name="Normal 2 13 2" xfId="180" xr:uid="{00000000-0005-0000-0000-0000E3000000}"/>
    <cellStyle name="Normal 2 13 3" xfId="181" xr:uid="{00000000-0005-0000-0000-0000E4000000}"/>
    <cellStyle name="Normal 2 13 4" xfId="182" xr:uid="{00000000-0005-0000-0000-0000E5000000}"/>
    <cellStyle name="Normal 2 13 5" xfId="183" xr:uid="{00000000-0005-0000-0000-0000E6000000}"/>
    <cellStyle name="Normal 2 13 6" xfId="184" xr:uid="{00000000-0005-0000-0000-0000E7000000}"/>
    <cellStyle name="Normal 2 13 7" xfId="185" xr:uid="{00000000-0005-0000-0000-0000E8000000}"/>
    <cellStyle name="Normal 2 13 8" xfId="186" xr:uid="{00000000-0005-0000-0000-0000E9000000}"/>
    <cellStyle name="Normal 2 13 9" xfId="187" xr:uid="{00000000-0005-0000-0000-0000EA000000}"/>
    <cellStyle name="Normal 2 14" xfId="188" xr:uid="{00000000-0005-0000-0000-0000EB000000}"/>
    <cellStyle name="Normal 2 14 10" xfId="189" xr:uid="{00000000-0005-0000-0000-0000EC000000}"/>
    <cellStyle name="Normal 2 14 11" xfId="190" xr:uid="{00000000-0005-0000-0000-0000ED000000}"/>
    <cellStyle name="Normal 2 14 12" xfId="191" xr:uid="{00000000-0005-0000-0000-0000EE000000}"/>
    <cellStyle name="Normal 2 14 13" xfId="192" xr:uid="{00000000-0005-0000-0000-0000EF000000}"/>
    <cellStyle name="Normal 2 14 14" xfId="193" xr:uid="{00000000-0005-0000-0000-0000F0000000}"/>
    <cellStyle name="Normal 2 14 2" xfId="194" xr:uid="{00000000-0005-0000-0000-0000F1000000}"/>
    <cellStyle name="Normal 2 14 3" xfId="195" xr:uid="{00000000-0005-0000-0000-0000F2000000}"/>
    <cellStyle name="Normal 2 14 4" xfId="196" xr:uid="{00000000-0005-0000-0000-0000F3000000}"/>
    <cellStyle name="Normal 2 14 5" xfId="197" xr:uid="{00000000-0005-0000-0000-0000F4000000}"/>
    <cellStyle name="Normal 2 14 6" xfId="198" xr:uid="{00000000-0005-0000-0000-0000F5000000}"/>
    <cellStyle name="Normal 2 14 7" xfId="199" xr:uid="{00000000-0005-0000-0000-0000F6000000}"/>
    <cellStyle name="Normal 2 14 8" xfId="200" xr:uid="{00000000-0005-0000-0000-0000F7000000}"/>
    <cellStyle name="Normal 2 14 9" xfId="201" xr:uid="{00000000-0005-0000-0000-0000F8000000}"/>
    <cellStyle name="Normal 2 15" xfId="202" xr:uid="{00000000-0005-0000-0000-0000F9000000}"/>
    <cellStyle name="Normal 2 15 10" xfId="203" xr:uid="{00000000-0005-0000-0000-0000FA000000}"/>
    <cellStyle name="Normal 2 15 11" xfId="204" xr:uid="{00000000-0005-0000-0000-0000FB000000}"/>
    <cellStyle name="Normal 2 15 2" xfId="205" xr:uid="{00000000-0005-0000-0000-0000FC000000}"/>
    <cellStyle name="Normal 2 15 3" xfId="206" xr:uid="{00000000-0005-0000-0000-0000FD000000}"/>
    <cellStyle name="Normal 2 15 4" xfId="207" xr:uid="{00000000-0005-0000-0000-0000FE000000}"/>
    <cellStyle name="Normal 2 15 5" xfId="208" xr:uid="{00000000-0005-0000-0000-0000FF000000}"/>
    <cellStyle name="Normal 2 15 6" xfId="209" xr:uid="{00000000-0005-0000-0000-000000010000}"/>
    <cellStyle name="Normal 2 15 7" xfId="210" xr:uid="{00000000-0005-0000-0000-000001010000}"/>
    <cellStyle name="Normal 2 15 8" xfId="211" xr:uid="{00000000-0005-0000-0000-000002010000}"/>
    <cellStyle name="Normal 2 15 9" xfId="212" xr:uid="{00000000-0005-0000-0000-000003010000}"/>
    <cellStyle name="Normal 2 16" xfId="213" xr:uid="{00000000-0005-0000-0000-000004010000}"/>
    <cellStyle name="Normal 2 16 10" xfId="214" xr:uid="{00000000-0005-0000-0000-000005010000}"/>
    <cellStyle name="Normal 2 16 11" xfId="215" xr:uid="{00000000-0005-0000-0000-000006010000}"/>
    <cellStyle name="Normal 2 16 2" xfId="216" xr:uid="{00000000-0005-0000-0000-000007010000}"/>
    <cellStyle name="Normal 2 16 3" xfId="217" xr:uid="{00000000-0005-0000-0000-000008010000}"/>
    <cellStyle name="Normal 2 16 4" xfId="218" xr:uid="{00000000-0005-0000-0000-000009010000}"/>
    <cellStyle name="Normal 2 16 5" xfId="219" xr:uid="{00000000-0005-0000-0000-00000A010000}"/>
    <cellStyle name="Normal 2 16 6" xfId="220" xr:uid="{00000000-0005-0000-0000-00000B010000}"/>
    <cellStyle name="Normal 2 16 7" xfId="221" xr:uid="{00000000-0005-0000-0000-00000C010000}"/>
    <cellStyle name="Normal 2 16 8" xfId="222" xr:uid="{00000000-0005-0000-0000-00000D010000}"/>
    <cellStyle name="Normal 2 16 9" xfId="223" xr:uid="{00000000-0005-0000-0000-00000E010000}"/>
    <cellStyle name="Normal 2 17" xfId="224" xr:uid="{00000000-0005-0000-0000-00000F010000}"/>
    <cellStyle name="Normal 2 17 10" xfId="225" xr:uid="{00000000-0005-0000-0000-000010010000}"/>
    <cellStyle name="Normal 2 17 11" xfId="226" xr:uid="{00000000-0005-0000-0000-000011010000}"/>
    <cellStyle name="Normal 2 17 2" xfId="227" xr:uid="{00000000-0005-0000-0000-000012010000}"/>
    <cellStyle name="Normal 2 17 3" xfId="228" xr:uid="{00000000-0005-0000-0000-000013010000}"/>
    <cellStyle name="Normal 2 17 4" xfId="229" xr:uid="{00000000-0005-0000-0000-000014010000}"/>
    <cellStyle name="Normal 2 17 5" xfId="230" xr:uid="{00000000-0005-0000-0000-000015010000}"/>
    <cellStyle name="Normal 2 17 6" xfId="231" xr:uid="{00000000-0005-0000-0000-000016010000}"/>
    <cellStyle name="Normal 2 17 7" xfId="232" xr:uid="{00000000-0005-0000-0000-000017010000}"/>
    <cellStyle name="Normal 2 17 8" xfId="233" xr:uid="{00000000-0005-0000-0000-000018010000}"/>
    <cellStyle name="Normal 2 17 9" xfId="234" xr:uid="{00000000-0005-0000-0000-000019010000}"/>
    <cellStyle name="Normal 2 18" xfId="235" xr:uid="{00000000-0005-0000-0000-00001A010000}"/>
    <cellStyle name="Normal 2 18 2" xfId="236" xr:uid="{00000000-0005-0000-0000-00001B010000}"/>
    <cellStyle name="Normal 2 18 3" xfId="237" xr:uid="{00000000-0005-0000-0000-00001C010000}"/>
    <cellStyle name="Normal 2 18 4" xfId="238" xr:uid="{00000000-0005-0000-0000-00001D010000}"/>
    <cellStyle name="Normal 2 18 5" xfId="239" xr:uid="{00000000-0005-0000-0000-00001E010000}"/>
    <cellStyle name="Normal 2 18 6" xfId="240" xr:uid="{00000000-0005-0000-0000-00001F010000}"/>
    <cellStyle name="Normal 2 18 7" xfId="241" xr:uid="{00000000-0005-0000-0000-000020010000}"/>
    <cellStyle name="Normal 2 18 8" xfId="242" xr:uid="{00000000-0005-0000-0000-000021010000}"/>
    <cellStyle name="Normal 2 18 9" xfId="243" xr:uid="{00000000-0005-0000-0000-000022010000}"/>
    <cellStyle name="Normal 2 19" xfId="244" xr:uid="{00000000-0005-0000-0000-000023010000}"/>
    <cellStyle name="Normal 2 19 2" xfId="245" xr:uid="{00000000-0005-0000-0000-000024010000}"/>
    <cellStyle name="Normal 2 19 3" xfId="246" xr:uid="{00000000-0005-0000-0000-000025010000}"/>
    <cellStyle name="Normal 2 19 4" xfId="247" xr:uid="{00000000-0005-0000-0000-000026010000}"/>
    <cellStyle name="Normal 2 19 5" xfId="248" xr:uid="{00000000-0005-0000-0000-000027010000}"/>
    <cellStyle name="Normal 2 19 6" xfId="249" xr:uid="{00000000-0005-0000-0000-000028010000}"/>
    <cellStyle name="Normal 2 19 7" xfId="250" xr:uid="{00000000-0005-0000-0000-000029010000}"/>
    <cellStyle name="Normal 2 19 8" xfId="251" xr:uid="{00000000-0005-0000-0000-00002A010000}"/>
    <cellStyle name="Normal 2 19 9" xfId="252" xr:uid="{00000000-0005-0000-0000-00002B010000}"/>
    <cellStyle name="Normal 2 2" xfId="253" xr:uid="{00000000-0005-0000-0000-00002C010000}"/>
    <cellStyle name="Normal 2 2 10" xfId="254" xr:uid="{00000000-0005-0000-0000-00002D010000}"/>
    <cellStyle name="Normal 2 2 11" xfId="255" xr:uid="{00000000-0005-0000-0000-00002E010000}"/>
    <cellStyle name="Normal 2 2 12" xfId="256" xr:uid="{00000000-0005-0000-0000-00002F010000}"/>
    <cellStyle name="Normal 2 2 13" xfId="257" xr:uid="{00000000-0005-0000-0000-000030010000}"/>
    <cellStyle name="Normal 2 2 14" xfId="258" xr:uid="{00000000-0005-0000-0000-000031010000}"/>
    <cellStyle name="Normal 2 2 15" xfId="259" xr:uid="{00000000-0005-0000-0000-000032010000}"/>
    <cellStyle name="Normal 2 2 16" xfId="260" xr:uid="{00000000-0005-0000-0000-000033010000}"/>
    <cellStyle name="Normal 2 2 17" xfId="261" xr:uid="{00000000-0005-0000-0000-000034010000}"/>
    <cellStyle name="Normal 2 2 2" xfId="262" xr:uid="{00000000-0005-0000-0000-000035010000}"/>
    <cellStyle name="Normal 2 2 3" xfId="263" xr:uid="{00000000-0005-0000-0000-000036010000}"/>
    <cellStyle name="Normal 2 2 4" xfId="264" xr:uid="{00000000-0005-0000-0000-000037010000}"/>
    <cellStyle name="Normal 2 2 5" xfId="265" xr:uid="{00000000-0005-0000-0000-000038010000}"/>
    <cellStyle name="Normal 2 2 6" xfId="266" xr:uid="{00000000-0005-0000-0000-000039010000}"/>
    <cellStyle name="Normal 2 2 7" xfId="267" xr:uid="{00000000-0005-0000-0000-00003A010000}"/>
    <cellStyle name="Normal 2 2 8" xfId="268" xr:uid="{00000000-0005-0000-0000-00003B010000}"/>
    <cellStyle name="Normal 2 2 9" xfId="269" xr:uid="{00000000-0005-0000-0000-00003C010000}"/>
    <cellStyle name="Normal 2 20" xfId="270" xr:uid="{00000000-0005-0000-0000-00003D010000}"/>
    <cellStyle name="Normal 2 20 2" xfId="271" xr:uid="{00000000-0005-0000-0000-00003E010000}"/>
    <cellStyle name="Normal 2 20 3" xfId="272" xr:uid="{00000000-0005-0000-0000-00003F010000}"/>
    <cellStyle name="Normal 2 20 4" xfId="273" xr:uid="{00000000-0005-0000-0000-000040010000}"/>
    <cellStyle name="Normal 2 20 5" xfId="274" xr:uid="{00000000-0005-0000-0000-000041010000}"/>
    <cellStyle name="Normal 2 20 6" xfId="275" xr:uid="{00000000-0005-0000-0000-000042010000}"/>
    <cellStyle name="Normal 2 20 7" xfId="276" xr:uid="{00000000-0005-0000-0000-000043010000}"/>
    <cellStyle name="Normal 2 21" xfId="277" xr:uid="{00000000-0005-0000-0000-000044010000}"/>
    <cellStyle name="Normal 2 21 2" xfId="278" xr:uid="{00000000-0005-0000-0000-000045010000}"/>
    <cellStyle name="Normal 2 21 3" xfId="279" xr:uid="{00000000-0005-0000-0000-000046010000}"/>
    <cellStyle name="Normal 2 21 4" xfId="280" xr:uid="{00000000-0005-0000-0000-000047010000}"/>
    <cellStyle name="Normal 2 21 5" xfId="281" xr:uid="{00000000-0005-0000-0000-000048010000}"/>
    <cellStyle name="Normal 2 21 6" xfId="282" xr:uid="{00000000-0005-0000-0000-000049010000}"/>
    <cellStyle name="Normal 2 21 7" xfId="283" xr:uid="{00000000-0005-0000-0000-00004A010000}"/>
    <cellStyle name="Normal 2 22" xfId="284" xr:uid="{00000000-0005-0000-0000-00004B010000}"/>
    <cellStyle name="Normal 2 22 2" xfId="285" xr:uid="{00000000-0005-0000-0000-00004C010000}"/>
    <cellStyle name="Normal 2 22 3" xfId="286" xr:uid="{00000000-0005-0000-0000-00004D010000}"/>
    <cellStyle name="Normal 2 22 4" xfId="287" xr:uid="{00000000-0005-0000-0000-00004E010000}"/>
    <cellStyle name="Normal 2 22 5" xfId="288" xr:uid="{00000000-0005-0000-0000-00004F010000}"/>
    <cellStyle name="Normal 2 23" xfId="289" xr:uid="{00000000-0005-0000-0000-000050010000}"/>
    <cellStyle name="Normal 2 23 2" xfId="290" xr:uid="{00000000-0005-0000-0000-000051010000}"/>
    <cellStyle name="Normal 2 23 3" xfId="291" xr:uid="{00000000-0005-0000-0000-000052010000}"/>
    <cellStyle name="Normal 2 23 4" xfId="292" xr:uid="{00000000-0005-0000-0000-000053010000}"/>
    <cellStyle name="Normal 2 23 5" xfId="293" xr:uid="{00000000-0005-0000-0000-000054010000}"/>
    <cellStyle name="Normal 2 24" xfId="294" xr:uid="{00000000-0005-0000-0000-000055010000}"/>
    <cellStyle name="Normal 2 24 2" xfId="295" xr:uid="{00000000-0005-0000-0000-000056010000}"/>
    <cellStyle name="Normal 2 24 3" xfId="296" xr:uid="{00000000-0005-0000-0000-000057010000}"/>
    <cellStyle name="Normal 2 24 4" xfId="297" xr:uid="{00000000-0005-0000-0000-000058010000}"/>
    <cellStyle name="Normal 2 25" xfId="298" xr:uid="{00000000-0005-0000-0000-000059010000}"/>
    <cellStyle name="Normal 2 25 2" xfId="299" xr:uid="{00000000-0005-0000-0000-00005A010000}"/>
    <cellStyle name="Normal 2 25 3" xfId="300" xr:uid="{00000000-0005-0000-0000-00005B010000}"/>
    <cellStyle name="Normal 2 26" xfId="301" xr:uid="{00000000-0005-0000-0000-00005C010000}"/>
    <cellStyle name="Normal 2 27" xfId="302" xr:uid="{00000000-0005-0000-0000-00005D010000}"/>
    <cellStyle name="Normal 2 28" xfId="1051" xr:uid="{F05FB5FA-93C0-4215-9394-D5EFAA1C07CF}"/>
    <cellStyle name="Normal 2 3" xfId="303" xr:uid="{00000000-0005-0000-0000-00005E010000}"/>
    <cellStyle name="Normal 2 3 10" xfId="304" xr:uid="{00000000-0005-0000-0000-00005F010000}"/>
    <cellStyle name="Normal 2 3 11" xfId="305" xr:uid="{00000000-0005-0000-0000-000060010000}"/>
    <cellStyle name="Normal 2 3 12" xfId="306" xr:uid="{00000000-0005-0000-0000-000061010000}"/>
    <cellStyle name="Normal 2 3 13" xfId="307" xr:uid="{00000000-0005-0000-0000-000062010000}"/>
    <cellStyle name="Normal 2 3 14" xfId="308" xr:uid="{00000000-0005-0000-0000-000063010000}"/>
    <cellStyle name="Normal 2 3 15" xfId="309" xr:uid="{00000000-0005-0000-0000-000064010000}"/>
    <cellStyle name="Normal 2 3 16" xfId="310" xr:uid="{00000000-0005-0000-0000-000065010000}"/>
    <cellStyle name="Normal 2 3 17" xfId="311" xr:uid="{00000000-0005-0000-0000-000066010000}"/>
    <cellStyle name="Normal 2 3 2" xfId="312" xr:uid="{00000000-0005-0000-0000-000067010000}"/>
    <cellStyle name="Normal 2 3 3" xfId="313" xr:uid="{00000000-0005-0000-0000-000068010000}"/>
    <cellStyle name="Normal 2 3 4" xfId="314" xr:uid="{00000000-0005-0000-0000-000069010000}"/>
    <cellStyle name="Normal 2 3 5" xfId="315" xr:uid="{00000000-0005-0000-0000-00006A010000}"/>
    <cellStyle name="Normal 2 3 6" xfId="316" xr:uid="{00000000-0005-0000-0000-00006B010000}"/>
    <cellStyle name="Normal 2 3 7" xfId="317" xr:uid="{00000000-0005-0000-0000-00006C010000}"/>
    <cellStyle name="Normal 2 3 8" xfId="318" xr:uid="{00000000-0005-0000-0000-00006D010000}"/>
    <cellStyle name="Normal 2 3 9" xfId="319" xr:uid="{00000000-0005-0000-0000-00006E010000}"/>
    <cellStyle name="Normal 2 4" xfId="320" xr:uid="{00000000-0005-0000-0000-00006F010000}"/>
    <cellStyle name="Normal 2 4 10" xfId="321" xr:uid="{00000000-0005-0000-0000-000070010000}"/>
    <cellStyle name="Normal 2 4 11" xfId="322" xr:uid="{00000000-0005-0000-0000-000071010000}"/>
    <cellStyle name="Normal 2 4 12" xfId="323" xr:uid="{00000000-0005-0000-0000-000072010000}"/>
    <cellStyle name="Normal 2 4 13" xfId="324" xr:uid="{00000000-0005-0000-0000-000073010000}"/>
    <cellStyle name="Normal 2 4 14" xfId="325" xr:uid="{00000000-0005-0000-0000-000074010000}"/>
    <cellStyle name="Normal 2 4 15" xfId="326" xr:uid="{00000000-0005-0000-0000-000075010000}"/>
    <cellStyle name="Normal 2 4 16" xfId="327" xr:uid="{00000000-0005-0000-0000-000076010000}"/>
    <cellStyle name="Normal 2 4 17" xfId="328" xr:uid="{00000000-0005-0000-0000-000077010000}"/>
    <cellStyle name="Normal 2 4 2" xfId="329" xr:uid="{00000000-0005-0000-0000-000078010000}"/>
    <cellStyle name="Normal 2 4 3" xfId="330" xr:uid="{00000000-0005-0000-0000-000079010000}"/>
    <cellStyle name="Normal 2 4 4" xfId="331" xr:uid="{00000000-0005-0000-0000-00007A010000}"/>
    <cellStyle name="Normal 2 4 5" xfId="332" xr:uid="{00000000-0005-0000-0000-00007B010000}"/>
    <cellStyle name="Normal 2 4 6" xfId="333" xr:uid="{00000000-0005-0000-0000-00007C010000}"/>
    <cellStyle name="Normal 2 4 7" xfId="334" xr:uid="{00000000-0005-0000-0000-00007D010000}"/>
    <cellStyle name="Normal 2 4 8" xfId="335" xr:uid="{00000000-0005-0000-0000-00007E010000}"/>
    <cellStyle name="Normal 2 4 9" xfId="336" xr:uid="{00000000-0005-0000-0000-00007F010000}"/>
    <cellStyle name="Normal 2 5" xfId="337" xr:uid="{00000000-0005-0000-0000-000080010000}"/>
    <cellStyle name="Normal 2 5 10" xfId="338" xr:uid="{00000000-0005-0000-0000-000081010000}"/>
    <cellStyle name="Normal 2 5 11" xfId="339" xr:uid="{00000000-0005-0000-0000-000082010000}"/>
    <cellStyle name="Normal 2 5 12" xfId="340" xr:uid="{00000000-0005-0000-0000-000083010000}"/>
    <cellStyle name="Normal 2 5 13" xfId="341" xr:uid="{00000000-0005-0000-0000-000084010000}"/>
    <cellStyle name="Normal 2 5 14" xfId="342" xr:uid="{00000000-0005-0000-0000-000085010000}"/>
    <cellStyle name="Normal 2 5 15" xfId="343" xr:uid="{00000000-0005-0000-0000-000086010000}"/>
    <cellStyle name="Normal 2 5 16" xfId="344" xr:uid="{00000000-0005-0000-0000-000087010000}"/>
    <cellStyle name="Normal 2 5 2" xfId="345" xr:uid="{00000000-0005-0000-0000-000088010000}"/>
    <cellStyle name="Normal 2 5 3" xfId="346" xr:uid="{00000000-0005-0000-0000-000089010000}"/>
    <cellStyle name="Normal 2 5 4" xfId="347" xr:uid="{00000000-0005-0000-0000-00008A010000}"/>
    <cellStyle name="Normal 2 5 5" xfId="348" xr:uid="{00000000-0005-0000-0000-00008B010000}"/>
    <cellStyle name="Normal 2 5 6" xfId="349" xr:uid="{00000000-0005-0000-0000-00008C010000}"/>
    <cellStyle name="Normal 2 5 7" xfId="350" xr:uid="{00000000-0005-0000-0000-00008D010000}"/>
    <cellStyle name="Normal 2 5 8" xfId="351" xr:uid="{00000000-0005-0000-0000-00008E010000}"/>
    <cellStyle name="Normal 2 5 9" xfId="352" xr:uid="{00000000-0005-0000-0000-00008F010000}"/>
    <cellStyle name="Normal 2 6" xfId="353" xr:uid="{00000000-0005-0000-0000-000090010000}"/>
    <cellStyle name="Normal 2 6 10" xfId="354" xr:uid="{00000000-0005-0000-0000-000091010000}"/>
    <cellStyle name="Normal 2 6 11" xfId="355" xr:uid="{00000000-0005-0000-0000-000092010000}"/>
    <cellStyle name="Normal 2 6 12" xfId="356" xr:uid="{00000000-0005-0000-0000-000093010000}"/>
    <cellStyle name="Normal 2 6 13" xfId="357" xr:uid="{00000000-0005-0000-0000-000094010000}"/>
    <cellStyle name="Normal 2 6 14" xfId="358" xr:uid="{00000000-0005-0000-0000-000095010000}"/>
    <cellStyle name="Normal 2 6 15" xfId="359" xr:uid="{00000000-0005-0000-0000-000096010000}"/>
    <cellStyle name="Normal 2 6 16" xfId="360" xr:uid="{00000000-0005-0000-0000-000097010000}"/>
    <cellStyle name="Normal 2 6 2" xfId="361" xr:uid="{00000000-0005-0000-0000-000098010000}"/>
    <cellStyle name="Normal 2 6 3" xfId="362" xr:uid="{00000000-0005-0000-0000-000099010000}"/>
    <cellStyle name="Normal 2 6 4" xfId="363" xr:uid="{00000000-0005-0000-0000-00009A010000}"/>
    <cellStyle name="Normal 2 6 5" xfId="364" xr:uid="{00000000-0005-0000-0000-00009B010000}"/>
    <cellStyle name="Normal 2 6 6" xfId="365" xr:uid="{00000000-0005-0000-0000-00009C010000}"/>
    <cellStyle name="Normal 2 6 7" xfId="366" xr:uid="{00000000-0005-0000-0000-00009D010000}"/>
    <cellStyle name="Normal 2 6 8" xfId="367" xr:uid="{00000000-0005-0000-0000-00009E010000}"/>
    <cellStyle name="Normal 2 6 9" xfId="368" xr:uid="{00000000-0005-0000-0000-00009F010000}"/>
    <cellStyle name="Normal 2 7" xfId="369" xr:uid="{00000000-0005-0000-0000-0000A0010000}"/>
    <cellStyle name="Normal 2 7 10" xfId="370" xr:uid="{00000000-0005-0000-0000-0000A1010000}"/>
    <cellStyle name="Normal 2 7 11" xfId="371" xr:uid="{00000000-0005-0000-0000-0000A2010000}"/>
    <cellStyle name="Normal 2 7 12" xfId="372" xr:uid="{00000000-0005-0000-0000-0000A3010000}"/>
    <cellStyle name="Normal 2 7 13" xfId="373" xr:uid="{00000000-0005-0000-0000-0000A4010000}"/>
    <cellStyle name="Normal 2 7 14" xfId="374" xr:uid="{00000000-0005-0000-0000-0000A5010000}"/>
    <cellStyle name="Normal 2 7 15" xfId="375" xr:uid="{00000000-0005-0000-0000-0000A6010000}"/>
    <cellStyle name="Normal 2 7 16" xfId="376" xr:uid="{00000000-0005-0000-0000-0000A7010000}"/>
    <cellStyle name="Normal 2 7 2" xfId="377" xr:uid="{00000000-0005-0000-0000-0000A8010000}"/>
    <cellStyle name="Normal 2 7 3" xfId="378" xr:uid="{00000000-0005-0000-0000-0000A9010000}"/>
    <cellStyle name="Normal 2 7 4" xfId="379" xr:uid="{00000000-0005-0000-0000-0000AA010000}"/>
    <cellStyle name="Normal 2 7 5" xfId="380" xr:uid="{00000000-0005-0000-0000-0000AB010000}"/>
    <cellStyle name="Normal 2 7 6" xfId="381" xr:uid="{00000000-0005-0000-0000-0000AC010000}"/>
    <cellStyle name="Normal 2 7 7" xfId="382" xr:uid="{00000000-0005-0000-0000-0000AD010000}"/>
    <cellStyle name="Normal 2 7 8" xfId="383" xr:uid="{00000000-0005-0000-0000-0000AE010000}"/>
    <cellStyle name="Normal 2 7 9" xfId="384" xr:uid="{00000000-0005-0000-0000-0000AF010000}"/>
    <cellStyle name="Normal 2 8" xfId="385" xr:uid="{00000000-0005-0000-0000-0000B0010000}"/>
    <cellStyle name="Normal 2 8 10" xfId="386" xr:uid="{00000000-0005-0000-0000-0000B1010000}"/>
    <cellStyle name="Normal 2 8 11" xfId="387" xr:uid="{00000000-0005-0000-0000-0000B2010000}"/>
    <cellStyle name="Normal 2 8 12" xfId="388" xr:uid="{00000000-0005-0000-0000-0000B3010000}"/>
    <cellStyle name="Normal 2 8 13" xfId="389" xr:uid="{00000000-0005-0000-0000-0000B4010000}"/>
    <cellStyle name="Normal 2 8 14" xfId="390" xr:uid="{00000000-0005-0000-0000-0000B5010000}"/>
    <cellStyle name="Normal 2 8 15" xfId="391" xr:uid="{00000000-0005-0000-0000-0000B6010000}"/>
    <cellStyle name="Normal 2 8 16" xfId="392" xr:uid="{00000000-0005-0000-0000-0000B7010000}"/>
    <cellStyle name="Normal 2 8 2" xfId="393" xr:uid="{00000000-0005-0000-0000-0000B8010000}"/>
    <cellStyle name="Normal 2 8 3" xfId="394" xr:uid="{00000000-0005-0000-0000-0000B9010000}"/>
    <cellStyle name="Normal 2 8 4" xfId="395" xr:uid="{00000000-0005-0000-0000-0000BA010000}"/>
    <cellStyle name="Normal 2 8 5" xfId="396" xr:uid="{00000000-0005-0000-0000-0000BB010000}"/>
    <cellStyle name="Normal 2 8 6" xfId="397" xr:uid="{00000000-0005-0000-0000-0000BC010000}"/>
    <cellStyle name="Normal 2 8 7" xfId="398" xr:uid="{00000000-0005-0000-0000-0000BD010000}"/>
    <cellStyle name="Normal 2 8 8" xfId="399" xr:uid="{00000000-0005-0000-0000-0000BE010000}"/>
    <cellStyle name="Normal 2 8 9" xfId="400" xr:uid="{00000000-0005-0000-0000-0000BF010000}"/>
    <cellStyle name="Normal 2 9" xfId="401" xr:uid="{00000000-0005-0000-0000-0000C0010000}"/>
    <cellStyle name="Normal 2 9 10" xfId="402" xr:uid="{00000000-0005-0000-0000-0000C1010000}"/>
    <cellStyle name="Normal 2 9 11" xfId="403" xr:uid="{00000000-0005-0000-0000-0000C2010000}"/>
    <cellStyle name="Normal 2 9 12" xfId="404" xr:uid="{00000000-0005-0000-0000-0000C3010000}"/>
    <cellStyle name="Normal 2 9 13" xfId="405" xr:uid="{00000000-0005-0000-0000-0000C4010000}"/>
    <cellStyle name="Normal 2 9 14" xfId="406" xr:uid="{00000000-0005-0000-0000-0000C5010000}"/>
    <cellStyle name="Normal 2 9 15" xfId="407" xr:uid="{00000000-0005-0000-0000-0000C6010000}"/>
    <cellStyle name="Normal 2 9 16" xfId="408" xr:uid="{00000000-0005-0000-0000-0000C7010000}"/>
    <cellStyle name="Normal 2 9 2" xfId="409" xr:uid="{00000000-0005-0000-0000-0000C8010000}"/>
    <cellStyle name="Normal 2 9 3" xfId="410" xr:uid="{00000000-0005-0000-0000-0000C9010000}"/>
    <cellStyle name="Normal 2 9 4" xfId="411" xr:uid="{00000000-0005-0000-0000-0000CA010000}"/>
    <cellStyle name="Normal 2 9 5" xfId="412" xr:uid="{00000000-0005-0000-0000-0000CB010000}"/>
    <cellStyle name="Normal 2 9 6" xfId="413" xr:uid="{00000000-0005-0000-0000-0000CC010000}"/>
    <cellStyle name="Normal 2 9 7" xfId="414" xr:uid="{00000000-0005-0000-0000-0000CD010000}"/>
    <cellStyle name="Normal 2 9 8" xfId="415" xr:uid="{00000000-0005-0000-0000-0000CE010000}"/>
    <cellStyle name="Normal 2 9 9" xfId="416" xr:uid="{00000000-0005-0000-0000-0000CF010000}"/>
    <cellStyle name="Normal 2_101201 Pick Up Report Dec 10 - May 11" xfId="417" xr:uid="{00000000-0005-0000-0000-0000D0010000}"/>
    <cellStyle name="Normal 23 10" xfId="418" xr:uid="{00000000-0005-0000-0000-0000D1010000}"/>
    <cellStyle name="Normal 23 11" xfId="419" xr:uid="{00000000-0005-0000-0000-0000D2010000}"/>
    <cellStyle name="Normal 23 12" xfId="420" xr:uid="{00000000-0005-0000-0000-0000D3010000}"/>
    <cellStyle name="Normal 23 2" xfId="421" xr:uid="{00000000-0005-0000-0000-0000D4010000}"/>
    <cellStyle name="Normal 23 3" xfId="422" xr:uid="{00000000-0005-0000-0000-0000D5010000}"/>
    <cellStyle name="Normal 23 4" xfId="423" xr:uid="{00000000-0005-0000-0000-0000D6010000}"/>
    <cellStyle name="Normal 23 5" xfId="424" xr:uid="{00000000-0005-0000-0000-0000D7010000}"/>
    <cellStyle name="Normal 23 6" xfId="425" xr:uid="{00000000-0005-0000-0000-0000D8010000}"/>
    <cellStyle name="Normal 23 7" xfId="426" xr:uid="{00000000-0005-0000-0000-0000D9010000}"/>
    <cellStyle name="Normal 23 8" xfId="427" xr:uid="{00000000-0005-0000-0000-0000DA010000}"/>
    <cellStyle name="Normal 23 9" xfId="428" xr:uid="{00000000-0005-0000-0000-0000DB010000}"/>
    <cellStyle name="Normal 24 2" xfId="429" xr:uid="{00000000-0005-0000-0000-0000DC010000}"/>
    <cellStyle name="Normal 24 3" xfId="430" xr:uid="{00000000-0005-0000-0000-0000DD010000}"/>
    <cellStyle name="Normal 24 4" xfId="431" xr:uid="{00000000-0005-0000-0000-0000DE010000}"/>
    <cellStyle name="Normal 24 5" xfId="432" xr:uid="{00000000-0005-0000-0000-0000DF010000}"/>
    <cellStyle name="Normal 24 6" xfId="433" xr:uid="{00000000-0005-0000-0000-0000E0010000}"/>
    <cellStyle name="Normal 24 7" xfId="434" xr:uid="{00000000-0005-0000-0000-0000E1010000}"/>
    <cellStyle name="Normal 24 8" xfId="435" xr:uid="{00000000-0005-0000-0000-0000E2010000}"/>
    <cellStyle name="Normal 25 2" xfId="436" xr:uid="{00000000-0005-0000-0000-0000E3010000}"/>
    <cellStyle name="Normal 25 3" xfId="437" xr:uid="{00000000-0005-0000-0000-0000E4010000}"/>
    <cellStyle name="Normal 25 4" xfId="438" xr:uid="{00000000-0005-0000-0000-0000E5010000}"/>
    <cellStyle name="Normal 26 10" xfId="439" xr:uid="{00000000-0005-0000-0000-0000E6010000}"/>
    <cellStyle name="Normal 26 11" xfId="440" xr:uid="{00000000-0005-0000-0000-0000E7010000}"/>
    <cellStyle name="Normal 26 12" xfId="441" xr:uid="{00000000-0005-0000-0000-0000E8010000}"/>
    <cellStyle name="Normal 26 13" xfId="442" xr:uid="{00000000-0005-0000-0000-0000E9010000}"/>
    <cellStyle name="Normal 26 14" xfId="443" xr:uid="{00000000-0005-0000-0000-0000EA010000}"/>
    <cellStyle name="Normal 26 15" xfId="444" xr:uid="{00000000-0005-0000-0000-0000EB010000}"/>
    <cellStyle name="Normal 26 16" xfId="445" xr:uid="{00000000-0005-0000-0000-0000EC010000}"/>
    <cellStyle name="Normal 26 17" xfId="446" xr:uid="{00000000-0005-0000-0000-0000ED010000}"/>
    <cellStyle name="Normal 26 18" xfId="447" xr:uid="{00000000-0005-0000-0000-0000EE010000}"/>
    <cellStyle name="Normal 26 19" xfId="448" xr:uid="{00000000-0005-0000-0000-0000EF010000}"/>
    <cellStyle name="Normal 26 2" xfId="449" xr:uid="{00000000-0005-0000-0000-0000F0010000}"/>
    <cellStyle name="Normal 26 20" xfId="450" xr:uid="{00000000-0005-0000-0000-0000F1010000}"/>
    <cellStyle name="Normal 26 21" xfId="451" xr:uid="{00000000-0005-0000-0000-0000F2010000}"/>
    <cellStyle name="Normal 26 22" xfId="452" xr:uid="{00000000-0005-0000-0000-0000F3010000}"/>
    <cellStyle name="Normal 26 23" xfId="453" xr:uid="{00000000-0005-0000-0000-0000F4010000}"/>
    <cellStyle name="Normal 26 24" xfId="454" xr:uid="{00000000-0005-0000-0000-0000F5010000}"/>
    <cellStyle name="Normal 26 25" xfId="455" xr:uid="{00000000-0005-0000-0000-0000F6010000}"/>
    <cellStyle name="Normal 26 26" xfId="456" xr:uid="{00000000-0005-0000-0000-0000F7010000}"/>
    <cellStyle name="Normal 26 27" xfId="457" xr:uid="{00000000-0005-0000-0000-0000F8010000}"/>
    <cellStyle name="Normal 26 3" xfId="458" xr:uid="{00000000-0005-0000-0000-0000F9010000}"/>
    <cellStyle name="Normal 26 4" xfId="459" xr:uid="{00000000-0005-0000-0000-0000FA010000}"/>
    <cellStyle name="Normal 26 5" xfId="460" xr:uid="{00000000-0005-0000-0000-0000FB010000}"/>
    <cellStyle name="Normal 26 6" xfId="461" xr:uid="{00000000-0005-0000-0000-0000FC010000}"/>
    <cellStyle name="Normal 26 7" xfId="462" xr:uid="{00000000-0005-0000-0000-0000FD010000}"/>
    <cellStyle name="Normal 26 8" xfId="463" xr:uid="{00000000-0005-0000-0000-0000FE010000}"/>
    <cellStyle name="Normal 26 9" xfId="464" xr:uid="{00000000-0005-0000-0000-0000FF010000}"/>
    <cellStyle name="Normal 27 2" xfId="465" xr:uid="{00000000-0005-0000-0000-000000020000}"/>
    <cellStyle name="Normal 27 3" xfId="466" xr:uid="{00000000-0005-0000-0000-000001020000}"/>
    <cellStyle name="Normal 27 4" xfId="467" xr:uid="{00000000-0005-0000-0000-000002020000}"/>
    <cellStyle name="Normal 27 5" xfId="468" xr:uid="{00000000-0005-0000-0000-000003020000}"/>
    <cellStyle name="Normal 27 6" xfId="469" xr:uid="{00000000-0005-0000-0000-000004020000}"/>
    <cellStyle name="Normal 27 7" xfId="470" xr:uid="{00000000-0005-0000-0000-000005020000}"/>
    <cellStyle name="Normal 27 8" xfId="471" xr:uid="{00000000-0005-0000-0000-000006020000}"/>
    <cellStyle name="Normal 28 2" xfId="472" xr:uid="{00000000-0005-0000-0000-000007020000}"/>
    <cellStyle name="Normal 28 3" xfId="473" xr:uid="{00000000-0005-0000-0000-000008020000}"/>
    <cellStyle name="Normal 28 4" xfId="474" xr:uid="{00000000-0005-0000-0000-000009020000}"/>
    <cellStyle name="Normal 29 2" xfId="475" xr:uid="{00000000-0005-0000-0000-00000A020000}"/>
    <cellStyle name="Normal 29 3" xfId="476" xr:uid="{00000000-0005-0000-0000-00000B020000}"/>
    <cellStyle name="Normal 29 4" xfId="477" xr:uid="{00000000-0005-0000-0000-00000C020000}"/>
    <cellStyle name="Normal 29 5" xfId="478" xr:uid="{00000000-0005-0000-0000-00000D020000}"/>
    <cellStyle name="Normal 29 6" xfId="479" xr:uid="{00000000-0005-0000-0000-00000E020000}"/>
    <cellStyle name="Normal 3" xfId="480" xr:uid="{00000000-0005-0000-0000-00000F020000}"/>
    <cellStyle name="Normal 3 10" xfId="481" xr:uid="{00000000-0005-0000-0000-000010020000}"/>
    <cellStyle name="Normal 3 10 10" xfId="482" xr:uid="{00000000-0005-0000-0000-000011020000}"/>
    <cellStyle name="Normal 3 10 11" xfId="483" xr:uid="{00000000-0005-0000-0000-000012020000}"/>
    <cellStyle name="Normal 3 10 12" xfId="484" xr:uid="{00000000-0005-0000-0000-000013020000}"/>
    <cellStyle name="Normal 3 10 13" xfId="485" xr:uid="{00000000-0005-0000-0000-000014020000}"/>
    <cellStyle name="Normal 3 10 14" xfId="486" xr:uid="{00000000-0005-0000-0000-000015020000}"/>
    <cellStyle name="Normal 3 10 15" xfId="487" xr:uid="{00000000-0005-0000-0000-000016020000}"/>
    <cellStyle name="Normal 3 10 16" xfId="488" xr:uid="{00000000-0005-0000-0000-000017020000}"/>
    <cellStyle name="Normal 3 10 2" xfId="489" xr:uid="{00000000-0005-0000-0000-000018020000}"/>
    <cellStyle name="Normal 3 10 3" xfId="490" xr:uid="{00000000-0005-0000-0000-000019020000}"/>
    <cellStyle name="Normal 3 10 4" xfId="491" xr:uid="{00000000-0005-0000-0000-00001A020000}"/>
    <cellStyle name="Normal 3 10 5" xfId="492" xr:uid="{00000000-0005-0000-0000-00001B020000}"/>
    <cellStyle name="Normal 3 10 6" xfId="493" xr:uid="{00000000-0005-0000-0000-00001C020000}"/>
    <cellStyle name="Normal 3 10 7" xfId="494" xr:uid="{00000000-0005-0000-0000-00001D020000}"/>
    <cellStyle name="Normal 3 10 8" xfId="495" xr:uid="{00000000-0005-0000-0000-00001E020000}"/>
    <cellStyle name="Normal 3 10 9" xfId="496" xr:uid="{00000000-0005-0000-0000-00001F020000}"/>
    <cellStyle name="Normal 3 11" xfId="497" xr:uid="{00000000-0005-0000-0000-000020020000}"/>
    <cellStyle name="Normal 3 11 10" xfId="498" xr:uid="{00000000-0005-0000-0000-000021020000}"/>
    <cellStyle name="Normal 3 11 11" xfId="499" xr:uid="{00000000-0005-0000-0000-000022020000}"/>
    <cellStyle name="Normal 3 11 12" xfId="500" xr:uid="{00000000-0005-0000-0000-000023020000}"/>
    <cellStyle name="Normal 3 11 13" xfId="501" xr:uid="{00000000-0005-0000-0000-000024020000}"/>
    <cellStyle name="Normal 3 11 14" xfId="502" xr:uid="{00000000-0005-0000-0000-000025020000}"/>
    <cellStyle name="Normal 3 11 15" xfId="503" xr:uid="{00000000-0005-0000-0000-000026020000}"/>
    <cellStyle name="Normal 3 11 16" xfId="504" xr:uid="{00000000-0005-0000-0000-000027020000}"/>
    <cellStyle name="Normal 3 11 2" xfId="505" xr:uid="{00000000-0005-0000-0000-000028020000}"/>
    <cellStyle name="Normal 3 11 3" xfId="506" xr:uid="{00000000-0005-0000-0000-000029020000}"/>
    <cellStyle name="Normal 3 11 4" xfId="507" xr:uid="{00000000-0005-0000-0000-00002A020000}"/>
    <cellStyle name="Normal 3 11 5" xfId="508" xr:uid="{00000000-0005-0000-0000-00002B020000}"/>
    <cellStyle name="Normal 3 11 6" xfId="509" xr:uid="{00000000-0005-0000-0000-00002C020000}"/>
    <cellStyle name="Normal 3 11 7" xfId="510" xr:uid="{00000000-0005-0000-0000-00002D020000}"/>
    <cellStyle name="Normal 3 11 8" xfId="511" xr:uid="{00000000-0005-0000-0000-00002E020000}"/>
    <cellStyle name="Normal 3 11 9" xfId="512" xr:uid="{00000000-0005-0000-0000-00002F020000}"/>
    <cellStyle name="Normal 3 12" xfId="513" xr:uid="{00000000-0005-0000-0000-000030020000}"/>
    <cellStyle name="Normal 3 12 10" xfId="514" xr:uid="{00000000-0005-0000-0000-000031020000}"/>
    <cellStyle name="Normal 3 12 11" xfId="515" xr:uid="{00000000-0005-0000-0000-000032020000}"/>
    <cellStyle name="Normal 3 12 12" xfId="516" xr:uid="{00000000-0005-0000-0000-000033020000}"/>
    <cellStyle name="Normal 3 12 13" xfId="517" xr:uid="{00000000-0005-0000-0000-000034020000}"/>
    <cellStyle name="Normal 3 12 14" xfId="518" xr:uid="{00000000-0005-0000-0000-000035020000}"/>
    <cellStyle name="Normal 3 12 15" xfId="519" xr:uid="{00000000-0005-0000-0000-000036020000}"/>
    <cellStyle name="Normal 3 12 16" xfId="520" xr:uid="{00000000-0005-0000-0000-000037020000}"/>
    <cellStyle name="Normal 3 12 2" xfId="521" xr:uid="{00000000-0005-0000-0000-000038020000}"/>
    <cellStyle name="Normal 3 12 3" xfId="522" xr:uid="{00000000-0005-0000-0000-000039020000}"/>
    <cellStyle name="Normal 3 12 4" xfId="523" xr:uid="{00000000-0005-0000-0000-00003A020000}"/>
    <cellStyle name="Normal 3 12 5" xfId="524" xr:uid="{00000000-0005-0000-0000-00003B020000}"/>
    <cellStyle name="Normal 3 12 6" xfId="525" xr:uid="{00000000-0005-0000-0000-00003C020000}"/>
    <cellStyle name="Normal 3 12 7" xfId="526" xr:uid="{00000000-0005-0000-0000-00003D020000}"/>
    <cellStyle name="Normal 3 12 8" xfId="527" xr:uid="{00000000-0005-0000-0000-00003E020000}"/>
    <cellStyle name="Normal 3 12 9" xfId="528" xr:uid="{00000000-0005-0000-0000-00003F020000}"/>
    <cellStyle name="Normal 3 13" xfId="529" xr:uid="{00000000-0005-0000-0000-000040020000}"/>
    <cellStyle name="Normal 3 13 10" xfId="530" xr:uid="{00000000-0005-0000-0000-000041020000}"/>
    <cellStyle name="Normal 3 13 11" xfId="531" xr:uid="{00000000-0005-0000-0000-000042020000}"/>
    <cellStyle name="Normal 3 13 12" xfId="532" xr:uid="{00000000-0005-0000-0000-000043020000}"/>
    <cellStyle name="Normal 3 13 13" xfId="533" xr:uid="{00000000-0005-0000-0000-000044020000}"/>
    <cellStyle name="Normal 3 13 14" xfId="534" xr:uid="{00000000-0005-0000-0000-000045020000}"/>
    <cellStyle name="Normal 3 13 15" xfId="535" xr:uid="{00000000-0005-0000-0000-000046020000}"/>
    <cellStyle name="Normal 3 13 16" xfId="536" xr:uid="{00000000-0005-0000-0000-000047020000}"/>
    <cellStyle name="Normal 3 13 2" xfId="537" xr:uid="{00000000-0005-0000-0000-000048020000}"/>
    <cellStyle name="Normal 3 13 3" xfId="538" xr:uid="{00000000-0005-0000-0000-000049020000}"/>
    <cellStyle name="Normal 3 13 4" xfId="539" xr:uid="{00000000-0005-0000-0000-00004A020000}"/>
    <cellStyle name="Normal 3 13 5" xfId="540" xr:uid="{00000000-0005-0000-0000-00004B020000}"/>
    <cellStyle name="Normal 3 13 6" xfId="541" xr:uid="{00000000-0005-0000-0000-00004C020000}"/>
    <cellStyle name="Normal 3 13 7" xfId="542" xr:uid="{00000000-0005-0000-0000-00004D020000}"/>
    <cellStyle name="Normal 3 13 8" xfId="543" xr:uid="{00000000-0005-0000-0000-00004E020000}"/>
    <cellStyle name="Normal 3 13 9" xfId="544" xr:uid="{00000000-0005-0000-0000-00004F020000}"/>
    <cellStyle name="Normal 3 14" xfId="545" xr:uid="{00000000-0005-0000-0000-000050020000}"/>
    <cellStyle name="Normal 3 14 10" xfId="546" xr:uid="{00000000-0005-0000-0000-000051020000}"/>
    <cellStyle name="Normal 3 14 11" xfId="547" xr:uid="{00000000-0005-0000-0000-000052020000}"/>
    <cellStyle name="Normal 3 14 12" xfId="548" xr:uid="{00000000-0005-0000-0000-000053020000}"/>
    <cellStyle name="Normal 3 14 13" xfId="549" xr:uid="{00000000-0005-0000-0000-000054020000}"/>
    <cellStyle name="Normal 3 14 14" xfId="550" xr:uid="{00000000-0005-0000-0000-000055020000}"/>
    <cellStyle name="Normal 3 14 15" xfId="551" xr:uid="{00000000-0005-0000-0000-000056020000}"/>
    <cellStyle name="Normal 3 14 16" xfId="552" xr:uid="{00000000-0005-0000-0000-000057020000}"/>
    <cellStyle name="Normal 3 14 2" xfId="553" xr:uid="{00000000-0005-0000-0000-000058020000}"/>
    <cellStyle name="Normal 3 14 3" xfId="554" xr:uid="{00000000-0005-0000-0000-000059020000}"/>
    <cellStyle name="Normal 3 14 4" xfId="555" xr:uid="{00000000-0005-0000-0000-00005A020000}"/>
    <cellStyle name="Normal 3 14 5" xfId="556" xr:uid="{00000000-0005-0000-0000-00005B020000}"/>
    <cellStyle name="Normal 3 14 6" xfId="557" xr:uid="{00000000-0005-0000-0000-00005C020000}"/>
    <cellStyle name="Normal 3 14 7" xfId="558" xr:uid="{00000000-0005-0000-0000-00005D020000}"/>
    <cellStyle name="Normal 3 14 8" xfId="559" xr:uid="{00000000-0005-0000-0000-00005E020000}"/>
    <cellStyle name="Normal 3 14 9" xfId="560" xr:uid="{00000000-0005-0000-0000-00005F020000}"/>
    <cellStyle name="Normal 3 15" xfId="561" xr:uid="{00000000-0005-0000-0000-000060020000}"/>
    <cellStyle name="Normal 3 15 10" xfId="562" xr:uid="{00000000-0005-0000-0000-000061020000}"/>
    <cellStyle name="Normal 3 15 11" xfId="563" xr:uid="{00000000-0005-0000-0000-000062020000}"/>
    <cellStyle name="Normal 3 15 12" xfId="564" xr:uid="{00000000-0005-0000-0000-000063020000}"/>
    <cellStyle name="Normal 3 15 13" xfId="565" xr:uid="{00000000-0005-0000-0000-000064020000}"/>
    <cellStyle name="Normal 3 15 14" xfId="566" xr:uid="{00000000-0005-0000-0000-000065020000}"/>
    <cellStyle name="Normal 3 15 15" xfId="567" xr:uid="{00000000-0005-0000-0000-000066020000}"/>
    <cellStyle name="Normal 3 15 16" xfId="568" xr:uid="{00000000-0005-0000-0000-000067020000}"/>
    <cellStyle name="Normal 3 15 2" xfId="569" xr:uid="{00000000-0005-0000-0000-000068020000}"/>
    <cellStyle name="Normal 3 15 3" xfId="570" xr:uid="{00000000-0005-0000-0000-000069020000}"/>
    <cellStyle name="Normal 3 15 4" xfId="571" xr:uid="{00000000-0005-0000-0000-00006A020000}"/>
    <cellStyle name="Normal 3 15 5" xfId="572" xr:uid="{00000000-0005-0000-0000-00006B020000}"/>
    <cellStyle name="Normal 3 15 6" xfId="573" xr:uid="{00000000-0005-0000-0000-00006C020000}"/>
    <cellStyle name="Normal 3 15 7" xfId="574" xr:uid="{00000000-0005-0000-0000-00006D020000}"/>
    <cellStyle name="Normal 3 15 8" xfId="575" xr:uid="{00000000-0005-0000-0000-00006E020000}"/>
    <cellStyle name="Normal 3 15 9" xfId="576" xr:uid="{00000000-0005-0000-0000-00006F020000}"/>
    <cellStyle name="Normal 3 16" xfId="577" xr:uid="{00000000-0005-0000-0000-000070020000}"/>
    <cellStyle name="Normal 3 16 10" xfId="578" xr:uid="{00000000-0005-0000-0000-000071020000}"/>
    <cellStyle name="Normal 3 16 11" xfId="579" xr:uid="{00000000-0005-0000-0000-000072020000}"/>
    <cellStyle name="Normal 3 16 12" xfId="580" xr:uid="{00000000-0005-0000-0000-000073020000}"/>
    <cellStyle name="Normal 3 16 13" xfId="581" xr:uid="{00000000-0005-0000-0000-000074020000}"/>
    <cellStyle name="Normal 3 16 14" xfId="582" xr:uid="{00000000-0005-0000-0000-000075020000}"/>
    <cellStyle name="Normal 3 16 15" xfId="583" xr:uid="{00000000-0005-0000-0000-000076020000}"/>
    <cellStyle name="Normal 3 16 16" xfId="584" xr:uid="{00000000-0005-0000-0000-000077020000}"/>
    <cellStyle name="Normal 3 16 2" xfId="585" xr:uid="{00000000-0005-0000-0000-000078020000}"/>
    <cellStyle name="Normal 3 16 3" xfId="586" xr:uid="{00000000-0005-0000-0000-000079020000}"/>
    <cellStyle name="Normal 3 16 4" xfId="587" xr:uid="{00000000-0005-0000-0000-00007A020000}"/>
    <cellStyle name="Normal 3 16 5" xfId="588" xr:uid="{00000000-0005-0000-0000-00007B020000}"/>
    <cellStyle name="Normal 3 16 6" xfId="589" xr:uid="{00000000-0005-0000-0000-00007C020000}"/>
    <cellStyle name="Normal 3 16 7" xfId="590" xr:uid="{00000000-0005-0000-0000-00007D020000}"/>
    <cellStyle name="Normal 3 16 8" xfId="591" xr:uid="{00000000-0005-0000-0000-00007E020000}"/>
    <cellStyle name="Normal 3 16 9" xfId="592" xr:uid="{00000000-0005-0000-0000-00007F020000}"/>
    <cellStyle name="Normal 3 17" xfId="593" xr:uid="{00000000-0005-0000-0000-000080020000}"/>
    <cellStyle name="Normal 3 17 10" xfId="594" xr:uid="{00000000-0005-0000-0000-000081020000}"/>
    <cellStyle name="Normal 3 17 11" xfId="595" xr:uid="{00000000-0005-0000-0000-000082020000}"/>
    <cellStyle name="Normal 3 17 12" xfId="596" xr:uid="{00000000-0005-0000-0000-000083020000}"/>
    <cellStyle name="Normal 3 17 13" xfId="597" xr:uid="{00000000-0005-0000-0000-000084020000}"/>
    <cellStyle name="Normal 3 17 14" xfId="598" xr:uid="{00000000-0005-0000-0000-000085020000}"/>
    <cellStyle name="Normal 3 17 15" xfId="599" xr:uid="{00000000-0005-0000-0000-000086020000}"/>
    <cellStyle name="Normal 3 17 16" xfId="600" xr:uid="{00000000-0005-0000-0000-000087020000}"/>
    <cellStyle name="Normal 3 17 2" xfId="601" xr:uid="{00000000-0005-0000-0000-000088020000}"/>
    <cellStyle name="Normal 3 17 3" xfId="602" xr:uid="{00000000-0005-0000-0000-000089020000}"/>
    <cellStyle name="Normal 3 17 4" xfId="603" xr:uid="{00000000-0005-0000-0000-00008A020000}"/>
    <cellStyle name="Normal 3 17 5" xfId="604" xr:uid="{00000000-0005-0000-0000-00008B020000}"/>
    <cellStyle name="Normal 3 17 6" xfId="605" xr:uid="{00000000-0005-0000-0000-00008C020000}"/>
    <cellStyle name="Normal 3 17 7" xfId="606" xr:uid="{00000000-0005-0000-0000-00008D020000}"/>
    <cellStyle name="Normal 3 17 8" xfId="607" xr:uid="{00000000-0005-0000-0000-00008E020000}"/>
    <cellStyle name="Normal 3 17 9" xfId="608" xr:uid="{00000000-0005-0000-0000-00008F020000}"/>
    <cellStyle name="Normal 3 18" xfId="609" xr:uid="{00000000-0005-0000-0000-000090020000}"/>
    <cellStyle name="Normal 3 18 10" xfId="610" xr:uid="{00000000-0005-0000-0000-000091020000}"/>
    <cellStyle name="Normal 3 18 11" xfId="611" xr:uid="{00000000-0005-0000-0000-000092020000}"/>
    <cellStyle name="Normal 3 18 12" xfId="612" xr:uid="{00000000-0005-0000-0000-000093020000}"/>
    <cellStyle name="Normal 3 18 13" xfId="613" xr:uid="{00000000-0005-0000-0000-000094020000}"/>
    <cellStyle name="Normal 3 18 14" xfId="614" xr:uid="{00000000-0005-0000-0000-000095020000}"/>
    <cellStyle name="Normal 3 18 2" xfId="615" xr:uid="{00000000-0005-0000-0000-000096020000}"/>
    <cellStyle name="Normal 3 18 3" xfId="616" xr:uid="{00000000-0005-0000-0000-000097020000}"/>
    <cellStyle name="Normal 3 18 4" xfId="617" xr:uid="{00000000-0005-0000-0000-000098020000}"/>
    <cellStyle name="Normal 3 18 5" xfId="618" xr:uid="{00000000-0005-0000-0000-000099020000}"/>
    <cellStyle name="Normal 3 18 6" xfId="619" xr:uid="{00000000-0005-0000-0000-00009A020000}"/>
    <cellStyle name="Normal 3 18 7" xfId="620" xr:uid="{00000000-0005-0000-0000-00009B020000}"/>
    <cellStyle name="Normal 3 18 8" xfId="621" xr:uid="{00000000-0005-0000-0000-00009C020000}"/>
    <cellStyle name="Normal 3 18 9" xfId="622" xr:uid="{00000000-0005-0000-0000-00009D020000}"/>
    <cellStyle name="Normal 3 19" xfId="623" xr:uid="{00000000-0005-0000-0000-00009E020000}"/>
    <cellStyle name="Normal 3 19 10" xfId="624" xr:uid="{00000000-0005-0000-0000-00009F020000}"/>
    <cellStyle name="Normal 3 19 11" xfId="625" xr:uid="{00000000-0005-0000-0000-0000A0020000}"/>
    <cellStyle name="Normal 3 19 2" xfId="626" xr:uid="{00000000-0005-0000-0000-0000A1020000}"/>
    <cellStyle name="Normal 3 19 3" xfId="627" xr:uid="{00000000-0005-0000-0000-0000A2020000}"/>
    <cellStyle name="Normal 3 19 4" xfId="628" xr:uid="{00000000-0005-0000-0000-0000A3020000}"/>
    <cellStyle name="Normal 3 19 5" xfId="629" xr:uid="{00000000-0005-0000-0000-0000A4020000}"/>
    <cellStyle name="Normal 3 19 6" xfId="630" xr:uid="{00000000-0005-0000-0000-0000A5020000}"/>
    <cellStyle name="Normal 3 19 7" xfId="631" xr:uid="{00000000-0005-0000-0000-0000A6020000}"/>
    <cellStyle name="Normal 3 19 8" xfId="632" xr:uid="{00000000-0005-0000-0000-0000A7020000}"/>
    <cellStyle name="Normal 3 19 9" xfId="633" xr:uid="{00000000-0005-0000-0000-0000A8020000}"/>
    <cellStyle name="Normal 3 2" xfId="634" xr:uid="{00000000-0005-0000-0000-0000A9020000}"/>
    <cellStyle name="Normal 3 20" xfId="635" xr:uid="{00000000-0005-0000-0000-0000AA020000}"/>
    <cellStyle name="Normal 3 20 10" xfId="636" xr:uid="{00000000-0005-0000-0000-0000AB020000}"/>
    <cellStyle name="Normal 3 20 11" xfId="637" xr:uid="{00000000-0005-0000-0000-0000AC020000}"/>
    <cellStyle name="Normal 3 20 2" xfId="638" xr:uid="{00000000-0005-0000-0000-0000AD020000}"/>
    <cellStyle name="Normal 3 20 3" xfId="639" xr:uid="{00000000-0005-0000-0000-0000AE020000}"/>
    <cellStyle name="Normal 3 20 4" xfId="640" xr:uid="{00000000-0005-0000-0000-0000AF020000}"/>
    <cellStyle name="Normal 3 20 5" xfId="641" xr:uid="{00000000-0005-0000-0000-0000B0020000}"/>
    <cellStyle name="Normal 3 20 6" xfId="642" xr:uid="{00000000-0005-0000-0000-0000B1020000}"/>
    <cellStyle name="Normal 3 20 7" xfId="643" xr:uid="{00000000-0005-0000-0000-0000B2020000}"/>
    <cellStyle name="Normal 3 20 8" xfId="644" xr:uid="{00000000-0005-0000-0000-0000B3020000}"/>
    <cellStyle name="Normal 3 20 9" xfId="645" xr:uid="{00000000-0005-0000-0000-0000B4020000}"/>
    <cellStyle name="Normal 3 21" xfId="646" xr:uid="{00000000-0005-0000-0000-0000B5020000}"/>
    <cellStyle name="Normal 3 21 2" xfId="647" xr:uid="{00000000-0005-0000-0000-0000B6020000}"/>
    <cellStyle name="Normal 3 21 3" xfId="648" xr:uid="{00000000-0005-0000-0000-0000B7020000}"/>
    <cellStyle name="Normal 3 21 4" xfId="649" xr:uid="{00000000-0005-0000-0000-0000B8020000}"/>
    <cellStyle name="Normal 3 21 5" xfId="650" xr:uid="{00000000-0005-0000-0000-0000B9020000}"/>
    <cellStyle name="Normal 3 21 6" xfId="651" xr:uid="{00000000-0005-0000-0000-0000BA020000}"/>
    <cellStyle name="Normal 3 21 7" xfId="652" xr:uid="{00000000-0005-0000-0000-0000BB020000}"/>
    <cellStyle name="Normal 3 21 8" xfId="653" xr:uid="{00000000-0005-0000-0000-0000BC020000}"/>
    <cellStyle name="Normal 3 21 9" xfId="654" xr:uid="{00000000-0005-0000-0000-0000BD020000}"/>
    <cellStyle name="Normal 3 22" xfId="655" xr:uid="{00000000-0005-0000-0000-0000BE020000}"/>
    <cellStyle name="Normal 3 22 2" xfId="656" xr:uid="{00000000-0005-0000-0000-0000BF020000}"/>
    <cellStyle name="Normal 3 22 3" xfId="657" xr:uid="{00000000-0005-0000-0000-0000C0020000}"/>
    <cellStyle name="Normal 3 22 4" xfId="658" xr:uid="{00000000-0005-0000-0000-0000C1020000}"/>
    <cellStyle name="Normal 3 22 5" xfId="659" xr:uid="{00000000-0005-0000-0000-0000C2020000}"/>
    <cellStyle name="Normal 3 22 6" xfId="660" xr:uid="{00000000-0005-0000-0000-0000C3020000}"/>
    <cellStyle name="Normal 3 22 7" xfId="661" xr:uid="{00000000-0005-0000-0000-0000C4020000}"/>
    <cellStyle name="Normal 3 23" xfId="662" xr:uid="{00000000-0005-0000-0000-0000C5020000}"/>
    <cellStyle name="Normal 3 23 2" xfId="663" xr:uid="{00000000-0005-0000-0000-0000C6020000}"/>
    <cellStyle name="Normal 3 23 3" xfId="664" xr:uid="{00000000-0005-0000-0000-0000C7020000}"/>
    <cellStyle name="Normal 3 23 4" xfId="665" xr:uid="{00000000-0005-0000-0000-0000C8020000}"/>
    <cellStyle name="Normal 3 23 5" xfId="666" xr:uid="{00000000-0005-0000-0000-0000C9020000}"/>
    <cellStyle name="Normal 3 3" xfId="667" xr:uid="{00000000-0005-0000-0000-0000CA020000}"/>
    <cellStyle name="Normal 3 4" xfId="668" xr:uid="{00000000-0005-0000-0000-0000CB020000}"/>
    <cellStyle name="Normal 3 5" xfId="669" xr:uid="{00000000-0005-0000-0000-0000CC020000}"/>
    <cellStyle name="Normal 3 6" xfId="670" xr:uid="{00000000-0005-0000-0000-0000CD020000}"/>
    <cellStyle name="Normal 3 7" xfId="671" xr:uid="{00000000-0005-0000-0000-0000CE020000}"/>
    <cellStyle name="Normal 3 8" xfId="672" xr:uid="{00000000-0005-0000-0000-0000CF020000}"/>
    <cellStyle name="Normal 3 9" xfId="673" xr:uid="{00000000-0005-0000-0000-0000D0020000}"/>
    <cellStyle name="Normal 3_110531 Pickup By Market seg_2011 report_LSG" xfId="674" xr:uid="{00000000-0005-0000-0000-0000D1020000}"/>
    <cellStyle name="Normal 30 2" xfId="675" xr:uid="{00000000-0005-0000-0000-0000D2020000}"/>
    <cellStyle name="Normal 30 3" xfId="676" xr:uid="{00000000-0005-0000-0000-0000D3020000}"/>
    <cellStyle name="Normal 30 4" xfId="677" xr:uid="{00000000-0005-0000-0000-0000D4020000}"/>
    <cellStyle name="Normal 30 5" xfId="678" xr:uid="{00000000-0005-0000-0000-0000D5020000}"/>
    <cellStyle name="Normal 31 2" xfId="679" xr:uid="{00000000-0005-0000-0000-0000D6020000}"/>
    <cellStyle name="Normal 31 3" xfId="680" xr:uid="{00000000-0005-0000-0000-0000D7020000}"/>
    <cellStyle name="Normal 31 4" xfId="681" xr:uid="{00000000-0005-0000-0000-0000D8020000}"/>
    <cellStyle name="Normal 32 2" xfId="682" xr:uid="{00000000-0005-0000-0000-0000D9020000}"/>
    <cellStyle name="Normal 32 3" xfId="683" xr:uid="{00000000-0005-0000-0000-0000DA020000}"/>
    <cellStyle name="Normal 33 10" xfId="684" xr:uid="{00000000-0005-0000-0000-0000DB020000}"/>
    <cellStyle name="Normal 33 2" xfId="685" xr:uid="{00000000-0005-0000-0000-0000DC020000}"/>
    <cellStyle name="Normal 33 3" xfId="686" xr:uid="{00000000-0005-0000-0000-0000DD020000}"/>
    <cellStyle name="Normal 33 4" xfId="687" xr:uid="{00000000-0005-0000-0000-0000DE020000}"/>
    <cellStyle name="Normal 33 5" xfId="688" xr:uid="{00000000-0005-0000-0000-0000DF020000}"/>
    <cellStyle name="Normal 33 6" xfId="689" xr:uid="{00000000-0005-0000-0000-0000E0020000}"/>
    <cellStyle name="Normal 33 7" xfId="690" xr:uid="{00000000-0005-0000-0000-0000E1020000}"/>
    <cellStyle name="Normal 33 8" xfId="691" xr:uid="{00000000-0005-0000-0000-0000E2020000}"/>
    <cellStyle name="Normal 33 9" xfId="692" xr:uid="{00000000-0005-0000-0000-0000E3020000}"/>
    <cellStyle name="Normal 34 2" xfId="693" xr:uid="{00000000-0005-0000-0000-0000E4020000}"/>
    <cellStyle name="Normal 34 3" xfId="694" xr:uid="{00000000-0005-0000-0000-0000E5020000}"/>
    <cellStyle name="Normal 34 4" xfId="695" xr:uid="{00000000-0005-0000-0000-0000E6020000}"/>
    <cellStyle name="Normal 36 2" xfId="696" xr:uid="{00000000-0005-0000-0000-0000E7020000}"/>
    <cellStyle name="Normal 36 3" xfId="697" xr:uid="{00000000-0005-0000-0000-0000E8020000}"/>
    <cellStyle name="Normal 36 4" xfId="698" xr:uid="{00000000-0005-0000-0000-0000E9020000}"/>
    <cellStyle name="Normal 36 5" xfId="699" xr:uid="{00000000-0005-0000-0000-0000EA020000}"/>
    <cellStyle name="Normal 36 6" xfId="700" xr:uid="{00000000-0005-0000-0000-0000EB020000}"/>
    <cellStyle name="Normal 36 7" xfId="701" xr:uid="{00000000-0005-0000-0000-0000EC020000}"/>
    <cellStyle name="Normal 37 2" xfId="702" xr:uid="{00000000-0005-0000-0000-0000ED020000}"/>
    <cellStyle name="Normal 37 3" xfId="703" xr:uid="{00000000-0005-0000-0000-0000EE020000}"/>
    <cellStyle name="Normal 38 2" xfId="704" xr:uid="{00000000-0005-0000-0000-0000EF020000}"/>
    <cellStyle name="Normal 38 3" xfId="705" xr:uid="{00000000-0005-0000-0000-0000F0020000}"/>
    <cellStyle name="Normal 38 4" xfId="706" xr:uid="{00000000-0005-0000-0000-0000F1020000}"/>
    <cellStyle name="Normal 38 5" xfId="707" xr:uid="{00000000-0005-0000-0000-0000F2020000}"/>
    <cellStyle name="Normal 39 2" xfId="708" xr:uid="{00000000-0005-0000-0000-0000F3020000}"/>
    <cellStyle name="Normal 39 3" xfId="709" xr:uid="{00000000-0005-0000-0000-0000F4020000}"/>
    <cellStyle name="Normal 39 4" xfId="710" xr:uid="{00000000-0005-0000-0000-0000F5020000}"/>
    <cellStyle name="Normal 4" xfId="711" xr:uid="{00000000-0005-0000-0000-0000F6020000}"/>
    <cellStyle name="Normal 4 10" xfId="712" xr:uid="{00000000-0005-0000-0000-0000F7020000}"/>
    <cellStyle name="Normal 4 10 10" xfId="713" xr:uid="{00000000-0005-0000-0000-0000F8020000}"/>
    <cellStyle name="Normal 4 10 11" xfId="714" xr:uid="{00000000-0005-0000-0000-0000F9020000}"/>
    <cellStyle name="Normal 4 10 12" xfId="715" xr:uid="{00000000-0005-0000-0000-0000FA020000}"/>
    <cellStyle name="Normal 4 10 13" xfId="716" xr:uid="{00000000-0005-0000-0000-0000FB020000}"/>
    <cellStyle name="Normal 4 10 14" xfId="717" xr:uid="{00000000-0005-0000-0000-0000FC020000}"/>
    <cellStyle name="Normal 4 10 15" xfId="718" xr:uid="{00000000-0005-0000-0000-0000FD020000}"/>
    <cellStyle name="Normal 4 10 16" xfId="719" xr:uid="{00000000-0005-0000-0000-0000FE020000}"/>
    <cellStyle name="Normal 4 10 2" xfId="720" xr:uid="{00000000-0005-0000-0000-0000FF020000}"/>
    <cellStyle name="Normal 4 10 3" xfId="721" xr:uid="{00000000-0005-0000-0000-000000030000}"/>
    <cellStyle name="Normal 4 10 4" xfId="722" xr:uid="{00000000-0005-0000-0000-000001030000}"/>
    <cellStyle name="Normal 4 10 5" xfId="723" xr:uid="{00000000-0005-0000-0000-000002030000}"/>
    <cellStyle name="Normal 4 10 6" xfId="724" xr:uid="{00000000-0005-0000-0000-000003030000}"/>
    <cellStyle name="Normal 4 10 7" xfId="725" xr:uid="{00000000-0005-0000-0000-000004030000}"/>
    <cellStyle name="Normal 4 10 8" xfId="726" xr:uid="{00000000-0005-0000-0000-000005030000}"/>
    <cellStyle name="Normal 4 10 9" xfId="727" xr:uid="{00000000-0005-0000-0000-000006030000}"/>
    <cellStyle name="Normal 4 11" xfId="728" xr:uid="{00000000-0005-0000-0000-000007030000}"/>
    <cellStyle name="Normal 4 11 10" xfId="729" xr:uid="{00000000-0005-0000-0000-000008030000}"/>
    <cellStyle name="Normal 4 11 11" xfId="730" xr:uid="{00000000-0005-0000-0000-000009030000}"/>
    <cellStyle name="Normal 4 11 12" xfId="731" xr:uid="{00000000-0005-0000-0000-00000A030000}"/>
    <cellStyle name="Normal 4 11 13" xfId="732" xr:uid="{00000000-0005-0000-0000-00000B030000}"/>
    <cellStyle name="Normal 4 11 14" xfId="733" xr:uid="{00000000-0005-0000-0000-00000C030000}"/>
    <cellStyle name="Normal 4 11 15" xfId="734" xr:uid="{00000000-0005-0000-0000-00000D030000}"/>
    <cellStyle name="Normal 4 11 16" xfId="735" xr:uid="{00000000-0005-0000-0000-00000E030000}"/>
    <cellStyle name="Normal 4 11 2" xfId="736" xr:uid="{00000000-0005-0000-0000-00000F030000}"/>
    <cellStyle name="Normal 4 11 3" xfId="737" xr:uid="{00000000-0005-0000-0000-000010030000}"/>
    <cellStyle name="Normal 4 11 4" xfId="738" xr:uid="{00000000-0005-0000-0000-000011030000}"/>
    <cellStyle name="Normal 4 11 5" xfId="739" xr:uid="{00000000-0005-0000-0000-000012030000}"/>
    <cellStyle name="Normal 4 11 6" xfId="740" xr:uid="{00000000-0005-0000-0000-000013030000}"/>
    <cellStyle name="Normal 4 11 7" xfId="741" xr:uid="{00000000-0005-0000-0000-000014030000}"/>
    <cellStyle name="Normal 4 11 8" xfId="742" xr:uid="{00000000-0005-0000-0000-000015030000}"/>
    <cellStyle name="Normal 4 11 9" xfId="743" xr:uid="{00000000-0005-0000-0000-000016030000}"/>
    <cellStyle name="Normal 4 12" xfId="744" xr:uid="{00000000-0005-0000-0000-000017030000}"/>
    <cellStyle name="Normal 4 12 10" xfId="745" xr:uid="{00000000-0005-0000-0000-000018030000}"/>
    <cellStyle name="Normal 4 12 11" xfId="746" xr:uid="{00000000-0005-0000-0000-000019030000}"/>
    <cellStyle name="Normal 4 12 12" xfId="747" xr:uid="{00000000-0005-0000-0000-00001A030000}"/>
    <cellStyle name="Normal 4 12 13" xfId="748" xr:uid="{00000000-0005-0000-0000-00001B030000}"/>
    <cellStyle name="Normal 4 12 14" xfId="749" xr:uid="{00000000-0005-0000-0000-00001C030000}"/>
    <cellStyle name="Normal 4 12 15" xfId="750" xr:uid="{00000000-0005-0000-0000-00001D030000}"/>
    <cellStyle name="Normal 4 12 16" xfId="751" xr:uid="{00000000-0005-0000-0000-00001E030000}"/>
    <cellStyle name="Normal 4 12 2" xfId="752" xr:uid="{00000000-0005-0000-0000-00001F030000}"/>
    <cellStyle name="Normal 4 12 3" xfId="753" xr:uid="{00000000-0005-0000-0000-000020030000}"/>
    <cellStyle name="Normal 4 12 4" xfId="754" xr:uid="{00000000-0005-0000-0000-000021030000}"/>
    <cellStyle name="Normal 4 12 5" xfId="755" xr:uid="{00000000-0005-0000-0000-000022030000}"/>
    <cellStyle name="Normal 4 12 6" xfId="756" xr:uid="{00000000-0005-0000-0000-000023030000}"/>
    <cellStyle name="Normal 4 12 7" xfId="757" xr:uid="{00000000-0005-0000-0000-000024030000}"/>
    <cellStyle name="Normal 4 12 8" xfId="758" xr:uid="{00000000-0005-0000-0000-000025030000}"/>
    <cellStyle name="Normal 4 12 9" xfId="759" xr:uid="{00000000-0005-0000-0000-000026030000}"/>
    <cellStyle name="Normal 4 13" xfId="760" xr:uid="{00000000-0005-0000-0000-000027030000}"/>
    <cellStyle name="Normal 4 13 10" xfId="761" xr:uid="{00000000-0005-0000-0000-000028030000}"/>
    <cellStyle name="Normal 4 13 11" xfId="762" xr:uid="{00000000-0005-0000-0000-000029030000}"/>
    <cellStyle name="Normal 4 13 12" xfId="763" xr:uid="{00000000-0005-0000-0000-00002A030000}"/>
    <cellStyle name="Normal 4 13 13" xfId="764" xr:uid="{00000000-0005-0000-0000-00002B030000}"/>
    <cellStyle name="Normal 4 13 14" xfId="765" xr:uid="{00000000-0005-0000-0000-00002C030000}"/>
    <cellStyle name="Normal 4 13 15" xfId="766" xr:uid="{00000000-0005-0000-0000-00002D030000}"/>
    <cellStyle name="Normal 4 13 16" xfId="767" xr:uid="{00000000-0005-0000-0000-00002E030000}"/>
    <cellStyle name="Normal 4 13 2" xfId="768" xr:uid="{00000000-0005-0000-0000-00002F030000}"/>
    <cellStyle name="Normal 4 13 3" xfId="769" xr:uid="{00000000-0005-0000-0000-000030030000}"/>
    <cellStyle name="Normal 4 13 4" xfId="770" xr:uid="{00000000-0005-0000-0000-000031030000}"/>
    <cellStyle name="Normal 4 13 5" xfId="771" xr:uid="{00000000-0005-0000-0000-000032030000}"/>
    <cellStyle name="Normal 4 13 6" xfId="772" xr:uid="{00000000-0005-0000-0000-000033030000}"/>
    <cellStyle name="Normal 4 13 7" xfId="773" xr:uid="{00000000-0005-0000-0000-000034030000}"/>
    <cellStyle name="Normal 4 13 8" xfId="774" xr:uid="{00000000-0005-0000-0000-000035030000}"/>
    <cellStyle name="Normal 4 13 9" xfId="775" xr:uid="{00000000-0005-0000-0000-000036030000}"/>
    <cellStyle name="Normal 4 14" xfId="776" xr:uid="{00000000-0005-0000-0000-000037030000}"/>
    <cellStyle name="Normal 4 14 10" xfId="777" xr:uid="{00000000-0005-0000-0000-000038030000}"/>
    <cellStyle name="Normal 4 14 11" xfId="778" xr:uid="{00000000-0005-0000-0000-000039030000}"/>
    <cellStyle name="Normal 4 14 2" xfId="779" xr:uid="{00000000-0005-0000-0000-00003A030000}"/>
    <cellStyle name="Normal 4 14 3" xfId="780" xr:uid="{00000000-0005-0000-0000-00003B030000}"/>
    <cellStyle name="Normal 4 14 4" xfId="781" xr:uid="{00000000-0005-0000-0000-00003C030000}"/>
    <cellStyle name="Normal 4 14 5" xfId="782" xr:uid="{00000000-0005-0000-0000-00003D030000}"/>
    <cellStyle name="Normal 4 14 6" xfId="783" xr:uid="{00000000-0005-0000-0000-00003E030000}"/>
    <cellStyle name="Normal 4 14 7" xfId="784" xr:uid="{00000000-0005-0000-0000-00003F030000}"/>
    <cellStyle name="Normal 4 14 8" xfId="785" xr:uid="{00000000-0005-0000-0000-000040030000}"/>
    <cellStyle name="Normal 4 14 9" xfId="786" xr:uid="{00000000-0005-0000-0000-000041030000}"/>
    <cellStyle name="Normal 4 15" xfId="787" xr:uid="{00000000-0005-0000-0000-000042030000}"/>
    <cellStyle name="Normal 4 16" xfId="788" xr:uid="{00000000-0005-0000-0000-000043030000}"/>
    <cellStyle name="Normal 4 17" xfId="789" xr:uid="{00000000-0005-0000-0000-000044030000}"/>
    <cellStyle name="Normal 4 18" xfId="790" xr:uid="{00000000-0005-0000-0000-000045030000}"/>
    <cellStyle name="Normal 4 19" xfId="791" xr:uid="{00000000-0005-0000-0000-000046030000}"/>
    <cellStyle name="Normal 4 2" xfId="792" xr:uid="{00000000-0005-0000-0000-000047030000}"/>
    <cellStyle name="Normal 4 20" xfId="793" xr:uid="{00000000-0005-0000-0000-000048030000}"/>
    <cellStyle name="Normal 4 21" xfId="994" xr:uid="{00000000-0005-0000-0000-000049030000}"/>
    <cellStyle name="Normal 4 3" xfId="794" xr:uid="{00000000-0005-0000-0000-00004A030000}"/>
    <cellStyle name="Normal 4 4" xfId="795" xr:uid="{00000000-0005-0000-0000-00004B030000}"/>
    <cellStyle name="Normal 4 5" xfId="796" xr:uid="{00000000-0005-0000-0000-00004C030000}"/>
    <cellStyle name="Normal 4 6" xfId="797" xr:uid="{00000000-0005-0000-0000-00004D030000}"/>
    <cellStyle name="Normal 4 7" xfId="798" xr:uid="{00000000-0005-0000-0000-00004E030000}"/>
    <cellStyle name="Normal 4 8" xfId="799" xr:uid="{00000000-0005-0000-0000-00004F030000}"/>
    <cellStyle name="Normal 4 9" xfId="800" xr:uid="{00000000-0005-0000-0000-000050030000}"/>
    <cellStyle name="Normal 4_Matrix report 2011" xfId="801" xr:uid="{00000000-0005-0000-0000-000051030000}"/>
    <cellStyle name="Normal 40 2" xfId="802" xr:uid="{00000000-0005-0000-0000-000052030000}"/>
    <cellStyle name="Normal 40 3" xfId="803" xr:uid="{00000000-0005-0000-0000-000053030000}"/>
    <cellStyle name="Normal 41" xfId="804" xr:uid="{00000000-0005-0000-0000-000054030000}"/>
    <cellStyle name="Normal 41 10" xfId="805" xr:uid="{00000000-0005-0000-0000-000055030000}"/>
    <cellStyle name="Normal 41 11" xfId="806" xr:uid="{00000000-0005-0000-0000-000056030000}"/>
    <cellStyle name="Normal 41 12" xfId="807" xr:uid="{00000000-0005-0000-0000-000057030000}"/>
    <cellStyle name="Normal 41 13" xfId="808" xr:uid="{00000000-0005-0000-0000-000058030000}"/>
    <cellStyle name="Normal 41 14" xfId="809" xr:uid="{00000000-0005-0000-0000-000059030000}"/>
    <cellStyle name="Normal 41 15" xfId="810" xr:uid="{00000000-0005-0000-0000-00005A030000}"/>
    <cellStyle name="Normal 41 16" xfId="811" xr:uid="{00000000-0005-0000-0000-00005B030000}"/>
    <cellStyle name="Normal 41 2" xfId="812" xr:uid="{00000000-0005-0000-0000-00005C030000}"/>
    <cellStyle name="Normal 41 3" xfId="813" xr:uid="{00000000-0005-0000-0000-00005D030000}"/>
    <cellStyle name="Normal 41 4" xfId="814" xr:uid="{00000000-0005-0000-0000-00005E030000}"/>
    <cellStyle name="Normal 41 5" xfId="815" xr:uid="{00000000-0005-0000-0000-00005F030000}"/>
    <cellStyle name="Normal 41 6" xfId="816" xr:uid="{00000000-0005-0000-0000-000060030000}"/>
    <cellStyle name="Normal 41 7" xfId="817" xr:uid="{00000000-0005-0000-0000-000061030000}"/>
    <cellStyle name="Normal 41 8" xfId="818" xr:uid="{00000000-0005-0000-0000-000062030000}"/>
    <cellStyle name="Normal 41 9" xfId="819" xr:uid="{00000000-0005-0000-0000-000063030000}"/>
    <cellStyle name="Normal 41_101201 Pick Up Report Dec 10 - May 11" xfId="820" xr:uid="{00000000-0005-0000-0000-000064030000}"/>
    <cellStyle name="Normal 42 2" xfId="821" xr:uid="{00000000-0005-0000-0000-000065030000}"/>
    <cellStyle name="Normal 42 3" xfId="822" xr:uid="{00000000-0005-0000-0000-000066030000}"/>
    <cellStyle name="Normal 43 2" xfId="823" xr:uid="{00000000-0005-0000-0000-000067030000}"/>
    <cellStyle name="Normal 43 3" xfId="824" xr:uid="{00000000-0005-0000-0000-000068030000}"/>
    <cellStyle name="Normal 43 4" xfId="825" xr:uid="{00000000-0005-0000-0000-000069030000}"/>
    <cellStyle name="Normal 43 5" xfId="826" xr:uid="{00000000-0005-0000-0000-00006A030000}"/>
    <cellStyle name="Normal 43 6" xfId="827" xr:uid="{00000000-0005-0000-0000-00006B030000}"/>
    <cellStyle name="Normal 43 7" xfId="828" xr:uid="{00000000-0005-0000-0000-00006C030000}"/>
    <cellStyle name="Normal 43 8" xfId="829" xr:uid="{00000000-0005-0000-0000-00006D030000}"/>
    <cellStyle name="Normal 44 2" xfId="830" xr:uid="{00000000-0005-0000-0000-00006E030000}"/>
    <cellStyle name="Normal 44 3" xfId="831" xr:uid="{00000000-0005-0000-0000-00006F030000}"/>
    <cellStyle name="Normal 45 2" xfId="832" xr:uid="{00000000-0005-0000-0000-000070030000}"/>
    <cellStyle name="Normal 45 3" xfId="833" xr:uid="{00000000-0005-0000-0000-000071030000}"/>
    <cellStyle name="Normal 45 4" xfId="834" xr:uid="{00000000-0005-0000-0000-000072030000}"/>
    <cellStyle name="Normal 45 5" xfId="835" xr:uid="{00000000-0005-0000-0000-000073030000}"/>
    <cellStyle name="Normal 46 2" xfId="836" xr:uid="{00000000-0005-0000-0000-000074030000}"/>
    <cellStyle name="Normal 46 3" xfId="837" xr:uid="{00000000-0005-0000-0000-000075030000}"/>
    <cellStyle name="Normal 47 2" xfId="838" xr:uid="{00000000-0005-0000-0000-000076030000}"/>
    <cellStyle name="Normal 47 3" xfId="839" xr:uid="{00000000-0005-0000-0000-000077030000}"/>
    <cellStyle name="Normal 47 4" xfId="840" xr:uid="{00000000-0005-0000-0000-000078030000}"/>
    <cellStyle name="Normal 48 2" xfId="841" xr:uid="{00000000-0005-0000-0000-000079030000}"/>
    <cellStyle name="Normal 48 3" xfId="842" xr:uid="{00000000-0005-0000-0000-00007A030000}"/>
    <cellStyle name="Normal 48 4" xfId="843" xr:uid="{00000000-0005-0000-0000-00007B030000}"/>
    <cellStyle name="Normal 48 5" xfId="844" xr:uid="{00000000-0005-0000-0000-00007C030000}"/>
    <cellStyle name="Normal 49 2" xfId="845" xr:uid="{00000000-0005-0000-0000-00007D030000}"/>
    <cellStyle name="Normal 5" xfId="846" xr:uid="{00000000-0005-0000-0000-00007E030000}"/>
    <cellStyle name="Normal 5 10" xfId="847" xr:uid="{00000000-0005-0000-0000-00007F030000}"/>
    <cellStyle name="Normal 5 10 10" xfId="848" xr:uid="{00000000-0005-0000-0000-000080030000}"/>
    <cellStyle name="Normal 5 10 11" xfId="849" xr:uid="{00000000-0005-0000-0000-000081030000}"/>
    <cellStyle name="Normal 5 10 12" xfId="850" xr:uid="{00000000-0005-0000-0000-000082030000}"/>
    <cellStyle name="Normal 5 10 13" xfId="851" xr:uid="{00000000-0005-0000-0000-000083030000}"/>
    <cellStyle name="Normal 5 10 14" xfId="852" xr:uid="{00000000-0005-0000-0000-000084030000}"/>
    <cellStyle name="Normal 5 10 15" xfId="853" xr:uid="{00000000-0005-0000-0000-000085030000}"/>
    <cellStyle name="Normal 5 10 16" xfId="854" xr:uid="{00000000-0005-0000-0000-000086030000}"/>
    <cellStyle name="Normal 5 10 2" xfId="855" xr:uid="{00000000-0005-0000-0000-000087030000}"/>
    <cellStyle name="Normal 5 10 3" xfId="856" xr:uid="{00000000-0005-0000-0000-000088030000}"/>
    <cellStyle name="Normal 5 10 4" xfId="857" xr:uid="{00000000-0005-0000-0000-000089030000}"/>
    <cellStyle name="Normal 5 10 5" xfId="858" xr:uid="{00000000-0005-0000-0000-00008A030000}"/>
    <cellStyle name="Normal 5 10 6" xfId="859" xr:uid="{00000000-0005-0000-0000-00008B030000}"/>
    <cellStyle name="Normal 5 10 7" xfId="860" xr:uid="{00000000-0005-0000-0000-00008C030000}"/>
    <cellStyle name="Normal 5 10 8" xfId="861" xr:uid="{00000000-0005-0000-0000-00008D030000}"/>
    <cellStyle name="Normal 5 10 9" xfId="862" xr:uid="{00000000-0005-0000-0000-00008E030000}"/>
    <cellStyle name="Normal 5 11" xfId="863" xr:uid="{00000000-0005-0000-0000-00008F030000}"/>
    <cellStyle name="Normal 5 12" xfId="864" xr:uid="{00000000-0005-0000-0000-000090030000}"/>
    <cellStyle name="Normal 5 13" xfId="865" xr:uid="{00000000-0005-0000-0000-000091030000}"/>
    <cellStyle name="Normal 5 14" xfId="866" xr:uid="{00000000-0005-0000-0000-000092030000}"/>
    <cellStyle name="Normal 5 2" xfId="867" xr:uid="{00000000-0005-0000-0000-000093030000}"/>
    <cellStyle name="Normal 5 3" xfId="868" xr:uid="{00000000-0005-0000-0000-000094030000}"/>
    <cellStyle name="Normal 5 4" xfId="869" xr:uid="{00000000-0005-0000-0000-000095030000}"/>
    <cellStyle name="Normal 5 5" xfId="870" xr:uid="{00000000-0005-0000-0000-000096030000}"/>
    <cellStyle name="Normal 5 6" xfId="871" xr:uid="{00000000-0005-0000-0000-000097030000}"/>
    <cellStyle name="Normal 5 7" xfId="872" xr:uid="{00000000-0005-0000-0000-000098030000}"/>
    <cellStyle name="Normal 5 8" xfId="873" xr:uid="{00000000-0005-0000-0000-000099030000}"/>
    <cellStyle name="Normal 5 9" xfId="874" xr:uid="{00000000-0005-0000-0000-00009A030000}"/>
    <cellStyle name="Normal 5_Mkt Sgmt Report" xfId="875" xr:uid="{00000000-0005-0000-0000-00009B030000}"/>
    <cellStyle name="Normal 6" xfId="876" xr:uid="{00000000-0005-0000-0000-00009C030000}"/>
    <cellStyle name="Normal 6 2" xfId="877" xr:uid="{00000000-0005-0000-0000-00009D030000}"/>
    <cellStyle name="Normal 6 3" xfId="878" xr:uid="{00000000-0005-0000-0000-00009E030000}"/>
    <cellStyle name="Normal 6 4" xfId="879" xr:uid="{00000000-0005-0000-0000-00009F030000}"/>
    <cellStyle name="Normal 6 5" xfId="880" xr:uid="{00000000-0005-0000-0000-0000A0030000}"/>
    <cellStyle name="Normal 6 6" xfId="881" xr:uid="{00000000-0005-0000-0000-0000A1030000}"/>
    <cellStyle name="Normal 6 7" xfId="882" xr:uid="{00000000-0005-0000-0000-0000A2030000}"/>
    <cellStyle name="Normal 6 8" xfId="883" xr:uid="{00000000-0005-0000-0000-0000A3030000}"/>
    <cellStyle name="Normal 6 9" xfId="884" xr:uid="{00000000-0005-0000-0000-0000A4030000}"/>
    <cellStyle name="Normal 7" xfId="885" xr:uid="{00000000-0005-0000-0000-0000A5030000}"/>
    <cellStyle name="Normal 7 2" xfId="886" xr:uid="{00000000-0005-0000-0000-0000A6030000}"/>
    <cellStyle name="Normal 7 2 2" xfId="887" xr:uid="{00000000-0005-0000-0000-0000A7030000}"/>
    <cellStyle name="Normal 7 3" xfId="888" xr:uid="{00000000-0005-0000-0000-0000A8030000}"/>
    <cellStyle name="Normal 7 4" xfId="889" xr:uid="{00000000-0005-0000-0000-0000A9030000}"/>
    <cellStyle name="Normal 7 5" xfId="890" xr:uid="{00000000-0005-0000-0000-0000AA030000}"/>
    <cellStyle name="Normal 7 6" xfId="891" xr:uid="{00000000-0005-0000-0000-0000AB030000}"/>
    <cellStyle name="Normal 7 7" xfId="892" xr:uid="{00000000-0005-0000-0000-0000AC030000}"/>
    <cellStyle name="Normal 7 8" xfId="893" xr:uid="{00000000-0005-0000-0000-0000AD030000}"/>
    <cellStyle name="Normal 7 9" xfId="894" xr:uid="{00000000-0005-0000-0000-0000AE030000}"/>
    <cellStyle name="Normal 8" xfId="895" xr:uid="{00000000-0005-0000-0000-0000AF030000}"/>
    <cellStyle name="Normal 8 2" xfId="896" xr:uid="{00000000-0005-0000-0000-0000B0030000}"/>
    <cellStyle name="Normal 8 3" xfId="897" xr:uid="{00000000-0005-0000-0000-0000B1030000}"/>
    <cellStyle name="Normal 8 4" xfId="898" xr:uid="{00000000-0005-0000-0000-0000B2030000}"/>
    <cellStyle name="Normal 8 5" xfId="899" xr:uid="{00000000-0005-0000-0000-0000B3030000}"/>
    <cellStyle name="Normal 8 6" xfId="900" xr:uid="{00000000-0005-0000-0000-0000B4030000}"/>
    <cellStyle name="Normal 8 7" xfId="901" xr:uid="{00000000-0005-0000-0000-0000B5030000}"/>
    <cellStyle name="Normal 8 8" xfId="902" xr:uid="{00000000-0005-0000-0000-0000B6030000}"/>
    <cellStyle name="Normal 8 9" xfId="903" xr:uid="{00000000-0005-0000-0000-0000B7030000}"/>
    <cellStyle name="Normal 9" xfId="904" xr:uid="{00000000-0005-0000-0000-0000B8030000}"/>
    <cellStyle name="Normal_PAC_S&amp;M_PLAN" xfId="4" xr:uid="{00000000-0005-0000-0000-0000B9030000}"/>
    <cellStyle name="Note 2" xfId="905" xr:uid="{00000000-0005-0000-0000-0000BA030000}"/>
    <cellStyle name="Note 2 2" xfId="996" xr:uid="{00000000-0005-0000-0000-0000BB030000}"/>
    <cellStyle name="Note 2 3" xfId="995" xr:uid="{00000000-0005-0000-0000-0000BC030000}"/>
    <cellStyle name="Note 3" xfId="906" xr:uid="{00000000-0005-0000-0000-0000BD030000}"/>
    <cellStyle name="Note 3 2" xfId="998" xr:uid="{00000000-0005-0000-0000-0000BE030000}"/>
    <cellStyle name="Note 3 3" xfId="997" xr:uid="{00000000-0005-0000-0000-0000BF030000}"/>
    <cellStyle name="number" xfId="907" xr:uid="{00000000-0005-0000-0000-0000C0030000}"/>
    <cellStyle name="Output" xfId="1024" builtinId="21" customBuiltin="1"/>
    <cellStyle name="Output 2" xfId="999" xr:uid="{00000000-0005-0000-0000-0000C1030000}"/>
    <cellStyle name="Percent" xfId="2" builtinId="5"/>
    <cellStyle name="Percent [0]" xfId="908" xr:uid="{00000000-0005-0000-0000-0000C3030000}"/>
    <cellStyle name="Percent [00]" xfId="909" xr:uid="{00000000-0005-0000-0000-0000C4030000}"/>
    <cellStyle name="Percent 10" xfId="910" xr:uid="{00000000-0005-0000-0000-0000C5030000}"/>
    <cellStyle name="Percent 11" xfId="1000" xr:uid="{00000000-0005-0000-0000-0000C6030000}"/>
    <cellStyle name="Percent 12" xfId="1006" xr:uid="{00000000-0005-0000-0000-0000C7030000}"/>
    <cellStyle name="Percent 13" xfId="991" xr:uid="{00000000-0005-0000-0000-0000C8030000}"/>
    <cellStyle name="Percent 14" xfId="1007" xr:uid="{00000000-0005-0000-0000-0000C9030000}"/>
    <cellStyle name="Percent 15" xfId="1014" xr:uid="{00000000-0005-0000-0000-0000CA030000}"/>
    <cellStyle name="Percent 16" xfId="992" xr:uid="{00000000-0005-0000-0000-0000CB030000}"/>
    <cellStyle name="Percent 17" xfId="1015" xr:uid="{00000000-0005-0000-0000-0000CC030000}"/>
    <cellStyle name="Percent 18" xfId="988" xr:uid="{00000000-0005-0000-0000-0000CD030000}"/>
    <cellStyle name="Percent 19" xfId="1016" xr:uid="{00000000-0005-0000-0000-0000CE030000}"/>
    <cellStyle name="Percent 2" xfId="911" xr:uid="{00000000-0005-0000-0000-0000CF030000}"/>
    <cellStyle name="Percent 2 2" xfId="1053" xr:uid="{C9E2EC94-40E9-4E3B-9888-65F07CD13007}"/>
    <cellStyle name="Percent 20" xfId="1017" xr:uid="{00000000-0005-0000-0000-0000D0030000}"/>
    <cellStyle name="Percent 21" xfId="1019" xr:uid="{00000000-0005-0000-0000-0000D1030000}"/>
    <cellStyle name="Percent 3" xfId="912" xr:uid="{00000000-0005-0000-0000-0000D2030000}"/>
    <cellStyle name="Percent 4" xfId="913" xr:uid="{00000000-0005-0000-0000-0000D3030000}"/>
    <cellStyle name="Percent 5" xfId="914" xr:uid="{00000000-0005-0000-0000-0000D4030000}"/>
    <cellStyle name="Percent 5 2" xfId="915" xr:uid="{00000000-0005-0000-0000-0000D5030000}"/>
    <cellStyle name="Percent 5 3" xfId="916" xr:uid="{00000000-0005-0000-0000-0000D6030000}"/>
    <cellStyle name="Percent 5 4" xfId="917" xr:uid="{00000000-0005-0000-0000-0000D7030000}"/>
    <cellStyle name="Percent 5 5" xfId="918" xr:uid="{00000000-0005-0000-0000-0000D8030000}"/>
    <cellStyle name="Percent 6" xfId="919" xr:uid="{00000000-0005-0000-0000-0000D9030000}"/>
    <cellStyle name="Percent 6 2" xfId="920" xr:uid="{00000000-0005-0000-0000-0000DA030000}"/>
    <cellStyle name="Percent 6 2 2" xfId="921" xr:uid="{00000000-0005-0000-0000-0000DB030000}"/>
    <cellStyle name="Percent 6 2 3" xfId="922" xr:uid="{00000000-0005-0000-0000-0000DC030000}"/>
    <cellStyle name="Percent 6 2 4" xfId="923" xr:uid="{00000000-0005-0000-0000-0000DD030000}"/>
    <cellStyle name="Percent 6 2 5" xfId="924" xr:uid="{00000000-0005-0000-0000-0000DE030000}"/>
    <cellStyle name="Percent 6 3" xfId="925" xr:uid="{00000000-0005-0000-0000-0000DF030000}"/>
    <cellStyle name="Percent 6 4" xfId="926" xr:uid="{00000000-0005-0000-0000-0000E0030000}"/>
    <cellStyle name="Percent 6 5" xfId="927" xr:uid="{00000000-0005-0000-0000-0000E1030000}"/>
    <cellStyle name="Percent 6 6" xfId="928" xr:uid="{00000000-0005-0000-0000-0000E2030000}"/>
    <cellStyle name="Percent 7" xfId="929" xr:uid="{00000000-0005-0000-0000-0000E3030000}"/>
    <cellStyle name="Percent 8" xfId="930" xr:uid="{00000000-0005-0000-0000-0000E4030000}"/>
    <cellStyle name="Percent 9" xfId="931" xr:uid="{00000000-0005-0000-0000-0000E5030000}"/>
    <cellStyle name="PERCENTAGE" xfId="932" xr:uid="{00000000-0005-0000-0000-0000E6030000}"/>
    <cellStyle name="PrePop Currency (0)" xfId="933" xr:uid="{00000000-0005-0000-0000-0000E7030000}"/>
    <cellStyle name="PrePop Currency (2)" xfId="934" xr:uid="{00000000-0005-0000-0000-0000E8030000}"/>
    <cellStyle name="PrePop Units (0)" xfId="935" xr:uid="{00000000-0005-0000-0000-0000E9030000}"/>
    <cellStyle name="PrePop Units (1)" xfId="936" xr:uid="{00000000-0005-0000-0000-0000EA030000}"/>
    <cellStyle name="PrePop Units (2)" xfId="937" xr:uid="{00000000-0005-0000-0000-0000EB030000}"/>
    <cellStyle name="Report" xfId="938" xr:uid="{00000000-0005-0000-0000-0000EC030000}"/>
    <cellStyle name="Section" xfId="939" xr:uid="{00000000-0005-0000-0000-0000ED030000}"/>
    <cellStyle name="Section1" xfId="940" xr:uid="{00000000-0005-0000-0000-0000EE030000}"/>
    <cellStyle name="Section2" xfId="941" xr:uid="{00000000-0005-0000-0000-0000EF030000}"/>
    <cellStyle name="Sub1" xfId="942" xr:uid="{00000000-0005-0000-0000-0000F0030000}"/>
    <cellStyle name="Sub2" xfId="943" xr:uid="{00000000-0005-0000-0000-0000F1030000}"/>
    <cellStyle name="Sub-total" xfId="944" xr:uid="{00000000-0005-0000-0000-0000F2030000}"/>
    <cellStyle name="Text Indent A" xfId="945" xr:uid="{00000000-0005-0000-0000-0000F3030000}"/>
    <cellStyle name="Text Indent A 2" xfId="946" xr:uid="{00000000-0005-0000-0000-0000F4030000}"/>
    <cellStyle name="Text Indent A 3" xfId="947" xr:uid="{00000000-0005-0000-0000-0000F5030000}"/>
    <cellStyle name="Text Indent A 4" xfId="948" xr:uid="{00000000-0005-0000-0000-0000F6030000}"/>
    <cellStyle name="Text Indent A 5" xfId="949" xr:uid="{00000000-0005-0000-0000-0000F7030000}"/>
    <cellStyle name="Text Indent B" xfId="950" xr:uid="{00000000-0005-0000-0000-0000F8030000}"/>
    <cellStyle name="Text Indent C" xfId="951" xr:uid="{00000000-0005-0000-0000-0000F9030000}"/>
    <cellStyle name="Title" xfId="952" builtinId="15" customBuiltin="1"/>
    <cellStyle name="Total" xfId="1030" builtinId="25" customBuiltin="1"/>
    <cellStyle name="Total 2" xfId="1001" xr:uid="{00000000-0005-0000-0000-0000FB030000}"/>
    <cellStyle name="Warning Text" xfId="1028" builtinId="11" customBuiltin="1"/>
    <cellStyle name="Warning Text 2" xfId="1002" xr:uid="{00000000-0005-0000-0000-0000FC03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47" Type="http://schemas.microsoft.com/office/2017/10/relationships/person" Target="persons/perso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2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'KPI''s Graphs'!$C$3</c:f>
              <c:strCache>
                <c:ptCount val="1"/>
                <c:pt idx="0">
                  <c:v>Occupancy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'KPI''s Graphs'!$D$2:$H$2</c:f>
              <c:strCache>
                <c:ptCount val="5"/>
                <c:pt idx="0">
                  <c:v>18/19</c:v>
                </c:pt>
                <c:pt idx="1">
                  <c:v>19/20</c:v>
                </c:pt>
                <c:pt idx="2">
                  <c:v>20/21</c:v>
                </c:pt>
                <c:pt idx="3">
                  <c:v>21/22</c:v>
                </c:pt>
                <c:pt idx="4">
                  <c:v>22/23</c:v>
                </c:pt>
              </c:strCache>
            </c:strRef>
          </c:cat>
          <c:val>
            <c:numRef>
              <c:f>'KPI''s Graphs'!$D$3:$H$3</c:f>
              <c:numCache>
                <c:formatCode>0%</c:formatCode>
                <c:ptCount val="5"/>
                <c:pt idx="0">
                  <c:v>0.64107821475916926</c:v>
                </c:pt>
                <c:pt idx="1">
                  <c:v>0.45623127093248722</c:v>
                </c:pt>
                <c:pt idx="2">
                  <c:v>0.23736999823726423</c:v>
                </c:pt>
                <c:pt idx="3">
                  <c:v>0.55441780821917808</c:v>
                </c:pt>
                <c:pt idx="4">
                  <c:v>0.64371575342465759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0-497F-8A19-4AB0864A0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31701296"/>
        <c:axId val="831703792"/>
      </c:barChart>
      <c:lineChart>
        <c:grouping val="standard"/>
        <c:varyColors val="0"/>
        <c:ser>
          <c:idx val="1"/>
          <c:order val="1"/>
          <c:tx>
            <c:strRef>
              <c:f>'KPI''s Graphs'!$C$4</c:f>
              <c:strCache>
                <c:ptCount val="1"/>
                <c:pt idx="0">
                  <c:v>Average Rate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'KPI''s Graphs'!$D$2:$H$2</c:f>
              <c:strCache>
                <c:ptCount val="5"/>
                <c:pt idx="0">
                  <c:v>18/19</c:v>
                </c:pt>
                <c:pt idx="1">
                  <c:v>19/20</c:v>
                </c:pt>
                <c:pt idx="2">
                  <c:v>20/21</c:v>
                </c:pt>
                <c:pt idx="3">
                  <c:v>21/22</c:v>
                </c:pt>
                <c:pt idx="4">
                  <c:v>22/23</c:v>
                </c:pt>
              </c:strCache>
            </c:strRef>
          </c:cat>
          <c:val>
            <c:numRef>
              <c:f>'KPI''s Graphs'!$D$4:$H$4</c:f>
              <c:numCache>
                <c:formatCode>_(* #,##0_);_(* \(#,##0\);_(* "-"??_);_(@_)</c:formatCode>
                <c:ptCount val="5"/>
                <c:pt idx="0">
                  <c:v>1519.0369030482641</c:v>
                </c:pt>
                <c:pt idx="1">
                  <c:v>1847.5061405610077</c:v>
                </c:pt>
                <c:pt idx="2">
                  <c:v>1222.0293509579681</c:v>
                </c:pt>
                <c:pt idx="3">
                  <c:v>1583.06275866329</c:v>
                </c:pt>
                <c:pt idx="4">
                  <c:v>1653.7065432370205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90-497F-8A19-4AB0864A0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317696"/>
        <c:axId val="1461306880"/>
      </c:lineChart>
      <c:catAx>
        <c:axId val="83170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703792"/>
        <c:crosses val="autoZero"/>
        <c:auto val="1"/>
        <c:lblAlgn val="ctr"/>
        <c:lblOffset val="100"/>
        <c:noMultiLvlLbl val="0"/>
      </c:catAx>
      <c:valAx>
        <c:axId val="83170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701296"/>
        <c:crosses val="autoZero"/>
        <c:crossBetween val="between"/>
      </c:valAx>
      <c:valAx>
        <c:axId val="1461306880"/>
        <c:scaling>
          <c:orientation val="minMax"/>
        </c:scaling>
        <c:delete val="0"/>
        <c:axPos val="r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317696"/>
        <c:crosses val="max"/>
        <c:crossBetween val="between"/>
      </c:valAx>
      <c:catAx>
        <c:axId val="14613176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61306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Key</a:t>
            </a:r>
            <a:r>
              <a:rPr lang="en-ZA" baseline="0"/>
              <a:t> Performance Indicators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'KPI''s Graphs'!$C$3</c:f>
              <c:strCache>
                <c:ptCount val="1"/>
                <c:pt idx="0">
                  <c:v>Occupancy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'KPI''s Graphs'!$D$2:$H$2</c:f>
              <c:strCache>
                <c:ptCount val="5"/>
                <c:pt idx="0">
                  <c:v>18/19</c:v>
                </c:pt>
                <c:pt idx="1">
                  <c:v>19/20</c:v>
                </c:pt>
                <c:pt idx="2">
                  <c:v>20/21</c:v>
                </c:pt>
                <c:pt idx="3">
                  <c:v>21/22</c:v>
                </c:pt>
                <c:pt idx="4">
                  <c:v>22/23</c:v>
                </c:pt>
              </c:strCache>
            </c:strRef>
          </c:cat>
          <c:val>
            <c:numRef>
              <c:f>'KPI''s Graphs'!$D$3:$H$3</c:f>
              <c:numCache>
                <c:formatCode>0%</c:formatCode>
                <c:ptCount val="5"/>
                <c:pt idx="0">
                  <c:v>0.64107821475916926</c:v>
                </c:pt>
                <c:pt idx="1">
                  <c:v>0.45623127093248722</c:v>
                </c:pt>
                <c:pt idx="2">
                  <c:v>0.23736999823726423</c:v>
                </c:pt>
                <c:pt idx="3">
                  <c:v>0.55441780821917808</c:v>
                </c:pt>
                <c:pt idx="4">
                  <c:v>0.64371575342465759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FB-437F-A577-3BFC9465A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55069776"/>
        <c:axId val="755070608"/>
      </c:barChart>
      <c:lineChart>
        <c:grouping val="standard"/>
        <c:varyColors val="0"/>
        <c:ser>
          <c:idx val="1"/>
          <c:order val="1"/>
          <c:tx>
            <c:strRef>
              <c:f>'KPI''s Graphs'!$C$4</c:f>
              <c:strCache>
                <c:ptCount val="1"/>
                <c:pt idx="0">
                  <c:v>Average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'KPI''s Graphs'!$D$2:$H$2</c:f>
              <c:strCache>
                <c:ptCount val="5"/>
                <c:pt idx="0">
                  <c:v>18/19</c:v>
                </c:pt>
                <c:pt idx="1">
                  <c:v>19/20</c:v>
                </c:pt>
                <c:pt idx="2">
                  <c:v>20/21</c:v>
                </c:pt>
                <c:pt idx="3">
                  <c:v>21/22</c:v>
                </c:pt>
                <c:pt idx="4">
                  <c:v>22/23</c:v>
                </c:pt>
              </c:strCache>
            </c:strRef>
          </c:cat>
          <c:val>
            <c:numRef>
              <c:f>'KPI''s Graphs'!$D$4:$H$4</c:f>
              <c:numCache>
                <c:formatCode>_(* #,##0_);_(* \(#,##0\);_(* "-"??_);_(@_)</c:formatCode>
                <c:ptCount val="5"/>
                <c:pt idx="0">
                  <c:v>1519.0369030482641</c:v>
                </c:pt>
                <c:pt idx="1">
                  <c:v>1847.5061405610077</c:v>
                </c:pt>
                <c:pt idx="2">
                  <c:v>1222.0293509579681</c:v>
                </c:pt>
                <c:pt idx="3">
                  <c:v>1583.06275866329</c:v>
                </c:pt>
                <c:pt idx="4">
                  <c:v>1653.7065432370205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FB-437F-A577-3BFC9465A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281680"/>
        <c:axId val="1465355472"/>
      </c:lineChart>
      <c:catAx>
        <c:axId val="75506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070608"/>
        <c:crosses val="autoZero"/>
        <c:auto val="1"/>
        <c:lblAlgn val="ctr"/>
        <c:lblOffset val="100"/>
        <c:noMultiLvlLbl val="0"/>
      </c:catAx>
      <c:valAx>
        <c:axId val="75507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069776"/>
        <c:crosses val="autoZero"/>
        <c:crossBetween val="between"/>
      </c:valAx>
      <c:valAx>
        <c:axId val="1465355472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281680"/>
        <c:crosses val="max"/>
        <c:crossBetween val="between"/>
      </c:valAx>
      <c:catAx>
        <c:axId val="827281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5355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'Business Mix Graphs'!$B$3</c:f>
              <c:strCache>
                <c:ptCount val="1"/>
                <c:pt idx="0">
                  <c:v>2021 / 2022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02-44DD-8E23-24DDAEE340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02-44DD-8E23-24DDAEE340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902-44DD-8E23-24DDAEE34021}"/>
              </c:ext>
            </c:extLst>
          </c:dPt>
          <c:cat>
            <c:strRef>
              <c:f>'Business Mix Graphs'!$A$4:$A$6</c:f>
              <c:strCache>
                <c:ptCount val="3"/>
                <c:pt idx="0">
                  <c:v>Direct</c:v>
                </c:pt>
                <c:pt idx="1">
                  <c:v>STO</c:v>
                </c:pt>
                <c:pt idx="2">
                  <c:v>Meetings</c:v>
                </c:pt>
              </c:strCache>
            </c:strRef>
          </c:cat>
          <c:val>
            <c:numRef>
              <c:f>'Business Mix Graphs'!$B$4:$B$6</c:f>
              <c:numCache>
                <c:formatCode>0%</c:formatCode>
                <c:ptCount val="3"/>
                <c:pt idx="0">
                  <c:v>0.69</c:v>
                </c:pt>
                <c:pt idx="1">
                  <c:v>0.11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15-4267-861E-9AE2D2144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'Business Mix Graphs'!$E$3</c:f>
              <c:strCache>
                <c:ptCount val="1"/>
                <c:pt idx="0">
                  <c:v>2022 / 2023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A1-4506-977F-8335F02EEA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A1-4506-977F-8335F02EEA7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A1-4506-977F-8335F02EEA7B}"/>
              </c:ext>
            </c:extLst>
          </c:dPt>
          <c:cat>
            <c:strRef>
              <c:f>'Business Mix Graphs'!$D$4:$D$6</c:f>
              <c:strCache>
                <c:ptCount val="3"/>
                <c:pt idx="0">
                  <c:v>Direct</c:v>
                </c:pt>
                <c:pt idx="1">
                  <c:v>STO</c:v>
                </c:pt>
                <c:pt idx="2">
                  <c:v>Meetings</c:v>
                </c:pt>
              </c:strCache>
            </c:strRef>
          </c:cat>
          <c:val>
            <c:numRef>
              <c:f>'Business Mix Graphs'!$E$4:$E$6</c:f>
              <c:numCache>
                <c:formatCode>0%</c:formatCode>
                <c:ptCount val="3"/>
                <c:pt idx="0">
                  <c:v>0.56999999999999995</c:v>
                </c:pt>
                <c:pt idx="1">
                  <c:v>0.13</c:v>
                </c:pt>
                <c:pt idx="2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24-4D0B-8AC9-5D1B722E5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'Business Mix Graphs'!$S$3</c:f>
              <c:strCache>
                <c:ptCount val="1"/>
                <c:pt idx="0">
                  <c:v>2018 / 2019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A4-40D0-B040-C5546A7550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A4-40D0-B040-C5546A75505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A4-40D0-B040-C5546A75505D}"/>
              </c:ext>
            </c:extLst>
          </c:dPt>
          <c:cat>
            <c:strRef>
              <c:f>'Business Mix Graphs'!$R$4:$R$6</c:f>
              <c:strCache>
                <c:ptCount val="3"/>
                <c:pt idx="0">
                  <c:v>Direct</c:v>
                </c:pt>
                <c:pt idx="1">
                  <c:v>STO</c:v>
                </c:pt>
                <c:pt idx="2">
                  <c:v>Meetings</c:v>
                </c:pt>
              </c:strCache>
            </c:strRef>
          </c:cat>
          <c:val>
            <c:numRef>
              <c:f>'Business Mix Graphs'!$S$4:$S$6</c:f>
              <c:numCache>
                <c:formatCode>0%</c:formatCode>
                <c:ptCount val="3"/>
                <c:pt idx="0">
                  <c:v>0.37</c:v>
                </c:pt>
                <c:pt idx="1">
                  <c:v>0.21</c:v>
                </c:pt>
                <c:pt idx="2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E9-4F7F-BC1A-AB0984F4F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335280</xdr:colOff>
      <xdr:row>4</xdr:row>
      <xdr:rowOff>175260</xdr:rowOff>
    </xdr:from>
    <xdr:to>
      <xdr:col>15</xdr:col>
      <xdr:colOff>30480</xdr:colOff>
      <xdr:row>19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4B45C5-8F8B-CB86-B206-27184D08D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335280</xdr:colOff>
      <xdr:row>4</xdr:row>
      <xdr:rowOff>175260</xdr:rowOff>
    </xdr:from>
    <xdr:to>
      <xdr:col>15</xdr:col>
      <xdr:colOff>30480</xdr:colOff>
      <xdr:row>19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BF73E3-ECFD-5992-6332-946E6C32F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525780</xdr:colOff>
      <xdr:row>7</xdr:row>
      <xdr:rowOff>129540</xdr:rowOff>
    </xdr:from>
    <xdr:to>
      <xdr:col>8</xdr:col>
      <xdr:colOff>99060</xdr:colOff>
      <xdr:row>22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D8089F-A1B2-2280-5FC3-9F6DF6598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281940</xdr:colOff>
      <xdr:row>7</xdr:row>
      <xdr:rowOff>121920</xdr:rowOff>
    </xdr:from>
    <xdr:to>
      <xdr:col>15</xdr:col>
      <xdr:colOff>480060</xdr:colOff>
      <xdr:row>22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BA4D66-C0BB-67B8-2B97-4806E5AD2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45720</xdr:colOff>
      <xdr:row>7</xdr:row>
      <xdr:rowOff>106680</xdr:rowOff>
    </xdr:from>
    <xdr:to>
      <xdr:col>23</xdr:col>
      <xdr:colOff>243840</xdr:colOff>
      <xdr:row>22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6D1278-E445-F105-9951-4EA576EC4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ne&amp;Only%202011%20Revenue/Revenue%20Month%20End%20reports/June%20Month%20End%20Report%20OOCT%20(Template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Revenue\REPORTS\Budget%20Forecast\2020%20I%202021%20Budget%20Documents\Budget%20Summary%202020%20I%202021%2007%20May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"/>
      <sheetName val="Commentary"/>
      <sheetName val="Mkt Sgmt"/>
      <sheetName val="Pick up Summary"/>
      <sheetName val="Pick up by Segment"/>
      <sheetName val="Pick up in Month"/>
      <sheetName val="Strategy OOCT"/>
      <sheetName val="Strategy OOSG-OORR"/>
      <sheetName val="Comp Set"/>
      <sheetName val="Top 10 Client"/>
      <sheetName val="Top Geo"/>
      <sheetName val="Matrix"/>
      <sheetName val="Online"/>
      <sheetName val="MSS"/>
      <sheetName val="Core Product"/>
      <sheetName val="TO Offers-OOSG"/>
      <sheetName val="TO Offers Var-OOSG"/>
      <sheetName val="Room Pool"/>
      <sheetName val="Penthouse"/>
      <sheetName val="Comp&amp;Hse "/>
      <sheetName val="Comp&amp;HSE - Detail"/>
      <sheetName val="3months"/>
      <sheetName val="Sales"/>
      <sheetName val="Outlook_accuracy"/>
      <sheetName val="Sales_strategyM1"/>
      <sheetName val="Sales_strategyM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oom Nights"/>
      <sheetName val="ADR"/>
      <sheetName val="Room Revenue"/>
      <sheetName val="Conference"/>
      <sheetName val="Metrics"/>
      <sheetName val="Conf Room + Conf"/>
      <sheetName val="YW Slides"/>
      <sheetName val="BM"/>
      <sheetName val="KPI's"/>
      <sheetName val="KPI's(2)"/>
      <sheetName val="STR- COMP Set"/>
      <sheetName val="STR - SMC"/>
    </sheetNames>
    <sheetDataSet>
      <sheetData sheetId="0"/>
      <sheetData sheetId="1"/>
      <sheetData sheetId="2"/>
      <sheetData sheetId="3">
        <row r="72">
          <cell r="C72">
            <v>2288003.7600000002</v>
          </cell>
          <cell r="D72">
            <v>2149436.12</v>
          </cell>
          <cell r="E72">
            <v>3147213.77</v>
          </cell>
        </row>
        <row r="73">
          <cell r="C73">
            <v>2390980.46</v>
          </cell>
          <cell r="D73">
            <v>3043477.8800000004</v>
          </cell>
          <cell r="E73">
            <v>3410026.71</v>
          </cell>
        </row>
        <row r="74">
          <cell r="C74">
            <v>1978508.2199999997</v>
          </cell>
          <cell r="D74">
            <v>3376530.95</v>
          </cell>
          <cell r="E74">
            <v>4297783.2199999988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2B120-9F6F-4EB5-8D5F-8BBA5807A98E}">
  <sheetPr codeName="Sheet1"/>
  <dimension ref="B2:Q27"/>
  <sheetViews>
    <sheetView workbookViewId="0">
      <selection activeCell="R15" sqref="R15"/>
    </sheetView>
  </sheetViews>
  <sheetFormatPr defaultColWidth="8.85546875" defaultRowHeight="15" x14ac:dyDescent="0.25"/>
  <cols>
    <col min="1" max="15" width="8.85546875" style="297"/>
    <col min="16" max="16" width="8.85546875" style="714"/>
    <col min="17" max="16384" width="8.85546875" style="297"/>
  </cols>
  <sheetData>
    <row r="2" spans="2:17" ht="15.75" thickBot="1" x14ac:dyDescent="0.3"/>
    <row r="3" spans="2:17" x14ac:dyDescent="0.25">
      <c r="B3" s="700" t="s">
        <v>219</v>
      </c>
      <c r="C3" s="701"/>
      <c r="D3" s="696">
        <v>1071</v>
      </c>
      <c r="E3" s="696">
        <v>1084</v>
      </c>
      <c r="F3" s="696">
        <v>1336</v>
      </c>
      <c r="G3" s="696">
        <v>1737</v>
      </c>
      <c r="H3" s="696">
        <v>1892</v>
      </c>
      <c r="I3" s="696">
        <v>1935.5</v>
      </c>
      <c r="J3" s="696">
        <v>1755</v>
      </c>
      <c r="K3" s="696">
        <v>1836</v>
      </c>
      <c r="L3" s="696">
        <v>1920</v>
      </c>
      <c r="M3" s="696">
        <v>1802</v>
      </c>
      <c r="N3" s="696">
        <v>1262</v>
      </c>
      <c r="O3" s="696">
        <v>1166</v>
      </c>
      <c r="P3" s="715">
        <v>18796.5</v>
      </c>
    </row>
    <row r="4" spans="2:17" x14ac:dyDescent="0.25">
      <c r="B4" s="703" t="s">
        <v>220</v>
      </c>
      <c r="C4" s="704"/>
      <c r="D4" s="697">
        <v>31</v>
      </c>
      <c r="E4" s="697">
        <v>31</v>
      </c>
      <c r="F4" s="697">
        <v>30</v>
      </c>
      <c r="G4" s="697">
        <v>31</v>
      </c>
      <c r="H4" s="697">
        <v>30</v>
      </c>
      <c r="I4" s="697">
        <v>31</v>
      </c>
      <c r="J4" s="697">
        <v>31</v>
      </c>
      <c r="K4" s="697">
        <v>28</v>
      </c>
      <c r="L4" s="697">
        <v>31</v>
      </c>
      <c r="M4" s="697">
        <v>30</v>
      </c>
      <c r="N4" s="697">
        <v>31</v>
      </c>
      <c r="O4" s="697">
        <v>30</v>
      </c>
      <c r="P4" s="716">
        <v>365</v>
      </c>
    </row>
    <row r="5" spans="2:17" x14ac:dyDescent="0.25">
      <c r="B5" s="703" t="s">
        <v>221</v>
      </c>
      <c r="C5" s="704"/>
      <c r="D5" s="697">
        <v>2480</v>
      </c>
      <c r="E5" s="697">
        <v>2480</v>
      </c>
      <c r="F5" s="697">
        <v>2400</v>
      </c>
      <c r="G5" s="697">
        <v>2480</v>
      </c>
      <c r="H5" s="697">
        <v>2400</v>
      </c>
      <c r="I5" s="697">
        <v>2480</v>
      </c>
      <c r="J5" s="697">
        <v>2480</v>
      </c>
      <c r="K5" s="697">
        <v>2240</v>
      </c>
      <c r="L5" s="697">
        <v>2480</v>
      </c>
      <c r="M5" s="697">
        <v>2400</v>
      </c>
      <c r="N5" s="697">
        <v>2480</v>
      </c>
      <c r="O5" s="697">
        <v>2400</v>
      </c>
      <c r="P5" s="716">
        <v>29200</v>
      </c>
    </row>
    <row r="6" spans="2:17" x14ac:dyDescent="0.25">
      <c r="B6" s="703" t="s">
        <v>208</v>
      </c>
      <c r="C6" s="704"/>
      <c r="D6" s="698">
        <v>0.43185483870967745</v>
      </c>
      <c r="E6" s="698">
        <v>0.43709677419354837</v>
      </c>
      <c r="F6" s="698">
        <v>0.55666666666666664</v>
      </c>
      <c r="G6" s="698">
        <v>0.70040322580645165</v>
      </c>
      <c r="H6" s="698">
        <v>0.78833333333333333</v>
      </c>
      <c r="I6" s="698">
        <v>0.78044354838709673</v>
      </c>
      <c r="J6" s="698">
        <v>0.70766129032258063</v>
      </c>
      <c r="K6" s="698">
        <v>0.81964285714285712</v>
      </c>
      <c r="L6" s="698">
        <v>0.77419354838709675</v>
      </c>
      <c r="M6" s="698">
        <v>0.75083333333333335</v>
      </c>
      <c r="N6" s="698">
        <v>0.50887096774193552</v>
      </c>
      <c r="O6" s="698">
        <v>0.48583333333333334</v>
      </c>
      <c r="P6" s="717">
        <v>0.64371575342465759</v>
      </c>
    </row>
    <row r="7" spans="2:17" x14ac:dyDescent="0.25">
      <c r="B7" s="703" t="s">
        <v>222</v>
      </c>
      <c r="C7" s="704"/>
      <c r="D7" s="697">
        <v>1281.526242625444</v>
      </c>
      <c r="E7" s="697">
        <v>1327.8493160692315</v>
      </c>
      <c r="F7" s="697">
        <v>1296.0793889170759</v>
      </c>
      <c r="G7" s="697">
        <v>1596.0282914284276</v>
      </c>
      <c r="H7" s="697">
        <v>1823.8325935033167</v>
      </c>
      <c r="I7" s="697">
        <v>2069.4168880327388</v>
      </c>
      <c r="J7" s="697">
        <v>1789.9399109546951</v>
      </c>
      <c r="K7" s="697">
        <v>2048.4757191040303</v>
      </c>
      <c r="L7" s="697">
        <v>1907.6065355533856</v>
      </c>
      <c r="M7" s="697">
        <v>1566.0890194228634</v>
      </c>
      <c r="N7" s="697">
        <v>1206.8193707958276</v>
      </c>
      <c r="O7" s="697">
        <v>1202.4287691049742</v>
      </c>
      <c r="P7" s="716">
        <v>1653.7065432370202</v>
      </c>
    </row>
    <row r="8" spans="2:17" ht="15.75" thickBot="1" x14ac:dyDescent="0.3">
      <c r="B8" s="705" t="s">
        <v>223</v>
      </c>
      <c r="C8" s="706"/>
      <c r="D8" s="707">
        <v>553.43330881123006</v>
      </c>
      <c r="E8" s="707">
        <v>580.3986526689705</v>
      </c>
      <c r="F8" s="707">
        <v>721.48419316383888</v>
      </c>
      <c r="G8" s="707">
        <v>1117.8633637948301</v>
      </c>
      <c r="H8" s="707">
        <v>1437.788027878448</v>
      </c>
      <c r="I8" s="707">
        <v>1615.063059188454</v>
      </c>
      <c r="J8" s="707">
        <v>1266.6711869860844</v>
      </c>
      <c r="K8" s="707">
        <v>1679.0184911941963</v>
      </c>
      <c r="L8" s="707">
        <v>1476.8566726864919</v>
      </c>
      <c r="M8" s="707">
        <v>1175.8718387499998</v>
      </c>
      <c r="N8" s="707">
        <v>614.11534110658647</v>
      </c>
      <c r="O8" s="707">
        <v>584.17997699016667</v>
      </c>
      <c r="P8" s="718">
        <v>1064.5169534231045</v>
      </c>
    </row>
    <row r="9" spans="2:17" ht="15.75" thickBot="1" x14ac:dyDescent="0.3"/>
    <row r="10" spans="2:17" x14ac:dyDescent="0.25">
      <c r="B10" s="700" t="s">
        <v>219</v>
      </c>
      <c r="C10" s="701"/>
      <c r="D10" s="708">
        <v>1071</v>
      </c>
      <c r="E10" s="708">
        <v>1084</v>
      </c>
      <c r="F10" s="708">
        <v>1336</v>
      </c>
      <c r="G10" s="708">
        <v>1737</v>
      </c>
      <c r="H10" s="708">
        <v>1892</v>
      </c>
      <c r="I10" s="708">
        <v>1935.5</v>
      </c>
      <c r="J10" s="708">
        <v>1755</v>
      </c>
      <c r="K10" s="708">
        <v>1836</v>
      </c>
      <c r="L10" s="708">
        <v>0</v>
      </c>
      <c r="M10" s="708">
        <v>0</v>
      </c>
      <c r="N10" s="708">
        <v>0</v>
      </c>
      <c r="O10" s="708">
        <v>0</v>
      </c>
      <c r="P10" s="719">
        <v>12646.5</v>
      </c>
    </row>
    <row r="11" spans="2:17" x14ac:dyDescent="0.25">
      <c r="B11" s="703" t="s">
        <v>220</v>
      </c>
      <c r="C11" s="704"/>
      <c r="D11" s="702">
        <v>31</v>
      </c>
      <c r="E11" s="702">
        <v>31</v>
      </c>
      <c r="F11" s="702">
        <v>30</v>
      </c>
      <c r="G11" s="702">
        <v>31</v>
      </c>
      <c r="H11" s="702">
        <v>30</v>
      </c>
      <c r="I11" s="702">
        <v>31</v>
      </c>
      <c r="J11" s="702">
        <v>31</v>
      </c>
      <c r="K11" s="702">
        <v>28</v>
      </c>
      <c r="L11" s="702">
        <v>31</v>
      </c>
      <c r="M11" s="702">
        <v>30</v>
      </c>
      <c r="N11" s="702">
        <v>31</v>
      </c>
      <c r="O11" s="702">
        <v>30</v>
      </c>
      <c r="P11" s="720">
        <v>365</v>
      </c>
    </row>
    <row r="12" spans="2:17" x14ac:dyDescent="0.25">
      <c r="B12" s="703" t="s">
        <v>221</v>
      </c>
      <c r="C12" s="704"/>
      <c r="D12" s="702">
        <v>2480</v>
      </c>
      <c r="E12" s="702">
        <v>2480</v>
      </c>
      <c r="F12" s="702">
        <v>2400</v>
      </c>
      <c r="G12" s="702">
        <v>2480</v>
      </c>
      <c r="H12" s="702">
        <v>2400</v>
      </c>
      <c r="I12" s="702">
        <v>2480</v>
      </c>
      <c r="J12" s="702">
        <v>2480</v>
      </c>
      <c r="K12" s="702">
        <v>2240</v>
      </c>
      <c r="L12" s="702">
        <v>2480</v>
      </c>
      <c r="M12" s="702">
        <v>2400</v>
      </c>
      <c r="N12" s="702">
        <v>2480</v>
      </c>
      <c r="O12" s="702">
        <v>2400</v>
      </c>
      <c r="P12" s="720">
        <v>29200</v>
      </c>
      <c r="Q12" s="739"/>
    </row>
    <row r="13" spans="2:17" x14ac:dyDescent="0.25">
      <c r="B13" s="703" t="s">
        <v>208</v>
      </c>
      <c r="C13" s="704"/>
      <c r="D13" s="698">
        <v>0.43185483870967745</v>
      </c>
      <c r="E13" s="698">
        <v>0.43709677419354837</v>
      </c>
      <c r="F13" s="698">
        <v>0.55666666666666664</v>
      </c>
      <c r="G13" s="698">
        <v>0.70040322580645165</v>
      </c>
      <c r="H13" s="698">
        <v>0.78833333333333333</v>
      </c>
      <c r="I13" s="698">
        <v>0.78044354838709673</v>
      </c>
      <c r="J13" s="698">
        <v>0.70766129032258063</v>
      </c>
      <c r="K13" s="698">
        <v>0.81964285714285712</v>
      </c>
      <c r="L13" s="698">
        <v>0</v>
      </c>
      <c r="M13" s="698">
        <v>0</v>
      </c>
      <c r="N13" s="698">
        <v>0</v>
      </c>
      <c r="O13" s="698">
        <v>0</v>
      </c>
      <c r="P13" s="717">
        <v>0.43309931506849314</v>
      </c>
    </row>
    <row r="14" spans="2:17" x14ac:dyDescent="0.25">
      <c r="B14" s="703" t="s">
        <v>222</v>
      </c>
      <c r="C14" s="704"/>
      <c r="D14" s="702">
        <v>1281.526242625444</v>
      </c>
      <c r="E14" s="702">
        <v>1327.8493160692315</v>
      </c>
      <c r="F14" s="702">
        <v>1296.0793889170759</v>
      </c>
      <c r="G14" s="702">
        <v>1596.0282914284276</v>
      </c>
      <c r="H14" s="702">
        <v>1823.8325935033167</v>
      </c>
      <c r="I14" s="702">
        <v>2069.4168880327388</v>
      </c>
      <c r="J14" s="702">
        <v>1789.9399109546951</v>
      </c>
      <c r="K14" s="702">
        <v>2048.4757191040303</v>
      </c>
      <c r="L14" s="702">
        <v>0</v>
      </c>
      <c r="M14" s="702">
        <v>0</v>
      </c>
      <c r="N14" s="702">
        <v>0</v>
      </c>
      <c r="O14" s="702">
        <v>0</v>
      </c>
      <c r="P14" s="720">
        <v>1713.8465257558548</v>
      </c>
    </row>
    <row r="15" spans="2:17" ht="15.75" thickBot="1" x14ac:dyDescent="0.3">
      <c r="B15" s="705" t="s">
        <v>223</v>
      </c>
      <c r="C15" s="706"/>
      <c r="D15" s="709">
        <v>553.43330881123006</v>
      </c>
      <c r="E15" s="709">
        <v>580.3986526689705</v>
      </c>
      <c r="F15" s="709">
        <v>721.48419316383888</v>
      </c>
      <c r="G15" s="709">
        <v>1117.8633637948301</v>
      </c>
      <c r="H15" s="709">
        <v>1437.788027878448</v>
      </c>
      <c r="I15" s="709">
        <v>1615.063059188454</v>
      </c>
      <c r="J15" s="709">
        <v>1266.6711869860844</v>
      </c>
      <c r="K15" s="709">
        <v>1679.0184911941963</v>
      </c>
      <c r="L15" s="709">
        <v>0</v>
      </c>
      <c r="M15" s="709">
        <v>0</v>
      </c>
      <c r="N15" s="709">
        <v>0</v>
      </c>
      <c r="O15" s="709">
        <v>0</v>
      </c>
      <c r="P15" s="721">
        <v>742.26575643737738</v>
      </c>
    </row>
    <row r="17" spans="2:16" x14ac:dyDescent="0.25">
      <c r="B17" s="710" t="s">
        <v>224</v>
      </c>
    </row>
    <row r="18" spans="2:16" ht="15.75" thickBot="1" x14ac:dyDescent="0.3"/>
    <row r="19" spans="2:16" x14ac:dyDescent="0.25">
      <c r="B19" s="700" t="s">
        <v>208</v>
      </c>
      <c r="C19" s="701"/>
      <c r="D19" s="699">
        <v>0.22</v>
      </c>
      <c r="E19" s="699">
        <v>0.245</v>
      </c>
      <c r="F19" s="699">
        <v>0.13500000000000001</v>
      </c>
      <c r="G19" s="699">
        <v>0</v>
      </c>
      <c r="H19" s="699">
        <v>0</v>
      </c>
      <c r="I19" s="699">
        <v>0</v>
      </c>
      <c r="J19" s="699">
        <v>0</v>
      </c>
      <c r="K19" s="699">
        <v>0</v>
      </c>
      <c r="L19" s="699">
        <v>0</v>
      </c>
      <c r="M19" s="699">
        <v>0</v>
      </c>
      <c r="N19" s="699">
        <v>0</v>
      </c>
      <c r="O19" s="699">
        <v>0</v>
      </c>
      <c r="P19" s="722">
        <v>0</v>
      </c>
    </row>
    <row r="20" spans="2:16" x14ac:dyDescent="0.25">
      <c r="B20" s="703" t="s">
        <v>222</v>
      </c>
      <c r="C20" s="704"/>
      <c r="D20" s="702">
        <v>1364</v>
      </c>
      <c r="E20" s="702">
        <v>1390</v>
      </c>
      <c r="F20" s="702">
        <v>1426</v>
      </c>
      <c r="G20" s="702">
        <v>0</v>
      </c>
      <c r="H20" s="702">
        <v>0</v>
      </c>
      <c r="I20" s="702">
        <v>0</v>
      </c>
      <c r="J20" s="702">
        <v>0</v>
      </c>
      <c r="K20" s="702">
        <v>0</v>
      </c>
      <c r="L20" s="702">
        <v>0</v>
      </c>
      <c r="M20" s="702">
        <v>0</v>
      </c>
      <c r="N20" s="702">
        <v>0</v>
      </c>
      <c r="O20" s="702">
        <v>0</v>
      </c>
      <c r="P20" s="720">
        <v>0</v>
      </c>
    </row>
    <row r="21" spans="2:16" ht="15.75" thickBot="1" x14ac:dyDescent="0.3">
      <c r="B21" s="705" t="s">
        <v>223</v>
      </c>
      <c r="C21" s="706"/>
      <c r="D21" s="709">
        <v>296</v>
      </c>
      <c r="E21" s="709">
        <v>341</v>
      </c>
      <c r="F21" s="709">
        <v>193</v>
      </c>
      <c r="G21" s="709">
        <v>0</v>
      </c>
      <c r="H21" s="709">
        <v>0</v>
      </c>
      <c r="I21" s="709">
        <v>0</v>
      </c>
      <c r="J21" s="709">
        <v>0</v>
      </c>
      <c r="K21" s="709">
        <v>0</v>
      </c>
      <c r="L21" s="709">
        <v>0</v>
      </c>
      <c r="M21" s="709">
        <v>0</v>
      </c>
      <c r="N21" s="709">
        <v>0</v>
      </c>
      <c r="O21" s="709">
        <v>0</v>
      </c>
      <c r="P21" s="721">
        <v>0</v>
      </c>
    </row>
    <row r="23" spans="2:16" x14ac:dyDescent="0.25">
      <c r="B23" s="710" t="s">
        <v>225</v>
      </c>
    </row>
    <row r="24" spans="2:16" ht="15.75" thickBot="1" x14ac:dyDescent="0.3"/>
    <row r="25" spans="2:16" x14ac:dyDescent="0.25">
      <c r="B25" s="700" t="s">
        <v>208</v>
      </c>
      <c r="C25" s="701"/>
      <c r="D25" s="699">
        <v>0.16532258064516128</v>
      </c>
      <c r="E25" s="699">
        <v>0.35443548387096774</v>
      </c>
      <c r="F25" s="699">
        <v>0.61375000000000002</v>
      </c>
      <c r="G25" s="699">
        <v>0.50887096774193552</v>
      </c>
      <c r="H25" s="699">
        <v>0.76083333333333336</v>
      </c>
      <c r="I25" s="699">
        <v>0.59919354838709682</v>
      </c>
      <c r="J25" s="699">
        <v>0.50645161290322582</v>
      </c>
      <c r="K25" s="699">
        <v>0.7075892857142857</v>
      </c>
      <c r="L25" s="699">
        <v>0.82016129032258067</v>
      </c>
      <c r="M25" s="699">
        <v>0.7416666666666667</v>
      </c>
      <c r="N25" s="711">
        <v>0.41</v>
      </c>
      <c r="O25" s="711">
        <v>0.14299999999999999</v>
      </c>
      <c r="P25" s="723">
        <v>0.52500000000000002</v>
      </c>
    </row>
    <row r="26" spans="2:16" x14ac:dyDescent="0.25">
      <c r="B26" s="703" t="s">
        <v>222</v>
      </c>
      <c r="C26" s="704"/>
      <c r="D26" s="702">
        <v>927.32926829268297</v>
      </c>
      <c r="E26" s="702">
        <v>1076.8998862343572</v>
      </c>
      <c r="F26" s="702">
        <v>1260.4854039375425</v>
      </c>
      <c r="G26" s="702">
        <v>1407.3256735340728</v>
      </c>
      <c r="H26" s="702">
        <v>1512.0082146768893</v>
      </c>
      <c r="I26" s="702">
        <v>1744.7234185733512</v>
      </c>
      <c r="J26" s="702">
        <v>1959.3232484076434</v>
      </c>
      <c r="K26" s="702">
        <v>1991.6037854889589</v>
      </c>
      <c r="L26" s="702">
        <v>1987.1125860373647</v>
      </c>
      <c r="M26" s="702">
        <v>1628.8022471910112</v>
      </c>
      <c r="N26" s="712">
        <v>1353</v>
      </c>
      <c r="O26" s="712">
        <v>1171</v>
      </c>
      <c r="P26" s="724">
        <v>1607</v>
      </c>
    </row>
    <row r="27" spans="2:16" ht="15.75" thickBot="1" x14ac:dyDescent="0.3">
      <c r="B27" s="705" t="s">
        <v>223</v>
      </c>
      <c r="C27" s="706"/>
      <c r="D27" s="709">
        <v>153.30846774193549</v>
      </c>
      <c r="E27" s="709">
        <v>381.69153225806451</v>
      </c>
      <c r="F27" s="709">
        <v>773.6229166666667</v>
      </c>
      <c r="G27" s="709">
        <v>716.14717741935488</v>
      </c>
      <c r="H27" s="709">
        <v>1150.38625</v>
      </c>
      <c r="I27" s="709">
        <v>1045.4270161290322</v>
      </c>
      <c r="J27" s="709">
        <v>992.30241935483866</v>
      </c>
      <c r="K27" s="709">
        <v>1409.2375</v>
      </c>
      <c r="L27" s="709">
        <v>1629.7528225806452</v>
      </c>
      <c r="M27" s="709">
        <v>1208.0283333333334</v>
      </c>
      <c r="N27" s="713">
        <v>556</v>
      </c>
      <c r="O27" s="713">
        <v>168</v>
      </c>
      <c r="P27" s="725">
        <v>844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4"/>
  <dimension ref="A1:XFC55"/>
  <sheetViews>
    <sheetView view="pageBreakPreview" zoomScale="70" zoomScaleNormal="100" zoomScaleSheetLayoutView="70" workbookViewId="0">
      <selection activeCell="E1" sqref="E1:F1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8.7109375" style="111" bestFit="1" customWidth="1"/>
    <col min="29" max="29" width="9.140625" style="112"/>
    <col min="30" max="30" width="9.140625" style="113"/>
    <col min="31" max="54" width="9.140625" style="112"/>
    <col min="55" max="230" width="9.140625" style="114"/>
    <col min="231" max="231" width="15.7109375" style="114" customWidth="1"/>
    <col min="232" max="232" width="6.85546875" style="114" bestFit="1" customWidth="1"/>
    <col min="233" max="233" width="4.7109375" style="114" bestFit="1" customWidth="1"/>
    <col min="234" max="234" width="6.140625" style="114" customWidth="1"/>
    <col min="235" max="235" width="12.7109375" style="114" customWidth="1"/>
    <col min="236" max="236" width="6.140625" style="114" customWidth="1"/>
    <col min="237" max="237" width="12.7109375" style="114" customWidth="1"/>
    <col min="238" max="238" width="6.140625" style="114" customWidth="1"/>
    <col min="239" max="239" width="12.7109375" style="114" customWidth="1"/>
    <col min="240" max="240" width="6.140625" style="114" customWidth="1"/>
    <col min="241" max="241" width="12.7109375" style="114" customWidth="1"/>
    <col min="242" max="242" width="6.140625" style="114" customWidth="1"/>
    <col min="243" max="243" width="12.7109375" style="114" customWidth="1"/>
    <col min="244" max="244" width="6.140625" style="114" customWidth="1"/>
    <col min="245" max="245" width="12.7109375" style="114" customWidth="1"/>
    <col min="246" max="246" width="8.140625" style="114" bestFit="1" customWidth="1"/>
    <col min="247" max="247" width="12.7109375" style="114" customWidth="1"/>
    <col min="248" max="248" width="6.140625" style="114" customWidth="1"/>
    <col min="249" max="249" width="12.7109375" style="114" customWidth="1"/>
    <col min="250" max="254" width="0" style="114" hidden="1" customWidth="1"/>
    <col min="255" max="255" width="10.140625" style="114" customWidth="1"/>
    <col min="256" max="256" width="17" style="114" customWidth="1"/>
    <col min="257" max="257" width="11.28515625" style="114" bestFit="1" customWidth="1"/>
    <col min="258" max="258" width="8.7109375" style="114" bestFit="1" customWidth="1"/>
    <col min="259" max="259" width="6" style="114" customWidth="1"/>
    <col min="260" max="260" width="12.7109375" style="114" customWidth="1"/>
    <col min="261" max="261" width="7.28515625" style="114" bestFit="1" customWidth="1"/>
    <col min="262" max="262" width="12.7109375" style="114" customWidth="1"/>
    <col min="263" max="263" width="6" style="114" customWidth="1"/>
    <col min="264" max="264" width="12.7109375" style="114" customWidth="1"/>
    <col min="265" max="265" width="6" style="114" customWidth="1"/>
    <col min="266" max="266" width="12.7109375" style="114" customWidth="1"/>
    <col min="267" max="267" width="6" style="114" customWidth="1"/>
    <col min="268" max="268" width="12.7109375" style="114" customWidth="1"/>
    <col min="269" max="269" width="6" style="114" customWidth="1"/>
    <col min="270" max="270" width="12.7109375" style="114" customWidth="1"/>
    <col min="271" max="271" width="6" style="114" customWidth="1"/>
    <col min="272" max="272" width="12.7109375" style="114" customWidth="1"/>
    <col min="273" max="273" width="6" style="114" customWidth="1"/>
    <col min="274" max="274" width="12.7109375" style="114" customWidth="1"/>
    <col min="275" max="279" width="0" style="114" hidden="1" customWidth="1"/>
    <col min="280" max="280" width="9.7109375" style="114" customWidth="1"/>
    <col min="281" max="281" width="12.28515625" style="114" customWidth="1"/>
    <col min="282" max="282" width="14.7109375" style="114" customWidth="1"/>
    <col min="283" max="283" width="9.7109375" style="114" customWidth="1"/>
    <col min="284" max="486" width="9.140625" style="114"/>
    <col min="487" max="487" width="15.7109375" style="114" customWidth="1"/>
    <col min="488" max="488" width="6.85546875" style="114" bestFit="1" customWidth="1"/>
    <col min="489" max="489" width="4.7109375" style="114" bestFit="1" customWidth="1"/>
    <col min="490" max="490" width="6.140625" style="114" customWidth="1"/>
    <col min="491" max="491" width="12.7109375" style="114" customWidth="1"/>
    <col min="492" max="492" width="6.140625" style="114" customWidth="1"/>
    <col min="493" max="493" width="12.7109375" style="114" customWidth="1"/>
    <col min="494" max="494" width="6.140625" style="114" customWidth="1"/>
    <col min="495" max="495" width="12.7109375" style="114" customWidth="1"/>
    <col min="496" max="496" width="6.140625" style="114" customWidth="1"/>
    <col min="497" max="497" width="12.7109375" style="114" customWidth="1"/>
    <col min="498" max="498" width="6.140625" style="114" customWidth="1"/>
    <col min="499" max="499" width="12.7109375" style="114" customWidth="1"/>
    <col min="500" max="500" width="6.140625" style="114" customWidth="1"/>
    <col min="501" max="501" width="12.7109375" style="114" customWidth="1"/>
    <col min="502" max="502" width="8.140625" style="114" bestFit="1" customWidth="1"/>
    <col min="503" max="503" width="12.7109375" style="114" customWidth="1"/>
    <col min="504" max="504" width="6.140625" style="114" customWidth="1"/>
    <col min="505" max="505" width="12.7109375" style="114" customWidth="1"/>
    <col min="506" max="510" width="0" style="114" hidden="1" customWidth="1"/>
    <col min="511" max="511" width="10.140625" style="114" customWidth="1"/>
    <col min="512" max="512" width="17" style="114" customWidth="1"/>
    <col min="513" max="513" width="11.28515625" style="114" bestFit="1" customWidth="1"/>
    <col min="514" max="514" width="8.7109375" style="114" bestFit="1" customWidth="1"/>
    <col min="515" max="515" width="6" style="114" customWidth="1"/>
    <col min="516" max="516" width="12.7109375" style="114" customWidth="1"/>
    <col min="517" max="517" width="7.28515625" style="114" bestFit="1" customWidth="1"/>
    <col min="518" max="518" width="12.7109375" style="114" customWidth="1"/>
    <col min="519" max="519" width="6" style="114" customWidth="1"/>
    <col min="520" max="520" width="12.7109375" style="114" customWidth="1"/>
    <col min="521" max="521" width="6" style="114" customWidth="1"/>
    <col min="522" max="522" width="12.7109375" style="114" customWidth="1"/>
    <col min="523" max="523" width="6" style="114" customWidth="1"/>
    <col min="524" max="524" width="12.7109375" style="114" customWidth="1"/>
    <col min="525" max="525" width="6" style="114" customWidth="1"/>
    <col min="526" max="526" width="12.7109375" style="114" customWidth="1"/>
    <col min="527" max="527" width="6" style="114" customWidth="1"/>
    <col min="528" max="528" width="12.7109375" style="114" customWidth="1"/>
    <col min="529" max="529" width="6" style="114" customWidth="1"/>
    <col min="530" max="530" width="12.7109375" style="114" customWidth="1"/>
    <col min="531" max="535" width="0" style="114" hidden="1" customWidth="1"/>
    <col min="536" max="536" width="9.7109375" style="114" customWidth="1"/>
    <col min="537" max="537" width="12.28515625" style="114" customWidth="1"/>
    <col min="538" max="538" width="14.7109375" style="114" customWidth="1"/>
    <col min="539" max="539" width="9.7109375" style="114" customWidth="1"/>
    <col min="540" max="742" width="9.140625" style="114"/>
    <col min="743" max="743" width="15.7109375" style="114" customWidth="1"/>
    <col min="744" max="744" width="6.85546875" style="114" bestFit="1" customWidth="1"/>
    <col min="745" max="745" width="4.7109375" style="114" bestFit="1" customWidth="1"/>
    <col min="746" max="746" width="6.140625" style="114" customWidth="1"/>
    <col min="747" max="747" width="12.7109375" style="114" customWidth="1"/>
    <col min="748" max="748" width="6.140625" style="114" customWidth="1"/>
    <col min="749" max="749" width="12.7109375" style="114" customWidth="1"/>
    <col min="750" max="750" width="6.140625" style="114" customWidth="1"/>
    <col min="751" max="751" width="12.7109375" style="114" customWidth="1"/>
    <col min="752" max="752" width="6.140625" style="114" customWidth="1"/>
    <col min="753" max="753" width="12.7109375" style="114" customWidth="1"/>
    <col min="754" max="754" width="6.140625" style="114" customWidth="1"/>
    <col min="755" max="755" width="12.7109375" style="114" customWidth="1"/>
    <col min="756" max="756" width="6.140625" style="114" customWidth="1"/>
    <col min="757" max="757" width="12.7109375" style="114" customWidth="1"/>
    <col min="758" max="758" width="8.140625" style="114" bestFit="1" customWidth="1"/>
    <col min="759" max="759" width="12.7109375" style="114" customWidth="1"/>
    <col min="760" max="760" width="6.140625" style="114" customWidth="1"/>
    <col min="761" max="761" width="12.7109375" style="114" customWidth="1"/>
    <col min="762" max="766" width="0" style="114" hidden="1" customWidth="1"/>
    <col min="767" max="767" width="10.140625" style="114" customWidth="1"/>
    <col min="768" max="768" width="17" style="114" customWidth="1"/>
    <col min="769" max="769" width="11.28515625" style="114" bestFit="1" customWidth="1"/>
    <col min="770" max="770" width="8.7109375" style="114" bestFit="1" customWidth="1"/>
    <col min="771" max="771" width="6" style="114" customWidth="1"/>
    <col min="772" max="772" width="12.7109375" style="114" customWidth="1"/>
    <col min="773" max="773" width="7.28515625" style="114" bestFit="1" customWidth="1"/>
    <col min="774" max="774" width="12.7109375" style="114" customWidth="1"/>
    <col min="775" max="775" width="6" style="114" customWidth="1"/>
    <col min="776" max="776" width="12.7109375" style="114" customWidth="1"/>
    <col min="777" max="777" width="6" style="114" customWidth="1"/>
    <col min="778" max="778" width="12.7109375" style="114" customWidth="1"/>
    <col min="779" max="779" width="6" style="114" customWidth="1"/>
    <col min="780" max="780" width="12.7109375" style="114" customWidth="1"/>
    <col min="781" max="781" width="6" style="114" customWidth="1"/>
    <col min="782" max="782" width="12.7109375" style="114" customWidth="1"/>
    <col min="783" max="783" width="6" style="114" customWidth="1"/>
    <col min="784" max="784" width="12.7109375" style="114" customWidth="1"/>
    <col min="785" max="785" width="6" style="114" customWidth="1"/>
    <col min="786" max="786" width="12.7109375" style="114" customWidth="1"/>
    <col min="787" max="791" width="0" style="114" hidden="1" customWidth="1"/>
    <col min="792" max="792" width="9.7109375" style="114" customWidth="1"/>
    <col min="793" max="793" width="12.28515625" style="114" customWidth="1"/>
    <col min="794" max="794" width="14.7109375" style="114" customWidth="1"/>
    <col min="795" max="795" width="9.7109375" style="114" customWidth="1"/>
    <col min="796" max="998" width="9.140625" style="114"/>
    <col min="999" max="999" width="15.7109375" style="114" customWidth="1"/>
    <col min="1000" max="1000" width="6.85546875" style="114" bestFit="1" customWidth="1"/>
    <col min="1001" max="1001" width="4.7109375" style="114" bestFit="1" customWidth="1"/>
    <col min="1002" max="1002" width="6.140625" style="114" customWidth="1"/>
    <col min="1003" max="1003" width="12.7109375" style="114" customWidth="1"/>
    <col min="1004" max="1004" width="6.140625" style="114" customWidth="1"/>
    <col min="1005" max="1005" width="12.7109375" style="114" customWidth="1"/>
    <col min="1006" max="1006" width="6.140625" style="114" customWidth="1"/>
    <col min="1007" max="1007" width="12.7109375" style="114" customWidth="1"/>
    <col min="1008" max="1008" width="6.140625" style="114" customWidth="1"/>
    <col min="1009" max="1009" width="12.7109375" style="114" customWidth="1"/>
    <col min="1010" max="1010" width="6.140625" style="114" customWidth="1"/>
    <col min="1011" max="1011" width="12.7109375" style="114" customWidth="1"/>
    <col min="1012" max="1012" width="6.140625" style="114" customWidth="1"/>
    <col min="1013" max="1013" width="12.7109375" style="114" customWidth="1"/>
    <col min="1014" max="1014" width="8.140625" style="114" bestFit="1" customWidth="1"/>
    <col min="1015" max="1015" width="12.7109375" style="114" customWidth="1"/>
    <col min="1016" max="1016" width="6.140625" style="114" customWidth="1"/>
    <col min="1017" max="1017" width="12.7109375" style="114" customWidth="1"/>
    <col min="1018" max="1022" width="0" style="114" hidden="1" customWidth="1"/>
    <col min="1023" max="1023" width="10.140625" style="114" customWidth="1"/>
    <col min="1024" max="1024" width="17" style="114" customWidth="1"/>
    <col min="1025" max="1025" width="11.28515625" style="114" bestFit="1" customWidth="1"/>
    <col min="1026" max="1026" width="8.7109375" style="114" bestFit="1" customWidth="1"/>
    <col min="1027" max="1027" width="6" style="114" customWidth="1"/>
    <col min="1028" max="1028" width="12.7109375" style="114" customWidth="1"/>
    <col min="1029" max="1029" width="7.28515625" style="114" bestFit="1" customWidth="1"/>
    <col min="1030" max="1030" width="12.7109375" style="114" customWidth="1"/>
    <col min="1031" max="1031" width="6" style="114" customWidth="1"/>
    <col min="1032" max="1032" width="12.7109375" style="114" customWidth="1"/>
    <col min="1033" max="1033" width="6" style="114" customWidth="1"/>
    <col min="1034" max="1034" width="12.7109375" style="114" customWidth="1"/>
    <col min="1035" max="1035" width="6" style="114" customWidth="1"/>
    <col min="1036" max="1036" width="12.7109375" style="114" customWidth="1"/>
    <col min="1037" max="1037" width="6" style="114" customWidth="1"/>
    <col min="1038" max="1038" width="12.7109375" style="114" customWidth="1"/>
    <col min="1039" max="1039" width="6" style="114" customWidth="1"/>
    <col min="1040" max="1040" width="12.7109375" style="114" customWidth="1"/>
    <col min="1041" max="1041" width="6" style="114" customWidth="1"/>
    <col min="1042" max="1042" width="12.7109375" style="114" customWidth="1"/>
    <col min="1043" max="1047" width="0" style="114" hidden="1" customWidth="1"/>
    <col min="1048" max="1048" width="9.7109375" style="114" customWidth="1"/>
    <col min="1049" max="1049" width="12.28515625" style="114" customWidth="1"/>
    <col min="1050" max="1050" width="14.7109375" style="114" customWidth="1"/>
    <col min="1051" max="1051" width="9.7109375" style="114" customWidth="1"/>
    <col min="1052" max="1254" width="9.140625" style="114"/>
    <col min="1255" max="1255" width="15.7109375" style="114" customWidth="1"/>
    <col min="1256" max="1256" width="6.85546875" style="114" bestFit="1" customWidth="1"/>
    <col min="1257" max="1257" width="4.7109375" style="114" bestFit="1" customWidth="1"/>
    <col min="1258" max="1258" width="6.140625" style="114" customWidth="1"/>
    <col min="1259" max="1259" width="12.7109375" style="114" customWidth="1"/>
    <col min="1260" max="1260" width="6.140625" style="114" customWidth="1"/>
    <col min="1261" max="1261" width="12.7109375" style="114" customWidth="1"/>
    <col min="1262" max="1262" width="6.140625" style="114" customWidth="1"/>
    <col min="1263" max="1263" width="12.7109375" style="114" customWidth="1"/>
    <col min="1264" max="1264" width="6.140625" style="114" customWidth="1"/>
    <col min="1265" max="1265" width="12.7109375" style="114" customWidth="1"/>
    <col min="1266" max="1266" width="6.140625" style="114" customWidth="1"/>
    <col min="1267" max="1267" width="12.7109375" style="114" customWidth="1"/>
    <col min="1268" max="1268" width="6.140625" style="114" customWidth="1"/>
    <col min="1269" max="1269" width="12.7109375" style="114" customWidth="1"/>
    <col min="1270" max="1270" width="8.140625" style="114" bestFit="1" customWidth="1"/>
    <col min="1271" max="1271" width="12.7109375" style="114" customWidth="1"/>
    <col min="1272" max="1272" width="6.140625" style="114" customWidth="1"/>
    <col min="1273" max="1273" width="12.7109375" style="114" customWidth="1"/>
    <col min="1274" max="1278" width="0" style="114" hidden="1" customWidth="1"/>
    <col min="1279" max="1279" width="10.140625" style="114" customWidth="1"/>
    <col min="1280" max="1280" width="17" style="114" customWidth="1"/>
    <col min="1281" max="1281" width="11.28515625" style="114" bestFit="1" customWidth="1"/>
    <col min="1282" max="1282" width="8.7109375" style="114" bestFit="1" customWidth="1"/>
    <col min="1283" max="1283" width="6" style="114" customWidth="1"/>
    <col min="1284" max="1284" width="12.7109375" style="114" customWidth="1"/>
    <col min="1285" max="1285" width="7.28515625" style="114" bestFit="1" customWidth="1"/>
    <col min="1286" max="1286" width="12.7109375" style="114" customWidth="1"/>
    <col min="1287" max="1287" width="6" style="114" customWidth="1"/>
    <col min="1288" max="1288" width="12.7109375" style="114" customWidth="1"/>
    <col min="1289" max="1289" width="6" style="114" customWidth="1"/>
    <col min="1290" max="1290" width="12.7109375" style="114" customWidth="1"/>
    <col min="1291" max="1291" width="6" style="114" customWidth="1"/>
    <col min="1292" max="1292" width="12.7109375" style="114" customWidth="1"/>
    <col min="1293" max="1293" width="6" style="114" customWidth="1"/>
    <col min="1294" max="1294" width="12.7109375" style="114" customWidth="1"/>
    <col min="1295" max="1295" width="6" style="114" customWidth="1"/>
    <col min="1296" max="1296" width="12.7109375" style="114" customWidth="1"/>
    <col min="1297" max="1297" width="6" style="114" customWidth="1"/>
    <col min="1298" max="1298" width="12.7109375" style="114" customWidth="1"/>
    <col min="1299" max="1303" width="0" style="114" hidden="1" customWidth="1"/>
    <col min="1304" max="1304" width="9.7109375" style="114" customWidth="1"/>
    <col min="1305" max="1305" width="12.28515625" style="114" customWidth="1"/>
    <col min="1306" max="1306" width="14.7109375" style="114" customWidth="1"/>
    <col min="1307" max="1307" width="9.7109375" style="114" customWidth="1"/>
    <col min="1308" max="1510" width="9.140625" style="114"/>
    <col min="1511" max="1511" width="15.7109375" style="114" customWidth="1"/>
    <col min="1512" max="1512" width="6.85546875" style="114" bestFit="1" customWidth="1"/>
    <col min="1513" max="1513" width="4.7109375" style="114" bestFit="1" customWidth="1"/>
    <col min="1514" max="1514" width="6.140625" style="114" customWidth="1"/>
    <col min="1515" max="1515" width="12.7109375" style="114" customWidth="1"/>
    <col min="1516" max="1516" width="6.140625" style="114" customWidth="1"/>
    <col min="1517" max="1517" width="12.7109375" style="114" customWidth="1"/>
    <col min="1518" max="1518" width="6.140625" style="114" customWidth="1"/>
    <col min="1519" max="1519" width="12.7109375" style="114" customWidth="1"/>
    <col min="1520" max="1520" width="6.140625" style="114" customWidth="1"/>
    <col min="1521" max="1521" width="12.7109375" style="114" customWidth="1"/>
    <col min="1522" max="1522" width="6.140625" style="114" customWidth="1"/>
    <col min="1523" max="1523" width="12.7109375" style="114" customWidth="1"/>
    <col min="1524" max="1524" width="6.140625" style="114" customWidth="1"/>
    <col min="1525" max="1525" width="12.7109375" style="114" customWidth="1"/>
    <col min="1526" max="1526" width="8.140625" style="114" bestFit="1" customWidth="1"/>
    <col min="1527" max="1527" width="12.7109375" style="114" customWidth="1"/>
    <col min="1528" max="1528" width="6.140625" style="114" customWidth="1"/>
    <col min="1529" max="1529" width="12.7109375" style="114" customWidth="1"/>
    <col min="1530" max="1534" width="0" style="114" hidden="1" customWidth="1"/>
    <col min="1535" max="1535" width="10.140625" style="114" customWidth="1"/>
    <col min="1536" max="1536" width="17" style="114" customWidth="1"/>
    <col min="1537" max="1537" width="11.28515625" style="114" bestFit="1" customWidth="1"/>
    <col min="1538" max="1538" width="8.7109375" style="114" bestFit="1" customWidth="1"/>
    <col min="1539" max="1539" width="6" style="114" customWidth="1"/>
    <col min="1540" max="1540" width="12.7109375" style="114" customWidth="1"/>
    <col min="1541" max="1541" width="7.28515625" style="114" bestFit="1" customWidth="1"/>
    <col min="1542" max="1542" width="12.7109375" style="114" customWidth="1"/>
    <col min="1543" max="1543" width="6" style="114" customWidth="1"/>
    <col min="1544" max="1544" width="12.7109375" style="114" customWidth="1"/>
    <col min="1545" max="1545" width="6" style="114" customWidth="1"/>
    <col min="1546" max="1546" width="12.7109375" style="114" customWidth="1"/>
    <col min="1547" max="1547" width="6" style="114" customWidth="1"/>
    <col min="1548" max="1548" width="12.7109375" style="114" customWidth="1"/>
    <col min="1549" max="1549" width="6" style="114" customWidth="1"/>
    <col min="1550" max="1550" width="12.7109375" style="114" customWidth="1"/>
    <col min="1551" max="1551" width="6" style="114" customWidth="1"/>
    <col min="1552" max="1552" width="12.7109375" style="114" customWidth="1"/>
    <col min="1553" max="1553" width="6" style="114" customWidth="1"/>
    <col min="1554" max="1554" width="12.7109375" style="114" customWidth="1"/>
    <col min="1555" max="1559" width="0" style="114" hidden="1" customWidth="1"/>
    <col min="1560" max="1560" width="9.7109375" style="114" customWidth="1"/>
    <col min="1561" max="1561" width="12.28515625" style="114" customWidth="1"/>
    <col min="1562" max="1562" width="14.7109375" style="114" customWidth="1"/>
    <col min="1563" max="1563" width="9.7109375" style="114" customWidth="1"/>
    <col min="1564" max="1766" width="9.140625" style="114"/>
    <col min="1767" max="1767" width="15.7109375" style="114" customWidth="1"/>
    <col min="1768" max="1768" width="6.85546875" style="114" bestFit="1" customWidth="1"/>
    <col min="1769" max="1769" width="4.7109375" style="114" bestFit="1" customWidth="1"/>
    <col min="1770" max="1770" width="6.140625" style="114" customWidth="1"/>
    <col min="1771" max="1771" width="12.7109375" style="114" customWidth="1"/>
    <col min="1772" max="1772" width="6.140625" style="114" customWidth="1"/>
    <col min="1773" max="1773" width="12.7109375" style="114" customWidth="1"/>
    <col min="1774" max="1774" width="6.140625" style="114" customWidth="1"/>
    <col min="1775" max="1775" width="12.7109375" style="114" customWidth="1"/>
    <col min="1776" max="1776" width="6.140625" style="114" customWidth="1"/>
    <col min="1777" max="1777" width="12.7109375" style="114" customWidth="1"/>
    <col min="1778" max="1778" width="6.140625" style="114" customWidth="1"/>
    <col min="1779" max="1779" width="12.7109375" style="114" customWidth="1"/>
    <col min="1780" max="1780" width="6.140625" style="114" customWidth="1"/>
    <col min="1781" max="1781" width="12.7109375" style="114" customWidth="1"/>
    <col min="1782" max="1782" width="8.140625" style="114" bestFit="1" customWidth="1"/>
    <col min="1783" max="1783" width="12.7109375" style="114" customWidth="1"/>
    <col min="1784" max="1784" width="6.140625" style="114" customWidth="1"/>
    <col min="1785" max="1785" width="12.7109375" style="114" customWidth="1"/>
    <col min="1786" max="1790" width="0" style="114" hidden="1" customWidth="1"/>
    <col min="1791" max="1791" width="10.140625" style="114" customWidth="1"/>
    <col min="1792" max="1792" width="17" style="114" customWidth="1"/>
    <col min="1793" max="1793" width="11.28515625" style="114" bestFit="1" customWidth="1"/>
    <col min="1794" max="1794" width="8.7109375" style="114" bestFit="1" customWidth="1"/>
    <col min="1795" max="1795" width="6" style="114" customWidth="1"/>
    <col min="1796" max="1796" width="12.7109375" style="114" customWidth="1"/>
    <col min="1797" max="1797" width="7.28515625" style="114" bestFit="1" customWidth="1"/>
    <col min="1798" max="1798" width="12.7109375" style="114" customWidth="1"/>
    <col min="1799" max="1799" width="6" style="114" customWidth="1"/>
    <col min="1800" max="1800" width="12.7109375" style="114" customWidth="1"/>
    <col min="1801" max="1801" width="6" style="114" customWidth="1"/>
    <col min="1802" max="1802" width="12.7109375" style="114" customWidth="1"/>
    <col min="1803" max="1803" width="6" style="114" customWidth="1"/>
    <col min="1804" max="1804" width="12.7109375" style="114" customWidth="1"/>
    <col min="1805" max="1805" width="6" style="114" customWidth="1"/>
    <col min="1806" max="1806" width="12.7109375" style="114" customWidth="1"/>
    <col min="1807" max="1807" width="6" style="114" customWidth="1"/>
    <col min="1808" max="1808" width="12.7109375" style="114" customWidth="1"/>
    <col min="1809" max="1809" width="6" style="114" customWidth="1"/>
    <col min="1810" max="1810" width="12.7109375" style="114" customWidth="1"/>
    <col min="1811" max="1815" width="0" style="114" hidden="1" customWidth="1"/>
    <col min="1816" max="1816" width="9.7109375" style="114" customWidth="1"/>
    <col min="1817" max="1817" width="12.28515625" style="114" customWidth="1"/>
    <col min="1818" max="1818" width="14.7109375" style="114" customWidth="1"/>
    <col min="1819" max="1819" width="9.7109375" style="114" customWidth="1"/>
    <col min="1820" max="2022" width="9.140625" style="114"/>
    <col min="2023" max="2023" width="15.7109375" style="114" customWidth="1"/>
    <col min="2024" max="2024" width="6.85546875" style="114" bestFit="1" customWidth="1"/>
    <col min="2025" max="2025" width="4.7109375" style="114" bestFit="1" customWidth="1"/>
    <col min="2026" max="2026" width="6.140625" style="114" customWidth="1"/>
    <col min="2027" max="2027" width="12.7109375" style="114" customWidth="1"/>
    <col min="2028" max="2028" width="6.140625" style="114" customWidth="1"/>
    <col min="2029" max="2029" width="12.7109375" style="114" customWidth="1"/>
    <col min="2030" max="2030" width="6.140625" style="114" customWidth="1"/>
    <col min="2031" max="2031" width="12.7109375" style="114" customWidth="1"/>
    <col min="2032" max="2032" width="6.140625" style="114" customWidth="1"/>
    <col min="2033" max="2033" width="12.7109375" style="114" customWidth="1"/>
    <col min="2034" max="2034" width="6.140625" style="114" customWidth="1"/>
    <col min="2035" max="2035" width="12.7109375" style="114" customWidth="1"/>
    <col min="2036" max="2036" width="6.140625" style="114" customWidth="1"/>
    <col min="2037" max="2037" width="12.7109375" style="114" customWidth="1"/>
    <col min="2038" max="2038" width="8.140625" style="114" bestFit="1" customWidth="1"/>
    <col min="2039" max="2039" width="12.7109375" style="114" customWidth="1"/>
    <col min="2040" max="2040" width="6.140625" style="114" customWidth="1"/>
    <col min="2041" max="2041" width="12.7109375" style="114" customWidth="1"/>
    <col min="2042" max="2046" width="0" style="114" hidden="1" customWidth="1"/>
    <col min="2047" max="2047" width="10.140625" style="114" customWidth="1"/>
    <col min="2048" max="2048" width="17" style="114" customWidth="1"/>
    <col min="2049" max="2049" width="11.28515625" style="114" bestFit="1" customWidth="1"/>
    <col min="2050" max="2050" width="8.7109375" style="114" bestFit="1" customWidth="1"/>
    <col min="2051" max="2051" width="6" style="114" customWidth="1"/>
    <col min="2052" max="2052" width="12.7109375" style="114" customWidth="1"/>
    <col min="2053" max="2053" width="7.28515625" style="114" bestFit="1" customWidth="1"/>
    <col min="2054" max="2054" width="12.7109375" style="114" customWidth="1"/>
    <col min="2055" max="2055" width="6" style="114" customWidth="1"/>
    <col min="2056" max="2056" width="12.7109375" style="114" customWidth="1"/>
    <col min="2057" max="2057" width="6" style="114" customWidth="1"/>
    <col min="2058" max="2058" width="12.7109375" style="114" customWidth="1"/>
    <col min="2059" max="2059" width="6" style="114" customWidth="1"/>
    <col min="2060" max="2060" width="12.7109375" style="114" customWidth="1"/>
    <col min="2061" max="2061" width="6" style="114" customWidth="1"/>
    <col min="2062" max="2062" width="12.7109375" style="114" customWidth="1"/>
    <col min="2063" max="2063" width="6" style="114" customWidth="1"/>
    <col min="2064" max="2064" width="12.7109375" style="114" customWidth="1"/>
    <col min="2065" max="2065" width="6" style="114" customWidth="1"/>
    <col min="2066" max="2066" width="12.7109375" style="114" customWidth="1"/>
    <col min="2067" max="2071" width="0" style="114" hidden="1" customWidth="1"/>
    <col min="2072" max="2072" width="9.7109375" style="114" customWidth="1"/>
    <col min="2073" max="2073" width="12.28515625" style="114" customWidth="1"/>
    <col min="2074" max="2074" width="14.7109375" style="114" customWidth="1"/>
    <col min="2075" max="2075" width="9.7109375" style="114" customWidth="1"/>
    <col min="2076" max="2278" width="9.140625" style="114"/>
    <col min="2279" max="2279" width="15.7109375" style="114" customWidth="1"/>
    <col min="2280" max="2280" width="6.85546875" style="114" bestFit="1" customWidth="1"/>
    <col min="2281" max="2281" width="4.7109375" style="114" bestFit="1" customWidth="1"/>
    <col min="2282" max="2282" width="6.140625" style="114" customWidth="1"/>
    <col min="2283" max="2283" width="12.7109375" style="114" customWidth="1"/>
    <col min="2284" max="2284" width="6.140625" style="114" customWidth="1"/>
    <col min="2285" max="2285" width="12.7109375" style="114" customWidth="1"/>
    <col min="2286" max="2286" width="6.140625" style="114" customWidth="1"/>
    <col min="2287" max="2287" width="12.7109375" style="114" customWidth="1"/>
    <col min="2288" max="2288" width="6.140625" style="114" customWidth="1"/>
    <col min="2289" max="2289" width="12.7109375" style="114" customWidth="1"/>
    <col min="2290" max="2290" width="6.140625" style="114" customWidth="1"/>
    <col min="2291" max="2291" width="12.7109375" style="114" customWidth="1"/>
    <col min="2292" max="2292" width="6.140625" style="114" customWidth="1"/>
    <col min="2293" max="2293" width="12.7109375" style="114" customWidth="1"/>
    <col min="2294" max="2294" width="8.140625" style="114" bestFit="1" customWidth="1"/>
    <col min="2295" max="2295" width="12.7109375" style="114" customWidth="1"/>
    <col min="2296" max="2296" width="6.140625" style="114" customWidth="1"/>
    <col min="2297" max="2297" width="12.7109375" style="114" customWidth="1"/>
    <col min="2298" max="2302" width="0" style="114" hidden="1" customWidth="1"/>
    <col min="2303" max="2303" width="10.140625" style="114" customWidth="1"/>
    <col min="2304" max="2304" width="17" style="114" customWidth="1"/>
    <col min="2305" max="2305" width="11.28515625" style="114" bestFit="1" customWidth="1"/>
    <col min="2306" max="2306" width="8.7109375" style="114" bestFit="1" customWidth="1"/>
    <col min="2307" max="2307" width="6" style="114" customWidth="1"/>
    <col min="2308" max="2308" width="12.7109375" style="114" customWidth="1"/>
    <col min="2309" max="2309" width="7.28515625" style="114" bestFit="1" customWidth="1"/>
    <col min="2310" max="2310" width="12.7109375" style="114" customWidth="1"/>
    <col min="2311" max="2311" width="6" style="114" customWidth="1"/>
    <col min="2312" max="2312" width="12.7109375" style="114" customWidth="1"/>
    <col min="2313" max="2313" width="6" style="114" customWidth="1"/>
    <col min="2314" max="2314" width="12.7109375" style="114" customWidth="1"/>
    <col min="2315" max="2315" width="6" style="114" customWidth="1"/>
    <col min="2316" max="2316" width="12.7109375" style="114" customWidth="1"/>
    <col min="2317" max="2317" width="6" style="114" customWidth="1"/>
    <col min="2318" max="2318" width="12.7109375" style="114" customWidth="1"/>
    <col min="2319" max="2319" width="6" style="114" customWidth="1"/>
    <col min="2320" max="2320" width="12.7109375" style="114" customWidth="1"/>
    <col min="2321" max="2321" width="6" style="114" customWidth="1"/>
    <col min="2322" max="2322" width="12.7109375" style="114" customWidth="1"/>
    <col min="2323" max="2327" width="0" style="114" hidden="1" customWidth="1"/>
    <col min="2328" max="2328" width="9.7109375" style="114" customWidth="1"/>
    <col min="2329" max="2329" width="12.28515625" style="114" customWidth="1"/>
    <col min="2330" max="2330" width="14.7109375" style="114" customWidth="1"/>
    <col min="2331" max="2331" width="9.7109375" style="114" customWidth="1"/>
    <col min="2332" max="2534" width="9.140625" style="114"/>
    <col min="2535" max="2535" width="15.7109375" style="114" customWidth="1"/>
    <col min="2536" max="2536" width="6.85546875" style="114" bestFit="1" customWidth="1"/>
    <col min="2537" max="2537" width="4.7109375" style="114" bestFit="1" customWidth="1"/>
    <col min="2538" max="2538" width="6.140625" style="114" customWidth="1"/>
    <col min="2539" max="2539" width="12.7109375" style="114" customWidth="1"/>
    <col min="2540" max="2540" width="6.140625" style="114" customWidth="1"/>
    <col min="2541" max="2541" width="12.7109375" style="114" customWidth="1"/>
    <col min="2542" max="2542" width="6.140625" style="114" customWidth="1"/>
    <col min="2543" max="2543" width="12.7109375" style="114" customWidth="1"/>
    <col min="2544" max="2544" width="6.140625" style="114" customWidth="1"/>
    <col min="2545" max="2545" width="12.7109375" style="114" customWidth="1"/>
    <col min="2546" max="2546" width="6.140625" style="114" customWidth="1"/>
    <col min="2547" max="2547" width="12.7109375" style="114" customWidth="1"/>
    <col min="2548" max="2548" width="6.140625" style="114" customWidth="1"/>
    <col min="2549" max="2549" width="12.7109375" style="114" customWidth="1"/>
    <col min="2550" max="2550" width="8.140625" style="114" bestFit="1" customWidth="1"/>
    <col min="2551" max="2551" width="12.7109375" style="114" customWidth="1"/>
    <col min="2552" max="2552" width="6.140625" style="114" customWidth="1"/>
    <col min="2553" max="2553" width="12.7109375" style="114" customWidth="1"/>
    <col min="2554" max="2558" width="0" style="114" hidden="1" customWidth="1"/>
    <col min="2559" max="2559" width="10.140625" style="114" customWidth="1"/>
    <col min="2560" max="2560" width="17" style="114" customWidth="1"/>
    <col min="2561" max="2561" width="11.28515625" style="114" bestFit="1" customWidth="1"/>
    <col min="2562" max="2562" width="8.7109375" style="114" bestFit="1" customWidth="1"/>
    <col min="2563" max="2563" width="6" style="114" customWidth="1"/>
    <col min="2564" max="2564" width="12.7109375" style="114" customWidth="1"/>
    <col min="2565" max="2565" width="7.28515625" style="114" bestFit="1" customWidth="1"/>
    <col min="2566" max="2566" width="12.7109375" style="114" customWidth="1"/>
    <col min="2567" max="2567" width="6" style="114" customWidth="1"/>
    <col min="2568" max="2568" width="12.7109375" style="114" customWidth="1"/>
    <col min="2569" max="2569" width="6" style="114" customWidth="1"/>
    <col min="2570" max="2570" width="12.7109375" style="114" customWidth="1"/>
    <col min="2571" max="2571" width="6" style="114" customWidth="1"/>
    <col min="2572" max="2572" width="12.7109375" style="114" customWidth="1"/>
    <col min="2573" max="2573" width="6" style="114" customWidth="1"/>
    <col min="2574" max="2574" width="12.7109375" style="114" customWidth="1"/>
    <col min="2575" max="2575" width="6" style="114" customWidth="1"/>
    <col min="2576" max="2576" width="12.7109375" style="114" customWidth="1"/>
    <col min="2577" max="2577" width="6" style="114" customWidth="1"/>
    <col min="2578" max="2578" width="12.7109375" style="114" customWidth="1"/>
    <col min="2579" max="2583" width="0" style="114" hidden="1" customWidth="1"/>
    <col min="2584" max="2584" width="9.7109375" style="114" customWidth="1"/>
    <col min="2585" max="2585" width="12.28515625" style="114" customWidth="1"/>
    <col min="2586" max="2586" width="14.7109375" style="114" customWidth="1"/>
    <col min="2587" max="2587" width="9.7109375" style="114" customWidth="1"/>
    <col min="2588" max="2790" width="9.140625" style="114"/>
    <col min="2791" max="2791" width="15.7109375" style="114" customWidth="1"/>
    <col min="2792" max="2792" width="6.85546875" style="114" bestFit="1" customWidth="1"/>
    <col min="2793" max="2793" width="4.7109375" style="114" bestFit="1" customWidth="1"/>
    <col min="2794" max="2794" width="6.140625" style="114" customWidth="1"/>
    <col min="2795" max="2795" width="12.7109375" style="114" customWidth="1"/>
    <col min="2796" max="2796" width="6.140625" style="114" customWidth="1"/>
    <col min="2797" max="2797" width="12.7109375" style="114" customWidth="1"/>
    <col min="2798" max="2798" width="6.140625" style="114" customWidth="1"/>
    <col min="2799" max="2799" width="12.7109375" style="114" customWidth="1"/>
    <col min="2800" max="2800" width="6.140625" style="114" customWidth="1"/>
    <col min="2801" max="2801" width="12.7109375" style="114" customWidth="1"/>
    <col min="2802" max="2802" width="6.140625" style="114" customWidth="1"/>
    <col min="2803" max="2803" width="12.7109375" style="114" customWidth="1"/>
    <col min="2804" max="2804" width="6.140625" style="114" customWidth="1"/>
    <col min="2805" max="2805" width="12.7109375" style="114" customWidth="1"/>
    <col min="2806" max="2806" width="8.140625" style="114" bestFit="1" customWidth="1"/>
    <col min="2807" max="2807" width="12.7109375" style="114" customWidth="1"/>
    <col min="2808" max="2808" width="6.140625" style="114" customWidth="1"/>
    <col min="2809" max="2809" width="12.7109375" style="114" customWidth="1"/>
    <col min="2810" max="2814" width="0" style="114" hidden="1" customWidth="1"/>
    <col min="2815" max="2815" width="10.140625" style="114" customWidth="1"/>
    <col min="2816" max="2816" width="17" style="114" customWidth="1"/>
    <col min="2817" max="2817" width="11.28515625" style="114" bestFit="1" customWidth="1"/>
    <col min="2818" max="2818" width="8.7109375" style="114" bestFit="1" customWidth="1"/>
    <col min="2819" max="2819" width="6" style="114" customWidth="1"/>
    <col min="2820" max="2820" width="12.7109375" style="114" customWidth="1"/>
    <col min="2821" max="2821" width="7.28515625" style="114" bestFit="1" customWidth="1"/>
    <col min="2822" max="2822" width="12.7109375" style="114" customWidth="1"/>
    <col min="2823" max="2823" width="6" style="114" customWidth="1"/>
    <col min="2824" max="2824" width="12.7109375" style="114" customWidth="1"/>
    <col min="2825" max="2825" width="6" style="114" customWidth="1"/>
    <col min="2826" max="2826" width="12.7109375" style="114" customWidth="1"/>
    <col min="2827" max="2827" width="6" style="114" customWidth="1"/>
    <col min="2828" max="2828" width="12.7109375" style="114" customWidth="1"/>
    <col min="2829" max="2829" width="6" style="114" customWidth="1"/>
    <col min="2830" max="2830" width="12.7109375" style="114" customWidth="1"/>
    <col min="2831" max="2831" width="6" style="114" customWidth="1"/>
    <col min="2832" max="2832" width="12.7109375" style="114" customWidth="1"/>
    <col min="2833" max="2833" width="6" style="114" customWidth="1"/>
    <col min="2834" max="2834" width="12.7109375" style="114" customWidth="1"/>
    <col min="2835" max="2839" width="0" style="114" hidden="1" customWidth="1"/>
    <col min="2840" max="2840" width="9.7109375" style="114" customWidth="1"/>
    <col min="2841" max="2841" width="12.28515625" style="114" customWidth="1"/>
    <col min="2842" max="2842" width="14.7109375" style="114" customWidth="1"/>
    <col min="2843" max="2843" width="9.7109375" style="114" customWidth="1"/>
    <col min="2844" max="3046" width="9.140625" style="114"/>
    <col min="3047" max="3047" width="15.7109375" style="114" customWidth="1"/>
    <col min="3048" max="3048" width="6.85546875" style="114" bestFit="1" customWidth="1"/>
    <col min="3049" max="3049" width="4.7109375" style="114" bestFit="1" customWidth="1"/>
    <col min="3050" max="3050" width="6.140625" style="114" customWidth="1"/>
    <col min="3051" max="3051" width="12.7109375" style="114" customWidth="1"/>
    <col min="3052" max="3052" width="6.140625" style="114" customWidth="1"/>
    <col min="3053" max="3053" width="12.7109375" style="114" customWidth="1"/>
    <col min="3054" max="3054" width="6.140625" style="114" customWidth="1"/>
    <col min="3055" max="3055" width="12.7109375" style="114" customWidth="1"/>
    <col min="3056" max="3056" width="6.140625" style="114" customWidth="1"/>
    <col min="3057" max="3057" width="12.7109375" style="114" customWidth="1"/>
    <col min="3058" max="3058" width="6.140625" style="114" customWidth="1"/>
    <col min="3059" max="3059" width="12.7109375" style="114" customWidth="1"/>
    <col min="3060" max="3060" width="6.140625" style="114" customWidth="1"/>
    <col min="3061" max="3061" width="12.7109375" style="114" customWidth="1"/>
    <col min="3062" max="3062" width="8.140625" style="114" bestFit="1" customWidth="1"/>
    <col min="3063" max="3063" width="12.7109375" style="114" customWidth="1"/>
    <col min="3064" max="3064" width="6.140625" style="114" customWidth="1"/>
    <col min="3065" max="3065" width="12.7109375" style="114" customWidth="1"/>
    <col min="3066" max="3070" width="0" style="114" hidden="1" customWidth="1"/>
    <col min="3071" max="3071" width="10.140625" style="114" customWidth="1"/>
    <col min="3072" max="3072" width="17" style="114" customWidth="1"/>
    <col min="3073" max="3073" width="11.28515625" style="114" bestFit="1" customWidth="1"/>
    <col min="3074" max="3074" width="8.7109375" style="114" bestFit="1" customWidth="1"/>
    <col min="3075" max="3075" width="6" style="114" customWidth="1"/>
    <col min="3076" max="3076" width="12.7109375" style="114" customWidth="1"/>
    <col min="3077" max="3077" width="7.28515625" style="114" bestFit="1" customWidth="1"/>
    <col min="3078" max="3078" width="12.7109375" style="114" customWidth="1"/>
    <col min="3079" max="3079" width="6" style="114" customWidth="1"/>
    <col min="3080" max="3080" width="12.7109375" style="114" customWidth="1"/>
    <col min="3081" max="3081" width="6" style="114" customWidth="1"/>
    <col min="3082" max="3082" width="12.7109375" style="114" customWidth="1"/>
    <col min="3083" max="3083" width="6" style="114" customWidth="1"/>
    <col min="3084" max="3084" width="12.7109375" style="114" customWidth="1"/>
    <col min="3085" max="3085" width="6" style="114" customWidth="1"/>
    <col min="3086" max="3086" width="12.7109375" style="114" customWidth="1"/>
    <col min="3087" max="3087" width="6" style="114" customWidth="1"/>
    <col min="3088" max="3088" width="12.7109375" style="114" customWidth="1"/>
    <col min="3089" max="3089" width="6" style="114" customWidth="1"/>
    <col min="3090" max="3090" width="12.7109375" style="114" customWidth="1"/>
    <col min="3091" max="3095" width="0" style="114" hidden="1" customWidth="1"/>
    <col min="3096" max="3096" width="9.7109375" style="114" customWidth="1"/>
    <col min="3097" max="3097" width="12.28515625" style="114" customWidth="1"/>
    <col min="3098" max="3098" width="14.7109375" style="114" customWidth="1"/>
    <col min="3099" max="3099" width="9.7109375" style="114" customWidth="1"/>
    <col min="3100" max="3302" width="9.140625" style="114"/>
    <col min="3303" max="3303" width="15.7109375" style="114" customWidth="1"/>
    <col min="3304" max="3304" width="6.85546875" style="114" bestFit="1" customWidth="1"/>
    <col min="3305" max="3305" width="4.7109375" style="114" bestFit="1" customWidth="1"/>
    <col min="3306" max="3306" width="6.140625" style="114" customWidth="1"/>
    <col min="3307" max="3307" width="12.7109375" style="114" customWidth="1"/>
    <col min="3308" max="3308" width="6.140625" style="114" customWidth="1"/>
    <col min="3309" max="3309" width="12.7109375" style="114" customWidth="1"/>
    <col min="3310" max="3310" width="6.140625" style="114" customWidth="1"/>
    <col min="3311" max="3311" width="12.7109375" style="114" customWidth="1"/>
    <col min="3312" max="3312" width="6.140625" style="114" customWidth="1"/>
    <col min="3313" max="3313" width="12.7109375" style="114" customWidth="1"/>
    <col min="3314" max="3314" width="6.140625" style="114" customWidth="1"/>
    <col min="3315" max="3315" width="12.7109375" style="114" customWidth="1"/>
    <col min="3316" max="3316" width="6.140625" style="114" customWidth="1"/>
    <col min="3317" max="3317" width="12.7109375" style="114" customWidth="1"/>
    <col min="3318" max="3318" width="8.140625" style="114" bestFit="1" customWidth="1"/>
    <col min="3319" max="3319" width="12.7109375" style="114" customWidth="1"/>
    <col min="3320" max="3320" width="6.140625" style="114" customWidth="1"/>
    <col min="3321" max="3321" width="12.7109375" style="114" customWidth="1"/>
    <col min="3322" max="3326" width="0" style="114" hidden="1" customWidth="1"/>
    <col min="3327" max="3327" width="10.140625" style="114" customWidth="1"/>
    <col min="3328" max="3328" width="17" style="114" customWidth="1"/>
    <col min="3329" max="3329" width="11.28515625" style="114" bestFit="1" customWidth="1"/>
    <col min="3330" max="3330" width="8.7109375" style="114" bestFit="1" customWidth="1"/>
    <col min="3331" max="3331" width="6" style="114" customWidth="1"/>
    <col min="3332" max="3332" width="12.7109375" style="114" customWidth="1"/>
    <col min="3333" max="3333" width="7.28515625" style="114" bestFit="1" customWidth="1"/>
    <col min="3334" max="3334" width="12.7109375" style="114" customWidth="1"/>
    <col min="3335" max="3335" width="6" style="114" customWidth="1"/>
    <col min="3336" max="3336" width="12.7109375" style="114" customWidth="1"/>
    <col min="3337" max="3337" width="6" style="114" customWidth="1"/>
    <col min="3338" max="3338" width="12.7109375" style="114" customWidth="1"/>
    <col min="3339" max="3339" width="6" style="114" customWidth="1"/>
    <col min="3340" max="3340" width="12.7109375" style="114" customWidth="1"/>
    <col min="3341" max="3341" width="6" style="114" customWidth="1"/>
    <col min="3342" max="3342" width="12.7109375" style="114" customWidth="1"/>
    <col min="3343" max="3343" width="6" style="114" customWidth="1"/>
    <col min="3344" max="3344" width="12.7109375" style="114" customWidth="1"/>
    <col min="3345" max="3345" width="6" style="114" customWidth="1"/>
    <col min="3346" max="3346" width="12.7109375" style="114" customWidth="1"/>
    <col min="3347" max="3351" width="0" style="114" hidden="1" customWidth="1"/>
    <col min="3352" max="3352" width="9.7109375" style="114" customWidth="1"/>
    <col min="3353" max="3353" width="12.28515625" style="114" customWidth="1"/>
    <col min="3354" max="3354" width="14.7109375" style="114" customWidth="1"/>
    <col min="3355" max="3355" width="9.7109375" style="114" customWidth="1"/>
    <col min="3356" max="3558" width="9.140625" style="114"/>
    <col min="3559" max="3559" width="15.7109375" style="114" customWidth="1"/>
    <col min="3560" max="3560" width="6.85546875" style="114" bestFit="1" customWidth="1"/>
    <col min="3561" max="3561" width="4.7109375" style="114" bestFit="1" customWidth="1"/>
    <col min="3562" max="3562" width="6.140625" style="114" customWidth="1"/>
    <col min="3563" max="3563" width="12.7109375" style="114" customWidth="1"/>
    <col min="3564" max="3564" width="6.140625" style="114" customWidth="1"/>
    <col min="3565" max="3565" width="12.7109375" style="114" customWidth="1"/>
    <col min="3566" max="3566" width="6.140625" style="114" customWidth="1"/>
    <col min="3567" max="3567" width="12.7109375" style="114" customWidth="1"/>
    <col min="3568" max="3568" width="6.140625" style="114" customWidth="1"/>
    <col min="3569" max="3569" width="12.7109375" style="114" customWidth="1"/>
    <col min="3570" max="3570" width="6.140625" style="114" customWidth="1"/>
    <col min="3571" max="3571" width="12.7109375" style="114" customWidth="1"/>
    <col min="3572" max="3572" width="6.140625" style="114" customWidth="1"/>
    <col min="3573" max="3573" width="12.7109375" style="114" customWidth="1"/>
    <col min="3574" max="3574" width="8.140625" style="114" bestFit="1" customWidth="1"/>
    <col min="3575" max="3575" width="12.7109375" style="114" customWidth="1"/>
    <col min="3576" max="3576" width="6.140625" style="114" customWidth="1"/>
    <col min="3577" max="3577" width="12.7109375" style="114" customWidth="1"/>
    <col min="3578" max="3582" width="0" style="114" hidden="1" customWidth="1"/>
    <col min="3583" max="3583" width="10.140625" style="114" customWidth="1"/>
    <col min="3584" max="3584" width="17" style="114" customWidth="1"/>
    <col min="3585" max="3585" width="11.28515625" style="114" bestFit="1" customWidth="1"/>
    <col min="3586" max="3586" width="8.7109375" style="114" bestFit="1" customWidth="1"/>
    <col min="3587" max="3587" width="6" style="114" customWidth="1"/>
    <col min="3588" max="3588" width="12.7109375" style="114" customWidth="1"/>
    <col min="3589" max="3589" width="7.28515625" style="114" bestFit="1" customWidth="1"/>
    <col min="3590" max="3590" width="12.7109375" style="114" customWidth="1"/>
    <col min="3591" max="3591" width="6" style="114" customWidth="1"/>
    <col min="3592" max="3592" width="12.7109375" style="114" customWidth="1"/>
    <col min="3593" max="3593" width="6" style="114" customWidth="1"/>
    <col min="3594" max="3594" width="12.7109375" style="114" customWidth="1"/>
    <col min="3595" max="3595" width="6" style="114" customWidth="1"/>
    <col min="3596" max="3596" width="12.7109375" style="114" customWidth="1"/>
    <col min="3597" max="3597" width="6" style="114" customWidth="1"/>
    <col min="3598" max="3598" width="12.7109375" style="114" customWidth="1"/>
    <col min="3599" max="3599" width="6" style="114" customWidth="1"/>
    <col min="3600" max="3600" width="12.7109375" style="114" customWidth="1"/>
    <col min="3601" max="3601" width="6" style="114" customWidth="1"/>
    <col min="3602" max="3602" width="12.7109375" style="114" customWidth="1"/>
    <col min="3603" max="3607" width="0" style="114" hidden="1" customWidth="1"/>
    <col min="3608" max="3608" width="9.7109375" style="114" customWidth="1"/>
    <col min="3609" max="3609" width="12.28515625" style="114" customWidth="1"/>
    <col min="3610" max="3610" width="14.7109375" style="114" customWidth="1"/>
    <col min="3611" max="3611" width="9.7109375" style="114" customWidth="1"/>
    <col min="3612" max="3814" width="9.140625" style="114"/>
    <col min="3815" max="3815" width="15.7109375" style="114" customWidth="1"/>
    <col min="3816" max="3816" width="6.85546875" style="114" bestFit="1" customWidth="1"/>
    <col min="3817" max="3817" width="4.7109375" style="114" bestFit="1" customWidth="1"/>
    <col min="3818" max="3818" width="6.140625" style="114" customWidth="1"/>
    <col min="3819" max="3819" width="12.7109375" style="114" customWidth="1"/>
    <col min="3820" max="3820" width="6.140625" style="114" customWidth="1"/>
    <col min="3821" max="3821" width="12.7109375" style="114" customWidth="1"/>
    <col min="3822" max="3822" width="6.140625" style="114" customWidth="1"/>
    <col min="3823" max="3823" width="12.7109375" style="114" customWidth="1"/>
    <col min="3824" max="3824" width="6.140625" style="114" customWidth="1"/>
    <col min="3825" max="3825" width="12.7109375" style="114" customWidth="1"/>
    <col min="3826" max="3826" width="6.140625" style="114" customWidth="1"/>
    <col min="3827" max="3827" width="12.7109375" style="114" customWidth="1"/>
    <col min="3828" max="3828" width="6.140625" style="114" customWidth="1"/>
    <col min="3829" max="3829" width="12.7109375" style="114" customWidth="1"/>
    <col min="3830" max="3830" width="8.140625" style="114" bestFit="1" customWidth="1"/>
    <col min="3831" max="3831" width="12.7109375" style="114" customWidth="1"/>
    <col min="3832" max="3832" width="6.140625" style="114" customWidth="1"/>
    <col min="3833" max="3833" width="12.7109375" style="114" customWidth="1"/>
    <col min="3834" max="3838" width="0" style="114" hidden="1" customWidth="1"/>
    <col min="3839" max="3839" width="10.140625" style="114" customWidth="1"/>
    <col min="3840" max="3840" width="17" style="114" customWidth="1"/>
    <col min="3841" max="3841" width="11.28515625" style="114" bestFit="1" customWidth="1"/>
    <col min="3842" max="3842" width="8.7109375" style="114" bestFit="1" customWidth="1"/>
    <col min="3843" max="3843" width="6" style="114" customWidth="1"/>
    <col min="3844" max="3844" width="12.7109375" style="114" customWidth="1"/>
    <col min="3845" max="3845" width="7.28515625" style="114" bestFit="1" customWidth="1"/>
    <col min="3846" max="3846" width="12.7109375" style="114" customWidth="1"/>
    <col min="3847" max="3847" width="6" style="114" customWidth="1"/>
    <col min="3848" max="3848" width="12.7109375" style="114" customWidth="1"/>
    <col min="3849" max="3849" width="6" style="114" customWidth="1"/>
    <col min="3850" max="3850" width="12.7109375" style="114" customWidth="1"/>
    <col min="3851" max="3851" width="6" style="114" customWidth="1"/>
    <col min="3852" max="3852" width="12.7109375" style="114" customWidth="1"/>
    <col min="3853" max="3853" width="6" style="114" customWidth="1"/>
    <col min="3854" max="3854" width="12.7109375" style="114" customWidth="1"/>
    <col min="3855" max="3855" width="6" style="114" customWidth="1"/>
    <col min="3856" max="3856" width="12.7109375" style="114" customWidth="1"/>
    <col min="3857" max="3857" width="6" style="114" customWidth="1"/>
    <col min="3858" max="3858" width="12.7109375" style="114" customWidth="1"/>
    <col min="3859" max="3863" width="0" style="114" hidden="1" customWidth="1"/>
    <col min="3864" max="3864" width="9.7109375" style="114" customWidth="1"/>
    <col min="3865" max="3865" width="12.28515625" style="114" customWidth="1"/>
    <col min="3866" max="3866" width="14.7109375" style="114" customWidth="1"/>
    <col min="3867" max="3867" width="9.7109375" style="114" customWidth="1"/>
    <col min="3868" max="4070" width="9.140625" style="114"/>
    <col min="4071" max="4071" width="15.7109375" style="114" customWidth="1"/>
    <col min="4072" max="4072" width="6.85546875" style="114" bestFit="1" customWidth="1"/>
    <col min="4073" max="4073" width="4.7109375" style="114" bestFit="1" customWidth="1"/>
    <col min="4074" max="4074" width="6.140625" style="114" customWidth="1"/>
    <col min="4075" max="4075" width="12.7109375" style="114" customWidth="1"/>
    <col min="4076" max="4076" width="6.140625" style="114" customWidth="1"/>
    <col min="4077" max="4077" width="12.7109375" style="114" customWidth="1"/>
    <col min="4078" max="4078" width="6.140625" style="114" customWidth="1"/>
    <col min="4079" max="4079" width="12.7109375" style="114" customWidth="1"/>
    <col min="4080" max="4080" width="6.140625" style="114" customWidth="1"/>
    <col min="4081" max="4081" width="12.7109375" style="114" customWidth="1"/>
    <col min="4082" max="4082" width="6.140625" style="114" customWidth="1"/>
    <col min="4083" max="4083" width="12.7109375" style="114" customWidth="1"/>
    <col min="4084" max="4084" width="6.140625" style="114" customWidth="1"/>
    <col min="4085" max="4085" width="12.7109375" style="114" customWidth="1"/>
    <col min="4086" max="4086" width="8.140625" style="114" bestFit="1" customWidth="1"/>
    <col min="4087" max="4087" width="12.7109375" style="114" customWidth="1"/>
    <col min="4088" max="4088" width="6.140625" style="114" customWidth="1"/>
    <col min="4089" max="4089" width="12.7109375" style="114" customWidth="1"/>
    <col min="4090" max="4094" width="0" style="114" hidden="1" customWidth="1"/>
    <col min="4095" max="4095" width="10.140625" style="114" customWidth="1"/>
    <col min="4096" max="4096" width="17" style="114" customWidth="1"/>
    <col min="4097" max="4097" width="11.28515625" style="114" bestFit="1" customWidth="1"/>
    <col min="4098" max="4098" width="8.7109375" style="114" bestFit="1" customWidth="1"/>
    <col min="4099" max="4099" width="6" style="114" customWidth="1"/>
    <col min="4100" max="4100" width="12.7109375" style="114" customWidth="1"/>
    <col min="4101" max="4101" width="7.28515625" style="114" bestFit="1" customWidth="1"/>
    <col min="4102" max="4102" width="12.7109375" style="114" customWidth="1"/>
    <col min="4103" max="4103" width="6" style="114" customWidth="1"/>
    <col min="4104" max="4104" width="12.7109375" style="114" customWidth="1"/>
    <col min="4105" max="4105" width="6" style="114" customWidth="1"/>
    <col min="4106" max="4106" width="12.7109375" style="114" customWidth="1"/>
    <col min="4107" max="4107" width="6" style="114" customWidth="1"/>
    <col min="4108" max="4108" width="12.7109375" style="114" customWidth="1"/>
    <col min="4109" max="4109" width="6" style="114" customWidth="1"/>
    <col min="4110" max="4110" width="12.7109375" style="114" customWidth="1"/>
    <col min="4111" max="4111" width="6" style="114" customWidth="1"/>
    <col min="4112" max="4112" width="12.7109375" style="114" customWidth="1"/>
    <col min="4113" max="4113" width="6" style="114" customWidth="1"/>
    <col min="4114" max="4114" width="12.7109375" style="114" customWidth="1"/>
    <col min="4115" max="4119" width="0" style="114" hidden="1" customWidth="1"/>
    <col min="4120" max="4120" width="9.7109375" style="114" customWidth="1"/>
    <col min="4121" max="4121" width="12.28515625" style="114" customWidth="1"/>
    <col min="4122" max="4122" width="14.7109375" style="114" customWidth="1"/>
    <col min="4123" max="4123" width="9.7109375" style="114" customWidth="1"/>
    <col min="4124" max="4326" width="9.140625" style="114"/>
    <col min="4327" max="4327" width="15.7109375" style="114" customWidth="1"/>
    <col min="4328" max="4328" width="6.85546875" style="114" bestFit="1" customWidth="1"/>
    <col min="4329" max="4329" width="4.7109375" style="114" bestFit="1" customWidth="1"/>
    <col min="4330" max="4330" width="6.140625" style="114" customWidth="1"/>
    <col min="4331" max="4331" width="12.7109375" style="114" customWidth="1"/>
    <col min="4332" max="4332" width="6.140625" style="114" customWidth="1"/>
    <col min="4333" max="4333" width="12.7109375" style="114" customWidth="1"/>
    <col min="4334" max="4334" width="6.140625" style="114" customWidth="1"/>
    <col min="4335" max="4335" width="12.7109375" style="114" customWidth="1"/>
    <col min="4336" max="4336" width="6.140625" style="114" customWidth="1"/>
    <col min="4337" max="4337" width="12.7109375" style="114" customWidth="1"/>
    <col min="4338" max="4338" width="6.140625" style="114" customWidth="1"/>
    <col min="4339" max="4339" width="12.7109375" style="114" customWidth="1"/>
    <col min="4340" max="4340" width="6.140625" style="114" customWidth="1"/>
    <col min="4341" max="4341" width="12.7109375" style="114" customWidth="1"/>
    <col min="4342" max="4342" width="8.140625" style="114" bestFit="1" customWidth="1"/>
    <col min="4343" max="4343" width="12.7109375" style="114" customWidth="1"/>
    <col min="4344" max="4344" width="6.140625" style="114" customWidth="1"/>
    <col min="4345" max="4345" width="12.7109375" style="114" customWidth="1"/>
    <col min="4346" max="4350" width="0" style="114" hidden="1" customWidth="1"/>
    <col min="4351" max="4351" width="10.140625" style="114" customWidth="1"/>
    <col min="4352" max="4352" width="17" style="114" customWidth="1"/>
    <col min="4353" max="4353" width="11.28515625" style="114" bestFit="1" customWidth="1"/>
    <col min="4354" max="4354" width="8.7109375" style="114" bestFit="1" customWidth="1"/>
    <col min="4355" max="4355" width="6" style="114" customWidth="1"/>
    <col min="4356" max="4356" width="12.7109375" style="114" customWidth="1"/>
    <col min="4357" max="4357" width="7.28515625" style="114" bestFit="1" customWidth="1"/>
    <col min="4358" max="4358" width="12.7109375" style="114" customWidth="1"/>
    <col min="4359" max="4359" width="6" style="114" customWidth="1"/>
    <col min="4360" max="4360" width="12.7109375" style="114" customWidth="1"/>
    <col min="4361" max="4361" width="6" style="114" customWidth="1"/>
    <col min="4362" max="4362" width="12.7109375" style="114" customWidth="1"/>
    <col min="4363" max="4363" width="6" style="114" customWidth="1"/>
    <col min="4364" max="4364" width="12.7109375" style="114" customWidth="1"/>
    <col min="4365" max="4365" width="6" style="114" customWidth="1"/>
    <col min="4366" max="4366" width="12.7109375" style="114" customWidth="1"/>
    <col min="4367" max="4367" width="6" style="114" customWidth="1"/>
    <col min="4368" max="4368" width="12.7109375" style="114" customWidth="1"/>
    <col min="4369" max="4369" width="6" style="114" customWidth="1"/>
    <col min="4370" max="4370" width="12.7109375" style="114" customWidth="1"/>
    <col min="4371" max="4375" width="0" style="114" hidden="1" customWidth="1"/>
    <col min="4376" max="4376" width="9.7109375" style="114" customWidth="1"/>
    <col min="4377" max="4377" width="12.28515625" style="114" customWidth="1"/>
    <col min="4378" max="4378" width="14.7109375" style="114" customWidth="1"/>
    <col min="4379" max="4379" width="9.7109375" style="114" customWidth="1"/>
    <col min="4380" max="4582" width="9.140625" style="114"/>
    <col min="4583" max="4583" width="15.7109375" style="114" customWidth="1"/>
    <col min="4584" max="4584" width="6.85546875" style="114" bestFit="1" customWidth="1"/>
    <col min="4585" max="4585" width="4.7109375" style="114" bestFit="1" customWidth="1"/>
    <col min="4586" max="4586" width="6.140625" style="114" customWidth="1"/>
    <col min="4587" max="4587" width="12.7109375" style="114" customWidth="1"/>
    <col min="4588" max="4588" width="6.140625" style="114" customWidth="1"/>
    <col min="4589" max="4589" width="12.7109375" style="114" customWidth="1"/>
    <col min="4590" max="4590" width="6.140625" style="114" customWidth="1"/>
    <col min="4591" max="4591" width="12.7109375" style="114" customWidth="1"/>
    <col min="4592" max="4592" width="6.140625" style="114" customWidth="1"/>
    <col min="4593" max="4593" width="12.7109375" style="114" customWidth="1"/>
    <col min="4594" max="4594" width="6.140625" style="114" customWidth="1"/>
    <col min="4595" max="4595" width="12.7109375" style="114" customWidth="1"/>
    <col min="4596" max="4596" width="6.140625" style="114" customWidth="1"/>
    <col min="4597" max="4597" width="12.7109375" style="114" customWidth="1"/>
    <col min="4598" max="4598" width="8.140625" style="114" bestFit="1" customWidth="1"/>
    <col min="4599" max="4599" width="12.7109375" style="114" customWidth="1"/>
    <col min="4600" max="4600" width="6.140625" style="114" customWidth="1"/>
    <col min="4601" max="4601" width="12.7109375" style="114" customWidth="1"/>
    <col min="4602" max="4606" width="0" style="114" hidden="1" customWidth="1"/>
    <col min="4607" max="4607" width="10.140625" style="114" customWidth="1"/>
    <col min="4608" max="4608" width="17" style="114" customWidth="1"/>
    <col min="4609" max="4609" width="11.28515625" style="114" bestFit="1" customWidth="1"/>
    <col min="4610" max="4610" width="8.7109375" style="114" bestFit="1" customWidth="1"/>
    <col min="4611" max="4611" width="6" style="114" customWidth="1"/>
    <col min="4612" max="4612" width="12.7109375" style="114" customWidth="1"/>
    <col min="4613" max="4613" width="7.28515625" style="114" bestFit="1" customWidth="1"/>
    <col min="4614" max="4614" width="12.7109375" style="114" customWidth="1"/>
    <col min="4615" max="4615" width="6" style="114" customWidth="1"/>
    <col min="4616" max="4616" width="12.7109375" style="114" customWidth="1"/>
    <col min="4617" max="4617" width="6" style="114" customWidth="1"/>
    <col min="4618" max="4618" width="12.7109375" style="114" customWidth="1"/>
    <col min="4619" max="4619" width="6" style="114" customWidth="1"/>
    <col min="4620" max="4620" width="12.7109375" style="114" customWidth="1"/>
    <col min="4621" max="4621" width="6" style="114" customWidth="1"/>
    <col min="4622" max="4622" width="12.7109375" style="114" customWidth="1"/>
    <col min="4623" max="4623" width="6" style="114" customWidth="1"/>
    <col min="4624" max="4624" width="12.7109375" style="114" customWidth="1"/>
    <col min="4625" max="4625" width="6" style="114" customWidth="1"/>
    <col min="4626" max="4626" width="12.7109375" style="114" customWidth="1"/>
    <col min="4627" max="4631" width="0" style="114" hidden="1" customWidth="1"/>
    <col min="4632" max="4632" width="9.7109375" style="114" customWidth="1"/>
    <col min="4633" max="4633" width="12.28515625" style="114" customWidth="1"/>
    <col min="4634" max="4634" width="14.7109375" style="114" customWidth="1"/>
    <col min="4635" max="4635" width="9.7109375" style="114" customWidth="1"/>
    <col min="4636" max="4838" width="9.140625" style="114"/>
    <col min="4839" max="4839" width="15.7109375" style="114" customWidth="1"/>
    <col min="4840" max="4840" width="6.85546875" style="114" bestFit="1" customWidth="1"/>
    <col min="4841" max="4841" width="4.7109375" style="114" bestFit="1" customWidth="1"/>
    <col min="4842" max="4842" width="6.140625" style="114" customWidth="1"/>
    <col min="4843" max="4843" width="12.7109375" style="114" customWidth="1"/>
    <col min="4844" max="4844" width="6.140625" style="114" customWidth="1"/>
    <col min="4845" max="4845" width="12.7109375" style="114" customWidth="1"/>
    <col min="4846" max="4846" width="6.140625" style="114" customWidth="1"/>
    <col min="4847" max="4847" width="12.7109375" style="114" customWidth="1"/>
    <col min="4848" max="4848" width="6.140625" style="114" customWidth="1"/>
    <col min="4849" max="4849" width="12.7109375" style="114" customWidth="1"/>
    <col min="4850" max="4850" width="6.140625" style="114" customWidth="1"/>
    <col min="4851" max="4851" width="12.7109375" style="114" customWidth="1"/>
    <col min="4852" max="4852" width="6.140625" style="114" customWidth="1"/>
    <col min="4853" max="4853" width="12.7109375" style="114" customWidth="1"/>
    <col min="4854" max="4854" width="8.140625" style="114" bestFit="1" customWidth="1"/>
    <col min="4855" max="4855" width="12.7109375" style="114" customWidth="1"/>
    <col min="4856" max="4856" width="6.140625" style="114" customWidth="1"/>
    <col min="4857" max="4857" width="12.7109375" style="114" customWidth="1"/>
    <col min="4858" max="4862" width="0" style="114" hidden="1" customWidth="1"/>
    <col min="4863" max="4863" width="10.140625" style="114" customWidth="1"/>
    <col min="4864" max="4864" width="17" style="114" customWidth="1"/>
    <col min="4865" max="4865" width="11.28515625" style="114" bestFit="1" customWidth="1"/>
    <col min="4866" max="4866" width="8.7109375" style="114" bestFit="1" customWidth="1"/>
    <col min="4867" max="4867" width="6" style="114" customWidth="1"/>
    <col min="4868" max="4868" width="12.7109375" style="114" customWidth="1"/>
    <col min="4869" max="4869" width="7.28515625" style="114" bestFit="1" customWidth="1"/>
    <col min="4870" max="4870" width="12.7109375" style="114" customWidth="1"/>
    <col min="4871" max="4871" width="6" style="114" customWidth="1"/>
    <col min="4872" max="4872" width="12.7109375" style="114" customWidth="1"/>
    <col min="4873" max="4873" width="6" style="114" customWidth="1"/>
    <col min="4874" max="4874" width="12.7109375" style="114" customWidth="1"/>
    <col min="4875" max="4875" width="6" style="114" customWidth="1"/>
    <col min="4876" max="4876" width="12.7109375" style="114" customWidth="1"/>
    <col min="4877" max="4877" width="6" style="114" customWidth="1"/>
    <col min="4878" max="4878" width="12.7109375" style="114" customWidth="1"/>
    <col min="4879" max="4879" width="6" style="114" customWidth="1"/>
    <col min="4880" max="4880" width="12.7109375" style="114" customWidth="1"/>
    <col min="4881" max="4881" width="6" style="114" customWidth="1"/>
    <col min="4882" max="4882" width="12.7109375" style="114" customWidth="1"/>
    <col min="4883" max="4887" width="0" style="114" hidden="1" customWidth="1"/>
    <col min="4888" max="4888" width="9.7109375" style="114" customWidth="1"/>
    <col min="4889" max="4889" width="12.28515625" style="114" customWidth="1"/>
    <col min="4890" max="4890" width="14.7109375" style="114" customWidth="1"/>
    <col min="4891" max="4891" width="9.7109375" style="114" customWidth="1"/>
    <col min="4892" max="5094" width="9.140625" style="114"/>
    <col min="5095" max="5095" width="15.7109375" style="114" customWidth="1"/>
    <col min="5096" max="5096" width="6.85546875" style="114" bestFit="1" customWidth="1"/>
    <col min="5097" max="5097" width="4.7109375" style="114" bestFit="1" customWidth="1"/>
    <col min="5098" max="5098" width="6.140625" style="114" customWidth="1"/>
    <col min="5099" max="5099" width="12.7109375" style="114" customWidth="1"/>
    <col min="5100" max="5100" width="6.140625" style="114" customWidth="1"/>
    <col min="5101" max="5101" width="12.7109375" style="114" customWidth="1"/>
    <col min="5102" max="5102" width="6.140625" style="114" customWidth="1"/>
    <col min="5103" max="5103" width="12.7109375" style="114" customWidth="1"/>
    <col min="5104" max="5104" width="6.140625" style="114" customWidth="1"/>
    <col min="5105" max="5105" width="12.7109375" style="114" customWidth="1"/>
    <col min="5106" max="5106" width="6.140625" style="114" customWidth="1"/>
    <col min="5107" max="5107" width="12.7109375" style="114" customWidth="1"/>
    <col min="5108" max="5108" width="6.140625" style="114" customWidth="1"/>
    <col min="5109" max="5109" width="12.7109375" style="114" customWidth="1"/>
    <col min="5110" max="5110" width="8.140625" style="114" bestFit="1" customWidth="1"/>
    <col min="5111" max="5111" width="12.7109375" style="114" customWidth="1"/>
    <col min="5112" max="5112" width="6.140625" style="114" customWidth="1"/>
    <col min="5113" max="5113" width="12.7109375" style="114" customWidth="1"/>
    <col min="5114" max="5118" width="0" style="114" hidden="1" customWidth="1"/>
    <col min="5119" max="5119" width="10.140625" style="114" customWidth="1"/>
    <col min="5120" max="5120" width="17" style="114" customWidth="1"/>
    <col min="5121" max="5121" width="11.28515625" style="114" bestFit="1" customWidth="1"/>
    <col min="5122" max="5122" width="8.7109375" style="114" bestFit="1" customWidth="1"/>
    <col min="5123" max="5123" width="6" style="114" customWidth="1"/>
    <col min="5124" max="5124" width="12.7109375" style="114" customWidth="1"/>
    <col min="5125" max="5125" width="7.28515625" style="114" bestFit="1" customWidth="1"/>
    <col min="5126" max="5126" width="12.7109375" style="114" customWidth="1"/>
    <col min="5127" max="5127" width="6" style="114" customWidth="1"/>
    <col min="5128" max="5128" width="12.7109375" style="114" customWidth="1"/>
    <col min="5129" max="5129" width="6" style="114" customWidth="1"/>
    <col min="5130" max="5130" width="12.7109375" style="114" customWidth="1"/>
    <col min="5131" max="5131" width="6" style="114" customWidth="1"/>
    <col min="5132" max="5132" width="12.7109375" style="114" customWidth="1"/>
    <col min="5133" max="5133" width="6" style="114" customWidth="1"/>
    <col min="5134" max="5134" width="12.7109375" style="114" customWidth="1"/>
    <col min="5135" max="5135" width="6" style="114" customWidth="1"/>
    <col min="5136" max="5136" width="12.7109375" style="114" customWidth="1"/>
    <col min="5137" max="5137" width="6" style="114" customWidth="1"/>
    <col min="5138" max="5138" width="12.7109375" style="114" customWidth="1"/>
    <col min="5139" max="5143" width="0" style="114" hidden="1" customWidth="1"/>
    <col min="5144" max="5144" width="9.7109375" style="114" customWidth="1"/>
    <col min="5145" max="5145" width="12.28515625" style="114" customWidth="1"/>
    <col min="5146" max="5146" width="14.7109375" style="114" customWidth="1"/>
    <col min="5147" max="5147" width="9.7109375" style="114" customWidth="1"/>
    <col min="5148" max="5350" width="9.140625" style="114"/>
    <col min="5351" max="5351" width="15.7109375" style="114" customWidth="1"/>
    <col min="5352" max="5352" width="6.85546875" style="114" bestFit="1" customWidth="1"/>
    <col min="5353" max="5353" width="4.7109375" style="114" bestFit="1" customWidth="1"/>
    <col min="5354" max="5354" width="6.140625" style="114" customWidth="1"/>
    <col min="5355" max="5355" width="12.7109375" style="114" customWidth="1"/>
    <col min="5356" max="5356" width="6.140625" style="114" customWidth="1"/>
    <col min="5357" max="5357" width="12.7109375" style="114" customWidth="1"/>
    <col min="5358" max="5358" width="6.140625" style="114" customWidth="1"/>
    <col min="5359" max="5359" width="12.7109375" style="114" customWidth="1"/>
    <col min="5360" max="5360" width="6.140625" style="114" customWidth="1"/>
    <col min="5361" max="5361" width="12.7109375" style="114" customWidth="1"/>
    <col min="5362" max="5362" width="6.140625" style="114" customWidth="1"/>
    <col min="5363" max="5363" width="12.7109375" style="114" customWidth="1"/>
    <col min="5364" max="5364" width="6.140625" style="114" customWidth="1"/>
    <col min="5365" max="5365" width="12.7109375" style="114" customWidth="1"/>
    <col min="5366" max="5366" width="8.140625" style="114" bestFit="1" customWidth="1"/>
    <col min="5367" max="5367" width="12.7109375" style="114" customWidth="1"/>
    <col min="5368" max="5368" width="6.140625" style="114" customWidth="1"/>
    <col min="5369" max="5369" width="12.7109375" style="114" customWidth="1"/>
    <col min="5370" max="5374" width="0" style="114" hidden="1" customWidth="1"/>
    <col min="5375" max="5375" width="10.140625" style="114" customWidth="1"/>
    <col min="5376" max="5376" width="17" style="114" customWidth="1"/>
    <col min="5377" max="5377" width="11.28515625" style="114" bestFit="1" customWidth="1"/>
    <col min="5378" max="5378" width="8.7109375" style="114" bestFit="1" customWidth="1"/>
    <col min="5379" max="5379" width="6" style="114" customWidth="1"/>
    <col min="5380" max="5380" width="12.7109375" style="114" customWidth="1"/>
    <col min="5381" max="5381" width="7.28515625" style="114" bestFit="1" customWidth="1"/>
    <col min="5382" max="5382" width="12.7109375" style="114" customWidth="1"/>
    <col min="5383" max="5383" width="6" style="114" customWidth="1"/>
    <col min="5384" max="5384" width="12.7109375" style="114" customWidth="1"/>
    <col min="5385" max="5385" width="6" style="114" customWidth="1"/>
    <col min="5386" max="5386" width="12.7109375" style="114" customWidth="1"/>
    <col min="5387" max="5387" width="6" style="114" customWidth="1"/>
    <col min="5388" max="5388" width="12.7109375" style="114" customWidth="1"/>
    <col min="5389" max="5389" width="6" style="114" customWidth="1"/>
    <col min="5390" max="5390" width="12.7109375" style="114" customWidth="1"/>
    <col min="5391" max="5391" width="6" style="114" customWidth="1"/>
    <col min="5392" max="5392" width="12.7109375" style="114" customWidth="1"/>
    <col min="5393" max="5393" width="6" style="114" customWidth="1"/>
    <col min="5394" max="5394" width="12.7109375" style="114" customWidth="1"/>
    <col min="5395" max="5399" width="0" style="114" hidden="1" customWidth="1"/>
    <col min="5400" max="5400" width="9.7109375" style="114" customWidth="1"/>
    <col min="5401" max="5401" width="12.28515625" style="114" customWidth="1"/>
    <col min="5402" max="5402" width="14.7109375" style="114" customWidth="1"/>
    <col min="5403" max="5403" width="9.7109375" style="114" customWidth="1"/>
    <col min="5404" max="5606" width="9.140625" style="114"/>
    <col min="5607" max="5607" width="15.7109375" style="114" customWidth="1"/>
    <col min="5608" max="5608" width="6.85546875" style="114" bestFit="1" customWidth="1"/>
    <col min="5609" max="5609" width="4.7109375" style="114" bestFit="1" customWidth="1"/>
    <col min="5610" max="5610" width="6.140625" style="114" customWidth="1"/>
    <col min="5611" max="5611" width="12.7109375" style="114" customWidth="1"/>
    <col min="5612" max="5612" width="6.140625" style="114" customWidth="1"/>
    <col min="5613" max="5613" width="12.7109375" style="114" customWidth="1"/>
    <col min="5614" max="5614" width="6.140625" style="114" customWidth="1"/>
    <col min="5615" max="5615" width="12.7109375" style="114" customWidth="1"/>
    <col min="5616" max="5616" width="6.140625" style="114" customWidth="1"/>
    <col min="5617" max="5617" width="12.7109375" style="114" customWidth="1"/>
    <col min="5618" max="5618" width="6.140625" style="114" customWidth="1"/>
    <col min="5619" max="5619" width="12.7109375" style="114" customWidth="1"/>
    <col min="5620" max="5620" width="6.140625" style="114" customWidth="1"/>
    <col min="5621" max="5621" width="12.7109375" style="114" customWidth="1"/>
    <col min="5622" max="5622" width="8.140625" style="114" bestFit="1" customWidth="1"/>
    <col min="5623" max="5623" width="12.7109375" style="114" customWidth="1"/>
    <col min="5624" max="5624" width="6.140625" style="114" customWidth="1"/>
    <col min="5625" max="5625" width="12.7109375" style="114" customWidth="1"/>
    <col min="5626" max="5630" width="0" style="114" hidden="1" customWidth="1"/>
    <col min="5631" max="5631" width="10.140625" style="114" customWidth="1"/>
    <col min="5632" max="5632" width="17" style="114" customWidth="1"/>
    <col min="5633" max="5633" width="11.28515625" style="114" bestFit="1" customWidth="1"/>
    <col min="5634" max="5634" width="8.7109375" style="114" bestFit="1" customWidth="1"/>
    <col min="5635" max="5635" width="6" style="114" customWidth="1"/>
    <col min="5636" max="5636" width="12.7109375" style="114" customWidth="1"/>
    <col min="5637" max="5637" width="7.28515625" style="114" bestFit="1" customWidth="1"/>
    <col min="5638" max="5638" width="12.7109375" style="114" customWidth="1"/>
    <col min="5639" max="5639" width="6" style="114" customWidth="1"/>
    <col min="5640" max="5640" width="12.7109375" style="114" customWidth="1"/>
    <col min="5641" max="5641" width="6" style="114" customWidth="1"/>
    <col min="5642" max="5642" width="12.7109375" style="114" customWidth="1"/>
    <col min="5643" max="5643" width="6" style="114" customWidth="1"/>
    <col min="5644" max="5644" width="12.7109375" style="114" customWidth="1"/>
    <col min="5645" max="5645" width="6" style="114" customWidth="1"/>
    <col min="5646" max="5646" width="12.7109375" style="114" customWidth="1"/>
    <col min="5647" max="5647" width="6" style="114" customWidth="1"/>
    <col min="5648" max="5648" width="12.7109375" style="114" customWidth="1"/>
    <col min="5649" max="5649" width="6" style="114" customWidth="1"/>
    <col min="5650" max="5650" width="12.7109375" style="114" customWidth="1"/>
    <col min="5651" max="5655" width="0" style="114" hidden="1" customWidth="1"/>
    <col min="5656" max="5656" width="9.7109375" style="114" customWidth="1"/>
    <col min="5657" max="5657" width="12.28515625" style="114" customWidth="1"/>
    <col min="5658" max="5658" width="14.7109375" style="114" customWidth="1"/>
    <col min="5659" max="5659" width="9.7109375" style="114" customWidth="1"/>
    <col min="5660" max="5862" width="9.140625" style="114"/>
    <col min="5863" max="5863" width="15.7109375" style="114" customWidth="1"/>
    <col min="5864" max="5864" width="6.85546875" style="114" bestFit="1" customWidth="1"/>
    <col min="5865" max="5865" width="4.7109375" style="114" bestFit="1" customWidth="1"/>
    <col min="5866" max="5866" width="6.140625" style="114" customWidth="1"/>
    <col min="5867" max="5867" width="12.7109375" style="114" customWidth="1"/>
    <col min="5868" max="5868" width="6.140625" style="114" customWidth="1"/>
    <col min="5869" max="5869" width="12.7109375" style="114" customWidth="1"/>
    <col min="5870" max="5870" width="6.140625" style="114" customWidth="1"/>
    <col min="5871" max="5871" width="12.7109375" style="114" customWidth="1"/>
    <col min="5872" max="5872" width="6.140625" style="114" customWidth="1"/>
    <col min="5873" max="5873" width="12.7109375" style="114" customWidth="1"/>
    <col min="5874" max="5874" width="6.140625" style="114" customWidth="1"/>
    <col min="5875" max="5875" width="12.7109375" style="114" customWidth="1"/>
    <col min="5876" max="5876" width="6.140625" style="114" customWidth="1"/>
    <col min="5877" max="5877" width="12.7109375" style="114" customWidth="1"/>
    <col min="5878" max="5878" width="8.140625" style="114" bestFit="1" customWidth="1"/>
    <col min="5879" max="5879" width="12.7109375" style="114" customWidth="1"/>
    <col min="5880" max="5880" width="6.140625" style="114" customWidth="1"/>
    <col min="5881" max="5881" width="12.7109375" style="114" customWidth="1"/>
    <col min="5882" max="5886" width="0" style="114" hidden="1" customWidth="1"/>
    <col min="5887" max="5887" width="10.140625" style="114" customWidth="1"/>
    <col min="5888" max="5888" width="17" style="114" customWidth="1"/>
    <col min="5889" max="5889" width="11.28515625" style="114" bestFit="1" customWidth="1"/>
    <col min="5890" max="5890" width="8.7109375" style="114" bestFit="1" customWidth="1"/>
    <col min="5891" max="5891" width="6" style="114" customWidth="1"/>
    <col min="5892" max="5892" width="12.7109375" style="114" customWidth="1"/>
    <col min="5893" max="5893" width="7.28515625" style="114" bestFit="1" customWidth="1"/>
    <col min="5894" max="5894" width="12.7109375" style="114" customWidth="1"/>
    <col min="5895" max="5895" width="6" style="114" customWidth="1"/>
    <col min="5896" max="5896" width="12.7109375" style="114" customWidth="1"/>
    <col min="5897" max="5897" width="6" style="114" customWidth="1"/>
    <col min="5898" max="5898" width="12.7109375" style="114" customWidth="1"/>
    <col min="5899" max="5899" width="6" style="114" customWidth="1"/>
    <col min="5900" max="5900" width="12.7109375" style="114" customWidth="1"/>
    <col min="5901" max="5901" width="6" style="114" customWidth="1"/>
    <col min="5902" max="5902" width="12.7109375" style="114" customWidth="1"/>
    <col min="5903" max="5903" width="6" style="114" customWidth="1"/>
    <col min="5904" max="5904" width="12.7109375" style="114" customWidth="1"/>
    <col min="5905" max="5905" width="6" style="114" customWidth="1"/>
    <col min="5906" max="5906" width="12.7109375" style="114" customWidth="1"/>
    <col min="5907" max="5911" width="0" style="114" hidden="1" customWidth="1"/>
    <col min="5912" max="5912" width="9.7109375" style="114" customWidth="1"/>
    <col min="5913" max="5913" width="12.28515625" style="114" customWidth="1"/>
    <col min="5914" max="5914" width="14.7109375" style="114" customWidth="1"/>
    <col min="5915" max="5915" width="9.7109375" style="114" customWidth="1"/>
    <col min="5916" max="6118" width="9.140625" style="114"/>
    <col min="6119" max="6119" width="15.7109375" style="114" customWidth="1"/>
    <col min="6120" max="6120" width="6.85546875" style="114" bestFit="1" customWidth="1"/>
    <col min="6121" max="6121" width="4.7109375" style="114" bestFit="1" customWidth="1"/>
    <col min="6122" max="6122" width="6.140625" style="114" customWidth="1"/>
    <col min="6123" max="6123" width="12.7109375" style="114" customWidth="1"/>
    <col min="6124" max="6124" width="6.140625" style="114" customWidth="1"/>
    <col min="6125" max="6125" width="12.7109375" style="114" customWidth="1"/>
    <col min="6126" max="6126" width="6.140625" style="114" customWidth="1"/>
    <col min="6127" max="6127" width="12.7109375" style="114" customWidth="1"/>
    <col min="6128" max="6128" width="6.140625" style="114" customWidth="1"/>
    <col min="6129" max="6129" width="12.7109375" style="114" customWidth="1"/>
    <col min="6130" max="6130" width="6.140625" style="114" customWidth="1"/>
    <col min="6131" max="6131" width="12.7109375" style="114" customWidth="1"/>
    <col min="6132" max="6132" width="6.140625" style="114" customWidth="1"/>
    <col min="6133" max="6133" width="12.7109375" style="114" customWidth="1"/>
    <col min="6134" max="6134" width="8.140625" style="114" bestFit="1" customWidth="1"/>
    <col min="6135" max="6135" width="12.7109375" style="114" customWidth="1"/>
    <col min="6136" max="6136" width="6.140625" style="114" customWidth="1"/>
    <col min="6137" max="6137" width="12.7109375" style="114" customWidth="1"/>
    <col min="6138" max="6142" width="0" style="114" hidden="1" customWidth="1"/>
    <col min="6143" max="6143" width="10.140625" style="114" customWidth="1"/>
    <col min="6144" max="6144" width="17" style="114" customWidth="1"/>
    <col min="6145" max="6145" width="11.28515625" style="114" bestFit="1" customWidth="1"/>
    <col min="6146" max="6146" width="8.7109375" style="114" bestFit="1" customWidth="1"/>
    <col min="6147" max="6147" width="6" style="114" customWidth="1"/>
    <col min="6148" max="6148" width="12.7109375" style="114" customWidth="1"/>
    <col min="6149" max="6149" width="7.28515625" style="114" bestFit="1" customWidth="1"/>
    <col min="6150" max="6150" width="12.7109375" style="114" customWidth="1"/>
    <col min="6151" max="6151" width="6" style="114" customWidth="1"/>
    <col min="6152" max="6152" width="12.7109375" style="114" customWidth="1"/>
    <col min="6153" max="6153" width="6" style="114" customWidth="1"/>
    <col min="6154" max="6154" width="12.7109375" style="114" customWidth="1"/>
    <col min="6155" max="6155" width="6" style="114" customWidth="1"/>
    <col min="6156" max="6156" width="12.7109375" style="114" customWidth="1"/>
    <col min="6157" max="6157" width="6" style="114" customWidth="1"/>
    <col min="6158" max="6158" width="12.7109375" style="114" customWidth="1"/>
    <col min="6159" max="6159" width="6" style="114" customWidth="1"/>
    <col min="6160" max="6160" width="12.7109375" style="114" customWidth="1"/>
    <col min="6161" max="6161" width="6" style="114" customWidth="1"/>
    <col min="6162" max="6162" width="12.7109375" style="114" customWidth="1"/>
    <col min="6163" max="6167" width="0" style="114" hidden="1" customWidth="1"/>
    <col min="6168" max="6168" width="9.7109375" style="114" customWidth="1"/>
    <col min="6169" max="6169" width="12.28515625" style="114" customWidth="1"/>
    <col min="6170" max="6170" width="14.7109375" style="114" customWidth="1"/>
    <col min="6171" max="6171" width="9.7109375" style="114" customWidth="1"/>
    <col min="6172" max="6374" width="9.140625" style="114"/>
    <col min="6375" max="6375" width="15.7109375" style="114" customWidth="1"/>
    <col min="6376" max="6376" width="6.85546875" style="114" bestFit="1" customWidth="1"/>
    <col min="6377" max="6377" width="4.7109375" style="114" bestFit="1" customWidth="1"/>
    <col min="6378" max="6378" width="6.140625" style="114" customWidth="1"/>
    <col min="6379" max="6379" width="12.7109375" style="114" customWidth="1"/>
    <col min="6380" max="6380" width="6.140625" style="114" customWidth="1"/>
    <col min="6381" max="6381" width="12.7109375" style="114" customWidth="1"/>
    <col min="6382" max="6382" width="6.140625" style="114" customWidth="1"/>
    <col min="6383" max="6383" width="12.7109375" style="114" customWidth="1"/>
    <col min="6384" max="6384" width="6.140625" style="114" customWidth="1"/>
    <col min="6385" max="6385" width="12.7109375" style="114" customWidth="1"/>
    <col min="6386" max="6386" width="6.140625" style="114" customWidth="1"/>
    <col min="6387" max="6387" width="12.7109375" style="114" customWidth="1"/>
    <col min="6388" max="6388" width="6.140625" style="114" customWidth="1"/>
    <col min="6389" max="6389" width="12.7109375" style="114" customWidth="1"/>
    <col min="6390" max="6390" width="8.140625" style="114" bestFit="1" customWidth="1"/>
    <col min="6391" max="6391" width="12.7109375" style="114" customWidth="1"/>
    <col min="6392" max="6392" width="6.140625" style="114" customWidth="1"/>
    <col min="6393" max="6393" width="12.7109375" style="114" customWidth="1"/>
    <col min="6394" max="6398" width="0" style="114" hidden="1" customWidth="1"/>
    <col min="6399" max="6399" width="10.140625" style="114" customWidth="1"/>
    <col min="6400" max="6400" width="17" style="114" customWidth="1"/>
    <col min="6401" max="6401" width="11.28515625" style="114" bestFit="1" customWidth="1"/>
    <col min="6402" max="6402" width="8.7109375" style="114" bestFit="1" customWidth="1"/>
    <col min="6403" max="6403" width="6" style="114" customWidth="1"/>
    <col min="6404" max="6404" width="12.7109375" style="114" customWidth="1"/>
    <col min="6405" max="6405" width="7.28515625" style="114" bestFit="1" customWidth="1"/>
    <col min="6406" max="6406" width="12.7109375" style="114" customWidth="1"/>
    <col min="6407" max="6407" width="6" style="114" customWidth="1"/>
    <col min="6408" max="6408" width="12.7109375" style="114" customWidth="1"/>
    <col min="6409" max="6409" width="6" style="114" customWidth="1"/>
    <col min="6410" max="6410" width="12.7109375" style="114" customWidth="1"/>
    <col min="6411" max="6411" width="6" style="114" customWidth="1"/>
    <col min="6412" max="6412" width="12.7109375" style="114" customWidth="1"/>
    <col min="6413" max="6413" width="6" style="114" customWidth="1"/>
    <col min="6414" max="6414" width="12.7109375" style="114" customWidth="1"/>
    <col min="6415" max="6415" width="6" style="114" customWidth="1"/>
    <col min="6416" max="6416" width="12.7109375" style="114" customWidth="1"/>
    <col min="6417" max="6417" width="6" style="114" customWidth="1"/>
    <col min="6418" max="6418" width="12.7109375" style="114" customWidth="1"/>
    <col min="6419" max="6423" width="0" style="114" hidden="1" customWidth="1"/>
    <col min="6424" max="6424" width="9.7109375" style="114" customWidth="1"/>
    <col min="6425" max="6425" width="12.28515625" style="114" customWidth="1"/>
    <col min="6426" max="6426" width="14.7109375" style="114" customWidth="1"/>
    <col min="6427" max="6427" width="9.7109375" style="114" customWidth="1"/>
    <col min="6428" max="6630" width="9.140625" style="114"/>
    <col min="6631" max="6631" width="15.7109375" style="114" customWidth="1"/>
    <col min="6632" max="6632" width="6.85546875" style="114" bestFit="1" customWidth="1"/>
    <col min="6633" max="6633" width="4.7109375" style="114" bestFit="1" customWidth="1"/>
    <col min="6634" max="6634" width="6.140625" style="114" customWidth="1"/>
    <col min="6635" max="6635" width="12.7109375" style="114" customWidth="1"/>
    <col min="6636" max="6636" width="6.140625" style="114" customWidth="1"/>
    <col min="6637" max="6637" width="12.7109375" style="114" customWidth="1"/>
    <col min="6638" max="6638" width="6.140625" style="114" customWidth="1"/>
    <col min="6639" max="6639" width="12.7109375" style="114" customWidth="1"/>
    <col min="6640" max="6640" width="6.140625" style="114" customWidth="1"/>
    <col min="6641" max="6641" width="12.7109375" style="114" customWidth="1"/>
    <col min="6642" max="6642" width="6.140625" style="114" customWidth="1"/>
    <col min="6643" max="6643" width="12.7109375" style="114" customWidth="1"/>
    <col min="6644" max="6644" width="6.140625" style="114" customWidth="1"/>
    <col min="6645" max="6645" width="12.7109375" style="114" customWidth="1"/>
    <col min="6646" max="6646" width="8.140625" style="114" bestFit="1" customWidth="1"/>
    <col min="6647" max="6647" width="12.7109375" style="114" customWidth="1"/>
    <col min="6648" max="6648" width="6.140625" style="114" customWidth="1"/>
    <col min="6649" max="6649" width="12.7109375" style="114" customWidth="1"/>
    <col min="6650" max="6654" width="0" style="114" hidden="1" customWidth="1"/>
    <col min="6655" max="6655" width="10.140625" style="114" customWidth="1"/>
    <col min="6656" max="6656" width="17" style="114" customWidth="1"/>
    <col min="6657" max="6657" width="11.28515625" style="114" bestFit="1" customWidth="1"/>
    <col min="6658" max="6658" width="8.7109375" style="114" bestFit="1" customWidth="1"/>
    <col min="6659" max="6659" width="6" style="114" customWidth="1"/>
    <col min="6660" max="6660" width="12.7109375" style="114" customWidth="1"/>
    <col min="6661" max="6661" width="7.28515625" style="114" bestFit="1" customWidth="1"/>
    <col min="6662" max="6662" width="12.7109375" style="114" customWidth="1"/>
    <col min="6663" max="6663" width="6" style="114" customWidth="1"/>
    <col min="6664" max="6664" width="12.7109375" style="114" customWidth="1"/>
    <col min="6665" max="6665" width="6" style="114" customWidth="1"/>
    <col min="6666" max="6666" width="12.7109375" style="114" customWidth="1"/>
    <col min="6667" max="6667" width="6" style="114" customWidth="1"/>
    <col min="6668" max="6668" width="12.7109375" style="114" customWidth="1"/>
    <col min="6669" max="6669" width="6" style="114" customWidth="1"/>
    <col min="6670" max="6670" width="12.7109375" style="114" customWidth="1"/>
    <col min="6671" max="6671" width="6" style="114" customWidth="1"/>
    <col min="6672" max="6672" width="12.7109375" style="114" customWidth="1"/>
    <col min="6673" max="6673" width="6" style="114" customWidth="1"/>
    <col min="6674" max="6674" width="12.7109375" style="114" customWidth="1"/>
    <col min="6675" max="6679" width="0" style="114" hidden="1" customWidth="1"/>
    <col min="6680" max="6680" width="9.7109375" style="114" customWidth="1"/>
    <col min="6681" max="6681" width="12.28515625" style="114" customWidth="1"/>
    <col min="6682" max="6682" width="14.7109375" style="114" customWidth="1"/>
    <col min="6683" max="6683" width="9.7109375" style="114" customWidth="1"/>
    <col min="6684" max="6886" width="9.140625" style="114"/>
    <col min="6887" max="6887" width="15.7109375" style="114" customWidth="1"/>
    <col min="6888" max="6888" width="6.85546875" style="114" bestFit="1" customWidth="1"/>
    <col min="6889" max="6889" width="4.7109375" style="114" bestFit="1" customWidth="1"/>
    <col min="6890" max="6890" width="6.140625" style="114" customWidth="1"/>
    <col min="6891" max="6891" width="12.7109375" style="114" customWidth="1"/>
    <col min="6892" max="6892" width="6.140625" style="114" customWidth="1"/>
    <col min="6893" max="6893" width="12.7109375" style="114" customWidth="1"/>
    <col min="6894" max="6894" width="6.140625" style="114" customWidth="1"/>
    <col min="6895" max="6895" width="12.7109375" style="114" customWidth="1"/>
    <col min="6896" max="6896" width="6.140625" style="114" customWidth="1"/>
    <col min="6897" max="6897" width="12.7109375" style="114" customWidth="1"/>
    <col min="6898" max="6898" width="6.140625" style="114" customWidth="1"/>
    <col min="6899" max="6899" width="12.7109375" style="114" customWidth="1"/>
    <col min="6900" max="6900" width="6.140625" style="114" customWidth="1"/>
    <col min="6901" max="6901" width="12.7109375" style="114" customWidth="1"/>
    <col min="6902" max="6902" width="8.140625" style="114" bestFit="1" customWidth="1"/>
    <col min="6903" max="6903" width="12.7109375" style="114" customWidth="1"/>
    <col min="6904" max="6904" width="6.140625" style="114" customWidth="1"/>
    <col min="6905" max="6905" width="12.7109375" style="114" customWidth="1"/>
    <col min="6906" max="6910" width="0" style="114" hidden="1" customWidth="1"/>
    <col min="6911" max="6911" width="10.140625" style="114" customWidth="1"/>
    <col min="6912" max="6912" width="17" style="114" customWidth="1"/>
    <col min="6913" max="6913" width="11.28515625" style="114" bestFit="1" customWidth="1"/>
    <col min="6914" max="6914" width="8.7109375" style="114" bestFit="1" customWidth="1"/>
    <col min="6915" max="6915" width="6" style="114" customWidth="1"/>
    <col min="6916" max="6916" width="12.7109375" style="114" customWidth="1"/>
    <col min="6917" max="6917" width="7.28515625" style="114" bestFit="1" customWidth="1"/>
    <col min="6918" max="6918" width="12.7109375" style="114" customWidth="1"/>
    <col min="6919" max="6919" width="6" style="114" customWidth="1"/>
    <col min="6920" max="6920" width="12.7109375" style="114" customWidth="1"/>
    <col min="6921" max="6921" width="6" style="114" customWidth="1"/>
    <col min="6922" max="6922" width="12.7109375" style="114" customWidth="1"/>
    <col min="6923" max="6923" width="6" style="114" customWidth="1"/>
    <col min="6924" max="6924" width="12.7109375" style="114" customWidth="1"/>
    <col min="6925" max="6925" width="6" style="114" customWidth="1"/>
    <col min="6926" max="6926" width="12.7109375" style="114" customWidth="1"/>
    <col min="6927" max="6927" width="6" style="114" customWidth="1"/>
    <col min="6928" max="6928" width="12.7109375" style="114" customWidth="1"/>
    <col min="6929" max="6929" width="6" style="114" customWidth="1"/>
    <col min="6930" max="6930" width="12.7109375" style="114" customWidth="1"/>
    <col min="6931" max="6935" width="0" style="114" hidden="1" customWidth="1"/>
    <col min="6936" max="6936" width="9.7109375" style="114" customWidth="1"/>
    <col min="6937" max="6937" width="12.28515625" style="114" customWidth="1"/>
    <col min="6938" max="6938" width="14.7109375" style="114" customWidth="1"/>
    <col min="6939" max="6939" width="9.7109375" style="114" customWidth="1"/>
    <col min="6940" max="7142" width="9.140625" style="114"/>
    <col min="7143" max="7143" width="15.7109375" style="114" customWidth="1"/>
    <col min="7144" max="7144" width="6.85546875" style="114" bestFit="1" customWidth="1"/>
    <col min="7145" max="7145" width="4.7109375" style="114" bestFit="1" customWidth="1"/>
    <col min="7146" max="7146" width="6.140625" style="114" customWidth="1"/>
    <col min="7147" max="7147" width="12.7109375" style="114" customWidth="1"/>
    <col min="7148" max="7148" width="6.140625" style="114" customWidth="1"/>
    <col min="7149" max="7149" width="12.7109375" style="114" customWidth="1"/>
    <col min="7150" max="7150" width="6.140625" style="114" customWidth="1"/>
    <col min="7151" max="7151" width="12.7109375" style="114" customWidth="1"/>
    <col min="7152" max="7152" width="6.140625" style="114" customWidth="1"/>
    <col min="7153" max="7153" width="12.7109375" style="114" customWidth="1"/>
    <col min="7154" max="7154" width="6.140625" style="114" customWidth="1"/>
    <col min="7155" max="7155" width="12.7109375" style="114" customWidth="1"/>
    <col min="7156" max="7156" width="6.140625" style="114" customWidth="1"/>
    <col min="7157" max="7157" width="12.7109375" style="114" customWidth="1"/>
    <col min="7158" max="7158" width="8.140625" style="114" bestFit="1" customWidth="1"/>
    <col min="7159" max="7159" width="12.7109375" style="114" customWidth="1"/>
    <col min="7160" max="7160" width="6.140625" style="114" customWidth="1"/>
    <col min="7161" max="7161" width="12.7109375" style="114" customWidth="1"/>
    <col min="7162" max="7166" width="0" style="114" hidden="1" customWidth="1"/>
    <col min="7167" max="7167" width="10.140625" style="114" customWidth="1"/>
    <col min="7168" max="7168" width="17" style="114" customWidth="1"/>
    <col min="7169" max="7169" width="11.28515625" style="114" bestFit="1" customWidth="1"/>
    <col min="7170" max="7170" width="8.7109375" style="114" bestFit="1" customWidth="1"/>
    <col min="7171" max="7171" width="6" style="114" customWidth="1"/>
    <col min="7172" max="7172" width="12.7109375" style="114" customWidth="1"/>
    <col min="7173" max="7173" width="7.28515625" style="114" bestFit="1" customWidth="1"/>
    <col min="7174" max="7174" width="12.7109375" style="114" customWidth="1"/>
    <col min="7175" max="7175" width="6" style="114" customWidth="1"/>
    <col min="7176" max="7176" width="12.7109375" style="114" customWidth="1"/>
    <col min="7177" max="7177" width="6" style="114" customWidth="1"/>
    <col min="7178" max="7178" width="12.7109375" style="114" customWidth="1"/>
    <col min="7179" max="7179" width="6" style="114" customWidth="1"/>
    <col min="7180" max="7180" width="12.7109375" style="114" customWidth="1"/>
    <col min="7181" max="7181" width="6" style="114" customWidth="1"/>
    <col min="7182" max="7182" width="12.7109375" style="114" customWidth="1"/>
    <col min="7183" max="7183" width="6" style="114" customWidth="1"/>
    <col min="7184" max="7184" width="12.7109375" style="114" customWidth="1"/>
    <col min="7185" max="7185" width="6" style="114" customWidth="1"/>
    <col min="7186" max="7186" width="12.7109375" style="114" customWidth="1"/>
    <col min="7187" max="7191" width="0" style="114" hidden="1" customWidth="1"/>
    <col min="7192" max="7192" width="9.7109375" style="114" customWidth="1"/>
    <col min="7193" max="7193" width="12.28515625" style="114" customWidth="1"/>
    <col min="7194" max="7194" width="14.7109375" style="114" customWidth="1"/>
    <col min="7195" max="7195" width="9.7109375" style="114" customWidth="1"/>
    <col min="7196" max="7398" width="9.140625" style="114"/>
    <col min="7399" max="7399" width="15.7109375" style="114" customWidth="1"/>
    <col min="7400" max="7400" width="6.85546875" style="114" bestFit="1" customWidth="1"/>
    <col min="7401" max="7401" width="4.7109375" style="114" bestFit="1" customWidth="1"/>
    <col min="7402" max="7402" width="6.140625" style="114" customWidth="1"/>
    <col min="7403" max="7403" width="12.7109375" style="114" customWidth="1"/>
    <col min="7404" max="7404" width="6.140625" style="114" customWidth="1"/>
    <col min="7405" max="7405" width="12.7109375" style="114" customWidth="1"/>
    <col min="7406" max="7406" width="6.140625" style="114" customWidth="1"/>
    <col min="7407" max="7407" width="12.7109375" style="114" customWidth="1"/>
    <col min="7408" max="7408" width="6.140625" style="114" customWidth="1"/>
    <col min="7409" max="7409" width="12.7109375" style="114" customWidth="1"/>
    <col min="7410" max="7410" width="6.140625" style="114" customWidth="1"/>
    <col min="7411" max="7411" width="12.7109375" style="114" customWidth="1"/>
    <col min="7412" max="7412" width="6.140625" style="114" customWidth="1"/>
    <col min="7413" max="7413" width="12.7109375" style="114" customWidth="1"/>
    <col min="7414" max="7414" width="8.140625" style="114" bestFit="1" customWidth="1"/>
    <col min="7415" max="7415" width="12.7109375" style="114" customWidth="1"/>
    <col min="7416" max="7416" width="6.140625" style="114" customWidth="1"/>
    <col min="7417" max="7417" width="12.7109375" style="114" customWidth="1"/>
    <col min="7418" max="7422" width="0" style="114" hidden="1" customWidth="1"/>
    <col min="7423" max="7423" width="10.140625" style="114" customWidth="1"/>
    <col min="7424" max="7424" width="17" style="114" customWidth="1"/>
    <col min="7425" max="7425" width="11.28515625" style="114" bestFit="1" customWidth="1"/>
    <col min="7426" max="7426" width="8.7109375" style="114" bestFit="1" customWidth="1"/>
    <col min="7427" max="7427" width="6" style="114" customWidth="1"/>
    <col min="7428" max="7428" width="12.7109375" style="114" customWidth="1"/>
    <col min="7429" max="7429" width="7.28515625" style="114" bestFit="1" customWidth="1"/>
    <col min="7430" max="7430" width="12.7109375" style="114" customWidth="1"/>
    <col min="7431" max="7431" width="6" style="114" customWidth="1"/>
    <col min="7432" max="7432" width="12.7109375" style="114" customWidth="1"/>
    <col min="7433" max="7433" width="6" style="114" customWidth="1"/>
    <col min="7434" max="7434" width="12.7109375" style="114" customWidth="1"/>
    <col min="7435" max="7435" width="6" style="114" customWidth="1"/>
    <col min="7436" max="7436" width="12.7109375" style="114" customWidth="1"/>
    <col min="7437" max="7437" width="6" style="114" customWidth="1"/>
    <col min="7438" max="7438" width="12.7109375" style="114" customWidth="1"/>
    <col min="7439" max="7439" width="6" style="114" customWidth="1"/>
    <col min="7440" max="7440" width="12.7109375" style="114" customWidth="1"/>
    <col min="7441" max="7441" width="6" style="114" customWidth="1"/>
    <col min="7442" max="7442" width="12.7109375" style="114" customWidth="1"/>
    <col min="7443" max="7447" width="0" style="114" hidden="1" customWidth="1"/>
    <col min="7448" max="7448" width="9.7109375" style="114" customWidth="1"/>
    <col min="7449" max="7449" width="12.28515625" style="114" customWidth="1"/>
    <col min="7450" max="7450" width="14.7109375" style="114" customWidth="1"/>
    <col min="7451" max="7451" width="9.7109375" style="114" customWidth="1"/>
    <col min="7452" max="7654" width="9.140625" style="114"/>
    <col min="7655" max="7655" width="15.7109375" style="114" customWidth="1"/>
    <col min="7656" max="7656" width="6.85546875" style="114" bestFit="1" customWidth="1"/>
    <col min="7657" max="7657" width="4.7109375" style="114" bestFit="1" customWidth="1"/>
    <col min="7658" max="7658" width="6.140625" style="114" customWidth="1"/>
    <col min="7659" max="7659" width="12.7109375" style="114" customWidth="1"/>
    <col min="7660" max="7660" width="6.140625" style="114" customWidth="1"/>
    <col min="7661" max="7661" width="12.7109375" style="114" customWidth="1"/>
    <col min="7662" max="7662" width="6.140625" style="114" customWidth="1"/>
    <col min="7663" max="7663" width="12.7109375" style="114" customWidth="1"/>
    <col min="7664" max="7664" width="6.140625" style="114" customWidth="1"/>
    <col min="7665" max="7665" width="12.7109375" style="114" customWidth="1"/>
    <col min="7666" max="7666" width="6.140625" style="114" customWidth="1"/>
    <col min="7667" max="7667" width="12.7109375" style="114" customWidth="1"/>
    <col min="7668" max="7668" width="6.140625" style="114" customWidth="1"/>
    <col min="7669" max="7669" width="12.7109375" style="114" customWidth="1"/>
    <col min="7670" max="7670" width="8.140625" style="114" bestFit="1" customWidth="1"/>
    <col min="7671" max="7671" width="12.7109375" style="114" customWidth="1"/>
    <col min="7672" max="7672" width="6.140625" style="114" customWidth="1"/>
    <col min="7673" max="7673" width="12.7109375" style="114" customWidth="1"/>
    <col min="7674" max="7678" width="0" style="114" hidden="1" customWidth="1"/>
    <col min="7679" max="7679" width="10.140625" style="114" customWidth="1"/>
    <col min="7680" max="7680" width="17" style="114" customWidth="1"/>
    <col min="7681" max="7681" width="11.28515625" style="114" bestFit="1" customWidth="1"/>
    <col min="7682" max="7682" width="8.7109375" style="114" bestFit="1" customWidth="1"/>
    <col min="7683" max="7683" width="6" style="114" customWidth="1"/>
    <col min="7684" max="7684" width="12.7109375" style="114" customWidth="1"/>
    <col min="7685" max="7685" width="7.28515625" style="114" bestFit="1" customWidth="1"/>
    <col min="7686" max="7686" width="12.7109375" style="114" customWidth="1"/>
    <col min="7687" max="7687" width="6" style="114" customWidth="1"/>
    <col min="7688" max="7688" width="12.7109375" style="114" customWidth="1"/>
    <col min="7689" max="7689" width="6" style="114" customWidth="1"/>
    <col min="7690" max="7690" width="12.7109375" style="114" customWidth="1"/>
    <col min="7691" max="7691" width="6" style="114" customWidth="1"/>
    <col min="7692" max="7692" width="12.7109375" style="114" customWidth="1"/>
    <col min="7693" max="7693" width="6" style="114" customWidth="1"/>
    <col min="7694" max="7694" width="12.7109375" style="114" customWidth="1"/>
    <col min="7695" max="7695" width="6" style="114" customWidth="1"/>
    <col min="7696" max="7696" width="12.7109375" style="114" customWidth="1"/>
    <col min="7697" max="7697" width="6" style="114" customWidth="1"/>
    <col min="7698" max="7698" width="12.7109375" style="114" customWidth="1"/>
    <col min="7699" max="7703" width="0" style="114" hidden="1" customWidth="1"/>
    <col min="7704" max="7704" width="9.7109375" style="114" customWidth="1"/>
    <col min="7705" max="7705" width="12.28515625" style="114" customWidth="1"/>
    <col min="7706" max="7706" width="14.7109375" style="114" customWidth="1"/>
    <col min="7707" max="7707" width="9.7109375" style="114" customWidth="1"/>
    <col min="7708" max="7910" width="9.140625" style="114"/>
    <col min="7911" max="7911" width="15.7109375" style="114" customWidth="1"/>
    <col min="7912" max="7912" width="6.85546875" style="114" bestFit="1" customWidth="1"/>
    <col min="7913" max="7913" width="4.7109375" style="114" bestFit="1" customWidth="1"/>
    <col min="7914" max="7914" width="6.140625" style="114" customWidth="1"/>
    <col min="7915" max="7915" width="12.7109375" style="114" customWidth="1"/>
    <col min="7916" max="7916" width="6.140625" style="114" customWidth="1"/>
    <col min="7917" max="7917" width="12.7109375" style="114" customWidth="1"/>
    <col min="7918" max="7918" width="6.140625" style="114" customWidth="1"/>
    <col min="7919" max="7919" width="12.7109375" style="114" customWidth="1"/>
    <col min="7920" max="7920" width="6.140625" style="114" customWidth="1"/>
    <col min="7921" max="7921" width="12.7109375" style="114" customWidth="1"/>
    <col min="7922" max="7922" width="6.140625" style="114" customWidth="1"/>
    <col min="7923" max="7923" width="12.7109375" style="114" customWidth="1"/>
    <col min="7924" max="7924" width="6.140625" style="114" customWidth="1"/>
    <col min="7925" max="7925" width="12.7109375" style="114" customWidth="1"/>
    <col min="7926" max="7926" width="8.140625" style="114" bestFit="1" customWidth="1"/>
    <col min="7927" max="7927" width="12.7109375" style="114" customWidth="1"/>
    <col min="7928" max="7928" width="6.140625" style="114" customWidth="1"/>
    <col min="7929" max="7929" width="12.7109375" style="114" customWidth="1"/>
    <col min="7930" max="7934" width="0" style="114" hidden="1" customWidth="1"/>
    <col min="7935" max="7935" width="10.140625" style="114" customWidth="1"/>
    <col min="7936" max="7936" width="17" style="114" customWidth="1"/>
    <col min="7937" max="7937" width="11.28515625" style="114" bestFit="1" customWidth="1"/>
    <col min="7938" max="7938" width="8.7109375" style="114" bestFit="1" customWidth="1"/>
    <col min="7939" max="7939" width="6" style="114" customWidth="1"/>
    <col min="7940" max="7940" width="12.7109375" style="114" customWidth="1"/>
    <col min="7941" max="7941" width="7.28515625" style="114" bestFit="1" customWidth="1"/>
    <col min="7942" max="7942" width="12.7109375" style="114" customWidth="1"/>
    <col min="7943" max="7943" width="6" style="114" customWidth="1"/>
    <col min="7944" max="7944" width="12.7109375" style="114" customWidth="1"/>
    <col min="7945" max="7945" width="6" style="114" customWidth="1"/>
    <col min="7946" max="7946" width="12.7109375" style="114" customWidth="1"/>
    <col min="7947" max="7947" width="6" style="114" customWidth="1"/>
    <col min="7948" max="7948" width="12.7109375" style="114" customWidth="1"/>
    <col min="7949" max="7949" width="6" style="114" customWidth="1"/>
    <col min="7950" max="7950" width="12.7109375" style="114" customWidth="1"/>
    <col min="7951" max="7951" width="6" style="114" customWidth="1"/>
    <col min="7952" max="7952" width="12.7109375" style="114" customWidth="1"/>
    <col min="7953" max="7953" width="6" style="114" customWidth="1"/>
    <col min="7954" max="7954" width="12.7109375" style="114" customWidth="1"/>
    <col min="7955" max="7959" width="0" style="114" hidden="1" customWidth="1"/>
    <col min="7960" max="7960" width="9.7109375" style="114" customWidth="1"/>
    <col min="7961" max="7961" width="12.28515625" style="114" customWidth="1"/>
    <col min="7962" max="7962" width="14.7109375" style="114" customWidth="1"/>
    <col min="7963" max="7963" width="9.7109375" style="114" customWidth="1"/>
    <col min="7964" max="8166" width="9.140625" style="114"/>
    <col min="8167" max="8167" width="15.7109375" style="114" customWidth="1"/>
    <col min="8168" max="8168" width="6.85546875" style="114" bestFit="1" customWidth="1"/>
    <col min="8169" max="8169" width="4.7109375" style="114" bestFit="1" customWidth="1"/>
    <col min="8170" max="8170" width="6.140625" style="114" customWidth="1"/>
    <col min="8171" max="8171" width="12.7109375" style="114" customWidth="1"/>
    <col min="8172" max="8172" width="6.140625" style="114" customWidth="1"/>
    <col min="8173" max="8173" width="12.7109375" style="114" customWidth="1"/>
    <col min="8174" max="8174" width="6.140625" style="114" customWidth="1"/>
    <col min="8175" max="8175" width="12.7109375" style="114" customWidth="1"/>
    <col min="8176" max="8176" width="6.140625" style="114" customWidth="1"/>
    <col min="8177" max="8177" width="12.7109375" style="114" customWidth="1"/>
    <col min="8178" max="8178" width="6.140625" style="114" customWidth="1"/>
    <col min="8179" max="8179" width="12.7109375" style="114" customWidth="1"/>
    <col min="8180" max="8180" width="6.140625" style="114" customWidth="1"/>
    <col min="8181" max="8181" width="12.7109375" style="114" customWidth="1"/>
    <col min="8182" max="8182" width="8.140625" style="114" bestFit="1" customWidth="1"/>
    <col min="8183" max="8183" width="12.7109375" style="114" customWidth="1"/>
    <col min="8184" max="8184" width="6.140625" style="114" customWidth="1"/>
    <col min="8185" max="8185" width="12.7109375" style="114" customWidth="1"/>
    <col min="8186" max="8190" width="0" style="114" hidden="1" customWidth="1"/>
    <col min="8191" max="8191" width="10.140625" style="114" customWidth="1"/>
    <col min="8192" max="8192" width="17" style="114" customWidth="1"/>
    <col min="8193" max="8193" width="11.28515625" style="114" bestFit="1" customWidth="1"/>
    <col min="8194" max="8194" width="8.7109375" style="114" bestFit="1" customWidth="1"/>
    <col min="8195" max="8195" width="6" style="114" customWidth="1"/>
    <col min="8196" max="8196" width="12.7109375" style="114" customWidth="1"/>
    <col min="8197" max="8197" width="7.28515625" style="114" bestFit="1" customWidth="1"/>
    <col min="8198" max="8198" width="12.7109375" style="114" customWidth="1"/>
    <col min="8199" max="8199" width="6" style="114" customWidth="1"/>
    <col min="8200" max="8200" width="12.7109375" style="114" customWidth="1"/>
    <col min="8201" max="8201" width="6" style="114" customWidth="1"/>
    <col min="8202" max="8202" width="12.7109375" style="114" customWidth="1"/>
    <col min="8203" max="8203" width="6" style="114" customWidth="1"/>
    <col min="8204" max="8204" width="12.7109375" style="114" customWidth="1"/>
    <col min="8205" max="8205" width="6" style="114" customWidth="1"/>
    <col min="8206" max="8206" width="12.7109375" style="114" customWidth="1"/>
    <col min="8207" max="8207" width="6" style="114" customWidth="1"/>
    <col min="8208" max="8208" width="12.7109375" style="114" customWidth="1"/>
    <col min="8209" max="8209" width="6" style="114" customWidth="1"/>
    <col min="8210" max="8210" width="12.7109375" style="114" customWidth="1"/>
    <col min="8211" max="8215" width="0" style="114" hidden="1" customWidth="1"/>
    <col min="8216" max="8216" width="9.7109375" style="114" customWidth="1"/>
    <col min="8217" max="8217" width="12.28515625" style="114" customWidth="1"/>
    <col min="8218" max="8218" width="14.7109375" style="114" customWidth="1"/>
    <col min="8219" max="8219" width="9.7109375" style="114" customWidth="1"/>
    <col min="8220" max="8422" width="9.140625" style="114"/>
    <col min="8423" max="8423" width="15.7109375" style="114" customWidth="1"/>
    <col min="8424" max="8424" width="6.85546875" style="114" bestFit="1" customWidth="1"/>
    <col min="8425" max="8425" width="4.7109375" style="114" bestFit="1" customWidth="1"/>
    <col min="8426" max="8426" width="6.140625" style="114" customWidth="1"/>
    <col min="8427" max="8427" width="12.7109375" style="114" customWidth="1"/>
    <col min="8428" max="8428" width="6.140625" style="114" customWidth="1"/>
    <col min="8429" max="8429" width="12.7109375" style="114" customWidth="1"/>
    <col min="8430" max="8430" width="6.140625" style="114" customWidth="1"/>
    <col min="8431" max="8431" width="12.7109375" style="114" customWidth="1"/>
    <col min="8432" max="8432" width="6.140625" style="114" customWidth="1"/>
    <col min="8433" max="8433" width="12.7109375" style="114" customWidth="1"/>
    <col min="8434" max="8434" width="6.140625" style="114" customWidth="1"/>
    <col min="8435" max="8435" width="12.7109375" style="114" customWidth="1"/>
    <col min="8436" max="8436" width="6.140625" style="114" customWidth="1"/>
    <col min="8437" max="8437" width="12.7109375" style="114" customWidth="1"/>
    <col min="8438" max="8438" width="8.140625" style="114" bestFit="1" customWidth="1"/>
    <col min="8439" max="8439" width="12.7109375" style="114" customWidth="1"/>
    <col min="8440" max="8440" width="6.140625" style="114" customWidth="1"/>
    <col min="8441" max="8441" width="12.7109375" style="114" customWidth="1"/>
    <col min="8442" max="8446" width="0" style="114" hidden="1" customWidth="1"/>
    <col min="8447" max="8447" width="10.140625" style="114" customWidth="1"/>
    <col min="8448" max="8448" width="17" style="114" customWidth="1"/>
    <col min="8449" max="8449" width="11.28515625" style="114" bestFit="1" customWidth="1"/>
    <col min="8450" max="8450" width="8.7109375" style="114" bestFit="1" customWidth="1"/>
    <col min="8451" max="8451" width="6" style="114" customWidth="1"/>
    <col min="8452" max="8452" width="12.7109375" style="114" customWidth="1"/>
    <col min="8453" max="8453" width="7.28515625" style="114" bestFit="1" customWidth="1"/>
    <col min="8454" max="8454" width="12.7109375" style="114" customWidth="1"/>
    <col min="8455" max="8455" width="6" style="114" customWidth="1"/>
    <col min="8456" max="8456" width="12.7109375" style="114" customWidth="1"/>
    <col min="8457" max="8457" width="6" style="114" customWidth="1"/>
    <col min="8458" max="8458" width="12.7109375" style="114" customWidth="1"/>
    <col min="8459" max="8459" width="6" style="114" customWidth="1"/>
    <col min="8460" max="8460" width="12.7109375" style="114" customWidth="1"/>
    <col min="8461" max="8461" width="6" style="114" customWidth="1"/>
    <col min="8462" max="8462" width="12.7109375" style="114" customWidth="1"/>
    <col min="8463" max="8463" width="6" style="114" customWidth="1"/>
    <col min="8464" max="8464" width="12.7109375" style="114" customWidth="1"/>
    <col min="8465" max="8465" width="6" style="114" customWidth="1"/>
    <col min="8466" max="8466" width="12.7109375" style="114" customWidth="1"/>
    <col min="8467" max="8471" width="0" style="114" hidden="1" customWidth="1"/>
    <col min="8472" max="8472" width="9.7109375" style="114" customWidth="1"/>
    <col min="8473" max="8473" width="12.28515625" style="114" customWidth="1"/>
    <col min="8474" max="8474" width="14.7109375" style="114" customWidth="1"/>
    <col min="8475" max="8475" width="9.7109375" style="114" customWidth="1"/>
    <col min="8476" max="8678" width="9.140625" style="114"/>
    <col min="8679" max="8679" width="15.7109375" style="114" customWidth="1"/>
    <col min="8680" max="8680" width="6.85546875" style="114" bestFit="1" customWidth="1"/>
    <col min="8681" max="8681" width="4.7109375" style="114" bestFit="1" customWidth="1"/>
    <col min="8682" max="8682" width="6.140625" style="114" customWidth="1"/>
    <col min="8683" max="8683" width="12.7109375" style="114" customWidth="1"/>
    <col min="8684" max="8684" width="6.140625" style="114" customWidth="1"/>
    <col min="8685" max="8685" width="12.7109375" style="114" customWidth="1"/>
    <col min="8686" max="8686" width="6.140625" style="114" customWidth="1"/>
    <col min="8687" max="8687" width="12.7109375" style="114" customWidth="1"/>
    <col min="8688" max="8688" width="6.140625" style="114" customWidth="1"/>
    <col min="8689" max="8689" width="12.7109375" style="114" customWidth="1"/>
    <col min="8690" max="8690" width="6.140625" style="114" customWidth="1"/>
    <col min="8691" max="8691" width="12.7109375" style="114" customWidth="1"/>
    <col min="8692" max="8692" width="6.140625" style="114" customWidth="1"/>
    <col min="8693" max="8693" width="12.7109375" style="114" customWidth="1"/>
    <col min="8694" max="8694" width="8.140625" style="114" bestFit="1" customWidth="1"/>
    <col min="8695" max="8695" width="12.7109375" style="114" customWidth="1"/>
    <col min="8696" max="8696" width="6.140625" style="114" customWidth="1"/>
    <col min="8697" max="8697" width="12.7109375" style="114" customWidth="1"/>
    <col min="8698" max="8702" width="0" style="114" hidden="1" customWidth="1"/>
    <col min="8703" max="8703" width="10.140625" style="114" customWidth="1"/>
    <col min="8704" max="8704" width="17" style="114" customWidth="1"/>
    <col min="8705" max="8705" width="11.28515625" style="114" bestFit="1" customWidth="1"/>
    <col min="8706" max="8706" width="8.7109375" style="114" bestFit="1" customWidth="1"/>
    <col min="8707" max="8707" width="6" style="114" customWidth="1"/>
    <col min="8708" max="8708" width="12.7109375" style="114" customWidth="1"/>
    <col min="8709" max="8709" width="7.28515625" style="114" bestFit="1" customWidth="1"/>
    <col min="8710" max="8710" width="12.7109375" style="114" customWidth="1"/>
    <col min="8711" max="8711" width="6" style="114" customWidth="1"/>
    <col min="8712" max="8712" width="12.7109375" style="114" customWidth="1"/>
    <col min="8713" max="8713" width="6" style="114" customWidth="1"/>
    <col min="8714" max="8714" width="12.7109375" style="114" customWidth="1"/>
    <col min="8715" max="8715" width="6" style="114" customWidth="1"/>
    <col min="8716" max="8716" width="12.7109375" style="114" customWidth="1"/>
    <col min="8717" max="8717" width="6" style="114" customWidth="1"/>
    <col min="8718" max="8718" width="12.7109375" style="114" customWidth="1"/>
    <col min="8719" max="8719" width="6" style="114" customWidth="1"/>
    <col min="8720" max="8720" width="12.7109375" style="114" customWidth="1"/>
    <col min="8721" max="8721" width="6" style="114" customWidth="1"/>
    <col min="8722" max="8722" width="12.7109375" style="114" customWidth="1"/>
    <col min="8723" max="8727" width="0" style="114" hidden="1" customWidth="1"/>
    <col min="8728" max="8728" width="9.7109375" style="114" customWidth="1"/>
    <col min="8729" max="8729" width="12.28515625" style="114" customWidth="1"/>
    <col min="8730" max="8730" width="14.7109375" style="114" customWidth="1"/>
    <col min="8731" max="8731" width="9.7109375" style="114" customWidth="1"/>
    <col min="8732" max="8934" width="9.140625" style="114"/>
    <col min="8935" max="8935" width="15.7109375" style="114" customWidth="1"/>
    <col min="8936" max="8936" width="6.85546875" style="114" bestFit="1" customWidth="1"/>
    <col min="8937" max="8937" width="4.7109375" style="114" bestFit="1" customWidth="1"/>
    <col min="8938" max="8938" width="6.140625" style="114" customWidth="1"/>
    <col min="8939" max="8939" width="12.7109375" style="114" customWidth="1"/>
    <col min="8940" max="8940" width="6.140625" style="114" customWidth="1"/>
    <col min="8941" max="8941" width="12.7109375" style="114" customWidth="1"/>
    <col min="8942" max="8942" width="6.140625" style="114" customWidth="1"/>
    <col min="8943" max="8943" width="12.7109375" style="114" customWidth="1"/>
    <col min="8944" max="8944" width="6.140625" style="114" customWidth="1"/>
    <col min="8945" max="8945" width="12.7109375" style="114" customWidth="1"/>
    <col min="8946" max="8946" width="6.140625" style="114" customWidth="1"/>
    <col min="8947" max="8947" width="12.7109375" style="114" customWidth="1"/>
    <col min="8948" max="8948" width="6.140625" style="114" customWidth="1"/>
    <col min="8949" max="8949" width="12.7109375" style="114" customWidth="1"/>
    <col min="8950" max="8950" width="8.140625" style="114" bestFit="1" customWidth="1"/>
    <col min="8951" max="8951" width="12.7109375" style="114" customWidth="1"/>
    <col min="8952" max="8952" width="6.140625" style="114" customWidth="1"/>
    <col min="8953" max="8953" width="12.7109375" style="114" customWidth="1"/>
    <col min="8954" max="8958" width="0" style="114" hidden="1" customWidth="1"/>
    <col min="8959" max="8959" width="10.140625" style="114" customWidth="1"/>
    <col min="8960" max="8960" width="17" style="114" customWidth="1"/>
    <col min="8961" max="8961" width="11.28515625" style="114" bestFit="1" customWidth="1"/>
    <col min="8962" max="8962" width="8.7109375" style="114" bestFit="1" customWidth="1"/>
    <col min="8963" max="8963" width="6" style="114" customWidth="1"/>
    <col min="8964" max="8964" width="12.7109375" style="114" customWidth="1"/>
    <col min="8965" max="8965" width="7.28515625" style="114" bestFit="1" customWidth="1"/>
    <col min="8966" max="8966" width="12.7109375" style="114" customWidth="1"/>
    <col min="8967" max="8967" width="6" style="114" customWidth="1"/>
    <col min="8968" max="8968" width="12.7109375" style="114" customWidth="1"/>
    <col min="8969" max="8969" width="6" style="114" customWidth="1"/>
    <col min="8970" max="8970" width="12.7109375" style="114" customWidth="1"/>
    <col min="8971" max="8971" width="6" style="114" customWidth="1"/>
    <col min="8972" max="8972" width="12.7109375" style="114" customWidth="1"/>
    <col min="8973" max="8973" width="6" style="114" customWidth="1"/>
    <col min="8974" max="8974" width="12.7109375" style="114" customWidth="1"/>
    <col min="8975" max="8975" width="6" style="114" customWidth="1"/>
    <col min="8976" max="8976" width="12.7109375" style="114" customWidth="1"/>
    <col min="8977" max="8977" width="6" style="114" customWidth="1"/>
    <col min="8978" max="8978" width="12.7109375" style="114" customWidth="1"/>
    <col min="8979" max="8983" width="0" style="114" hidden="1" customWidth="1"/>
    <col min="8984" max="8984" width="9.7109375" style="114" customWidth="1"/>
    <col min="8985" max="8985" width="12.28515625" style="114" customWidth="1"/>
    <col min="8986" max="8986" width="14.7109375" style="114" customWidth="1"/>
    <col min="8987" max="8987" width="9.7109375" style="114" customWidth="1"/>
    <col min="8988" max="9190" width="9.140625" style="114"/>
    <col min="9191" max="9191" width="15.7109375" style="114" customWidth="1"/>
    <col min="9192" max="9192" width="6.85546875" style="114" bestFit="1" customWidth="1"/>
    <col min="9193" max="9193" width="4.7109375" style="114" bestFit="1" customWidth="1"/>
    <col min="9194" max="9194" width="6.140625" style="114" customWidth="1"/>
    <col min="9195" max="9195" width="12.7109375" style="114" customWidth="1"/>
    <col min="9196" max="9196" width="6.140625" style="114" customWidth="1"/>
    <col min="9197" max="9197" width="12.7109375" style="114" customWidth="1"/>
    <col min="9198" max="9198" width="6.140625" style="114" customWidth="1"/>
    <col min="9199" max="9199" width="12.7109375" style="114" customWidth="1"/>
    <col min="9200" max="9200" width="6.140625" style="114" customWidth="1"/>
    <col min="9201" max="9201" width="12.7109375" style="114" customWidth="1"/>
    <col min="9202" max="9202" width="6.140625" style="114" customWidth="1"/>
    <col min="9203" max="9203" width="12.7109375" style="114" customWidth="1"/>
    <col min="9204" max="9204" width="6.140625" style="114" customWidth="1"/>
    <col min="9205" max="9205" width="12.7109375" style="114" customWidth="1"/>
    <col min="9206" max="9206" width="8.140625" style="114" bestFit="1" customWidth="1"/>
    <col min="9207" max="9207" width="12.7109375" style="114" customWidth="1"/>
    <col min="9208" max="9208" width="6.140625" style="114" customWidth="1"/>
    <col min="9209" max="9209" width="12.7109375" style="114" customWidth="1"/>
    <col min="9210" max="9214" width="0" style="114" hidden="1" customWidth="1"/>
    <col min="9215" max="9215" width="10.140625" style="114" customWidth="1"/>
    <col min="9216" max="9216" width="17" style="114" customWidth="1"/>
    <col min="9217" max="9217" width="11.28515625" style="114" bestFit="1" customWidth="1"/>
    <col min="9218" max="9218" width="8.7109375" style="114" bestFit="1" customWidth="1"/>
    <col min="9219" max="9219" width="6" style="114" customWidth="1"/>
    <col min="9220" max="9220" width="12.7109375" style="114" customWidth="1"/>
    <col min="9221" max="9221" width="7.28515625" style="114" bestFit="1" customWidth="1"/>
    <col min="9222" max="9222" width="12.7109375" style="114" customWidth="1"/>
    <col min="9223" max="9223" width="6" style="114" customWidth="1"/>
    <col min="9224" max="9224" width="12.7109375" style="114" customWidth="1"/>
    <col min="9225" max="9225" width="6" style="114" customWidth="1"/>
    <col min="9226" max="9226" width="12.7109375" style="114" customWidth="1"/>
    <col min="9227" max="9227" width="6" style="114" customWidth="1"/>
    <col min="9228" max="9228" width="12.7109375" style="114" customWidth="1"/>
    <col min="9229" max="9229" width="6" style="114" customWidth="1"/>
    <col min="9230" max="9230" width="12.7109375" style="114" customWidth="1"/>
    <col min="9231" max="9231" width="6" style="114" customWidth="1"/>
    <col min="9232" max="9232" width="12.7109375" style="114" customWidth="1"/>
    <col min="9233" max="9233" width="6" style="114" customWidth="1"/>
    <col min="9234" max="9234" width="12.7109375" style="114" customWidth="1"/>
    <col min="9235" max="9239" width="0" style="114" hidden="1" customWidth="1"/>
    <col min="9240" max="9240" width="9.7109375" style="114" customWidth="1"/>
    <col min="9241" max="9241" width="12.28515625" style="114" customWidth="1"/>
    <col min="9242" max="9242" width="14.7109375" style="114" customWidth="1"/>
    <col min="9243" max="9243" width="9.7109375" style="114" customWidth="1"/>
    <col min="9244" max="9446" width="9.140625" style="114"/>
    <col min="9447" max="9447" width="15.7109375" style="114" customWidth="1"/>
    <col min="9448" max="9448" width="6.85546875" style="114" bestFit="1" customWidth="1"/>
    <col min="9449" max="9449" width="4.7109375" style="114" bestFit="1" customWidth="1"/>
    <col min="9450" max="9450" width="6.140625" style="114" customWidth="1"/>
    <col min="9451" max="9451" width="12.7109375" style="114" customWidth="1"/>
    <col min="9452" max="9452" width="6.140625" style="114" customWidth="1"/>
    <col min="9453" max="9453" width="12.7109375" style="114" customWidth="1"/>
    <col min="9454" max="9454" width="6.140625" style="114" customWidth="1"/>
    <col min="9455" max="9455" width="12.7109375" style="114" customWidth="1"/>
    <col min="9456" max="9456" width="6.140625" style="114" customWidth="1"/>
    <col min="9457" max="9457" width="12.7109375" style="114" customWidth="1"/>
    <col min="9458" max="9458" width="6.140625" style="114" customWidth="1"/>
    <col min="9459" max="9459" width="12.7109375" style="114" customWidth="1"/>
    <col min="9460" max="9460" width="6.140625" style="114" customWidth="1"/>
    <col min="9461" max="9461" width="12.7109375" style="114" customWidth="1"/>
    <col min="9462" max="9462" width="8.140625" style="114" bestFit="1" customWidth="1"/>
    <col min="9463" max="9463" width="12.7109375" style="114" customWidth="1"/>
    <col min="9464" max="9464" width="6.140625" style="114" customWidth="1"/>
    <col min="9465" max="9465" width="12.7109375" style="114" customWidth="1"/>
    <col min="9466" max="9470" width="0" style="114" hidden="1" customWidth="1"/>
    <col min="9471" max="9471" width="10.140625" style="114" customWidth="1"/>
    <col min="9472" max="9472" width="17" style="114" customWidth="1"/>
    <col min="9473" max="9473" width="11.28515625" style="114" bestFit="1" customWidth="1"/>
    <col min="9474" max="9474" width="8.7109375" style="114" bestFit="1" customWidth="1"/>
    <col min="9475" max="9475" width="6" style="114" customWidth="1"/>
    <col min="9476" max="9476" width="12.7109375" style="114" customWidth="1"/>
    <col min="9477" max="9477" width="7.28515625" style="114" bestFit="1" customWidth="1"/>
    <col min="9478" max="9478" width="12.7109375" style="114" customWidth="1"/>
    <col min="9479" max="9479" width="6" style="114" customWidth="1"/>
    <col min="9480" max="9480" width="12.7109375" style="114" customWidth="1"/>
    <col min="9481" max="9481" width="6" style="114" customWidth="1"/>
    <col min="9482" max="9482" width="12.7109375" style="114" customWidth="1"/>
    <col min="9483" max="9483" width="6" style="114" customWidth="1"/>
    <col min="9484" max="9484" width="12.7109375" style="114" customWidth="1"/>
    <col min="9485" max="9485" width="6" style="114" customWidth="1"/>
    <col min="9486" max="9486" width="12.7109375" style="114" customWidth="1"/>
    <col min="9487" max="9487" width="6" style="114" customWidth="1"/>
    <col min="9488" max="9488" width="12.7109375" style="114" customWidth="1"/>
    <col min="9489" max="9489" width="6" style="114" customWidth="1"/>
    <col min="9490" max="9490" width="12.7109375" style="114" customWidth="1"/>
    <col min="9491" max="9495" width="0" style="114" hidden="1" customWidth="1"/>
    <col min="9496" max="9496" width="9.7109375" style="114" customWidth="1"/>
    <col min="9497" max="9497" width="12.28515625" style="114" customWidth="1"/>
    <col min="9498" max="9498" width="14.7109375" style="114" customWidth="1"/>
    <col min="9499" max="9499" width="9.7109375" style="114" customWidth="1"/>
    <col min="9500" max="9702" width="9.140625" style="114"/>
    <col min="9703" max="9703" width="15.7109375" style="114" customWidth="1"/>
    <col min="9704" max="9704" width="6.85546875" style="114" bestFit="1" customWidth="1"/>
    <col min="9705" max="9705" width="4.7109375" style="114" bestFit="1" customWidth="1"/>
    <col min="9706" max="9706" width="6.140625" style="114" customWidth="1"/>
    <col min="9707" max="9707" width="12.7109375" style="114" customWidth="1"/>
    <col min="9708" max="9708" width="6.140625" style="114" customWidth="1"/>
    <col min="9709" max="9709" width="12.7109375" style="114" customWidth="1"/>
    <col min="9710" max="9710" width="6.140625" style="114" customWidth="1"/>
    <col min="9711" max="9711" width="12.7109375" style="114" customWidth="1"/>
    <col min="9712" max="9712" width="6.140625" style="114" customWidth="1"/>
    <col min="9713" max="9713" width="12.7109375" style="114" customWidth="1"/>
    <col min="9714" max="9714" width="6.140625" style="114" customWidth="1"/>
    <col min="9715" max="9715" width="12.7109375" style="114" customWidth="1"/>
    <col min="9716" max="9716" width="6.140625" style="114" customWidth="1"/>
    <col min="9717" max="9717" width="12.7109375" style="114" customWidth="1"/>
    <col min="9718" max="9718" width="8.140625" style="114" bestFit="1" customWidth="1"/>
    <col min="9719" max="9719" width="12.7109375" style="114" customWidth="1"/>
    <col min="9720" max="9720" width="6.140625" style="114" customWidth="1"/>
    <col min="9721" max="9721" width="12.7109375" style="114" customWidth="1"/>
    <col min="9722" max="9726" width="0" style="114" hidden="1" customWidth="1"/>
    <col min="9727" max="9727" width="10.140625" style="114" customWidth="1"/>
    <col min="9728" max="9728" width="17" style="114" customWidth="1"/>
    <col min="9729" max="9729" width="11.28515625" style="114" bestFit="1" customWidth="1"/>
    <col min="9730" max="9730" width="8.7109375" style="114" bestFit="1" customWidth="1"/>
    <col min="9731" max="9731" width="6" style="114" customWidth="1"/>
    <col min="9732" max="9732" width="12.7109375" style="114" customWidth="1"/>
    <col min="9733" max="9733" width="7.28515625" style="114" bestFit="1" customWidth="1"/>
    <col min="9734" max="9734" width="12.7109375" style="114" customWidth="1"/>
    <col min="9735" max="9735" width="6" style="114" customWidth="1"/>
    <col min="9736" max="9736" width="12.7109375" style="114" customWidth="1"/>
    <col min="9737" max="9737" width="6" style="114" customWidth="1"/>
    <col min="9738" max="9738" width="12.7109375" style="114" customWidth="1"/>
    <col min="9739" max="9739" width="6" style="114" customWidth="1"/>
    <col min="9740" max="9740" width="12.7109375" style="114" customWidth="1"/>
    <col min="9741" max="9741" width="6" style="114" customWidth="1"/>
    <col min="9742" max="9742" width="12.7109375" style="114" customWidth="1"/>
    <col min="9743" max="9743" width="6" style="114" customWidth="1"/>
    <col min="9744" max="9744" width="12.7109375" style="114" customWidth="1"/>
    <col min="9745" max="9745" width="6" style="114" customWidth="1"/>
    <col min="9746" max="9746" width="12.7109375" style="114" customWidth="1"/>
    <col min="9747" max="9751" width="0" style="114" hidden="1" customWidth="1"/>
    <col min="9752" max="9752" width="9.7109375" style="114" customWidth="1"/>
    <col min="9753" max="9753" width="12.28515625" style="114" customWidth="1"/>
    <col min="9754" max="9754" width="14.7109375" style="114" customWidth="1"/>
    <col min="9755" max="9755" width="9.7109375" style="114" customWidth="1"/>
    <col min="9756" max="9958" width="9.140625" style="114"/>
    <col min="9959" max="9959" width="15.7109375" style="114" customWidth="1"/>
    <col min="9960" max="9960" width="6.85546875" style="114" bestFit="1" customWidth="1"/>
    <col min="9961" max="9961" width="4.7109375" style="114" bestFit="1" customWidth="1"/>
    <col min="9962" max="9962" width="6.140625" style="114" customWidth="1"/>
    <col min="9963" max="9963" width="12.7109375" style="114" customWidth="1"/>
    <col min="9964" max="9964" width="6.140625" style="114" customWidth="1"/>
    <col min="9965" max="9965" width="12.7109375" style="114" customWidth="1"/>
    <col min="9966" max="9966" width="6.140625" style="114" customWidth="1"/>
    <col min="9967" max="9967" width="12.7109375" style="114" customWidth="1"/>
    <col min="9968" max="9968" width="6.140625" style="114" customWidth="1"/>
    <col min="9969" max="9969" width="12.7109375" style="114" customWidth="1"/>
    <col min="9970" max="9970" width="6.140625" style="114" customWidth="1"/>
    <col min="9971" max="9971" width="12.7109375" style="114" customWidth="1"/>
    <col min="9972" max="9972" width="6.140625" style="114" customWidth="1"/>
    <col min="9973" max="9973" width="12.7109375" style="114" customWidth="1"/>
    <col min="9974" max="9974" width="8.140625" style="114" bestFit="1" customWidth="1"/>
    <col min="9975" max="9975" width="12.7109375" style="114" customWidth="1"/>
    <col min="9976" max="9976" width="6.140625" style="114" customWidth="1"/>
    <col min="9977" max="9977" width="12.7109375" style="114" customWidth="1"/>
    <col min="9978" max="9982" width="0" style="114" hidden="1" customWidth="1"/>
    <col min="9983" max="9983" width="10.140625" style="114" customWidth="1"/>
    <col min="9984" max="9984" width="17" style="114" customWidth="1"/>
    <col min="9985" max="9985" width="11.28515625" style="114" bestFit="1" customWidth="1"/>
    <col min="9986" max="9986" width="8.7109375" style="114" bestFit="1" customWidth="1"/>
    <col min="9987" max="9987" width="6" style="114" customWidth="1"/>
    <col min="9988" max="9988" width="12.7109375" style="114" customWidth="1"/>
    <col min="9989" max="9989" width="7.28515625" style="114" bestFit="1" customWidth="1"/>
    <col min="9990" max="9990" width="12.7109375" style="114" customWidth="1"/>
    <col min="9991" max="9991" width="6" style="114" customWidth="1"/>
    <col min="9992" max="9992" width="12.7109375" style="114" customWidth="1"/>
    <col min="9993" max="9993" width="6" style="114" customWidth="1"/>
    <col min="9994" max="9994" width="12.7109375" style="114" customWidth="1"/>
    <col min="9995" max="9995" width="6" style="114" customWidth="1"/>
    <col min="9996" max="9996" width="12.7109375" style="114" customWidth="1"/>
    <col min="9997" max="9997" width="6" style="114" customWidth="1"/>
    <col min="9998" max="9998" width="12.7109375" style="114" customWidth="1"/>
    <col min="9999" max="9999" width="6" style="114" customWidth="1"/>
    <col min="10000" max="10000" width="12.7109375" style="114" customWidth="1"/>
    <col min="10001" max="10001" width="6" style="114" customWidth="1"/>
    <col min="10002" max="10002" width="12.7109375" style="114" customWidth="1"/>
    <col min="10003" max="10007" width="0" style="114" hidden="1" customWidth="1"/>
    <col min="10008" max="10008" width="9.7109375" style="114" customWidth="1"/>
    <col min="10009" max="10009" width="12.28515625" style="114" customWidth="1"/>
    <col min="10010" max="10010" width="14.7109375" style="114" customWidth="1"/>
    <col min="10011" max="10011" width="9.7109375" style="114" customWidth="1"/>
    <col min="10012" max="10214" width="9.140625" style="114"/>
    <col min="10215" max="10215" width="15.7109375" style="114" customWidth="1"/>
    <col min="10216" max="10216" width="6.85546875" style="114" bestFit="1" customWidth="1"/>
    <col min="10217" max="10217" width="4.7109375" style="114" bestFit="1" customWidth="1"/>
    <col min="10218" max="10218" width="6.140625" style="114" customWidth="1"/>
    <col min="10219" max="10219" width="12.7109375" style="114" customWidth="1"/>
    <col min="10220" max="10220" width="6.140625" style="114" customWidth="1"/>
    <col min="10221" max="10221" width="12.7109375" style="114" customWidth="1"/>
    <col min="10222" max="10222" width="6.140625" style="114" customWidth="1"/>
    <col min="10223" max="10223" width="12.7109375" style="114" customWidth="1"/>
    <col min="10224" max="10224" width="6.140625" style="114" customWidth="1"/>
    <col min="10225" max="10225" width="12.7109375" style="114" customWidth="1"/>
    <col min="10226" max="10226" width="6.140625" style="114" customWidth="1"/>
    <col min="10227" max="10227" width="12.7109375" style="114" customWidth="1"/>
    <col min="10228" max="10228" width="6.140625" style="114" customWidth="1"/>
    <col min="10229" max="10229" width="12.7109375" style="114" customWidth="1"/>
    <col min="10230" max="10230" width="8.140625" style="114" bestFit="1" customWidth="1"/>
    <col min="10231" max="10231" width="12.7109375" style="114" customWidth="1"/>
    <col min="10232" max="10232" width="6.140625" style="114" customWidth="1"/>
    <col min="10233" max="10233" width="12.7109375" style="114" customWidth="1"/>
    <col min="10234" max="10238" width="0" style="114" hidden="1" customWidth="1"/>
    <col min="10239" max="10239" width="10.140625" style="114" customWidth="1"/>
    <col min="10240" max="10240" width="17" style="114" customWidth="1"/>
    <col min="10241" max="10241" width="11.28515625" style="114" bestFit="1" customWidth="1"/>
    <col min="10242" max="10242" width="8.7109375" style="114" bestFit="1" customWidth="1"/>
    <col min="10243" max="10243" width="6" style="114" customWidth="1"/>
    <col min="10244" max="10244" width="12.7109375" style="114" customWidth="1"/>
    <col min="10245" max="10245" width="7.28515625" style="114" bestFit="1" customWidth="1"/>
    <col min="10246" max="10246" width="12.7109375" style="114" customWidth="1"/>
    <col min="10247" max="10247" width="6" style="114" customWidth="1"/>
    <col min="10248" max="10248" width="12.7109375" style="114" customWidth="1"/>
    <col min="10249" max="10249" width="6" style="114" customWidth="1"/>
    <col min="10250" max="10250" width="12.7109375" style="114" customWidth="1"/>
    <col min="10251" max="10251" width="6" style="114" customWidth="1"/>
    <col min="10252" max="10252" width="12.7109375" style="114" customWidth="1"/>
    <col min="10253" max="10253" width="6" style="114" customWidth="1"/>
    <col min="10254" max="10254" width="12.7109375" style="114" customWidth="1"/>
    <col min="10255" max="10255" width="6" style="114" customWidth="1"/>
    <col min="10256" max="10256" width="12.7109375" style="114" customWidth="1"/>
    <col min="10257" max="10257" width="6" style="114" customWidth="1"/>
    <col min="10258" max="10258" width="12.7109375" style="114" customWidth="1"/>
    <col min="10259" max="10263" width="0" style="114" hidden="1" customWidth="1"/>
    <col min="10264" max="10264" width="9.7109375" style="114" customWidth="1"/>
    <col min="10265" max="10265" width="12.28515625" style="114" customWidth="1"/>
    <col min="10266" max="10266" width="14.7109375" style="114" customWidth="1"/>
    <col min="10267" max="10267" width="9.7109375" style="114" customWidth="1"/>
    <col min="10268" max="10470" width="9.140625" style="114"/>
    <col min="10471" max="10471" width="15.7109375" style="114" customWidth="1"/>
    <col min="10472" max="10472" width="6.85546875" style="114" bestFit="1" customWidth="1"/>
    <col min="10473" max="10473" width="4.7109375" style="114" bestFit="1" customWidth="1"/>
    <col min="10474" max="10474" width="6.140625" style="114" customWidth="1"/>
    <col min="10475" max="10475" width="12.7109375" style="114" customWidth="1"/>
    <col min="10476" max="10476" width="6.140625" style="114" customWidth="1"/>
    <col min="10477" max="10477" width="12.7109375" style="114" customWidth="1"/>
    <col min="10478" max="10478" width="6.140625" style="114" customWidth="1"/>
    <col min="10479" max="10479" width="12.7109375" style="114" customWidth="1"/>
    <col min="10480" max="10480" width="6.140625" style="114" customWidth="1"/>
    <col min="10481" max="10481" width="12.7109375" style="114" customWidth="1"/>
    <col min="10482" max="10482" width="6.140625" style="114" customWidth="1"/>
    <col min="10483" max="10483" width="12.7109375" style="114" customWidth="1"/>
    <col min="10484" max="10484" width="6.140625" style="114" customWidth="1"/>
    <col min="10485" max="10485" width="12.7109375" style="114" customWidth="1"/>
    <col min="10486" max="10486" width="8.140625" style="114" bestFit="1" customWidth="1"/>
    <col min="10487" max="10487" width="12.7109375" style="114" customWidth="1"/>
    <col min="10488" max="10488" width="6.140625" style="114" customWidth="1"/>
    <col min="10489" max="10489" width="12.7109375" style="114" customWidth="1"/>
    <col min="10490" max="10494" width="0" style="114" hidden="1" customWidth="1"/>
    <col min="10495" max="10495" width="10.140625" style="114" customWidth="1"/>
    <col min="10496" max="10496" width="17" style="114" customWidth="1"/>
    <col min="10497" max="10497" width="11.28515625" style="114" bestFit="1" customWidth="1"/>
    <col min="10498" max="10498" width="8.7109375" style="114" bestFit="1" customWidth="1"/>
    <col min="10499" max="10499" width="6" style="114" customWidth="1"/>
    <col min="10500" max="10500" width="12.7109375" style="114" customWidth="1"/>
    <col min="10501" max="10501" width="7.28515625" style="114" bestFit="1" customWidth="1"/>
    <col min="10502" max="10502" width="12.7109375" style="114" customWidth="1"/>
    <col min="10503" max="10503" width="6" style="114" customWidth="1"/>
    <col min="10504" max="10504" width="12.7109375" style="114" customWidth="1"/>
    <col min="10505" max="10505" width="6" style="114" customWidth="1"/>
    <col min="10506" max="10506" width="12.7109375" style="114" customWidth="1"/>
    <col min="10507" max="10507" width="6" style="114" customWidth="1"/>
    <col min="10508" max="10508" width="12.7109375" style="114" customWidth="1"/>
    <col min="10509" max="10509" width="6" style="114" customWidth="1"/>
    <col min="10510" max="10510" width="12.7109375" style="114" customWidth="1"/>
    <col min="10511" max="10511" width="6" style="114" customWidth="1"/>
    <col min="10512" max="10512" width="12.7109375" style="114" customWidth="1"/>
    <col min="10513" max="10513" width="6" style="114" customWidth="1"/>
    <col min="10514" max="10514" width="12.7109375" style="114" customWidth="1"/>
    <col min="10515" max="10519" width="0" style="114" hidden="1" customWidth="1"/>
    <col min="10520" max="10520" width="9.7109375" style="114" customWidth="1"/>
    <col min="10521" max="10521" width="12.28515625" style="114" customWidth="1"/>
    <col min="10522" max="10522" width="14.7109375" style="114" customWidth="1"/>
    <col min="10523" max="10523" width="9.7109375" style="114" customWidth="1"/>
    <col min="10524" max="10726" width="9.140625" style="114"/>
    <col min="10727" max="10727" width="15.7109375" style="114" customWidth="1"/>
    <col min="10728" max="10728" width="6.85546875" style="114" bestFit="1" customWidth="1"/>
    <col min="10729" max="10729" width="4.7109375" style="114" bestFit="1" customWidth="1"/>
    <col min="10730" max="10730" width="6.140625" style="114" customWidth="1"/>
    <col min="10731" max="10731" width="12.7109375" style="114" customWidth="1"/>
    <col min="10732" max="10732" width="6.140625" style="114" customWidth="1"/>
    <col min="10733" max="10733" width="12.7109375" style="114" customWidth="1"/>
    <col min="10734" max="10734" width="6.140625" style="114" customWidth="1"/>
    <col min="10735" max="10735" width="12.7109375" style="114" customWidth="1"/>
    <col min="10736" max="10736" width="6.140625" style="114" customWidth="1"/>
    <col min="10737" max="10737" width="12.7109375" style="114" customWidth="1"/>
    <col min="10738" max="10738" width="6.140625" style="114" customWidth="1"/>
    <col min="10739" max="10739" width="12.7109375" style="114" customWidth="1"/>
    <col min="10740" max="10740" width="6.140625" style="114" customWidth="1"/>
    <col min="10741" max="10741" width="12.7109375" style="114" customWidth="1"/>
    <col min="10742" max="10742" width="8.140625" style="114" bestFit="1" customWidth="1"/>
    <col min="10743" max="10743" width="12.7109375" style="114" customWidth="1"/>
    <col min="10744" max="10744" width="6.140625" style="114" customWidth="1"/>
    <col min="10745" max="10745" width="12.7109375" style="114" customWidth="1"/>
    <col min="10746" max="10750" width="0" style="114" hidden="1" customWidth="1"/>
    <col min="10751" max="10751" width="10.140625" style="114" customWidth="1"/>
    <col min="10752" max="10752" width="17" style="114" customWidth="1"/>
    <col min="10753" max="10753" width="11.28515625" style="114" bestFit="1" customWidth="1"/>
    <col min="10754" max="10754" width="8.7109375" style="114" bestFit="1" customWidth="1"/>
    <col min="10755" max="10755" width="6" style="114" customWidth="1"/>
    <col min="10756" max="10756" width="12.7109375" style="114" customWidth="1"/>
    <col min="10757" max="10757" width="7.28515625" style="114" bestFit="1" customWidth="1"/>
    <col min="10758" max="10758" width="12.7109375" style="114" customWidth="1"/>
    <col min="10759" max="10759" width="6" style="114" customWidth="1"/>
    <col min="10760" max="10760" width="12.7109375" style="114" customWidth="1"/>
    <col min="10761" max="10761" width="6" style="114" customWidth="1"/>
    <col min="10762" max="10762" width="12.7109375" style="114" customWidth="1"/>
    <col min="10763" max="10763" width="6" style="114" customWidth="1"/>
    <col min="10764" max="10764" width="12.7109375" style="114" customWidth="1"/>
    <col min="10765" max="10765" width="6" style="114" customWidth="1"/>
    <col min="10766" max="10766" width="12.7109375" style="114" customWidth="1"/>
    <col min="10767" max="10767" width="6" style="114" customWidth="1"/>
    <col min="10768" max="10768" width="12.7109375" style="114" customWidth="1"/>
    <col min="10769" max="10769" width="6" style="114" customWidth="1"/>
    <col min="10770" max="10770" width="12.7109375" style="114" customWidth="1"/>
    <col min="10771" max="10775" width="0" style="114" hidden="1" customWidth="1"/>
    <col min="10776" max="10776" width="9.7109375" style="114" customWidth="1"/>
    <col min="10777" max="10777" width="12.28515625" style="114" customWidth="1"/>
    <col min="10778" max="10778" width="14.7109375" style="114" customWidth="1"/>
    <col min="10779" max="10779" width="9.7109375" style="114" customWidth="1"/>
    <col min="10780" max="10982" width="9.140625" style="114"/>
    <col min="10983" max="10983" width="15.7109375" style="114" customWidth="1"/>
    <col min="10984" max="10984" width="6.85546875" style="114" bestFit="1" customWidth="1"/>
    <col min="10985" max="10985" width="4.7109375" style="114" bestFit="1" customWidth="1"/>
    <col min="10986" max="10986" width="6.140625" style="114" customWidth="1"/>
    <col min="10987" max="10987" width="12.7109375" style="114" customWidth="1"/>
    <col min="10988" max="10988" width="6.140625" style="114" customWidth="1"/>
    <col min="10989" max="10989" width="12.7109375" style="114" customWidth="1"/>
    <col min="10990" max="10990" width="6.140625" style="114" customWidth="1"/>
    <col min="10991" max="10991" width="12.7109375" style="114" customWidth="1"/>
    <col min="10992" max="10992" width="6.140625" style="114" customWidth="1"/>
    <col min="10993" max="10993" width="12.7109375" style="114" customWidth="1"/>
    <col min="10994" max="10994" width="6.140625" style="114" customWidth="1"/>
    <col min="10995" max="10995" width="12.7109375" style="114" customWidth="1"/>
    <col min="10996" max="10996" width="6.140625" style="114" customWidth="1"/>
    <col min="10997" max="10997" width="12.7109375" style="114" customWidth="1"/>
    <col min="10998" max="10998" width="8.140625" style="114" bestFit="1" customWidth="1"/>
    <col min="10999" max="10999" width="12.7109375" style="114" customWidth="1"/>
    <col min="11000" max="11000" width="6.140625" style="114" customWidth="1"/>
    <col min="11001" max="11001" width="12.7109375" style="114" customWidth="1"/>
    <col min="11002" max="11006" width="0" style="114" hidden="1" customWidth="1"/>
    <col min="11007" max="11007" width="10.140625" style="114" customWidth="1"/>
    <col min="11008" max="11008" width="17" style="114" customWidth="1"/>
    <col min="11009" max="11009" width="11.28515625" style="114" bestFit="1" customWidth="1"/>
    <col min="11010" max="11010" width="8.7109375" style="114" bestFit="1" customWidth="1"/>
    <col min="11011" max="11011" width="6" style="114" customWidth="1"/>
    <col min="11012" max="11012" width="12.7109375" style="114" customWidth="1"/>
    <col min="11013" max="11013" width="7.28515625" style="114" bestFit="1" customWidth="1"/>
    <col min="11014" max="11014" width="12.7109375" style="114" customWidth="1"/>
    <col min="11015" max="11015" width="6" style="114" customWidth="1"/>
    <col min="11016" max="11016" width="12.7109375" style="114" customWidth="1"/>
    <col min="11017" max="11017" width="6" style="114" customWidth="1"/>
    <col min="11018" max="11018" width="12.7109375" style="114" customWidth="1"/>
    <col min="11019" max="11019" width="6" style="114" customWidth="1"/>
    <col min="11020" max="11020" width="12.7109375" style="114" customWidth="1"/>
    <col min="11021" max="11021" width="6" style="114" customWidth="1"/>
    <col min="11022" max="11022" width="12.7109375" style="114" customWidth="1"/>
    <col min="11023" max="11023" width="6" style="114" customWidth="1"/>
    <col min="11024" max="11024" width="12.7109375" style="114" customWidth="1"/>
    <col min="11025" max="11025" width="6" style="114" customWidth="1"/>
    <col min="11026" max="11026" width="12.7109375" style="114" customWidth="1"/>
    <col min="11027" max="11031" width="0" style="114" hidden="1" customWidth="1"/>
    <col min="11032" max="11032" width="9.7109375" style="114" customWidth="1"/>
    <col min="11033" max="11033" width="12.28515625" style="114" customWidth="1"/>
    <col min="11034" max="11034" width="14.7109375" style="114" customWidth="1"/>
    <col min="11035" max="11035" width="9.7109375" style="114" customWidth="1"/>
    <col min="11036" max="11238" width="9.140625" style="114"/>
    <col min="11239" max="11239" width="15.7109375" style="114" customWidth="1"/>
    <col min="11240" max="11240" width="6.85546875" style="114" bestFit="1" customWidth="1"/>
    <col min="11241" max="11241" width="4.7109375" style="114" bestFit="1" customWidth="1"/>
    <col min="11242" max="11242" width="6.140625" style="114" customWidth="1"/>
    <col min="11243" max="11243" width="12.7109375" style="114" customWidth="1"/>
    <col min="11244" max="11244" width="6.140625" style="114" customWidth="1"/>
    <col min="11245" max="11245" width="12.7109375" style="114" customWidth="1"/>
    <col min="11246" max="11246" width="6.140625" style="114" customWidth="1"/>
    <col min="11247" max="11247" width="12.7109375" style="114" customWidth="1"/>
    <col min="11248" max="11248" width="6.140625" style="114" customWidth="1"/>
    <col min="11249" max="11249" width="12.7109375" style="114" customWidth="1"/>
    <col min="11250" max="11250" width="6.140625" style="114" customWidth="1"/>
    <col min="11251" max="11251" width="12.7109375" style="114" customWidth="1"/>
    <col min="11252" max="11252" width="6.140625" style="114" customWidth="1"/>
    <col min="11253" max="11253" width="12.7109375" style="114" customWidth="1"/>
    <col min="11254" max="11254" width="8.140625" style="114" bestFit="1" customWidth="1"/>
    <col min="11255" max="11255" width="12.7109375" style="114" customWidth="1"/>
    <col min="11256" max="11256" width="6.140625" style="114" customWidth="1"/>
    <col min="11257" max="11257" width="12.7109375" style="114" customWidth="1"/>
    <col min="11258" max="11262" width="0" style="114" hidden="1" customWidth="1"/>
    <col min="11263" max="11263" width="10.140625" style="114" customWidth="1"/>
    <col min="11264" max="11264" width="17" style="114" customWidth="1"/>
    <col min="11265" max="11265" width="11.28515625" style="114" bestFit="1" customWidth="1"/>
    <col min="11266" max="11266" width="8.7109375" style="114" bestFit="1" customWidth="1"/>
    <col min="11267" max="11267" width="6" style="114" customWidth="1"/>
    <col min="11268" max="11268" width="12.7109375" style="114" customWidth="1"/>
    <col min="11269" max="11269" width="7.28515625" style="114" bestFit="1" customWidth="1"/>
    <col min="11270" max="11270" width="12.7109375" style="114" customWidth="1"/>
    <col min="11271" max="11271" width="6" style="114" customWidth="1"/>
    <col min="11272" max="11272" width="12.7109375" style="114" customWidth="1"/>
    <col min="11273" max="11273" width="6" style="114" customWidth="1"/>
    <col min="11274" max="11274" width="12.7109375" style="114" customWidth="1"/>
    <col min="11275" max="11275" width="6" style="114" customWidth="1"/>
    <col min="11276" max="11276" width="12.7109375" style="114" customWidth="1"/>
    <col min="11277" max="11277" width="6" style="114" customWidth="1"/>
    <col min="11278" max="11278" width="12.7109375" style="114" customWidth="1"/>
    <col min="11279" max="11279" width="6" style="114" customWidth="1"/>
    <col min="11280" max="11280" width="12.7109375" style="114" customWidth="1"/>
    <col min="11281" max="11281" width="6" style="114" customWidth="1"/>
    <col min="11282" max="11282" width="12.7109375" style="114" customWidth="1"/>
    <col min="11283" max="11287" width="0" style="114" hidden="1" customWidth="1"/>
    <col min="11288" max="11288" width="9.7109375" style="114" customWidth="1"/>
    <col min="11289" max="11289" width="12.28515625" style="114" customWidth="1"/>
    <col min="11290" max="11290" width="14.7109375" style="114" customWidth="1"/>
    <col min="11291" max="11291" width="9.7109375" style="114" customWidth="1"/>
    <col min="11292" max="11494" width="9.140625" style="114"/>
    <col min="11495" max="11495" width="15.7109375" style="114" customWidth="1"/>
    <col min="11496" max="11496" width="6.85546875" style="114" bestFit="1" customWidth="1"/>
    <col min="11497" max="11497" width="4.7109375" style="114" bestFit="1" customWidth="1"/>
    <col min="11498" max="11498" width="6.140625" style="114" customWidth="1"/>
    <col min="11499" max="11499" width="12.7109375" style="114" customWidth="1"/>
    <col min="11500" max="11500" width="6.140625" style="114" customWidth="1"/>
    <col min="11501" max="11501" width="12.7109375" style="114" customWidth="1"/>
    <col min="11502" max="11502" width="6.140625" style="114" customWidth="1"/>
    <col min="11503" max="11503" width="12.7109375" style="114" customWidth="1"/>
    <col min="11504" max="11504" width="6.140625" style="114" customWidth="1"/>
    <col min="11505" max="11505" width="12.7109375" style="114" customWidth="1"/>
    <col min="11506" max="11506" width="6.140625" style="114" customWidth="1"/>
    <col min="11507" max="11507" width="12.7109375" style="114" customWidth="1"/>
    <col min="11508" max="11508" width="6.140625" style="114" customWidth="1"/>
    <col min="11509" max="11509" width="12.7109375" style="114" customWidth="1"/>
    <col min="11510" max="11510" width="8.140625" style="114" bestFit="1" customWidth="1"/>
    <col min="11511" max="11511" width="12.7109375" style="114" customWidth="1"/>
    <col min="11512" max="11512" width="6.140625" style="114" customWidth="1"/>
    <col min="11513" max="11513" width="12.7109375" style="114" customWidth="1"/>
    <col min="11514" max="11518" width="0" style="114" hidden="1" customWidth="1"/>
    <col min="11519" max="11519" width="10.140625" style="114" customWidth="1"/>
    <col min="11520" max="11520" width="17" style="114" customWidth="1"/>
    <col min="11521" max="11521" width="11.28515625" style="114" bestFit="1" customWidth="1"/>
    <col min="11522" max="11522" width="8.7109375" style="114" bestFit="1" customWidth="1"/>
    <col min="11523" max="11523" width="6" style="114" customWidth="1"/>
    <col min="11524" max="11524" width="12.7109375" style="114" customWidth="1"/>
    <col min="11525" max="11525" width="7.28515625" style="114" bestFit="1" customWidth="1"/>
    <col min="11526" max="11526" width="12.7109375" style="114" customWidth="1"/>
    <col min="11527" max="11527" width="6" style="114" customWidth="1"/>
    <col min="11528" max="11528" width="12.7109375" style="114" customWidth="1"/>
    <col min="11529" max="11529" width="6" style="114" customWidth="1"/>
    <col min="11530" max="11530" width="12.7109375" style="114" customWidth="1"/>
    <col min="11531" max="11531" width="6" style="114" customWidth="1"/>
    <col min="11532" max="11532" width="12.7109375" style="114" customWidth="1"/>
    <col min="11533" max="11533" width="6" style="114" customWidth="1"/>
    <col min="11534" max="11534" width="12.7109375" style="114" customWidth="1"/>
    <col min="11535" max="11535" width="6" style="114" customWidth="1"/>
    <col min="11536" max="11536" width="12.7109375" style="114" customWidth="1"/>
    <col min="11537" max="11537" width="6" style="114" customWidth="1"/>
    <col min="11538" max="11538" width="12.7109375" style="114" customWidth="1"/>
    <col min="11539" max="11543" width="0" style="114" hidden="1" customWidth="1"/>
    <col min="11544" max="11544" width="9.7109375" style="114" customWidth="1"/>
    <col min="11545" max="11545" width="12.28515625" style="114" customWidth="1"/>
    <col min="11546" max="11546" width="14.7109375" style="114" customWidth="1"/>
    <col min="11547" max="11547" width="9.7109375" style="114" customWidth="1"/>
    <col min="11548" max="11750" width="9.140625" style="114"/>
    <col min="11751" max="11751" width="15.7109375" style="114" customWidth="1"/>
    <col min="11752" max="11752" width="6.85546875" style="114" bestFit="1" customWidth="1"/>
    <col min="11753" max="11753" width="4.7109375" style="114" bestFit="1" customWidth="1"/>
    <col min="11754" max="11754" width="6.140625" style="114" customWidth="1"/>
    <col min="11755" max="11755" width="12.7109375" style="114" customWidth="1"/>
    <col min="11756" max="11756" width="6.140625" style="114" customWidth="1"/>
    <col min="11757" max="11757" width="12.7109375" style="114" customWidth="1"/>
    <col min="11758" max="11758" width="6.140625" style="114" customWidth="1"/>
    <col min="11759" max="11759" width="12.7109375" style="114" customWidth="1"/>
    <col min="11760" max="11760" width="6.140625" style="114" customWidth="1"/>
    <col min="11761" max="11761" width="12.7109375" style="114" customWidth="1"/>
    <col min="11762" max="11762" width="6.140625" style="114" customWidth="1"/>
    <col min="11763" max="11763" width="12.7109375" style="114" customWidth="1"/>
    <col min="11764" max="11764" width="6.140625" style="114" customWidth="1"/>
    <col min="11765" max="11765" width="12.7109375" style="114" customWidth="1"/>
    <col min="11766" max="11766" width="8.140625" style="114" bestFit="1" customWidth="1"/>
    <col min="11767" max="11767" width="12.7109375" style="114" customWidth="1"/>
    <col min="11768" max="11768" width="6.140625" style="114" customWidth="1"/>
    <col min="11769" max="11769" width="12.7109375" style="114" customWidth="1"/>
    <col min="11770" max="11774" width="0" style="114" hidden="1" customWidth="1"/>
    <col min="11775" max="11775" width="10.140625" style="114" customWidth="1"/>
    <col min="11776" max="11776" width="17" style="114" customWidth="1"/>
    <col min="11777" max="11777" width="11.28515625" style="114" bestFit="1" customWidth="1"/>
    <col min="11778" max="11778" width="8.7109375" style="114" bestFit="1" customWidth="1"/>
    <col min="11779" max="11779" width="6" style="114" customWidth="1"/>
    <col min="11780" max="11780" width="12.7109375" style="114" customWidth="1"/>
    <col min="11781" max="11781" width="7.28515625" style="114" bestFit="1" customWidth="1"/>
    <col min="11782" max="11782" width="12.7109375" style="114" customWidth="1"/>
    <col min="11783" max="11783" width="6" style="114" customWidth="1"/>
    <col min="11784" max="11784" width="12.7109375" style="114" customWidth="1"/>
    <col min="11785" max="11785" width="6" style="114" customWidth="1"/>
    <col min="11786" max="11786" width="12.7109375" style="114" customWidth="1"/>
    <col min="11787" max="11787" width="6" style="114" customWidth="1"/>
    <col min="11788" max="11788" width="12.7109375" style="114" customWidth="1"/>
    <col min="11789" max="11789" width="6" style="114" customWidth="1"/>
    <col min="11790" max="11790" width="12.7109375" style="114" customWidth="1"/>
    <col min="11791" max="11791" width="6" style="114" customWidth="1"/>
    <col min="11792" max="11792" width="12.7109375" style="114" customWidth="1"/>
    <col min="11793" max="11793" width="6" style="114" customWidth="1"/>
    <col min="11794" max="11794" width="12.7109375" style="114" customWidth="1"/>
    <col min="11795" max="11799" width="0" style="114" hidden="1" customWidth="1"/>
    <col min="11800" max="11800" width="9.7109375" style="114" customWidth="1"/>
    <col min="11801" max="11801" width="12.28515625" style="114" customWidth="1"/>
    <col min="11802" max="11802" width="14.7109375" style="114" customWidth="1"/>
    <col min="11803" max="11803" width="9.7109375" style="114" customWidth="1"/>
    <col min="11804" max="12006" width="9.140625" style="114"/>
    <col min="12007" max="12007" width="15.7109375" style="114" customWidth="1"/>
    <col min="12008" max="12008" width="6.85546875" style="114" bestFit="1" customWidth="1"/>
    <col min="12009" max="12009" width="4.7109375" style="114" bestFit="1" customWidth="1"/>
    <col min="12010" max="12010" width="6.140625" style="114" customWidth="1"/>
    <col min="12011" max="12011" width="12.7109375" style="114" customWidth="1"/>
    <col min="12012" max="12012" width="6.140625" style="114" customWidth="1"/>
    <col min="12013" max="12013" width="12.7109375" style="114" customWidth="1"/>
    <col min="12014" max="12014" width="6.140625" style="114" customWidth="1"/>
    <col min="12015" max="12015" width="12.7109375" style="114" customWidth="1"/>
    <col min="12016" max="12016" width="6.140625" style="114" customWidth="1"/>
    <col min="12017" max="12017" width="12.7109375" style="114" customWidth="1"/>
    <col min="12018" max="12018" width="6.140625" style="114" customWidth="1"/>
    <col min="12019" max="12019" width="12.7109375" style="114" customWidth="1"/>
    <col min="12020" max="12020" width="6.140625" style="114" customWidth="1"/>
    <col min="12021" max="12021" width="12.7109375" style="114" customWidth="1"/>
    <col min="12022" max="12022" width="8.140625" style="114" bestFit="1" customWidth="1"/>
    <col min="12023" max="12023" width="12.7109375" style="114" customWidth="1"/>
    <col min="12024" max="12024" width="6.140625" style="114" customWidth="1"/>
    <col min="12025" max="12025" width="12.7109375" style="114" customWidth="1"/>
    <col min="12026" max="12030" width="0" style="114" hidden="1" customWidth="1"/>
    <col min="12031" max="12031" width="10.140625" style="114" customWidth="1"/>
    <col min="12032" max="12032" width="17" style="114" customWidth="1"/>
    <col min="12033" max="12033" width="11.28515625" style="114" bestFit="1" customWidth="1"/>
    <col min="12034" max="12034" width="8.7109375" style="114" bestFit="1" customWidth="1"/>
    <col min="12035" max="12035" width="6" style="114" customWidth="1"/>
    <col min="12036" max="12036" width="12.7109375" style="114" customWidth="1"/>
    <col min="12037" max="12037" width="7.28515625" style="114" bestFit="1" customWidth="1"/>
    <col min="12038" max="12038" width="12.7109375" style="114" customWidth="1"/>
    <col min="12039" max="12039" width="6" style="114" customWidth="1"/>
    <col min="12040" max="12040" width="12.7109375" style="114" customWidth="1"/>
    <col min="12041" max="12041" width="6" style="114" customWidth="1"/>
    <col min="12042" max="12042" width="12.7109375" style="114" customWidth="1"/>
    <col min="12043" max="12043" width="6" style="114" customWidth="1"/>
    <col min="12044" max="12044" width="12.7109375" style="114" customWidth="1"/>
    <col min="12045" max="12045" width="6" style="114" customWidth="1"/>
    <col min="12046" max="12046" width="12.7109375" style="114" customWidth="1"/>
    <col min="12047" max="12047" width="6" style="114" customWidth="1"/>
    <col min="12048" max="12048" width="12.7109375" style="114" customWidth="1"/>
    <col min="12049" max="12049" width="6" style="114" customWidth="1"/>
    <col min="12050" max="12050" width="12.7109375" style="114" customWidth="1"/>
    <col min="12051" max="12055" width="0" style="114" hidden="1" customWidth="1"/>
    <col min="12056" max="12056" width="9.7109375" style="114" customWidth="1"/>
    <col min="12057" max="12057" width="12.28515625" style="114" customWidth="1"/>
    <col min="12058" max="12058" width="14.7109375" style="114" customWidth="1"/>
    <col min="12059" max="12059" width="9.7109375" style="114" customWidth="1"/>
    <col min="12060" max="12262" width="9.140625" style="114"/>
    <col min="12263" max="12263" width="15.7109375" style="114" customWidth="1"/>
    <col min="12264" max="12264" width="6.85546875" style="114" bestFit="1" customWidth="1"/>
    <col min="12265" max="12265" width="4.7109375" style="114" bestFit="1" customWidth="1"/>
    <col min="12266" max="12266" width="6.140625" style="114" customWidth="1"/>
    <col min="12267" max="12267" width="12.7109375" style="114" customWidth="1"/>
    <col min="12268" max="12268" width="6.140625" style="114" customWidth="1"/>
    <col min="12269" max="12269" width="12.7109375" style="114" customWidth="1"/>
    <col min="12270" max="12270" width="6.140625" style="114" customWidth="1"/>
    <col min="12271" max="12271" width="12.7109375" style="114" customWidth="1"/>
    <col min="12272" max="12272" width="6.140625" style="114" customWidth="1"/>
    <col min="12273" max="12273" width="12.7109375" style="114" customWidth="1"/>
    <col min="12274" max="12274" width="6.140625" style="114" customWidth="1"/>
    <col min="12275" max="12275" width="12.7109375" style="114" customWidth="1"/>
    <col min="12276" max="12276" width="6.140625" style="114" customWidth="1"/>
    <col min="12277" max="12277" width="12.7109375" style="114" customWidth="1"/>
    <col min="12278" max="12278" width="8.140625" style="114" bestFit="1" customWidth="1"/>
    <col min="12279" max="12279" width="12.7109375" style="114" customWidth="1"/>
    <col min="12280" max="12280" width="6.140625" style="114" customWidth="1"/>
    <col min="12281" max="12281" width="12.7109375" style="114" customWidth="1"/>
    <col min="12282" max="12286" width="0" style="114" hidden="1" customWidth="1"/>
    <col min="12287" max="12287" width="10.140625" style="114" customWidth="1"/>
    <col min="12288" max="12288" width="17" style="114" customWidth="1"/>
    <col min="12289" max="12289" width="11.28515625" style="114" bestFit="1" customWidth="1"/>
    <col min="12290" max="12290" width="8.7109375" style="114" bestFit="1" customWidth="1"/>
    <col min="12291" max="12291" width="6" style="114" customWidth="1"/>
    <col min="12292" max="12292" width="12.7109375" style="114" customWidth="1"/>
    <col min="12293" max="12293" width="7.28515625" style="114" bestFit="1" customWidth="1"/>
    <col min="12294" max="12294" width="12.7109375" style="114" customWidth="1"/>
    <col min="12295" max="12295" width="6" style="114" customWidth="1"/>
    <col min="12296" max="12296" width="12.7109375" style="114" customWidth="1"/>
    <col min="12297" max="12297" width="6" style="114" customWidth="1"/>
    <col min="12298" max="12298" width="12.7109375" style="114" customWidth="1"/>
    <col min="12299" max="12299" width="6" style="114" customWidth="1"/>
    <col min="12300" max="12300" width="12.7109375" style="114" customWidth="1"/>
    <col min="12301" max="12301" width="6" style="114" customWidth="1"/>
    <col min="12302" max="12302" width="12.7109375" style="114" customWidth="1"/>
    <col min="12303" max="12303" width="6" style="114" customWidth="1"/>
    <col min="12304" max="12304" width="12.7109375" style="114" customWidth="1"/>
    <col min="12305" max="12305" width="6" style="114" customWidth="1"/>
    <col min="12306" max="12306" width="12.7109375" style="114" customWidth="1"/>
    <col min="12307" max="12311" width="0" style="114" hidden="1" customWidth="1"/>
    <col min="12312" max="12312" width="9.7109375" style="114" customWidth="1"/>
    <col min="12313" max="12313" width="12.28515625" style="114" customWidth="1"/>
    <col min="12314" max="12314" width="14.7109375" style="114" customWidth="1"/>
    <col min="12315" max="12315" width="9.7109375" style="114" customWidth="1"/>
    <col min="12316" max="12518" width="9.140625" style="114"/>
    <col min="12519" max="12519" width="15.7109375" style="114" customWidth="1"/>
    <col min="12520" max="12520" width="6.85546875" style="114" bestFit="1" customWidth="1"/>
    <col min="12521" max="12521" width="4.7109375" style="114" bestFit="1" customWidth="1"/>
    <col min="12522" max="12522" width="6.140625" style="114" customWidth="1"/>
    <col min="12523" max="12523" width="12.7109375" style="114" customWidth="1"/>
    <col min="12524" max="12524" width="6.140625" style="114" customWidth="1"/>
    <col min="12525" max="12525" width="12.7109375" style="114" customWidth="1"/>
    <col min="12526" max="12526" width="6.140625" style="114" customWidth="1"/>
    <col min="12527" max="12527" width="12.7109375" style="114" customWidth="1"/>
    <col min="12528" max="12528" width="6.140625" style="114" customWidth="1"/>
    <col min="12529" max="12529" width="12.7109375" style="114" customWidth="1"/>
    <col min="12530" max="12530" width="6.140625" style="114" customWidth="1"/>
    <col min="12531" max="12531" width="12.7109375" style="114" customWidth="1"/>
    <col min="12532" max="12532" width="6.140625" style="114" customWidth="1"/>
    <col min="12533" max="12533" width="12.7109375" style="114" customWidth="1"/>
    <col min="12534" max="12534" width="8.140625" style="114" bestFit="1" customWidth="1"/>
    <col min="12535" max="12535" width="12.7109375" style="114" customWidth="1"/>
    <col min="12536" max="12536" width="6.140625" style="114" customWidth="1"/>
    <col min="12537" max="12537" width="12.7109375" style="114" customWidth="1"/>
    <col min="12538" max="12542" width="0" style="114" hidden="1" customWidth="1"/>
    <col min="12543" max="12543" width="10.140625" style="114" customWidth="1"/>
    <col min="12544" max="12544" width="17" style="114" customWidth="1"/>
    <col min="12545" max="12545" width="11.28515625" style="114" bestFit="1" customWidth="1"/>
    <col min="12546" max="12546" width="8.7109375" style="114" bestFit="1" customWidth="1"/>
    <col min="12547" max="12547" width="6" style="114" customWidth="1"/>
    <col min="12548" max="12548" width="12.7109375" style="114" customWidth="1"/>
    <col min="12549" max="12549" width="7.28515625" style="114" bestFit="1" customWidth="1"/>
    <col min="12550" max="12550" width="12.7109375" style="114" customWidth="1"/>
    <col min="12551" max="12551" width="6" style="114" customWidth="1"/>
    <col min="12552" max="12552" width="12.7109375" style="114" customWidth="1"/>
    <col min="12553" max="12553" width="6" style="114" customWidth="1"/>
    <col min="12554" max="12554" width="12.7109375" style="114" customWidth="1"/>
    <col min="12555" max="12555" width="6" style="114" customWidth="1"/>
    <col min="12556" max="12556" width="12.7109375" style="114" customWidth="1"/>
    <col min="12557" max="12557" width="6" style="114" customWidth="1"/>
    <col min="12558" max="12558" width="12.7109375" style="114" customWidth="1"/>
    <col min="12559" max="12559" width="6" style="114" customWidth="1"/>
    <col min="12560" max="12560" width="12.7109375" style="114" customWidth="1"/>
    <col min="12561" max="12561" width="6" style="114" customWidth="1"/>
    <col min="12562" max="12562" width="12.7109375" style="114" customWidth="1"/>
    <col min="12563" max="12567" width="0" style="114" hidden="1" customWidth="1"/>
    <col min="12568" max="12568" width="9.7109375" style="114" customWidth="1"/>
    <col min="12569" max="12569" width="12.28515625" style="114" customWidth="1"/>
    <col min="12570" max="12570" width="14.7109375" style="114" customWidth="1"/>
    <col min="12571" max="12571" width="9.7109375" style="114" customWidth="1"/>
    <col min="12572" max="12774" width="9.140625" style="114"/>
    <col min="12775" max="12775" width="15.7109375" style="114" customWidth="1"/>
    <col min="12776" max="12776" width="6.85546875" style="114" bestFit="1" customWidth="1"/>
    <col min="12777" max="12777" width="4.7109375" style="114" bestFit="1" customWidth="1"/>
    <col min="12778" max="12778" width="6.140625" style="114" customWidth="1"/>
    <col min="12779" max="12779" width="12.7109375" style="114" customWidth="1"/>
    <col min="12780" max="12780" width="6.140625" style="114" customWidth="1"/>
    <col min="12781" max="12781" width="12.7109375" style="114" customWidth="1"/>
    <col min="12782" max="12782" width="6.140625" style="114" customWidth="1"/>
    <col min="12783" max="12783" width="12.7109375" style="114" customWidth="1"/>
    <col min="12784" max="12784" width="6.140625" style="114" customWidth="1"/>
    <col min="12785" max="12785" width="12.7109375" style="114" customWidth="1"/>
    <col min="12786" max="12786" width="6.140625" style="114" customWidth="1"/>
    <col min="12787" max="12787" width="12.7109375" style="114" customWidth="1"/>
    <col min="12788" max="12788" width="6.140625" style="114" customWidth="1"/>
    <col min="12789" max="12789" width="12.7109375" style="114" customWidth="1"/>
    <col min="12790" max="12790" width="8.140625" style="114" bestFit="1" customWidth="1"/>
    <col min="12791" max="12791" width="12.7109375" style="114" customWidth="1"/>
    <col min="12792" max="12792" width="6.140625" style="114" customWidth="1"/>
    <col min="12793" max="12793" width="12.7109375" style="114" customWidth="1"/>
    <col min="12794" max="12798" width="0" style="114" hidden="1" customWidth="1"/>
    <col min="12799" max="12799" width="10.140625" style="114" customWidth="1"/>
    <col min="12800" max="12800" width="17" style="114" customWidth="1"/>
    <col min="12801" max="12801" width="11.28515625" style="114" bestFit="1" customWidth="1"/>
    <col min="12802" max="12802" width="8.7109375" style="114" bestFit="1" customWidth="1"/>
    <col min="12803" max="12803" width="6" style="114" customWidth="1"/>
    <col min="12804" max="12804" width="12.7109375" style="114" customWidth="1"/>
    <col min="12805" max="12805" width="7.28515625" style="114" bestFit="1" customWidth="1"/>
    <col min="12806" max="12806" width="12.7109375" style="114" customWidth="1"/>
    <col min="12807" max="12807" width="6" style="114" customWidth="1"/>
    <col min="12808" max="12808" width="12.7109375" style="114" customWidth="1"/>
    <col min="12809" max="12809" width="6" style="114" customWidth="1"/>
    <col min="12810" max="12810" width="12.7109375" style="114" customWidth="1"/>
    <col min="12811" max="12811" width="6" style="114" customWidth="1"/>
    <col min="12812" max="12812" width="12.7109375" style="114" customWidth="1"/>
    <col min="12813" max="12813" width="6" style="114" customWidth="1"/>
    <col min="12814" max="12814" width="12.7109375" style="114" customWidth="1"/>
    <col min="12815" max="12815" width="6" style="114" customWidth="1"/>
    <col min="12816" max="12816" width="12.7109375" style="114" customWidth="1"/>
    <col min="12817" max="12817" width="6" style="114" customWidth="1"/>
    <col min="12818" max="12818" width="12.7109375" style="114" customWidth="1"/>
    <col min="12819" max="12823" width="0" style="114" hidden="1" customWidth="1"/>
    <col min="12824" max="12824" width="9.7109375" style="114" customWidth="1"/>
    <col min="12825" max="12825" width="12.28515625" style="114" customWidth="1"/>
    <col min="12826" max="12826" width="14.7109375" style="114" customWidth="1"/>
    <col min="12827" max="12827" width="9.7109375" style="114" customWidth="1"/>
    <col min="12828" max="13030" width="9.140625" style="114"/>
    <col min="13031" max="13031" width="15.7109375" style="114" customWidth="1"/>
    <col min="13032" max="13032" width="6.85546875" style="114" bestFit="1" customWidth="1"/>
    <col min="13033" max="13033" width="4.7109375" style="114" bestFit="1" customWidth="1"/>
    <col min="13034" max="13034" width="6.140625" style="114" customWidth="1"/>
    <col min="13035" max="13035" width="12.7109375" style="114" customWidth="1"/>
    <col min="13036" max="13036" width="6.140625" style="114" customWidth="1"/>
    <col min="13037" max="13037" width="12.7109375" style="114" customWidth="1"/>
    <col min="13038" max="13038" width="6.140625" style="114" customWidth="1"/>
    <col min="13039" max="13039" width="12.7109375" style="114" customWidth="1"/>
    <col min="13040" max="13040" width="6.140625" style="114" customWidth="1"/>
    <col min="13041" max="13041" width="12.7109375" style="114" customWidth="1"/>
    <col min="13042" max="13042" width="6.140625" style="114" customWidth="1"/>
    <col min="13043" max="13043" width="12.7109375" style="114" customWidth="1"/>
    <col min="13044" max="13044" width="6.140625" style="114" customWidth="1"/>
    <col min="13045" max="13045" width="12.7109375" style="114" customWidth="1"/>
    <col min="13046" max="13046" width="8.140625" style="114" bestFit="1" customWidth="1"/>
    <col min="13047" max="13047" width="12.7109375" style="114" customWidth="1"/>
    <col min="13048" max="13048" width="6.140625" style="114" customWidth="1"/>
    <col min="13049" max="13049" width="12.7109375" style="114" customWidth="1"/>
    <col min="13050" max="13054" width="0" style="114" hidden="1" customWidth="1"/>
    <col min="13055" max="13055" width="10.140625" style="114" customWidth="1"/>
    <col min="13056" max="13056" width="17" style="114" customWidth="1"/>
    <col min="13057" max="13057" width="11.28515625" style="114" bestFit="1" customWidth="1"/>
    <col min="13058" max="13058" width="8.7109375" style="114" bestFit="1" customWidth="1"/>
    <col min="13059" max="13059" width="6" style="114" customWidth="1"/>
    <col min="13060" max="13060" width="12.7109375" style="114" customWidth="1"/>
    <col min="13061" max="13061" width="7.28515625" style="114" bestFit="1" customWidth="1"/>
    <col min="13062" max="13062" width="12.7109375" style="114" customWidth="1"/>
    <col min="13063" max="13063" width="6" style="114" customWidth="1"/>
    <col min="13064" max="13064" width="12.7109375" style="114" customWidth="1"/>
    <col min="13065" max="13065" width="6" style="114" customWidth="1"/>
    <col min="13066" max="13066" width="12.7109375" style="114" customWidth="1"/>
    <col min="13067" max="13067" width="6" style="114" customWidth="1"/>
    <col min="13068" max="13068" width="12.7109375" style="114" customWidth="1"/>
    <col min="13069" max="13069" width="6" style="114" customWidth="1"/>
    <col min="13070" max="13070" width="12.7109375" style="114" customWidth="1"/>
    <col min="13071" max="13071" width="6" style="114" customWidth="1"/>
    <col min="13072" max="13072" width="12.7109375" style="114" customWidth="1"/>
    <col min="13073" max="13073" width="6" style="114" customWidth="1"/>
    <col min="13074" max="13074" width="12.7109375" style="114" customWidth="1"/>
    <col min="13075" max="13079" width="0" style="114" hidden="1" customWidth="1"/>
    <col min="13080" max="13080" width="9.7109375" style="114" customWidth="1"/>
    <col min="13081" max="13081" width="12.28515625" style="114" customWidth="1"/>
    <col min="13082" max="13082" width="14.7109375" style="114" customWidth="1"/>
    <col min="13083" max="13083" width="9.7109375" style="114" customWidth="1"/>
    <col min="13084" max="13286" width="9.140625" style="114"/>
    <col min="13287" max="13287" width="15.7109375" style="114" customWidth="1"/>
    <col min="13288" max="13288" width="6.85546875" style="114" bestFit="1" customWidth="1"/>
    <col min="13289" max="13289" width="4.7109375" style="114" bestFit="1" customWidth="1"/>
    <col min="13290" max="13290" width="6.140625" style="114" customWidth="1"/>
    <col min="13291" max="13291" width="12.7109375" style="114" customWidth="1"/>
    <col min="13292" max="13292" width="6.140625" style="114" customWidth="1"/>
    <col min="13293" max="13293" width="12.7109375" style="114" customWidth="1"/>
    <col min="13294" max="13294" width="6.140625" style="114" customWidth="1"/>
    <col min="13295" max="13295" width="12.7109375" style="114" customWidth="1"/>
    <col min="13296" max="13296" width="6.140625" style="114" customWidth="1"/>
    <col min="13297" max="13297" width="12.7109375" style="114" customWidth="1"/>
    <col min="13298" max="13298" width="6.140625" style="114" customWidth="1"/>
    <col min="13299" max="13299" width="12.7109375" style="114" customWidth="1"/>
    <col min="13300" max="13300" width="6.140625" style="114" customWidth="1"/>
    <col min="13301" max="13301" width="12.7109375" style="114" customWidth="1"/>
    <col min="13302" max="13302" width="8.140625" style="114" bestFit="1" customWidth="1"/>
    <col min="13303" max="13303" width="12.7109375" style="114" customWidth="1"/>
    <col min="13304" max="13304" width="6.140625" style="114" customWidth="1"/>
    <col min="13305" max="13305" width="12.7109375" style="114" customWidth="1"/>
    <col min="13306" max="13310" width="0" style="114" hidden="1" customWidth="1"/>
    <col min="13311" max="13311" width="10.140625" style="114" customWidth="1"/>
    <col min="13312" max="13312" width="17" style="114" customWidth="1"/>
    <col min="13313" max="13313" width="11.28515625" style="114" bestFit="1" customWidth="1"/>
    <col min="13314" max="13314" width="8.7109375" style="114" bestFit="1" customWidth="1"/>
    <col min="13315" max="13315" width="6" style="114" customWidth="1"/>
    <col min="13316" max="13316" width="12.7109375" style="114" customWidth="1"/>
    <col min="13317" max="13317" width="7.28515625" style="114" bestFit="1" customWidth="1"/>
    <col min="13318" max="13318" width="12.7109375" style="114" customWidth="1"/>
    <col min="13319" max="13319" width="6" style="114" customWidth="1"/>
    <col min="13320" max="13320" width="12.7109375" style="114" customWidth="1"/>
    <col min="13321" max="13321" width="6" style="114" customWidth="1"/>
    <col min="13322" max="13322" width="12.7109375" style="114" customWidth="1"/>
    <col min="13323" max="13323" width="6" style="114" customWidth="1"/>
    <col min="13324" max="13324" width="12.7109375" style="114" customWidth="1"/>
    <col min="13325" max="13325" width="6" style="114" customWidth="1"/>
    <col min="13326" max="13326" width="12.7109375" style="114" customWidth="1"/>
    <col min="13327" max="13327" width="6" style="114" customWidth="1"/>
    <col min="13328" max="13328" width="12.7109375" style="114" customWidth="1"/>
    <col min="13329" max="13329" width="6" style="114" customWidth="1"/>
    <col min="13330" max="13330" width="12.7109375" style="114" customWidth="1"/>
    <col min="13331" max="13335" width="0" style="114" hidden="1" customWidth="1"/>
    <col min="13336" max="13336" width="9.7109375" style="114" customWidth="1"/>
    <col min="13337" max="13337" width="12.28515625" style="114" customWidth="1"/>
    <col min="13338" max="13338" width="14.7109375" style="114" customWidth="1"/>
    <col min="13339" max="13339" width="9.7109375" style="114" customWidth="1"/>
    <col min="13340" max="13542" width="9.140625" style="114"/>
    <col min="13543" max="13543" width="15.7109375" style="114" customWidth="1"/>
    <col min="13544" max="13544" width="6.85546875" style="114" bestFit="1" customWidth="1"/>
    <col min="13545" max="13545" width="4.7109375" style="114" bestFit="1" customWidth="1"/>
    <col min="13546" max="13546" width="6.140625" style="114" customWidth="1"/>
    <col min="13547" max="13547" width="12.7109375" style="114" customWidth="1"/>
    <col min="13548" max="13548" width="6.140625" style="114" customWidth="1"/>
    <col min="13549" max="13549" width="12.7109375" style="114" customWidth="1"/>
    <col min="13550" max="13550" width="6.140625" style="114" customWidth="1"/>
    <col min="13551" max="13551" width="12.7109375" style="114" customWidth="1"/>
    <col min="13552" max="13552" width="6.140625" style="114" customWidth="1"/>
    <col min="13553" max="13553" width="12.7109375" style="114" customWidth="1"/>
    <col min="13554" max="13554" width="6.140625" style="114" customWidth="1"/>
    <col min="13555" max="13555" width="12.7109375" style="114" customWidth="1"/>
    <col min="13556" max="13556" width="6.140625" style="114" customWidth="1"/>
    <col min="13557" max="13557" width="12.7109375" style="114" customWidth="1"/>
    <col min="13558" max="13558" width="8.140625" style="114" bestFit="1" customWidth="1"/>
    <col min="13559" max="13559" width="12.7109375" style="114" customWidth="1"/>
    <col min="13560" max="13560" width="6.140625" style="114" customWidth="1"/>
    <col min="13561" max="13561" width="12.7109375" style="114" customWidth="1"/>
    <col min="13562" max="13566" width="0" style="114" hidden="1" customWidth="1"/>
    <col min="13567" max="13567" width="10.140625" style="114" customWidth="1"/>
    <col min="13568" max="13568" width="17" style="114" customWidth="1"/>
    <col min="13569" max="13569" width="11.28515625" style="114" bestFit="1" customWidth="1"/>
    <col min="13570" max="13570" width="8.7109375" style="114" bestFit="1" customWidth="1"/>
    <col min="13571" max="13571" width="6" style="114" customWidth="1"/>
    <col min="13572" max="13572" width="12.7109375" style="114" customWidth="1"/>
    <col min="13573" max="13573" width="7.28515625" style="114" bestFit="1" customWidth="1"/>
    <col min="13574" max="13574" width="12.7109375" style="114" customWidth="1"/>
    <col min="13575" max="13575" width="6" style="114" customWidth="1"/>
    <col min="13576" max="13576" width="12.7109375" style="114" customWidth="1"/>
    <col min="13577" max="13577" width="6" style="114" customWidth="1"/>
    <col min="13578" max="13578" width="12.7109375" style="114" customWidth="1"/>
    <col min="13579" max="13579" width="6" style="114" customWidth="1"/>
    <col min="13580" max="13580" width="12.7109375" style="114" customWidth="1"/>
    <col min="13581" max="13581" width="6" style="114" customWidth="1"/>
    <col min="13582" max="13582" width="12.7109375" style="114" customWidth="1"/>
    <col min="13583" max="13583" width="6" style="114" customWidth="1"/>
    <col min="13584" max="13584" width="12.7109375" style="114" customWidth="1"/>
    <col min="13585" max="13585" width="6" style="114" customWidth="1"/>
    <col min="13586" max="13586" width="12.7109375" style="114" customWidth="1"/>
    <col min="13587" max="13591" width="0" style="114" hidden="1" customWidth="1"/>
    <col min="13592" max="13592" width="9.7109375" style="114" customWidth="1"/>
    <col min="13593" max="13593" width="12.28515625" style="114" customWidth="1"/>
    <col min="13594" max="13594" width="14.7109375" style="114" customWidth="1"/>
    <col min="13595" max="13595" width="9.7109375" style="114" customWidth="1"/>
    <col min="13596" max="13798" width="9.140625" style="114"/>
    <col min="13799" max="13799" width="15.7109375" style="114" customWidth="1"/>
    <col min="13800" max="13800" width="6.85546875" style="114" bestFit="1" customWidth="1"/>
    <col min="13801" max="13801" width="4.7109375" style="114" bestFit="1" customWidth="1"/>
    <col min="13802" max="13802" width="6.140625" style="114" customWidth="1"/>
    <col min="13803" max="13803" width="12.7109375" style="114" customWidth="1"/>
    <col min="13804" max="13804" width="6.140625" style="114" customWidth="1"/>
    <col min="13805" max="13805" width="12.7109375" style="114" customWidth="1"/>
    <col min="13806" max="13806" width="6.140625" style="114" customWidth="1"/>
    <col min="13807" max="13807" width="12.7109375" style="114" customWidth="1"/>
    <col min="13808" max="13808" width="6.140625" style="114" customWidth="1"/>
    <col min="13809" max="13809" width="12.7109375" style="114" customWidth="1"/>
    <col min="13810" max="13810" width="6.140625" style="114" customWidth="1"/>
    <col min="13811" max="13811" width="12.7109375" style="114" customWidth="1"/>
    <col min="13812" max="13812" width="6.140625" style="114" customWidth="1"/>
    <col min="13813" max="13813" width="12.7109375" style="114" customWidth="1"/>
    <col min="13814" max="13814" width="8.140625" style="114" bestFit="1" customWidth="1"/>
    <col min="13815" max="13815" width="12.7109375" style="114" customWidth="1"/>
    <col min="13816" max="13816" width="6.140625" style="114" customWidth="1"/>
    <col min="13817" max="13817" width="12.7109375" style="114" customWidth="1"/>
    <col min="13818" max="13822" width="0" style="114" hidden="1" customWidth="1"/>
    <col min="13823" max="13823" width="10.140625" style="114" customWidth="1"/>
    <col min="13824" max="13824" width="17" style="114" customWidth="1"/>
    <col min="13825" max="13825" width="11.28515625" style="114" bestFit="1" customWidth="1"/>
    <col min="13826" max="13826" width="8.7109375" style="114" bestFit="1" customWidth="1"/>
    <col min="13827" max="13827" width="6" style="114" customWidth="1"/>
    <col min="13828" max="13828" width="12.7109375" style="114" customWidth="1"/>
    <col min="13829" max="13829" width="7.28515625" style="114" bestFit="1" customWidth="1"/>
    <col min="13830" max="13830" width="12.7109375" style="114" customWidth="1"/>
    <col min="13831" max="13831" width="6" style="114" customWidth="1"/>
    <col min="13832" max="13832" width="12.7109375" style="114" customWidth="1"/>
    <col min="13833" max="13833" width="6" style="114" customWidth="1"/>
    <col min="13834" max="13834" width="12.7109375" style="114" customWidth="1"/>
    <col min="13835" max="13835" width="6" style="114" customWidth="1"/>
    <col min="13836" max="13836" width="12.7109375" style="114" customWidth="1"/>
    <col min="13837" max="13837" width="6" style="114" customWidth="1"/>
    <col min="13838" max="13838" width="12.7109375" style="114" customWidth="1"/>
    <col min="13839" max="13839" width="6" style="114" customWidth="1"/>
    <col min="13840" max="13840" width="12.7109375" style="114" customWidth="1"/>
    <col min="13841" max="13841" width="6" style="114" customWidth="1"/>
    <col min="13842" max="13842" width="12.7109375" style="114" customWidth="1"/>
    <col min="13843" max="13847" width="0" style="114" hidden="1" customWidth="1"/>
    <col min="13848" max="13848" width="9.7109375" style="114" customWidth="1"/>
    <col min="13849" max="13849" width="12.28515625" style="114" customWidth="1"/>
    <col min="13850" max="13850" width="14.7109375" style="114" customWidth="1"/>
    <col min="13851" max="13851" width="9.7109375" style="114" customWidth="1"/>
    <col min="13852" max="14054" width="9.140625" style="114"/>
    <col min="14055" max="14055" width="15.7109375" style="114" customWidth="1"/>
    <col min="14056" max="14056" width="6.85546875" style="114" bestFit="1" customWidth="1"/>
    <col min="14057" max="14057" width="4.7109375" style="114" bestFit="1" customWidth="1"/>
    <col min="14058" max="14058" width="6.140625" style="114" customWidth="1"/>
    <col min="14059" max="14059" width="12.7109375" style="114" customWidth="1"/>
    <col min="14060" max="14060" width="6.140625" style="114" customWidth="1"/>
    <col min="14061" max="14061" width="12.7109375" style="114" customWidth="1"/>
    <col min="14062" max="14062" width="6.140625" style="114" customWidth="1"/>
    <col min="14063" max="14063" width="12.7109375" style="114" customWidth="1"/>
    <col min="14064" max="14064" width="6.140625" style="114" customWidth="1"/>
    <col min="14065" max="14065" width="12.7109375" style="114" customWidth="1"/>
    <col min="14066" max="14066" width="6.140625" style="114" customWidth="1"/>
    <col min="14067" max="14067" width="12.7109375" style="114" customWidth="1"/>
    <col min="14068" max="14068" width="6.140625" style="114" customWidth="1"/>
    <col min="14069" max="14069" width="12.7109375" style="114" customWidth="1"/>
    <col min="14070" max="14070" width="8.140625" style="114" bestFit="1" customWidth="1"/>
    <col min="14071" max="14071" width="12.7109375" style="114" customWidth="1"/>
    <col min="14072" max="14072" width="6.140625" style="114" customWidth="1"/>
    <col min="14073" max="14073" width="12.7109375" style="114" customWidth="1"/>
    <col min="14074" max="14078" width="0" style="114" hidden="1" customWidth="1"/>
    <col min="14079" max="14079" width="10.140625" style="114" customWidth="1"/>
    <col min="14080" max="14080" width="17" style="114" customWidth="1"/>
    <col min="14081" max="14081" width="11.28515625" style="114" bestFit="1" customWidth="1"/>
    <col min="14082" max="14082" width="8.7109375" style="114" bestFit="1" customWidth="1"/>
    <col min="14083" max="14083" width="6" style="114" customWidth="1"/>
    <col min="14084" max="14084" width="12.7109375" style="114" customWidth="1"/>
    <col min="14085" max="14085" width="7.28515625" style="114" bestFit="1" customWidth="1"/>
    <col min="14086" max="14086" width="12.7109375" style="114" customWidth="1"/>
    <col min="14087" max="14087" width="6" style="114" customWidth="1"/>
    <col min="14088" max="14088" width="12.7109375" style="114" customWidth="1"/>
    <col min="14089" max="14089" width="6" style="114" customWidth="1"/>
    <col min="14090" max="14090" width="12.7109375" style="114" customWidth="1"/>
    <col min="14091" max="14091" width="6" style="114" customWidth="1"/>
    <col min="14092" max="14092" width="12.7109375" style="114" customWidth="1"/>
    <col min="14093" max="14093" width="6" style="114" customWidth="1"/>
    <col min="14094" max="14094" width="12.7109375" style="114" customWidth="1"/>
    <col min="14095" max="14095" width="6" style="114" customWidth="1"/>
    <col min="14096" max="14096" width="12.7109375" style="114" customWidth="1"/>
    <col min="14097" max="14097" width="6" style="114" customWidth="1"/>
    <col min="14098" max="14098" width="12.7109375" style="114" customWidth="1"/>
    <col min="14099" max="14103" width="0" style="114" hidden="1" customWidth="1"/>
    <col min="14104" max="14104" width="9.7109375" style="114" customWidth="1"/>
    <col min="14105" max="14105" width="12.28515625" style="114" customWidth="1"/>
    <col min="14106" max="14106" width="14.7109375" style="114" customWidth="1"/>
    <col min="14107" max="14107" width="9.7109375" style="114" customWidth="1"/>
    <col min="14108" max="14310" width="9.140625" style="114"/>
    <col min="14311" max="14311" width="15.7109375" style="114" customWidth="1"/>
    <col min="14312" max="14312" width="6.85546875" style="114" bestFit="1" customWidth="1"/>
    <col min="14313" max="14313" width="4.7109375" style="114" bestFit="1" customWidth="1"/>
    <col min="14314" max="14314" width="6.140625" style="114" customWidth="1"/>
    <col min="14315" max="14315" width="12.7109375" style="114" customWidth="1"/>
    <col min="14316" max="14316" width="6.140625" style="114" customWidth="1"/>
    <col min="14317" max="14317" width="12.7109375" style="114" customWidth="1"/>
    <col min="14318" max="14318" width="6.140625" style="114" customWidth="1"/>
    <col min="14319" max="14319" width="12.7109375" style="114" customWidth="1"/>
    <col min="14320" max="14320" width="6.140625" style="114" customWidth="1"/>
    <col min="14321" max="14321" width="12.7109375" style="114" customWidth="1"/>
    <col min="14322" max="14322" width="6.140625" style="114" customWidth="1"/>
    <col min="14323" max="14323" width="12.7109375" style="114" customWidth="1"/>
    <col min="14324" max="14324" width="6.140625" style="114" customWidth="1"/>
    <col min="14325" max="14325" width="12.7109375" style="114" customWidth="1"/>
    <col min="14326" max="14326" width="8.140625" style="114" bestFit="1" customWidth="1"/>
    <col min="14327" max="14327" width="12.7109375" style="114" customWidth="1"/>
    <col min="14328" max="14328" width="6.140625" style="114" customWidth="1"/>
    <col min="14329" max="14329" width="12.7109375" style="114" customWidth="1"/>
    <col min="14330" max="14334" width="0" style="114" hidden="1" customWidth="1"/>
    <col min="14335" max="14335" width="10.140625" style="114" customWidth="1"/>
    <col min="14336" max="14336" width="17" style="114" customWidth="1"/>
    <col min="14337" max="14337" width="11.28515625" style="114" bestFit="1" customWidth="1"/>
    <col min="14338" max="14338" width="8.7109375" style="114" bestFit="1" customWidth="1"/>
    <col min="14339" max="14339" width="6" style="114" customWidth="1"/>
    <col min="14340" max="14340" width="12.7109375" style="114" customWidth="1"/>
    <col min="14341" max="14341" width="7.28515625" style="114" bestFit="1" customWidth="1"/>
    <col min="14342" max="14342" width="12.7109375" style="114" customWidth="1"/>
    <col min="14343" max="14343" width="6" style="114" customWidth="1"/>
    <col min="14344" max="14344" width="12.7109375" style="114" customWidth="1"/>
    <col min="14345" max="14345" width="6" style="114" customWidth="1"/>
    <col min="14346" max="14346" width="12.7109375" style="114" customWidth="1"/>
    <col min="14347" max="14347" width="6" style="114" customWidth="1"/>
    <col min="14348" max="14348" width="12.7109375" style="114" customWidth="1"/>
    <col min="14349" max="14349" width="6" style="114" customWidth="1"/>
    <col min="14350" max="14350" width="12.7109375" style="114" customWidth="1"/>
    <col min="14351" max="14351" width="6" style="114" customWidth="1"/>
    <col min="14352" max="14352" width="12.7109375" style="114" customWidth="1"/>
    <col min="14353" max="14353" width="6" style="114" customWidth="1"/>
    <col min="14354" max="14354" width="12.7109375" style="114" customWidth="1"/>
    <col min="14355" max="14359" width="0" style="114" hidden="1" customWidth="1"/>
    <col min="14360" max="14360" width="9.7109375" style="114" customWidth="1"/>
    <col min="14361" max="14361" width="12.28515625" style="114" customWidth="1"/>
    <col min="14362" max="14362" width="14.7109375" style="114" customWidth="1"/>
    <col min="14363" max="14363" width="9.7109375" style="114" customWidth="1"/>
    <col min="14364" max="14566" width="9.140625" style="114"/>
    <col min="14567" max="14567" width="15.7109375" style="114" customWidth="1"/>
    <col min="14568" max="14568" width="6.85546875" style="114" bestFit="1" customWidth="1"/>
    <col min="14569" max="14569" width="4.7109375" style="114" bestFit="1" customWidth="1"/>
    <col min="14570" max="14570" width="6.140625" style="114" customWidth="1"/>
    <col min="14571" max="14571" width="12.7109375" style="114" customWidth="1"/>
    <col min="14572" max="14572" width="6.140625" style="114" customWidth="1"/>
    <col min="14573" max="14573" width="12.7109375" style="114" customWidth="1"/>
    <col min="14574" max="14574" width="6.140625" style="114" customWidth="1"/>
    <col min="14575" max="14575" width="12.7109375" style="114" customWidth="1"/>
    <col min="14576" max="14576" width="6.140625" style="114" customWidth="1"/>
    <col min="14577" max="14577" width="12.7109375" style="114" customWidth="1"/>
    <col min="14578" max="14578" width="6.140625" style="114" customWidth="1"/>
    <col min="14579" max="14579" width="12.7109375" style="114" customWidth="1"/>
    <col min="14580" max="14580" width="6.140625" style="114" customWidth="1"/>
    <col min="14581" max="14581" width="12.7109375" style="114" customWidth="1"/>
    <col min="14582" max="14582" width="8.140625" style="114" bestFit="1" customWidth="1"/>
    <col min="14583" max="14583" width="12.7109375" style="114" customWidth="1"/>
    <col min="14584" max="14584" width="6.140625" style="114" customWidth="1"/>
    <col min="14585" max="14585" width="12.7109375" style="114" customWidth="1"/>
    <col min="14586" max="14590" width="0" style="114" hidden="1" customWidth="1"/>
    <col min="14591" max="14591" width="10.140625" style="114" customWidth="1"/>
    <col min="14592" max="14592" width="17" style="114" customWidth="1"/>
    <col min="14593" max="14593" width="11.28515625" style="114" bestFit="1" customWidth="1"/>
    <col min="14594" max="14594" width="8.7109375" style="114" bestFit="1" customWidth="1"/>
    <col min="14595" max="14595" width="6" style="114" customWidth="1"/>
    <col min="14596" max="14596" width="12.7109375" style="114" customWidth="1"/>
    <col min="14597" max="14597" width="7.28515625" style="114" bestFit="1" customWidth="1"/>
    <col min="14598" max="14598" width="12.7109375" style="114" customWidth="1"/>
    <col min="14599" max="14599" width="6" style="114" customWidth="1"/>
    <col min="14600" max="14600" width="12.7109375" style="114" customWidth="1"/>
    <col min="14601" max="14601" width="6" style="114" customWidth="1"/>
    <col min="14602" max="14602" width="12.7109375" style="114" customWidth="1"/>
    <col min="14603" max="14603" width="6" style="114" customWidth="1"/>
    <col min="14604" max="14604" width="12.7109375" style="114" customWidth="1"/>
    <col min="14605" max="14605" width="6" style="114" customWidth="1"/>
    <col min="14606" max="14606" width="12.7109375" style="114" customWidth="1"/>
    <col min="14607" max="14607" width="6" style="114" customWidth="1"/>
    <col min="14608" max="14608" width="12.7109375" style="114" customWidth="1"/>
    <col min="14609" max="14609" width="6" style="114" customWidth="1"/>
    <col min="14610" max="14610" width="12.7109375" style="114" customWidth="1"/>
    <col min="14611" max="14615" width="0" style="114" hidden="1" customWidth="1"/>
    <col min="14616" max="14616" width="9.7109375" style="114" customWidth="1"/>
    <col min="14617" max="14617" width="12.28515625" style="114" customWidth="1"/>
    <col min="14618" max="14618" width="14.7109375" style="114" customWidth="1"/>
    <col min="14619" max="14619" width="9.7109375" style="114" customWidth="1"/>
    <col min="14620" max="14822" width="9.140625" style="114"/>
    <col min="14823" max="14823" width="15.7109375" style="114" customWidth="1"/>
    <col min="14824" max="14824" width="6.85546875" style="114" bestFit="1" customWidth="1"/>
    <col min="14825" max="14825" width="4.7109375" style="114" bestFit="1" customWidth="1"/>
    <col min="14826" max="14826" width="6.140625" style="114" customWidth="1"/>
    <col min="14827" max="14827" width="12.7109375" style="114" customWidth="1"/>
    <col min="14828" max="14828" width="6.140625" style="114" customWidth="1"/>
    <col min="14829" max="14829" width="12.7109375" style="114" customWidth="1"/>
    <col min="14830" max="14830" width="6.140625" style="114" customWidth="1"/>
    <col min="14831" max="14831" width="12.7109375" style="114" customWidth="1"/>
    <col min="14832" max="14832" width="6.140625" style="114" customWidth="1"/>
    <col min="14833" max="14833" width="12.7109375" style="114" customWidth="1"/>
    <col min="14834" max="14834" width="6.140625" style="114" customWidth="1"/>
    <col min="14835" max="14835" width="12.7109375" style="114" customWidth="1"/>
    <col min="14836" max="14836" width="6.140625" style="114" customWidth="1"/>
    <col min="14837" max="14837" width="12.7109375" style="114" customWidth="1"/>
    <col min="14838" max="14838" width="8.140625" style="114" bestFit="1" customWidth="1"/>
    <col min="14839" max="14839" width="12.7109375" style="114" customWidth="1"/>
    <col min="14840" max="14840" width="6.140625" style="114" customWidth="1"/>
    <col min="14841" max="14841" width="12.7109375" style="114" customWidth="1"/>
    <col min="14842" max="14846" width="0" style="114" hidden="1" customWidth="1"/>
    <col min="14847" max="14847" width="10.140625" style="114" customWidth="1"/>
    <col min="14848" max="14848" width="17" style="114" customWidth="1"/>
    <col min="14849" max="14849" width="11.28515625" style="114" bestFit="1" customWidth="1"/>
    <col min="14850" max="14850" width="8.7109375" style="114" bestFit="1" customWidth="1"/>
    <col min="14851" max="14851" width="6" style="114" customWidth="1"/>
    <col min="14852" max="14852" width="12.7109375" style="114" customWidth="1"/>
    <col min="14853" max="14853" width="7.28515625" style="114" bestFit="1" customWidth="1"/>
    <col min="14854" max="14854" width="12.7109375" style="114" customWidth="1"/>
    <col min="14855" max="14855" width="6" style="114" customWidth="1"/>
    <col min="14856" max="14856" width="12.7109375" style="114" customWidth="1"/>
    <col min="14857" max="14857" width="6" style="114" customWidth="1"/>
    <col min="14858" max="14858" width="12.7109375" style="114" customWidth="1"/>
    <col min="14859" max="14859" width="6" style="114" customWidth="1"/>
    <col min="14860" max="14860" width="12.7109375" style="114" customWidth="1"/>
    <col min="14861" max="14861" width="6" style="114" customWidth="1"/>
    <col min="14862" max="14862" width="12.7109375" style="114" customWidth="1"/>
    <col min="14863" max="14863" width="6" style="114" customWidth="1"/>
    <col min="14864" max="14864" width="12.7109375" style="114" customWidth="1"/>
    <col min="14865" max="14865" width="6" style="114" customWidth="1"/>
    <col min="14866" max="14866" width="12.7109375" style="114" customWidth="1"/>
    <col min="14867" max="14871" width="0" style="114" hidden="1" customWidth="1"/>
    <col min="14872" max="14872" width="9.7109375" style="114" customWidth="1"/>
    <col min="14873" max="14873" width="12.28515625" style="114" customWidth="1"/>
    <col min="14874" max="14874" width="14.7109375" style="114" customWidth="1"/>
    <col min="14875" max="14875" width="9.7109375" style="114" customWidth="1"/>
    <col min="14876" max="15078" width="9.140625" style="114"/>
    <col min="15079" max="15079" width="15.7109375" style="114" customWidth="1"/>
    <col min="15080" max="15080" width="6.85546875" style="114" bestFit="1" customWidth="1"/>
    <col min="15081" max="15081" width="4.7109375" style="114" bestFit="1" customWidth="1"/>
    <col min="15082" max="15082" width="6.140625" style="114" customWidth="1"/>
    <col min="15083" max="15083" width="12.7109375" style="114" customWidth="1"/>
    <col min="15084" max="15084" width="6.140625" style="114" customWidth="1"/>
    <col min="15085" max="15085" width="12.7109375" style="114" customWidth="1"/>
    <col min="15086" max="15086" width="6.140625" style="114" customWidth="1"/>
    <col min="15087" max="15087" width="12.7109375" style="114" customWidth="1"/>
    <col min="15088" max="15088" width="6.140625" style="114" customWidth="1"/>
    <col min="15089" max="15089" width="12.7109375" style="114" customWidth="1"/>
    <col min="15090" max="15090" width="6.140625" style="114" customWidth="1"/>
    <col min="15091" max="15091" width="12.7109375" style="114" customWidth="1"/>
    <col min="15092" max="15092" width="6.140625" style="114" customWidth="1"/>
    <col min="15093" max="15093" width="12.7109375" style="114" customWidth="1"/>
    <col min="15094" max="15094" width="8.140625" style="114" bestFit="1" customWidth="1"/>
    <col min="15095" max="15095" width="12.7109375" style="114" customWidth="1"/>
    <col min="15096" max="15096" width="6.140625" style="114" customWidth="1"/>
    <col min="15097" max="15097" width="12.7109375" style="114" customWidth="1"/>
    <col min="15098" max="15102" width="0" style="114" hidden="1" customWidth="1"/>
    <col min="15103" max="15103" width="10.140625" style="114" customWidth="1"/>
    <col min="15104" max="15104" width="17" style="114" customWidth="1"/>
    <col min="15105" max="15105" width="11.28515625" style="114" bestFit="1" customWidth="1"/>
    <col min="15106" max="15106" width="8.7109375" style="114" bestFit="1" customWidth="1"/>
    <col min="15107" max="15107" width="6" style="114" customWidth="1"/>
    <col min="15108" max="15108" width="12.7109375" style="114" customWidth="1"/>
    <col min="15109" max="15109" width="7.28515625" style="114" bestFit="1" customWidth="1"/>
    <col min="15110" max="15110" width="12.7109375" style="114" customWidth="1"/>
    <col min="15111" max="15111" width="6" style="114" customWidth="1"/>
    <col min="15112" max="15112" width="12.7109375" style="114" customWidth="1"/>
    <col min="15113" max="15113" width="6" style="114" customWidth="1"/>
    <col min="15114" max="15114" width="12.7109375" style="114" customWidth="1"/>
    <col min="15115" max="15115" width="6" style="114" customWidth="1"/>
    <col min="15116" max="15116" width="12.7109375" style="114" customWidth="1"/>
    <col min="15117" max="15117" width="6" style="114" customWidth="1"/>
    <col min="15118" max="15118" width="12.7109375" style="114" customWidth="1"/>
    <col min="15119" max="15119" width="6" style="114" customWidth="1"/>
    <col min="15120" max="15120" width="12.7109375" style="114" customWidth="1"/>
    <col min="15121" max="15121" width="6" style="114" customWidth="1"/>
    <col min="15122" max="15122" width="12.7109375" style="114" customWidth="1"/>
    <col min="15123" max="15127" width="0" style="114" hidden="1" customWidth="1"/>
    <col min="15128" max="15128" width="9.7109375" style="114" customWidth="1"/>
    <col min="15129" max="15129" width="12.28515625" style="114" customWidth="1"/>
    <col min="15130" max="15130" width="14.7109375" style="114" customWidth="1"/>
    <col min="15131" max="15131" width="9.7109375" style="114" customWidth="1"/>
    <col min="15132" max="15334" width="9.140625" style="114"/>
    <col min="15335" max="15335" width="15.7109375" style="114" customWidth="1"/>
    <col min="15336" max="15336" width="6.85546875" style="114" bestFit="1" customWidth="1"/>
    <col min="15337" max="15337" width="4.7109375" style="114" bestFit="1" customWidth="1"/>
    <col min="15338" max="15338" width="6.140625" style="114" customWidth="1"/>
    <col min="15339" max="15339" width="12.7109375" style="114" customWidth="1"/>
    <col min="15340" max="15340" width="6.140625" style="114" customWidth="1"/>
    <col min="15341" max="15341" width="12.7109375" style="114" customWidth="1"/>
    <col min="15342" max="15342" width="6.140625" style="114" customWidth="1"/>
    <col min="15343" max="15343" width="12.7109375" style="114" customWidth="1"/>
    <col min="15344" max="15344" width="6.140625" style="114" customWidth="1"/>
    <col min="15345" max="15345" width="12.7109375" style="114" customWidth="1"/>
    <col min="15346" max="15346" width="6.140625" style="114" customWidth="1"/>
    <col min="15347" max="15347" width="12.7109375" style="114" customWidth="1"/>
    <col min="15348" max="15348" width="6.140625" style="114" customWidth="1"/>
    <col min="15349" max="15349" width="12.7109375" style="114" customWidth="1"/>
    <col min="15350" max="15350" width="8.140625" style="114" bestFit="1" customWidth="1"/>
    <col min="15351" max="15351" width="12.7109375" style="114" customWidth="1"/>
    <col min="15352" max="15352" width="6.140625" style="114" customWidth="1"/>
    <col min="15353" max="15353" width="12.7109375" style="114" customWidth="1"/>
    <col min="15354" max="15358" width="0" style="114" hidden="1" customWidth="1"/>
    <col min="15359" max="15359" width="10.140625" style="114" customWidth="1"/>
    <col min="15360" max="15360" width="17" style="114" customWidth="1"/>
    <col min="15361" max="15361" width="11.28515625" style="114" bestFit="1" customWidth="1"/>
    <col min="15362" max="15362" width="8.7109375" style="114" bestFit="1" customWidth="1"/>
    <col min="15363" max="15363" width="6" style="114" customWidth="1"/>
    <col min="15364" max="15364" width="12.7109375" style="114" customWidth="1"/>
    <col min="15365" max="15365" width="7.28515625" style="114" bestFit="1" customWidth="1"/>
    <col min="15366" max="15366" width="12.7109375" style="114" customWidth="1"/>
    <col min="15367" max="15367" width="6" style="114" customWidth="1"/>
    <col min="15368" max="15368" width="12.7109375" style="114" customWidth="1"/>
    <col min="15369" max="15369" width="6" style="114" customWidth="1"/>
    <col min="15370" max="15370" width="12.7109375" style="114" customWidth="1"/>
    <col min="15371" max="15371" width="6" style="114" customWidth="1"/>
    <col min="15372" max="15372" width="12.7109375" style="114" customWidth="1"/>
    <col min="15373" max="15373" width="6" style="114" customWidth="1"/>
    <col min="15374" max="15374" width="12.7109375" style="114" customWidth="1"/>
    <col min="15375" max="15375" width="6" style="114" customWidth="1"/>
    <col min="15376" max="15376" width="12.7109375" style="114" customWidth="1"/>
    <col min="15377" max="15377" width="6" style="114" customWidth="1"/>
    <col min="15378" max="15378" width="12.7109375" style="114" customWidth="1"/>
    <col min="15379" max="15383" width="0" style="114" hidden="1" customWidth="1"/>
    <col min="15384" max="15384" width="9.7109375" style="114" customWidth="1"/>
    <col min="15385" max="15385" width="12.28515625" style="114" customWidth="1"/>
    <col min="15386" max="15386" width="14.7109375" style="114" customWidth="1"/>
    <col min="15387" max="15387" width="9.7109375" style="114" customWidth="1"/>
    <col min="15388" max="15590" width="9.140625" style="114"/>
    <col min="15591" max="15591" width="15.7109375" style="114" customWidth="1"/>
    <col min="15592" max="15592" width="6.85546875" style="114" bestFit="1" customWidth="1"/>
    <col min="15593" max="15593" width="4.7109375" style="114" bestFit="1" customWidth="1"/>
    <col min="15594" max="15594" width="6.140625" style="114" customWidth="1"/>
    <col min="15595" max="15595" width="12.7109375" style="114" customWidth="1"/>
    <col min="15596" max="15596" width="6.140625" style="114" customWidth="1"/>
    <col min="15597" max="15597" width="12.7109375" style="114" customWidth="1"/>
    <col min="15598" max="15598" width="6.140625" style="114" customWidth="1"/>
    <col min="15599" max="15599" width="12.7109375" style="114" customWidth="1"/>
    <col min="15600" max="15600" width="6.140625" style="114" customWidth="1"/>
    <col min="15601" max="15601" width="12.7109375" style="114" customWidth="1"/>
    <col min="15602" max="15602" width="6.140625" style="114" customWidth="1"/>
    <col min="15603" max="15603" width="12.7109375" style="114" customWidth="1"/>
    <col min="15604" max="15604" width="6.140625" style="114" customWidth="1"/>
    <col min="15605" max="15605" width="12.7109375" style="114" customWidth="1"/>
    <col min="15606" max="15606" width="8.140625" style="114" bestFit="1" customWidth="1"/>
    <col min="15607" max="15607" width="12.7109375" style="114" customWidth="1"/>
    <col min="15608" max="15608" width="6.140625" style="114" customWidth="1"/>
    <col min="15609" max="15609" width="12.7109375" style="114" customWidth="1"/>
    <col min="15610" max="15614" width="0" style="114" hidden="1" customWidth="1"/>
    <col min="15615" max="15615" width="10.140625" style="114" customWidth="1"/>
    <col min="15616" max="15616" width="17" style="114" customWidth="1"/>
    <col min="15617" max="15617" width="11.28515625" style="114" bestFit="1" customWidth="1"/>
    <col min="15618" max="15618" width="8.7109375" style="114" bestFit="1" customWidth="1"/>
    <col min="15619" max="15619" width="6" style="114" customWidth="1"/>
    <col min="15620" max="15620" width="12.7109375" style="114" customWidth="1"/>
    <col min="15621" max="15621" width="7.28515625" style="114" bestFit="1" customWidth="1"/>
    <col min="15622" max="15622" width="12.7109375" style="114" customWidth="1"/>
    <col min="15623" max="15623" width="6" style="114" customWidth="1"/>
    <col min="15624" max="15624" width="12.7109375" style="114" customWidth="1"/>
    <col min="15625" max="15625" width="6" style="114" customWidth="1"/>
    <col min="15626" max="15626" width="12.7109375" style="114" customWidth="1"/>
    <col min="15627" max="15627" width="6" style="114" customWidth="1"/>
    <col min="15628" max="15628" width="12.7109375" style="114" customWidth="1"/>
    <col min="15629" max="15629" width="6" style="114" customWidth="1"/>
    <col min="15630" max="15630" width="12.7109375" style="114" customWidth="1"/>
    <col min="15631" max="15631" width="6" style="114" customWidth="1"/>
    <col min="15632" max="15632" width="12.7109375" style="114" customWidth="1"/>
    <col min="15633" max="15633" width="6" style="114" customWidth="1"/>
    <col min="15634" max="15634" width="12.7109375" style="114" customWidth="1"/>
    <col min="15635" max="15639" width="0" style="114" hidden="1" customWidth="1"/>
    <col min="15640" max="15640" width="9.7109375" style="114" customWidth="1"/>
    <col min="15641" max="15641" width="12.28515625" style="114" customWidth="1"/>
    <col min="15642" max="15642" width="14.7109375" style="114" customWidth="1"/>
    <col min="15643" max="15643" width="9.7109375" style="114" customWidth="1"/>
    <col min="15644" max="15846" width="9.140625" style="114"/>
    <col min="15847" max="15847" width="15.7109375" style="114" customWidth="1"/>
    <col min="15848" max="15848" width="6.85546875" style="114" bestFit="1" customWidth="1"/>
    <col min="15849" max="15849" width="4.7109375" style="114" bestFit="1" customWidth="1"/>
    <col min="15850" max="15850" width="6.140625" style="114" customWidth="1"/>
    <col min="15851" max="15851" width="12.7109375" style="114" customWidth="1"/>
    <col min="15852" max="15852" width="6.140625" style="114" customWidth="1"/>
    <col min="15853" max="15853" width="12.7109375" style="114" customWidth="1"/>
    <col min="15854" max="15854" width="6.140625" style="114" customWidth="1"/>
    <col min="15855" max="15855" width="12.7109375" style="114" customWidth="1"/>
    <col min="15856" max="15856" width="6.140625" style="114" customWidth="1"/>
    <col min="15857" max="15857" width="12.7109375" style="114" customWidth="1"/>
    <col min="15858" max="15858" width="6.140625" style="114" customWidth="1"/>
    <col min="15859" max="15859" width="12.7109375" style="114" customWidth="1"/>
    <col min="15860" max="15860" width="6.140625" style="114" customWidth="1"/>
    <col min="15861" max="15861" width="12.7109375" style="114" customWidth="1"/>
    <col min="15862" max="15862" width="8.140625" style="114" bestFit="1" customWidth="1"/>
    <col min="15863" max="15863" width="12.7109375" style="114" customWidth="1"/>
    <col min="15864" max="15864" width="6.140625" style="114" customWidth="1"/>
    <col min="15865" max="15865" width="12.7109375" style="114" customWidth="1"/>
    <col min="15866" max="15870" width="0" style="114" hidden="1" customWidth="1"/>
    <col min="15871" max="15871" width="10.140625" style="114" customWidth="1"/>
    <col min="15872" max="15872" width="17" style="114" customWidth="1"/>
    <col min="15873" max="15873" width="11.28515625" style="114" bestFit="1" customWidth="1"/>
    <col min="15874" max="15874" width="8.7109375" style="114" bestFit="1" customWidth="1"/>
    <col min="15875" max="15875" width="6" style="114" customWidth="1"/>
    <col min="15876" max="15876" width="12.7109375" style="114" customWidth="1"/>
    <col min="15877" max="15877" width="7.28515625" style="114" bestFit="1" customWidth="1"/>
    <col min="15878" max="15878" width="12.7109375" style="114" customWidth="1"/>
    <col min="15879" max="15879" width="6" style="114" customWidth="1"/>
    <col min="15880" max="15880" width="12.7109375" style="114" customWidth="1"/>
    <col min="15881" max="15881" width="6" style="114" customWidth="1"/>
    <col min="15882" max="15882" width="12.7109375" style="114" customWidth="1"/>
    <col min="15883" max="15883" width="6" style="114" customWidth="1"/>
    <col min="15884" max="15884" width="12.7109375" style="114" customWidth="1"/>
    <col min="15885" max="15885" width="6" style="114" customWidth="1"/>
    <col min="15886" max="15886" width="12.7109375" style="114" customWidth="1"/>
    <col min="15887" max="15887" width="6" style="114" customWidth="1"/>
    <col min="15888" max="15888" width="12.7109375" style="114" customWidth="1"/>
    <col min="15889" max="15889" width="6" style="114" customWidth="1"/>
    <col min="15890" max="15890" width="12.7109375" style="114" customWidth="1"/>
    <col min="15891" max="15895" width="0" style="114" hidden="1" customWidth="1"/>
    <col min="15896" max="15896" width="9.7109375" style="114" customWidth="1"/>
    <col min="15897" max="15897" width="12.28515625" style="114" customWidth="1"/>
    <col min="15898" max="15898" width="14.7109375" style="114" customWidth="1"/>
    <col min="15899" max="15899" width="9.7109375" style="114" customWidth="1"/>
    <col min="15900" max="16102" width="9.140625" style="114"/>
    <col min="16103" max="16103" width="15.7109375" style="114" customWidth="1"/>
    <col min="16104" max="16104" width="6.85546875" style="114" bestFit="1" customWidth="1"/>
    <col min="16105" max="16105" width="4.7109375" style="114" bestFit="1" customWidth="1"/>
    <col min="16106" max="16106" width="6.140625" style="114" customWidth="1"/>
    <col min="16107" max="16107" width="12.7109375" style="114" customWidth="1"/>
    <col min="16108" max="16108" width="6.140625" style="114" customWidth="1"/>
    <col min="16109" max="16109" width="12.7109375" style="114" customWidth="1"/>
    <col min="16110" max="16110" width="6.140625" style="114" customWidth="1"/>
    <col min="16111" max="16111" width="12.7109375" style="114" customWidth="1"/>
    <col min="16112" max="16112" width="6.140625" style="114" customWidth="1"/>
    <col min="16113" max="16113" width="12.7109375" style="114" customWidth="1"/>
    <col min="16114" max="16114" width="6.140625" style="114" customWidth="1"/>
    <col min="16115" max="16115" width="12.7109375" style="114" customWidth="1"/>
    <col min="16116" max="16116" width="6.140625" style="114" customWidth="1"/>
    <col min="16117" max="16117" width="12.7109375" style="114" customWidth="1"/>
    <col min="16118" max="16118" width="8.140625" style="114" bestFit="1" customWidth="1"/>
    <col min="16119" max="16119" width="12.7109375" style="114" customWidth="1"/>
    <col min="16120" max="16120" width="6.140625" style="114" customWidth="1"/>
    <col min="16121" max="16121" width="12.7109375" style="114" customWidth="1"/>
    <col min="16122" max="16126" width="0" style="114" hidden="1" customWidth="1"/>
    <col min="16127" max="16127" width="10.140625" style="114" customWidth="1"/>
    <col min="16128" max="16128" width="17" style="114" customWidth="1"/>
    <col min="16129" max="16129" width="11.28515625" style="114" bestFit="1" customWidth="1"/>
    <col min="16130" max="16130" width="8.7109375" style="114" bestFit="1" customWidth="1"/>
    <col min="16131" max="16131" width="6" style="114" customWidth="1"/>
    <col min="16132" max="16132" width="12.7109375" style="114" customWidth="1"/>
    <col min="16133" max="16133" width="7.28515625" style="114" bestFit="1" customWidth="1"/>
    <col min="16134" max="16134" width="12.7109375" style="114" customWidth="1"/>
    <col min="16135" max="16135" width="6" style="114" customWidth="1"/>
    <col min="16136" max="16136" width="12.7109375" style="114" customWidth="1"/>
    <col min="16137" max="16137" width="6" style="114" customWidth="1"/>
    <col min="16138" max="16138" width="12.7109375" style="114" customWidth="1"/>
    <col min="16139" max="16139" width="6" style="114" customWidth="1"/>
    <col min="16140" max="16140" width="12.7109375" style="114" customWidth="1"/>
    <col min="16141" max="16141" width="6" style="114" customWidth="1"/>
    <col min="16142" max="16142" width="12.7109375" style="114" customWidth="1"/>
    <col min="16143" max="16143" width="6" style="114" customWidth="1"/>
    <col min="16144" max="16144" width="12.7109375" style="114" customWidth="1"/>
    <col min="16145" max="16145" width="6" style="114" customWidth="1"/>
    <col min="16146" max="16146" width="12.7109375" style="114" customWidth="1"/>
    <col min="16147" max="16151" width="0" style="114" hidden="1" customWidth="1"/>
    <col min="16152" max="16152" width="9.7109375" style="114" customWidth="1"/>
    <col min="16153" max="16153" width="12.28515625" style="114" customWidth="1"/>
    <col min="16154" max="16154" width="14.7109375" style="114" customWidth="1"/>
    <col min="16155" max="16155" width="9.7109375" style="114" customWidth="1"/>
    <col min="16156" max="16384" width="9.140625" style="114"/>
  </cols>
  <sheetData>
    <row r="1" spans="1:54 16383:16383" ht="25.5" customHeight="1" x14ac:dyDescent="0.35">
      <c r="A1" s="110"/>
      <c r="B1" s="110"/>
      <c r="C1" s="110"/>
      <c r="D1" s="110"/>
      <c r="E1" s="765">
        <f>'Annual 2022l2023'!C3</f>
        <v>44690</v>
      </c>
      <c r="F1" s="765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4 16383:16383" x14ac:dyDescent="0.2">
      <c r="A2" s="111" t="s">
        <v>48</v>
      </c>
      <c r="D2" s="111">
        <v>31</v>
      </c>
    </row>
    <row r="3" spans="1:54 16383:16383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</row>
    <row r="4" spans="1:54 16383:16383" s="118" customFormat="1" ht="42" customHeight="1" x14ac:dyDescent="0.2">
      <c r="A4" s="115"/>
      <c r="B4" s="776"/>
      <c r="C4" s="777"/>
      <c r="D4" s="778" t="s">
        <v>118</v>
      </c>
      <c r="E4" s="779"/>
      <c r="F4" s="779"/>
      <c r="G4" s="779"/>
      <c r="H4" s="779"/>
      <c r="I4" s="779"/>
      <c r="J4" s="779"/>
      <c r="K4" s="779"/>
      <c r="L4" s="779"/>
      <c r="M4" s="779"/>
      <c r="N4" s="779"/>
      <c r="O4" s="779"/>
      <c r="P4" s="779"/>
      <c r="Q4" s="779"/>
      <c r="R4" s="779"/>
      <c r="S4" s="779"/>
      <c r="T4" s="779"/>
      <c r="U4" s="779"/>
      <c r="V4" s="779"/>
      <c r="W4" s="779"/>
      <c r="X4" s="779"/>
      <c r="Y4" s="779"/>
      <c r="Z4" s="779"/>
      <c r="AA4" s="779"/>
      <c r="AB4" s="780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</row>
    <row r="5" spans="1:54 16383:16383" s="128" customFormat="1" ht="15.75" x14ac:dyDescent="0.25">
      <c r="A5" s="119" t="s">
        <v>49</v>
      </c>
      <c r="B5" s="120"/>
      <c r="C5" s="121"/>
      <c r="D5" s="781" t="s">
        <v>50</v>
      </c>
      <c r="E5" s="773"/>
      <c r="F5" s="782" t="s">
        <v>51</v>
      </c>
      <c r="G5" s="782"/>
      <c r="H5" s="773" t="s">
        <v>52</v>
      </c>
      <c r="I5" s="773"/>
      <c r="J5" s="783" t="s">
        <v>53</v>
      </c>
      <c r="K5" s="784"/>
      <c r="L5" s="773" t="s">
        <v>54</v>
      </c>
      <c r="M5" s="773"/>
      <c r="N5" s="783" t="s">
        <v>55</v>
      </c>
      <c r="O5" s="773"/>
      <c r="P5" s="783" t="s">
        <v>56</v>
      </c>
      <c r="Q5" s="784"/>
      <c r="R5" s="773" t="s">
        <v>57</v>
      </c>
      <c r="S5" s="773"/>
      <c r="T5" s="122"/>
      <c r="U5" s="774"/>
      <c r="V5" s="775"/>
      <c r="W5" s="774"/>
      <c r="X5" s="775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</row>
    <row r="6" spans="1:54 16383:16383" s="128" customFormat="1" ht="15.75" x14ac:dyDescent="0.25">
      <c r="A6" s="129"/>
      <c r="B6" s="120"/>
      <c r="C6" s="121"/>
      <c r="D6" s="130" t="s">
        <v>58</v>
      </c>
      <c r="E6" s="330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31" t="s">
        <v>61</v>
      </c>
      <c r="L6" s="124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31" t="s">
        <v>61</v>
      </c>
      <c r="R6" s="124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</row>
    <row r="7" spans="1:54 16383:16383" s="126" customFormat="1" ht="15.75" customHeight="1" x14ac:dyDescent="0.25">
      <c r="A7" s="416"/>
      <c r="B7" s="187" t="s">
        <v>68</v>
      </c>
      <c r="C7" s="320">
        <v>1</v>
      </c>
      <c r="D7" s="189">
        <v>0</v>
      </c>
      <c r="E7" s="388">
        <v>0</v>
      </c>
      <c r="F7" s="192">
        <v>35</v>
      </c>
      <c r="G7" s="190">
        <v>1200.076</v>
      </c>
      <c r="H7" s="192">
        <v>3</v>
      </c>
      <c r="I7" s="192">
        <v>1238</v>
      </c>
      <c r="J7" s="191">
        <v>0</v>
      </c>
      <c r="K7" s="190">
        <v>0</v>
      </c>
      <c r="L7" s="192">
        <v>0</v>
      </c>
      <c r="M7" s="192">
        <v>0</v>
      </c>
      <c r="N7" s="191">
        <v>0</v>
      </c>
      <c r="O7" s="190">
        <v>0</v>
      </c>
      <c r="P7" s="191">
        <v>0</v>
      </c>
      <c r="Q7" s="190">
        <v>0</v>
      </c>
      <c r="R7" s="192">
        <v>0</v>
      </c>
      <c r="S7" s="192">
        <v>0</v>
      </c>
      <c r="T7" s="192"/>
      <c r="U7" s="191"/>
      <c r="V7" s="190"/>
      <c r="W7" s="191"/>
      <c r="X7" s="190"/>
      <c r="Y7" s="193">
        <f t="shared" ref="Y7:Y37" si="0">SUM(D7,F7,H7,J7,L7,U7,W7,N7,P7,R7)</f>
        <v>38</v>
      </c>
      <c r="Z7" s="194">
        <f t="shared" ref="Z7:Z37" si="1">((D7*E7)+(F7*G7)+(H7*I7)+(J7*K7)+(L7*M7)+(U7*V7)+(W7*X7)+(N7*O7)+(P7*Q7)+(R7*S7))</f>
        <v>45716.66</v>
      </c>
      <c r="AA7" s="195">
        <f>IF(Z7=0,0,Z7/Y7)</f>
        <v>1203.0700000000002</v>
      </c>
      <c r="AB7" s="196">
        <f t="shared" ref="AB7:AB37" si="2">Y7/$AB$6</f>
        <v>0.47499999999999998</v>
      </c>
      <c r="AC7" s="143"/>
      <c r="AD7" s="127"/>
      <c r="AE7" s="143"/>
    </row>
    <row r="8" spans="1:54 16383:16383" s="126" customFormat="1" ht="15.95" customHeight="1" x14ac:dyDescent="0.25">
      <c r="A8" s="417"/>
      <c r="B8" s="136" t="s">
        <v>69</v>
      </c>
      <c r="C8" s="321">
        <v>2</v>
      </c>
      <c r="D8" s="138">
        <v>0</v>
      </c>
      <c r="E8" s="139">
        <v>0</v>
      </c>
      <c r="F8" s="141">
        <v>35</v>
      </c>
      <c r="G8" s="139">
        <v>1242.8</v>
      </c>
      <c r="H8" s="141">
        <v>3</v>
      </c>
      <c r="I8" s="141">
        <v>1238</v>
      </c>
      <c r="J8" s="140">
        <v>0</v>
      </c>
      <c r="K8" s="139">
        <v>0</v>
      </c>
      <c r="L8" s="141">
        <v>0</v>
      </c>
      <c r="M8" s="141">
        <v>0</v>
      </c>
      <c r="N8" s="140">
        <v>0</v>
      </c>
      <c r="O8" s="139">
        <v>0</v>
      </c>
      <c r="P8" s="140">
        <v>0</v>
      </c>
      <c r="Q8" s="139">
        <v>0</v>
      </c>
      <c r="R8" s="141">
        <v>0</v>
      </c>
      <c r="S8" s="141">
        <v>0</v>
      </c>
      <c r="T8" s="141"/>
      <c r="U8" s="140"/>
      <c r="V8" s="139"/>
      <c r="W8" s="140"/>
      <c r="X8" s="139"/>
      <c r="Y8" s="142">
        <f t="shared" si="0"/>
        <v>38</v>
      </c>
      <c r="Z8" s="143">
        <f t="shared" si="1"/>
        <v>47212</v>
      </c>
      <c r="AA8" s="144">
        <f t="shared" ref="AA8:AA33" si="3">IF(Z8=0,0,Z8/Y8)</f>
        <v>1242.421052631579</v>
      </c>
      <c r="AB8" s="145">
        <f t="shared" si="2"/>
        <v>0.47499999999999998</v>
      </c>
      <c r="AC8" s="143"/>
      <c r="AD8" s="127"/>
      <c r="AE8" s="143"/>
      <c r="XFC8" s="160"/>
    </row>
    <row r="9" spans="1:54 16383:16383" s="126" customFormat="1" ht="15.95" customHeight="1" x14ac:dyDescent="0.25">
      <c r="A9" s="417" t="s">
        <v>162</v>
      </c>
      <c r="B9" s="150" t="s">
        <v>63</v>
      </c>
      <c r="C9" s="317">
        <v>3</v>
      </c>
      <c r="D9" s="152">
        <v>0</v>
      </c>
      <c r="E9" s="153">
        <v>0</v>
      </c>
      <c r="F9" s="155">
        <v>25</v>
      </c>
      <c r="G9" s="153">
        <v>1059.8333333333301</v>
      </c>
      <c r="H9" s="155">
        <v>0</v>
      </c>
      <c r="I9" s="155">
        <v>0</v>
      </c>
      <c r="J9" s="595">
        <v>11</v>
      </c>
      <c r="K9" s="596">
        <v>808.7</v>
      </c>
      <c r="L9" s="155">
        <v>1</v>
      </c>
      <c r="M9" s="155">
        <v>729.91</v>
      </c>
      <c r="N9" s="154">
        <v>0</v>
      </c>
      <c r="O9" s="153">
        <v>0</v>
      </c>
      <c r="P9" s="154">
        <v>0</v>
      </c>
      <c r="Q9" s="153">
        <v>0</v>
      </c>
      <c r="R9" s="155">
        <v>0</v>
      </c>
      <c r="S9" s="155">
        <v>0</v>
      </c>
      <c r="T9" s="155"/>
      <c r="U9" s="154"/>
      <c r="V9" s="153"/>
      <c r="W9" s="154"/>
      <c r="X9" s="153"/>
      <c r="Y9" s="156">
        <f t="shared" si="0"/>
        <v>37</v>
      </c>
      <c r="Z9" s="157">
        <f t="shared" si="1"/>
        <v>36121.443333333256</v>
      </c>
      <c r="AA9" s="197">
        <f t="shared" si="3"/>
        <v>976.25522522522317</v>
      </c>
      <c r="AB9" s="198">
        <f t="shared" si="2"/>
        <v>0.46250000000000002</v>
      </c>
      <c r="AC9" s="143"/>
      <c r="AD9" s="127"/>
      <c r="AE9" s="143"/>
    </row>
    <row r="10" spans="1:54 16383:16383" s="126" customFormat="1" ht="15.95" customHeight="1" x14ac:dyDescent="0.25">
      <c r="A10" s="417"/>
      <c r="B10" s="136" t="s">
        <v>64</v>
      </c>
      <c r="C10" s="321">
        <v>4</v>
      </c>
      <c r="D10" s="138">
        <v>0</v>
      </c>
      <c r="E10" s="139">
        <v>0</v>
      </c>
      <c r="F10" s="141">
        <v>19</v>
      </c>
      <c r="G10" s="139">
        <v>1160.55</v>
      </c>
      <c r="H10" s="141">
        <v>0</v>
      </c>
      <c r="I10" s="141">
        <v>0</v>
      </c>
      <c r="J10" s="597">
        <v>11</v>
      </c>
      <c r="K10" s="598">
        <v>808.7</v>
      </c>
      <c r="L10" s="141">
        <v>3</v>
      </c>
      <c r="M10" s="141">
        <v>918.20333333333303</v>
      </c>
      <c r="N10" s="140">
        <v>0</v>
      </c>
      <c r="O10" s="139">
        <v>0</v>
      </c>
      <c r="P10" s="140">
        <v>0</v>
      </c>
      <c r="Q10" s="139">
        <v>0</v>
      </c>
      <c r="R10" s="141">
        <v>0</v>
      </c>
      <c r="S10" s="141">
        <v>0</v>
      </c>
      <c r="T10" s="141"/>
      <c r="U10" s="140"/>
      <c r="V10" s="139"/>
      <c r="W10" s="140"/>
      <c r="X10" s="139"/>
      <c r="Y10" s="142">
        <f t="shared" si="0"/>
        <v>33</v>
      </c>
      <c r="Z10" s="143">
        <f t="shared" si="1"/>
        <v>33700.76</v>
      </c>
      <c r="AA10" s="331">
        <f t="shared" si="3"/>
        <v>1021.2351515151515</v>
      </c>
      <c r="AB10" s="145">
        <f t="shared" si="2"/>
        <v>0.41249999999999998</v>
      </c>
      <c r="AC10" s="143"/>
      <c r="AD10" s="127"/>
      <c r="AE10" s="143"/>
    </row>
    <row r="11" spans="1:54 16383:16383" s="146" customFormat="1" ht="15.95" customHeight="1" x14ac:dyDescent="0.25">
      <c r="A11" s="418"/>
      <c r="B11" s="136" t="s">
        <v>65</v>
      </c>
      <c r="C11" s="321">
        <v>5</v>
      </c>
      <c r="D11" s="138">
        <v>0</v>
      </c>
      <c r="E11" s="141">
        <v>0</v>
      </c>
      <c r="F11" s="140">
        <v>24</v>
      </c>
      <c r="G11" s="139">
        <v>1130.5125</v>
      </c>
      <c r="H11" s="141">
        <v>1</v>
      </c>
      <c r="I11" s="141">
        <v>1257</v>
      </c>
      <c r="J11" s="392">
        <v>0</v>
      </c>
      <c r="K11" s="414">
        <v>0</v>
      </c>
      <c r="L11" s="141">
        <v>1</v>
      </c>
      <c r="M11" s="141">
        <v>1169.57</v>
      </c>
      <c r="N11" s="140">
        <v>0</v>
      </c>
      <c r="O11" s="139">
        <v>0</v>
      </c>
      <c r="P11" s="140">
        <v>0</v>
      </c>
      <c r="Q11" s="139">
        <v>0</v>
      </c>
      <c r="R11" s="141">
        <v>0</v>
      </c>
      <c r="S11" s="141">
        <v>0</v>
      </c>
      <c r="T11" s="141"/>
      <c r="U11" s="140"/>
      <c r="V11" s="139"/>
      <c r="W11" s="140"/>
      <c r="X11" s="139"/>
      <c r="Y11" s="142">
        <f t="shared" si="0"/>
        <v>26</v>
      </c>
      <c r="Z11" s="143">
        <f t="shared" si="1"/>
        <v>29558.870000000003</v>
      </c>
      <c r="AA11" s="331">
        <f t="shared" si="3"/>
        <v>1136.8796153846156</v>
      </c>
      <c r="AB11" s="145">
        <f t="shared" si="2"/>
        <v>0.32500000000000001</v>
      </c>
      <c r="AC11" s="143"/>
      <c r="AD11" s="127"/>
      <c r="AE11" s="143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</row>
    <row r="12" spans="1:54 16383:16383" s="126" customFormat="1" ht="15.95" customHeight="1" x14ac:dyDescent="0.25">
      <c r="A12" s="417"/>
      <c r="B12" s="136" t="s">
        <v>66</v>
      </c>
      <c r="C12" s="321">
        <v>6</v>
      </c>
      <c r="D12" s="138">
        <v>0</v>
      </c>
      <c r="E12" s="141">
        <v>0</v>
      </c>
      <c r="F12" s="140">
        <v>26</v>
      </c>
      <c r="G12" s="139">
        <v>1237.4466666666599</v>
      </c>
      <c r="H12" s="141">
        <v>1</v>
      </c>
      <c r="I12" s="141">
        <v>1257</v>
      </c>
      <c r="J12" s="140">
        <v>0</v>
      </c>
      <c r="K12" s="139">
        <v>0</v>
      </c>
      <c r="L12" s="141">
        <v>0</v>
      </c>
      <c r="M12" s="141">
        <v>0</v>
      </c>
      <c r="N12" s="140">
        <v>0</v>
      </c>
      <c r="O12" s="139">
        <v>0</v>
      </c>
      <c r="P12" s="140">
        <v>0</v>
      </c>
      <c r="Q12" s="139">
        <v>0</v>
      </c>
      <c r="R12" s="141">
        <v>0</v>
      </c>
      <c r="S12" s="141">
        <v>0</v>
      </c>
      <c r="T12" s="141"/>
      <c r="U12" s="140"/>
      <c r="V12" s="139"/>
      <c r="W12" s="140"/>
      <c r="X12" s="139"/>
      <c r="Y12" s="142">
        <f t="shared" si="0"/>
        <v>27</v>
      </c>
      <c r="Z12" s="143">
        <f>((D12*E12)+(F12*G12)+(H12*I12)+(J12*K12)+(L12*M12)+(U12*V12)+(W12*X12)+(N12*O12)+(P12*Q12)+(R12*S12))</f>
        <v>33430.613333333153</v>
      </c>
      <c r="AA12" s="147">
        <f t="shared" si="3"/>
        <v>1238.1708641975242</v>
      </c>
      <c r="AB12" s="148">
        <f t="shared" si="2"/>
        <v>0.33750000000000002</v>
      </c>
      <c r="AC12" s="143"/>
      <c r="AD12" s="127"/>
      <c r="AE12" s="143"/>
    </row>
    <row r="13" spans="1:54 16383:16383" s="126" customFormat="1" ht="15.75" customHeight="1" x14ac:dyDescent="0.25">
      <c r="A13" s="417"/>
      <c r="B13" s="136" t="s">
        <v>67</v>
      </c>
      <c r="C13" s="321">
        <v>7</v>
      </c>
      <c r="D13" s="138">
        <v>0</v>
      </c>
      <c r="E13" s="141">
        <v>0</v>
      </c>
      <c r="F13" s="140">
        <v>20</v>
      </c>
      <c r="G13" s="139">
        <v>1244.45166666666</v>
      </c>
      <c r="H13" s="141">
        <v>1</v>
      </c>
      <c r="I13" s="141">
        <v>1257</v>
      </c>
      <c r="J13" s="140">
        <v>0</v>
      </c>
      <c r="K13" s="139">
        <v>0</v>
      </c>
      <c r="L13" s="141">
        <v>5</v>
      </c>
      <c r="M13" s="141">
        <v>1164.8320000000001</v>
      </c>
      <c r="N13" s="140">
        <v>0</v>
      </c>
      <c r="O13" s="139">
        <v>0</v>
      </c>
      <c r="P13" s="140">
        <v>13</v>
      </c>
      <c r="Q13" s="139">
        <v>1757.4723076923001</v>
      </c>
      <c r="R13" s="141">
        <v>0</v>
      </c>
      <c r="S13" s="139">
        <v>0</v>
      </c>
      <c r="T13" s="141"/>
      <c r="U13" s="141"/>
      <c r="V13" s="141"/>
      <c r="W13" s="141"/>
      <c r="X13" s="141"/>
      <c r="Y13" s="143">
        <f t="shared" si="0"/>
        <v>39</v>
      </c>
      <c r="Z13" s="143">
        <f>((D13*E13)+(F13*G13)+(H13*I13)+(J13*K13)+(L13*M13)+(U13*V13)+(W13*X13)+(N13*O13)+(P13*Q13)+(R13*S13))</f>
        <v>54817.333333333103</v>
      </c>
      <c r="AA13" s="329">
        <f t="shared" si="3"/>
        <v>1405.5726495726437</v>
      </c>
      <c r="AB13" s="148">
        <f t="shared" si="2"/>
        <v>0.48749999999999999</v>
      </c>
      <c r="AC13" s="143"/>
      <c r="AD13" s="127"/>
      <c r="AE13" s="143"/>
    </row>
    <row r="14" spans="1:54 16383:16383" s="126" customFormat="1" ht="15.95" customHeight="1" x14ac:dyDescent="0.25">
      <c r="A14" s="419"/>
      <c r="B14" s="136" t="s">
        <v>68</v>
      </c>
      <c r="C14" s="321">
        <v>8</v>
      </c>
      <c r="D14" s="138">
        <v>0</v>
      </c>
      <c r="E14" s="141">
        <v>0</v>
      </c>
      <c r="F14" s="140">
        <v>25</v>
      </c>
      <c r="G14" s="139">
        <v>1331</v>
      </c>
      <c r="H14" s="141">
        <v>1</v>
      </c>
      <c r="I14" s="141">
        <v>1066</v>
      </c>
      <c r="J14" s="140">
        <v>0</v>
      </c>
      <c r="K14" s="139">
        <v>0</v>
      </c>
      <c r="L14" s="141">
        <v>11</v>
      </c>
      <c r="M14" s="141">
        <v>1112.22</v>
      </c>
      <c r="N14" s="140">
        <v>0</v>
      </c>
      <c r="O14" s="139">
        <v>0</v>
      </c>
      <c r="P14" s="140">
        <v>8</v>
      </c>
      <c r="Q14" s="139">
        <v>1794.80375</v>
      </c>
      <c r="R14" s="141">
        <v>1</v>
      </c>
      <c r="S14" s="141">
        <v>304.7</v>
      </c>
      <c r="T14" s="141"/>
      <c r="U14" s="140"/>
      <c r="V14" s="139"/>
      <c r="W14" s="140"/>
      <c r="X14" s="139"/>
      <c r="Y14" s="142">
        <f t="shared" si="0"/>
        <v>46</v>
      </c>
      <c r="Z14" s="143">
        <f t="shared" si="1"/>
        <v>61238.549999999996</v>
      </c>
      <c r="AA14" s="147">
        <f t="shared" si="3"/>
        <v>1331.2728260869565</v>
      </c>
      <c r="AB14" s="148">
        <f t="shared" si="2"/>
        <v>0.57499999999999996</v>
      </c>
      <c r="AC14" s="143"/>
      <c r="AD14" s="127"/>
      <c r="AE14" s="143"/>
    </row>
    <row r="15" spans="1:54 16383:16383" s="126" customFormat="1" ht="15.95" customHeight="1" x14ac:dyDescent="0.25">
      <c r="A15" s="772"/>
      <c r="B15" s="136" t="s">
        <v>69</v>
      </c>
      <c r="C15" s="321">
        <v>9</v>
      </c>
      <c r="D15" s="138">
        <v>0</v>
      </c>
      <c r="E15" s="141">
        <v>0</v>
      </c>
      <c r="F15" s="140">
        <v>31</v>
      </c>
      <c r="G15" s="139">
        <v>1294</v>
      </c>
      <c r="H15" s="141">
        <v>1</v>
      </c>
      <c r="I15" s="141">
        <v>1038.17</v>
      </c>
      <c r="J15" s="140">
        <v>0</v>
      </c>
      <c r="K15" s="139">
        <v>0</v>
      </c>
      <c r="L15" s="141">
        <v>11</v>
      </c>
      <c r="M15" s="141">
        <v>1148.9318181818101</v>
      </c>
      <c r="N15" s="140">
        <v>0</v>
      </c>
      <c r="O15" s="139">
        <v>0</v>
      </c>
      <c r="P15" s="140">
        <v>0</v>
      </c>
      <c r="Q15" s="139">
        <v>0</v>
      </c>
      <c r="R15" s="141">
        <v>1</v>
      </c>
      <c r="S15" s="141">
        <v>304.7</v>
      </c>
      <c r="T15" s="141"/>
      <c r="U15" s="140"/>
      <c r="V15" s="139"/>
      <c r="W15" s="140"/>
      <c r="X15" s="139"/>
      <c r="Y15" s="142">
        <f t="shared" si="0"/>
        <v>44</v>
      </c>
      <c r="Z15" s="143">
        <f t="shared" si="1"/>
        <v>54095.119999999908</v>
      </c>
      <c r="AA15" s="147">
        <f>IF(Z15=0,0,Z15/Y15)</f>
        <v>1229.4345454545435</v>
      </c>
      <c r="AB15" s="148">
        <f t="shared" si="2"/>
        <v>0.55000000000000004</v>
      </c>
      <c r="AC15" s="143"/>
      <c r="AD15" s="127"/>
      <c r="AE15" s="143"/>
    </row>
    <row r="16" spans="1:54 16383:16383" s="126" customFormat="1" ht="15.95" customHeight="1" x14ac:dyDescent="0.25">
      <c r="A16" s="772"/>
      <c r="B16" s="150" t="s">
        <v>63</v>
      </c>
      <c r="C16" s="317">
        <v>10</v>
      </c>
      <c r="D16" s="152">
        <v>0</v>
      </c>
      <c r="E16" s="155">
        <v>0</v>
      </c>
      <c r="F16" s="154">
        <v>27</v>
      </c>
      <c r="G16" s="153">
        <v>1249</v>
      </c>
      <c r="H16" s="155">
        <v>1</v>
      </c>
      <c r="I16" s="155">
        <v>1065.6500000000001</v>
      </c>
      <c r="J16" s="154">
        <v>0</v>
      </c>
      <c r="K16" s="153">
        <v>0</v>
      </c>
      <c r="L16" s="155">
        <v>6</v>
      </c>
      <c r="M16" s="155">
        <v>746.68166666666605</v>
      </c>
      <c r="N16" s="154">
        <v>0</v>
      </c>
      <c r="O16" s="153">
        <v>0</v>
      </c>
      <c r="P16" s="154">
        <v>0</v>
      </c>
      <c r="Q16" s="153">
        <v>0</v>
      </c>
      <c r="R16" s="155">
        <v>1</v>
      </c>
      <c r="S16" s="155">
        <v>304.7</v>
      </c>
      <c r="T16" s="155"/>
      <c r="U16" s="154"/>
      <c r="V16" s="153"/>
      <c r="W16" s="154"/>
      <c r="X16" s="153"/>
      <c r="Y16" s="156">
        <f t="shared" si="0"/>
        <v>35</v>
      </c>
      <c r="Z16" s="157">
        <f t="shared" si="1"/>
        <v>39573.439999999995</v>
      </c>
      <c r="AA16" s="158">
        <f>IF(Z16=0,0,Z16/Y16)</f>
        <v>1130.6697142857142</v>
      </c>
      <c r="AB16" s="159">
        <f t="shared" si="2"/>
        <v>0.4375</v>
      </c>
      <c r="AC16" s="143"/>
      <c r="AD16" s="127"/>
      <c r="AE16" s="143"/>
    </row>
    <row r="17" spans="1:54" s="160" customFormat="1" ht="15.75" customHeight="1" x14ac:dyDescent="0.25">
      <c r="A17" s="417"/>
      <c r="B17" s="136" t="s">
        <v>64</v>
      </c>
      <c r="C17" s="321">
        <v>11</v>
      </c>
      <c r="D17" s="138">
        <v>0</v>
      </c>
      <c r="E17" s="141">
        <v>0</v>
      </c>
      <c r="F17" s="140">
        <v>20</v>
      </c>
      <c r="G17" s="139">
        <v>1200.4933333333299</v>
      </c>
      <c r="H17" s="141">
        <v>0</v>
      </c>
      <c r="I17" s="141">
        <v>0</v>
      </c>
      <c r="J17" s="140">
        <v>0</v>
      </c>
      <c r="K17" s="139">
        <v>0</v>
      </c>
      <c r="L17" s="141">
        <v>4</v>
      </c>
      <c r="M17" s="141">
        <v>638.80250000000001</v>
      </c>
      <c r="N17" s="140">
        <v>0</v>
      </c>
      <c r="O17" s="139">
        <v>0</v>
      </c>
      <c r="P17" s="140">
        <v>0</v>
      </c>
      <c r="Q17" s="139">
        <v>0</v>
      </c>
      <c r="R17" s="141">
        <v>0</v>
      </c>
      <c r="S17" s="141">
        <v>0</v>
      </c>
      <c r="T17" s="141"/>
      <c r="U17" s="140"/>
      <c r="V17" s="139"/>
      <c r="W17" s="140"/>
      <c r="X17" s="139"/>
      <c r="Y17" s="142">
        <f t="shared" si="0"/>
        <v>24</v>
      </c>
      <c r="Z17" s="143">
        <f t="shared" si="1"/>
        <v>26565.076666666599</v>
      </c>
      <c r="AA17" s="329">
        <f t="shared" si="3"/>
        <v>1106.8781944444415</v>
      </c>
      <c r="AB17" s="148">
        <f t="shared" si="2"/>
        <v>0.3</v>
      </c>
      <c r="AC17" s="143"/>
      <c r="AD17" s="127"/>
      <c r="AE17" s="143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  <c r="BA17" s="126"/>
    </row>
    <row r="18" spans="1:54" s="126" customFormat="1" ht="15.75" customHeight="1" x14ac:dyDescent="0.25">
      <c r="A18" s="417"/>
      <c r="B18" s="136" t="s">
        <v>65</v>
      </c>
      <c r="C18" s="321">
        <v>12</v>
      </c>
      <c r="D18" s="138">
        <v>0</v>
      </c>
      <c r="E18" s="141">
        <v>0</v>
      </c>
      <c r="F18" s="140">
        <v>20</v>
      </c>
      <c r="G18" s="139">
        <v>1173.704</v>
      </c>
      <c r="H18" s="141">
        <v>0</v>
      </c>
      <c r="I18" s="141">
        <v>0</v>
      </c>
      <c r="J18" s="140">
        <v>0</v>
      </c>
      <c r="K18" s="139">
        <v>0</v>
      </c>
      <c r="L18" s="141">
        <v>2</v>
      </c>
      <c r="M18" s="141">
        <v>744.78</v>
      </c>
      <c r="N18" s="140">
        <v>0</v>
      </c>
      <c r="O18" s="139">
        <v>0</v>
      </c>
      <c r="P18" s="140">
        <v>0</v>
      </c>
      <c r="Q18" s="141">
        <v>0</v>
      </c>
      <c r="R18" s="140">
        <v>0</v>
      </c>
      <c r="S18" s="139">
        <v>0</v>
      </c>
      <c r="T18" s="141"/>
      <c r="U18" s="140"/>
      <c r="V18" s="139"/>
      <c r="W18" s="140"/>
      <c r="X18" s="139"/>
      <c r="Y18" s="142">
        <f t="shared" si="0"/>
        <v>22</v>
      </c>
      <c r="Z18" s="143">
        <f t="shared" si="1"/>
        <v>24963.64</v>
      </c>
      <c r="AA18" s="329">
        <f t="shared" si="3"/>
        <v>1134.7109090909091</v>
      </c>
      <c r="AB18" s="148">
        <f t="shared" si="2"/>
        <v>0.27500000000000002</v>
      </c>
      <c r="AC18" s="143"/>
      <c r="AD18" s="127"/>
      <c r="AE18" s="143"/>
    </row>
    <row r="19" spans="1:54" s="126" customFormat="1" ht="15.95" customHeight="1" x14ac:dyDescent="0.25">
      <c r="A19" s="417"/>
      <c r="B19" s="136" t="s">
        <v>66</v>
      </c>
      <c r="C19" s="321">
        <v>13</v>
      </c>
      <c r="D19" s="138">
        <v>0</v>
      </c>
      <c r="E19" s="141">
        <v>0</v>
      </c>
      <c r="F19" s="140">
        <v>20</v>
      </c>
      <c r="G19" s="139">
        <v>1259.8499999999999</v>
      </c>
      <c r="H19" s="141">
        <v>0</v>
      </c>
      <c r="I19" s="141">
        <v>0</v>
      </c>
      <c r="J19" s="140">
        <v>0</v>
      </c>
      <c r="K19" s="139">
        <v>0</v>
      </c>
      <c r="L19" s="141">
        <v>1</v>
      </c>
      <c r="M19" s="141">
        <v>835.57</v>
      </c>
      <c r="N19" s="140">
        <v>0</v>
      </c>
      <c r="O19" s="139">
        <v>0</v>
      </c>
      <c r="P19" s="140">
        <v>0</v>
      </c>
      <c r="Q19" s="141">
        <v>0</v>
      </c>
      <c r="R19" s="140">
        <v>0</v>
      </c>
      <c r="S19" s="139">
        <v>0</v>
      </c>
      <c r="T19" s="141"/>
      <c r="U19" s="140"/>
      <c r="V19" s="139"/>
      <c r="W19" s="140"/>
      <c r="X19" s="139"/>
      <c r="Y19" s="142">
        <f t="shared" si="0"/>
        <v>21</v>
      </c>
      <c r="Z19" s="143">
        <f t="shared" si="1"/>
        <v>26032.57</v>
      </c>
      <c r="AA19" s="147">
        <f t="shared" si="3"/>
        <v>1239.6461904761904</v>
      </c>
      <c r="AB19" s="148">
        <f t="shared" si="2"/>
        <v>0.26250000000000001</v>
      </c>
      <c r="AC19" s="143"/>
      <c r="AD19" s="127"/>
      <c r="AE19" s="143"/>
    </row>
    <row r="20" spans="1:54" s="126" customFormat="1" ht="15.95" customHeight="1" x14ac:dyDescent="0.25">
      <c r="A20" s="417"/>
      <c r="B20" s="136" t="s">
        <v>67</v>
      </c>
      <c r="C20" s="321">
        <v>14</v>
      </c>
      <c r="D20" s="138">
        <v>0</v>
      </c>
      <c r="E20" s="141">
        <v>0</v>
      </c>
      <c r="F20" s="140">
        <v>15</v>
      </c>
      <c r="G20" s="139">
        <v>1260</v>
      </c>
      <c r="H20" s="141">
        <v>0</v>
      </c>
      <c r="I20" s="141">
        <v>0</v>
      </c>
      <c r="J20" s="140">
        <v>0</v>
      </c>
      <c r="K20" s="139">
        <v>0</v>
      </c>
      <c r="L20" s="141">
        <v>4</v>
      </c>
      <c r="M20" s="141">
        <v>939.71749999999997</v>
      </c>
      <c r="N20" s="140">
        <v>27</v>
      </c>
      <c r="O20" s="139">
        <v>2124.6344444444399</v>
      </c>
      <c r="P20" s="140">
        <v>0</v>
      </c>
      <c r="Q20" s="141">
        <v>0</v>
      </c>
      <c r="R20" s="140">
        <v>0</v>
      </c>
      <c r="S20" s="139">
        <v>0</v>
      </c>
      <c r="T20" s="141"/>
      <c r="U20" s="141"/>
      <c r="V20" s="141"/>
      <c r="W20" s="141"/>
      <c r="X20" s="141"/>
      <c r="Y20" s="143">
        <f t="shared" si="0"/>
        <v>46</v>
      </c>
      <c r="Z20" s="143">
        <f t="shared" si="1"/>
        <v>80023.999999999869</v>
      </c>
      <c r="AA20" s="329">
        <f t="shared" si="3"/>
        <v>1739.6521739130405</v>
      </c>
      <c r="AB20" s="148">
        <f t="shared" si="2"/>
        <v>0.57499999999999996</v>
      </c>
      <c r="AC20" s="143"/>
      <c r="AD20" s="127"/>
      <c r="AE20" s="143"/>
    </row>
    <row r="21" spans="1:54" s="126" customFormat="1" ht="15.95" customHeight="1" x14ac:dyDescent="0.25">
      <c r="A21" s="417"/>
      <c r="B21" s="136" t="s">
        <v>68</v>
      </c>
      <c r="C21" s="321">
        <v>15</v>
      </c>
      <c r="D21" s="138">
        <v>0</v>
      </c>
      <c r="E21" s="141">
        <v>0</v>
      </c>
      <c r="F21" s="140">
        <v>13</v>
      </c>
      <c r="G21" s="139">
        <v>1260</v>
      </c>
      <c r="H21" s="141">
        <v>1</v>
      </c>
      <c r="I21" s="141">
        <v>1257</v>
      </c>
      <c r="J21" s="593">
        <v>13</v>
      </c>
      <c r="K21" s="594">
        <v>840.26148148148104</v>
      </c>
      <c r="L21" s="141">
        <v>1</v>
      </c>
      <c r="M21" s="141">
        <v>1026.0899999999999</v>
      </c>
      <c r="N21" s="140">
        <v>27</v>
      </c>
      <c r="O21" s="139">
        <v>2124.6344444444399</v>
      </c>
      <c r="P21" s="140">
        <v>0</v>
      </c>
      <c r="Q21" s="141">
        <v>0</v>
      </c>
      <c r="R21" s="140">
        <v>0</v>
      </c>
      <c r="S21" s="139">
        <v>0</v>
      </c>
      <c r="T21" s="141"/>
      <c r="U21" s="140"/>
      <c r="V21" s="139"/>
      <c r="W21" s="140"/>
      <c r="X21" s="139"/>
      <c r="Y21" s="142">
        <f t="shared" si="0"/>
        <v>55</v>
      </c>
      <c r="Z21" s="143">
        <f t="shared" si="1"/>
        <v>86951.619259259125</v>
      </c>
      <c r="AA21" s="147">
        <f t="shared" si="3"/>
        <v>1580.9385319865296</v>
      </c>
      <c r="AB21" s="148">
        <f t="shared" si="2"/>
        <v>0.6875</v>
      </c>
      <c r="AC21" s="143"/>
      <c r="AD21" s="127"/>
      <c r="AE21" s="143"/>
      <c r="AL21" s="126">
        <f>1750-230-230</f>
        <v>1290</v>
      </c>
    </row>
    <row r="22" spans="1:54" s="128" customFormat="1" ht="15.95" customHeight="1" x14ac:dyDescent="0.25">
      <c r="A22" s="417"/>
      <c r="B22" s="136" t="s">
        <v>69</v>
      </c>
      <c r="C22" s="321">
        <v>16</v>
      </c>
      <c r="D22" s="138">
        <v>0</v>
      </c>
      <c r="E22" s="141">
        <v>0</v>
      </c>
      <c r="F22" s="140">
        <v>13</v>
      </c>
      <c r="G22" s="139">
        <v>1260</v>
      </c>
      <c r="H22" s="141">
        <v>1</v>
      </c>
      <c r="I22" s="141">
        <v>1257</v>
      </c>
      <c r="J22" s="593">
        <v>13</v>
      </c>
      <c r="K22" s="594">
        <v>840.26148148148104</v>
      </c>
      <c r="L22" s="141">
        <v>5</v>
      </c>
      <c r="M22" s="141">
        <v>831.75599999999997</v>
      </c>
      <c r="N22" s="140">
        <v>27</v>
      </c>
      <c r="O22" s="139">
        <v>2124.6344444444399</v>
      </c>
      <c r="P22" s="140">
        <v>0</v>
      </c>
      <c r="Q22" s="141">
        <v>0</v>
      </c>
      <c r="R22" s="140">
        <v>0</v>
      </c>
      <c r="S22" s="139">
        <v>0</v>
      </c>
      <c r="T22" s="141"/>
      <c r="U22" s="140"/>
      <c r="V22" s="139"/>
      <c r="W22" s="140"/>
      <c r="X22" s="139"/>
      <c r="Y22" s="142">
        <f t="shared" si="0"/>
        <v>59</v>
      </c>
      <c r="Z22" s="143">
        <f t="shared" si="1"/>
        <v>90084.309259259127</v>
      </c>
      <c r="AA22" s="147">
        <f t="shared" si="3"/>
        <v>1526.8526993094767</v>
      </c>
      <c r="AB22" s="148">
        <f t="shared" si="2"/>
        <v>0.73750000000000004</v>
      </c>
      <c r="AC22" s="143"/>
      <c r="AD22" s="127"/>
      <c r="AE22" s="143"/>
      <c r="AF22" s="126"/>
      <c r="AG22" s="126"/>
      <c r="AH22" s="126"/>
      <c r="AI22" s="126"/>
      <c r="AJ22" s="126"/>
      <c r="AK22" s="126"/>
      <c r="AL22" s="126">
        <f>AL21/1.15</f>
        <v>1121.7391304347827</v>
      </c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</row>
    <row r="23" spans="1:54" s="128" customFormat="1" ht="15.95" customHeight="1" x14ac:dyDescent="0.25">
      <c r="A23" s="420"/>
      <c r="B23" s="150" t="s">
        <v>63</v>
      </c>
      <c r="C23" s="317">
        <v>17</v>
      </c>
      <c r="D23" s="152">
        <v>0</v>
      </c>
      <c r="E23" s="155">
        <v>0</v>
      </c>
      <c r="F23" s="154">
        <v>16</v>
      </c>
      <c r="G23" s="153">
        <v>1314.15</v>
      </c>
      <c r="H23" s="155">
        <v>0</v>
      </c>
      <c r="I23" s="155">
        <v>0</v>
      </c>
      <c r="J23" s="595">
        <v>11</v>
      </c>
      <c r="K23" s="596">
        <v>808.7</v>
      </c>
      <c r="L23" s="155">
        <v>4</v>
      </c>
      <c r="M23" s="155">
        <v>810.65</v>
      </c>
      <c r="N23" s="154">
        <v>27</v>
      </c>
      <c r="O23" s="153">
        <v>2124.6344444444399</v>
      </c>
      <c r="P23" s="154">
        <v>0</v>
      </c>
      <c r="Q23" s="155">
        <v>0</v>
      </c>
      <c r="R23" s="154">
        <v>0</v>
      </c>
      <c r="S23" s="153">
        <v>0</v>
      </c>
      <c r="T23" s="155"/>
      <c r="U23" s="154"/>
      <c r="V23" s="153"/>
      <c r="W23" s="154"/>
      <c r="X23" s="153"/>
      <c r="Y23" s="156">
        <f t="shared" si="0"/>
        <v>58</v>
      </c>
      <c r="Z23" s="157">
        <f t="shared" si="1"/>
        <v>90529.829999999871</v>
      </c>
      <c r="AA23" s="158">
        <f t="shared" si="3"/>
        <v>1560.8591379310324</v>
      </c>
      <c r="AB23" s="159">
        <f t="shared" si="2"/>
        <v>0.72499999999999998</v>
      </c>
      <c r="AC23" s="143"/>
      <c r="AD23" s="127"/>
      <c r="AE23" s="143"/>
      <c r="AF23" s="126"/>
      <c r="AG23" s="126"/>
      <c r="AH23" s="126"/>
      <c r="AI23" s="126"/>
      <c r="AJ23" s="126"/>
      <c r="AK23" s="126"/>
      <c r="AL23" s="126">
        <f>1183*80%</f>
        <v>946.40000000000009</v>
      </c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</row>
    <row r="24" spans="1:54" s="126" customFormat="1" ht="15.95" customHeight="1" x14ac:dyDescent="0.25">
      <c r="A24" s="420"/>
      <c r="B24" s="136" t="s">
        <v>64</v>
      </c>
      <c r="C24" s="321">
        <v>18</v>
      </c>
      <c r="D24" s="138">
        <v>0</v>
      </c>
      <c r="E24" s="141">
        <v>0</v>
      </c>
      <c r="F24" s="140">
        <v>18</v>
      </c>
      <c r="G24" s="139">
        <v>1426.74</v>
      </c>
      <c r="H24" s="141">
        <v>0</v>
      </c>
      <c r="I24" s="141">
        <v>0</v>
      </c>
      <c r="J24" s="593">
        <v>11</v>
      </c>
      <c r="K24" s="594">
        <v>808.7</v>
      </c>
      <c r="L24" s="141">
        <v>4</v>
      </c>
      <c r="M24" s="141">
        <v>752.21749999999997</v>
      </c>
      <c r="N24" s="140">
        <v>27</v>
      </c>
      <c r="O24" s="139">
        <v>2124.6344444444399</v>
      </c>
      <c r="P24" s="140">
        <v>0</v>
      </c>
      <c r="Q24" s="141">
        <v>0</v>
      </c>
      <c r="R24" s="140">
        <v>1</v>
      </c>
      <c r="S24" s="139">
        <v>304.7</v>
      </c>
      <c r="T24" s="141"/>
      <c r="U24" s="140"/>
      <c r="V24" s="139"/>
      <c r="W24" s="140"/>
      <c r="X24" s="139"/>
      <c r="Y24" s="142">
        <f t="shared" si="0"/>
        <v>61</v>
      </c>
      <c r="Z24" s="143">
        <f t="shared" si="1"/>
        <v>95255.71999999987</v>
      </c>
      <c r="AA24" s="329">
        <f t="shared" si="3"/>
        <v>1561.5691803278667</v>
      </c>
      <c r="AB24" s="148">
        <f t="shared" si="2"/>
        <v>0.76249999999999996</v>
      </c>
      <c r="AC24" s="143"/>
      <c r="AD24" s="127"/>
      <c r="AE24" s="143"/>
    </row>
    <row r="25" spans="1:54" s="146" customFormat="1" ht="15.95" customHeight="1" x14ac:dyDescent="0.25">
      <c r="A25" s="209"/>
      <c r="B25" s="136" t="s">
        <v>65</v>
      </c>
      <c r="C25" s="321">
        <v>19</v>
      </c>
      <c r="D25" s="138">
        <v>0</v>
      </c>
      <c r="E25" s="141">
        <v>0</v>
      </c>
      <c r="F25" s="140">
        <v>16</v>
      </c>
      <c r="G25" s="139">
        <v>1260</v>
      </c>
      <c r="H25" s="141">
        <v>0</v>
      </c>
      <c r="I25" s="141">
        <v>0</v>
      </c>
      <c r="J25" s="140">
        <v>0</v>
      </c>
      <c r="K25" s="139">
        <v>0</v>
      </c>
      <c r="L25" s="141">
        <v>4</v>
      </c>
      <c r="M25" s="141">
        <v>772.82749999999999</v>
      </c>
      <c r="N25" s="140">
        <v>0</v>
      </c>
      <c r="O25" s="139">
        <v>0</v>
      </c>
      <c r="P25" s="140">
        <v>0</v>
      </c>
      <c r="Q25" s="141">
        <v>0</v>
      </c>
      <c r="R25" s="140">
        <v>1</v>
      </c>
      <c r="S25" s="139">
        <v>304.7</v>
      </c>
      <c r="T25" s="141"/>
      <c r="U25" s="140"/>
      <c r="V25" s="139"/>
      <c r="W25" s="140"/>
      <c r="X25" s="139"/>
      <c r="Y25" s="142">
        <f t="shared" si="0"/>
        <v>21</v>
      </c>
      <c r="Z25" s="143">
        <f t="shared" si="1"/>
        <v>23556.010000000002</v>
      </c>
      <c r="AA25" s="329">
        <f t="shared" si="3"/>
        <v>1121.7147619047621</v>
      </c>
      <c r="AB25" s="148">
        <f t="shared" si="2"/>
        <v>0.26250000000000001</v>
      </c>
      <c r="AC25" s="143"/>
      <c r="AD25" s="127"/>
      <c r="AE25" s="143"/>
      <c r="AF25" s="126"/>
      <c r="AG25" s="126"/>
      <c r="AH25" s="126"/>
      <c r="AI25" s="126"/>
      <c r="AJ25" s="126"/>
      <c r="AK25" s="126">
        <f>1660-230-230</f>
        <v>1200</v>
      </c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</row>
    <row r="26" spans="1:54" s="128" customFormat="1" ht="15.95" customHeight="1" x14ac:dyDescent="0.25">
      <c r="A26" s="769"/>
      <c r="B26" s="136" t="s">
        <v>66</v>
      </c>
      <c r="C26" s="322">
        <v>20</v>
      </c>
      <c r="D26" s="138">
        <v>0</v>
      </c>
      <c r="E26" s="141">
        <v>0</v>
      </c>
      <c r="F26" s="140">
        <v>12</v>
      </c>
      <c r="G26" s="139">
        <v>1138</v>
      </c>
      <c r="H26" s="141">
        <v>0</v>
      </c>
      <c r="I26" s="141">
        <v>0</v>
      </c>
      <c r="J26" s="593">
        <v>0</v>
      </c>
      <c r="K26" s="594">
        <v>1274.7009090909</v>
      </c>
      <c r="L26" s="141">
        <v>2</v>
      </c>
      <c r="M26" s="141">
        <v>876.87</v>
      </c>
      <c r="N26" s="140">
        <v>0</v>
      </c>
      <c r="O26" s="139">
        <v>0</v>
      </c>
      <c r="P26" s="591">
        <v>10</v>
      </c>
      <c r="Q26" s="592">
        <v>1404</v>
      </c>
      <c r="R26" s="140">
        <v>1</v>
      </c>
      <c r="S26" s="139">
        <v>304.7</v>
      </c>
      <c r="T26" s="141"/>
      <c r="U26" s="140"/>
      <c r="V26" s="139"/>
      <c r="W26" s="140"/>
      <c r="X26" s="139"/>
      <c r="Y26" s="142">
        <f t="shared" si="0"/>
        <v>25</v>
      </c>
      <c r="Z26" s="143">
        <f t="shared" si="1"/>
        <v>29754.44</v>
      </c>
      <c r="AA26" s="147">
        <f t="shared" si="3"/>
        <v>1190.1776</v>
      </c>
      <c r="AB26" s="148">
        <f t="shared" si="2"/>
        <v>0.3125</v>
      </c>
      <c r="AC26" s="143"/>
      <c r="AD26" s="127"/>
      <c r="AE26" s="143"/>
      <c r="AF26" s="126"/>
      <c r="AG26" s="126"/>
      <c r="AH26" s="126"/>
      <c r="AI26" s="126"/>
      <c r="AJ26" s="126"/>
      <c r="AK26" s="126">
        <f>AK25/1.15</f>
        <v>1043.4782608695652</v>
      </c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</row>
    <row r="27" spans="1:54" s="128" customFormat="1" ht="15.95" customHeight="1" x14ac:dyDescent="0.25">
      <c r="A27" s="769"/>
      <c r="B27" s="136" t="s">
        <v>67</v>
      </c>
      <c r="C27" s="322">
        <v>21</v>
      </c>
      <c r="D27" s="138">
        <v>0</v>
      </c>
      <c r="E27" s="141">
        <v>0</v>
      </c>
      <c r="F27" s="140">
        <v>13</v>
      </c>
      <c r="G27" s="139">
        <v>1138</v>
      </c>
      <c r="H27" s="141">
        <v>0</v>
      </c>
      <c r="I27" s="141">
        <v>0</v>
      </c>
      <c r="J27" s="593">
        <v>0</v>
      </c>
      <c r="K27" s="594">
        <v>1274.7009090909</v>
      </c>
      <c r="L27" s="141">
        <v>2</v>
      </c>
      <c r="M27" s="141">
        <v>904.35</v>
      </c>
      <c r="N27" s="140">
        <v>0</v>
      </c>
      <c r="O27" s="139">
        <v>0</v>
      </c>
      <c r="P27" s="591">
        <v>10</v>
      </c>
      <c r="Q27" s="592">
        <v>1404</v>
      </c>
      <c r="R27" s="140">
        <v>0</v>
      </c>
      <c r="S27" s="139">
        <v>0</v>
      </c>
      <c r="T27" s="141"/>
      <c r="U27" s="141"/>
      <c r="V27" s="141"/>
      <c r="W27" s="141"/>
      <c r="X27" s="141"/>
      <c r="Y27" s="143">
        <f t="shared" si="0"/>
        <v>25</v>
      </c>
      <c r="Z27" s="143">
        <f t="shared" si="1"/>
        <v>30642.7</v>
      </c>
      <c r="AA27" s="329">
        <f t="shared" si="3"/>
        <v>1225.7080000000001</v>
      </c>
      <c r="AB27" s="148">
        <f t="shared" si="2"/>
        <v>0.3125</v>
      </c>
      <c r="AC27" s="143"/>
      <c r="AD27" s="127"/>
      <c r="AE27" s="143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</row>
    <row r="28" spans="1:54" s="126" customFormat="1" ht="15.95" customHeight="1" x14ac:dyDescent="0.25">
      <c r="A28" s="309"/>
      <c r="B28" s="136" t="s">
        <v>68</v>
      </c>
      <c r="C28" s="321">
        <v>22</v>
      </c>
      <c r="D28" s="138">
        <v>0</v>
      </c>
      <c r="E28" s="141">
        <v>0</v>
      </c>
      <c r="F28" s="140">
        <v>35</v>
      </c>
      <c r="G28" s="139">
        <v>1146</v>
      </c>
      <c r="H28" s="141">
        <v>0</v>
      </c>
      <c r="I28" s="141">
        <v>0</v>
      </c>
      <c r="J28" s="140">
        <v>0</v>
      </c>
      <c r="K28" s="139">
        <v>0</v>
      </c>
      <c r="L28" s="141">
        <v>4</v>
      </c>
      <c r="M28" s="141">
        <v>1098.4349999999999</v>
      </c>
      <c r="N28" s="140">
        <v>0</v>
      </c>
      <c r="O28" s="139">
        <v>0</v>
      </c>
      <c r="P28" s="140">
        <v>0</v>
      </c>
      <c r="Q28" s="141">
        <v>0</v>
      </c>
      <c r="R28" s="140">
        <v>1</v>
      </c>
      <c r="S28" s="139">
        <v>304.7</v>
      </c>
      <c r="T28" s="141"/>
      <c r="U28" s="140"/>
      <c r="V28" s="139"/>
      <c r="W28" s="140"/>
      <c r="X28" s="139"/>
      <c r="Y28" s="142">
        <f t="shared" si="0"/>
        <v>40</v>
      </c>
      <c r="Z28" s="143">
        <f t="shared" si="1"/>
        <v>44808.439999999995</v>
      </c>
      <c r="AA28" s="147">
        <f t="shared" si="3"/>
        <v>1120.2109999999998</v>
      </c>
      <c r="AB28" s="148">
        <f t="shared" si="2"/>
        <v>0.5</v>
      </c>
      <c r="AC28" s="143"/>
      <c r="AD28" s="127"/>
      <c r="AE28" s="143"/>
    </row>
    <row r="29" spans="1:54" s="126" customFormat="1" ht="15.95" customHeight="1" x14ac:dyDescent="0.25">
      <c r="A29" s="769"/>
      <c r="B29" s="136" t="s">
        <v>69</v>
      </c>
      <c r="C29" s="321">
        <v>23</v>
      </c>
      <c r="D29" s="138">
        <v>0</v>
      </c>
      <c r="E29" s="141">
        <v>0</v>
      </c>
      <c r="F29" s="140">
        <v>35</v>
      </c>
      <c r="G29" s="139">
        <v>1130</v>
      </c>
      <c r="H29" s="141">
        <v>0</v>
      </c>
      <c r="I29" s="141">
        <v>0</v>
      </c>
      <c r="J29" s="140">
        <v>0</v>
      </c>
      <c r="K29" s="139">
        <v>0</v>
      </c>
      <c r="L29" s="141">
        <v>3</v>
      </c>
      <c r="M29" s="141">
        <v>872.29</v>
      </c>
      <c r="N29" s="140">
        <v>0</v>
      </c>
      <c r="O29" s="139">
        <v>0</v>
      </c>
      <c r="P29" s="140">
        <v>0</v>
      </c>
      <c r="Q29" s="141">
        <v>0</v>
      </c>
      <c r="R29" s="140">
        <v>1</v>
      </c>
      <c r="S29" s="139">
        <v>304.7</v>
      </c>
      <c r="T29" s="141"/>
      <c r="U29" s="140"/>
      <c r="V29" s="139"/>
      <c r="W29" s="140"/>
      <c r="X29" s="139"/>
      <c r="Y29" s="142">
        <f t="shared" si="0"/>
        <v>39</v>
      </c>
      <c r="Z29" s="143">
        <f t="shared" si="1"/>
        <v>42471.57</v>
      </c>
      <c r="AA29" s="147">
        <f t="shared" si="3"/>
        <v>1089.0146153846154</v>
      </c>
      <c r="AB29" s="148">
        <f t="shared" si="2"/>
        <v>0.48749999999999999</v>
      </c>
      <c r="AC29" s="143"/>
      <c r="AD29" s="127"/>
      <c r="AE29" s="143"/>
    </row>
    <row r="30" spans="1:54" s="126" customFormat="1" ht="16.5" customHeight="1" x14ac:dyDescent="0.25">
      <c r="A30" s="769"/>
      <c r="B30" s="150" t="s">
        <v>63</v>
      </c>
      <c r="C30" s="317">
        <v>24</v>
      </c>
      <c r="D30" s="152">
        <v>0</v>
      </c>
      <c r="E30" s="155">
        <v>0</v>
      </c>
      <c r="F30" s="154">
        <v>23</v>
      </c>
      <c r="G30" s="153">
        <v>1163.9480000000001</v>
      </c>
      <c r="H30" s="155">
        <v>0</v>
      </c>
      <c r="I30" s="155">
        <v>0</v>
      </c>
      <c r="J30" s="154">
        <v>0</v>
      </c>
      <c r="K30" s="153">
        <v>0</v>
      </c>
      <c r="L30" s="155">
        <v>3</v>
      </c>
      <c r="M30" s="155">
        <v>1157.0433333333301</v>
      </c>
      <c r="N30" s="154">
        <v>0</v>
      </c>
      <c r="O30" s="153">
        <v>0</v>
      </c>
      <c r="P30" s="154">
        <v>0</v>
      </c>
      <c r="Q30" s="155">
        <v>0</v>
      </c>
      <c r="R30" s="154">
        <v>0</v>
      </c>
      <c r="S30" s="153">
        <v>0</v>
      </c>
      <c r="T30" s="155"/>
      <c r="U30" s="154"/>
      <c r="V30" s="153"/>
      <c r="W30" s="154"/>
      <c r="X30" s="153"/>
      <c r="Y30" s="156">
        <f t="shared" si="0"/>
        <v>26</v>
      </c>
      <c r="Z30" s="157">
        <f t="shared" si="1"/>
        <v>30241.933999999994</v>
      </c>
      <c r="AA30" s="158">
        <f t="shared" si="3"/>
        <v>1163.1513076923075</v>
      </c>
      <c r="AB30" s="159">
        <f t="shared" si="2"/>
        <v>0.32500000000000001</v>
      </c>
      <c r="AC30" s="143"/>
      <c r="AD30" s="127"/>
      <c r="AE30" s="143"/>
      <c r="AJ30" s="126">
        <f>20*7</f>
        <v>140</v>
      </c>
      <c r="AK30" s="126">
        <f>475/1.15</f>
        <v>413.04347826086962</v>
      </c>
      <c r="AL30" s="126">
        <f>+AJ30*AK30</f>
        <v>57826.086956521744</v>
      </c>
    </row>
    <row r="31" spans="1:54" s="169" customFormat="1" ht="15.95" customHeight="1" x14ac:dyDescent="0.25">
      <c r="A31" s="769"/>
      <c r="B31" s="136" t="s">
        <v>64</v>
      </c>
      <c r="C31" s="322">
        <v>25</v>
      </c>
      <c r="D31" s="138">
        <v>0</v>
      </c>
      <c r="E31" s="141">
        <v>0</v>
      </c>
      <c r="F31" s="140">
        <v>17</v>
      </c>
      <c r="G31" s="139">
        <v>995.65</v>
      </c>
      <c r="H31" s="141">
        <v>0</v>
      </c>
      <c r="I31" s="141">
        <v>0</v>
      </c>
      <c r="J31" s="140">
        <v>0</v>
      </c>
      <c r="K31" s="139">
        <v>0</v>
      </c>
      <c r="L31" s="141">
        <v>4</v>
      </c>
      <c r="M31" s="141">
        <v>1262.3475000000001</v>
      </c>
      <c r="N31" s="140">
        <v>0</v>
      </c>
      <c r="O31" s="139">
        <v>0</v>
      </c>
      <c r="P31" s="591">
        <v>10</v>
      </c>
      <c r="Q31" s="592">
        <v>1404</v>
      </c>
      <c r="R31" s="140">
        <v>0</v>
      </c>
      <c r="S31" s="139">
        <v>0</v>
      </c>
      <c r="T31" s="141"/>
      <c r="U31" s="140"/>
      <c r="V31" s="139"/>
      <c r="W31" s="140"/>
      <c r="X31" s="139"/>
      <c r="Y31" s="142">
        <f t="shared" si="0"/>
        <v>31</v>
      </c>
      <c r="Z31" s="143">
        <f t="shared" si="1"/>
        <v>36015.440000000002</v>
      </c>
      <c r="AA31" s="329">
        <f t="shared" si="3"/>
        <v>1161.7883870967742</v>
      </c>
      <c r="AB31" s="148">
        <f t="shared" si="2"/>
        <v>0.38750000000000001</v>
      </c>
      <c r="AC31" s="143"/>
      <c r="AD31" s="127"/>
      <c r="AE31" s="143"/>
      <c r="AF31" s="126"/>
      <c r="AG31" s="126"/>
      <c r="AH31" s="126"/>
      <c r="AI31" s="126"/>
      <c r="AJ31" s="126">
        <f>20*3</f>
        <v>60</v>
      </c>
      <c r="AK31" s="126">
        <v>550</v>
      </c>
      <c r="AL31" s="126">
        <f>+AJ31*AK31</f>
        <v>33000</v>
      </c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60"/>
    </row>
    <row r="32" spans="1:54" s="128" customFormat="1" ht="15.95" customHeight="1" x14ac:dyDescent="0.25">
      <c r="A32" s="769"/>
      <c r="B32" s="136" t="s">
        <v>65</v>
      </c>
      <c r="C32" s="322">
        <v>26</v>
      </c>
      <c r="D32" s="138">
        <v>0</v>
      </c>
      <c r="E32" s="141">
        <v>0</v>
      </c>
      <c r="F32" s="140">
        <v>18</v>
      </c>
      <c r="G32" s="139">
        <v>995.65</v>
      </c>
      <c r="H32" s="141">
        <v>0</v>
      </c>
      <c r="I32" s="141">
        <v>0</v>
      </c>
      <c r="J32" s="140">
        <v>0</v>
      </c>
      <c r="K32" s="139">
        <v>0</v>
      </c>
      <c r="L32" s="141">
        <v>5</v>
      </c>
      <c r="M32" s="141">
        <v>943.46</v>
      </c>
      <c r="N32" s="140">
        <v>0</v>
      </c>
      <c r="O32" s="139">
        <v>0</v>
      </c>
      <c r="P32" s="591">
        <v>10</v>
      </c>
      <c r="Q32" s="592">
        <v>1404</v>
      </c>
      <c r="R32" s="140">
        <v>2</v>
      </c>
      <c r="S32" s="139">
        <v>0</v>
      </c>
      <c r="T32" s="141"/>
      <c r="U32" s="140"/>
      <c r="V32" s="139"/>
      <c r="W32" s="140"/>
      <c r="X32" s="139"/>
      <c r="Y32" s="142">
        <f t="shared" si="0"/>
        <v>35</v>
      </c>
      <c r="Z32" s="143">
        <f t="shared" si="1"/>
        <v>36679</v>
      </c>
      <c r="AA32" s="329">
        <f t="shared" si="3"/>
        <v>1047.9714285714285</v>
      </c>
      <c r="AB32" s="148">
        <f t="shared" si="2"/>
        <v>0.4375</v>
      </c>
      <c r="AC32" s="143"/>
      <c r="AD32" s="127"/>
      <c r="AE32" s="143"/>
      <c r="AF32" s="126"/>
      <c r="AG32" s="126"/>
      <c r="AH32" s="126"/>
      <c r="AI32" s="126"/>
      <c r="AJ32" s="126">
        <f>+AJ30+AJ31</f>
        <v>200</v>
      </c>
      <c r="AK32" s="126">
        <f>AL32/AJ32</f>
        <v>454.13043478260875</v>
      </c>
      <c r="AL32" s="126">
        <f>+AL30+AL31</f>
        <v>90826.086956521744</v>
      </c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</row>
    <row r="33" spans="1:55" s="128" customFormat="1" ht="15.95" customHeight="1" x14ac:dyDescent="0.25">
      <c r="A33" s="769"/>
      <c r="B33" s="136" t="s">
        <v>66</v>
      </c>
      <c r="C33" s="321">
        <v>27</v>
      </c>
      <c r="D33" s="138">
        <v>0</v>
      </c>
      <c r="E33" s="141">
        <v>0</v>
      </c>
      <c r="F33" s="140">
        <v>19</v>
      </c>
      <c r="G33" s="139">
        <v>995.65</v>
      </c>
      <c r="H33" s="141">
        <v>0</v>
      </c>
      <c r="I33" s="141">
        <v>0</v>
      </c>
      <c r="J33" s="140">
        <v>0</v>
      </c>
      <c r="K33" s="139">
        <v>0</v>
      </c>
      <c r="L33" s="141">
        <v>4</v>
      </c>
      <c r="M33" s="141">
        <v>732.26</v>
      </c>
      <c r="N33" s="140">
        <v>0</v>
      </c>
      <c r="O33" s="139">
        <v>0</v>
      </c>
      <c r="P33" s="140">
        <v>0</v>
      </c>
      <c r="Q33" s="141">
        <v>0</v>
      </c>
      <c r="R33" s="140">
        <v>2</v>
      </c>
      <c r="S33" s="139">
        <v>0</v>
      </c>
      <c r="T33" s="141"/>
      <c r="U33" s="140"/>
      <c r="V33" s="139"/>
      <c r="W33" s="140"/>
      <c r="X33" s="139"/>
      <c r="Y33" s="142">
        <f t="shared" si="0"/>
        <v>25</v>
      </c>
      <c r="Z33" s="143">
        <f t="shared" si="1"/>
        <v>21846.39</v>
      </c>
      <c r="AA33" s="147">
        <f t="shared" si="3"/>
        <v>873.85559999999998</v>
      </c>
      <c r="AB33" s="148">
        <f t="shared" si="2"/>
        <v>0.3125</v>
      </c>
      <c r="AC33" s="143"/>
      <c r="AD33" s="127"/>
      <c r="AE33" s="143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</row>
    <row r="34" spans="1:55" s="128" customFormat="1" ht="15.95" customHeight="1" x14ac:dyDescent="0.25">
      <c r="A34" s="208"/>
      <c r="B34" s="136" t="s">
        <v>67</v>
      </c>
      <c r="C34" s="322">
        <v>28</v>
      </c>
      <c r="D34" s="138">
        <v>0</v>
      </c>
      <c r="E34" s="141">
        <v>0</v>
      </c>
      <c r="F34" s="140">
        <v>18</v>
      </c>
      <c r="G34" s="139">
        <v>1276.4211111111099</v>
      </c>
      <c r="H34" s="141">
        <v>0</v>
      </c>
      <c r="I34" s="141">
        <v>0</v>
      </c>
      <c r="J34" s="140">
        <v>0</v>
      </c>
      <c r="K34" s="139">
        <v>0</v>
      </c>
      <c r="L34" s="141">
        <v>6</v>
      </c>
      <c r="M34" s="141">
        <v>766.47666666666601</v>
      </c>
      <c r="N34" s="140">
        <v>0</v>
      </c>
      <c r="O34" s="139">
        <v>0</v>
      </c>
      <c r="P34" s="140">
        <v>0</v>
      </c>
      <c r="Q34" s="141">
        <v>0</v>
      </c>
      <c r="R34" s="140">
        <v>0</v>
      </c>
      <c r="S34" s="139">
        <v>0</v>
      </c>
      <c r="T34" s="141"/>
      <c r="U34" s="141"/>
      <c r="V34" s="141"/>
      <c r="W34" s="141"/>
      <c r="X34" s="141"/>
      <c r="Y34" s="143">
        <f t="shared" si="0"/>
        <v>24</v>
      </c>
      <c r="Z34" s="143">
        <f t="shared" si="1"/>
        <v>27574.439999999977</v>
      </c>
      <c r="AA34" s="329">
        <f>IF(Z34=0,0,Z34/Y34)</f>
        <v>1148.934999999999</v>
      </c>
      <c r="AB34" s="148">
        <f t="shared" si="2"/>
        <v>0.3</v>
      </c>
      <c r="AC34" s="143"/>
      <c r="AD34" s="127"/>
      <c r="AE34" s="143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</row>
    <row r="35" spans="1:55" s="128" customFormat="1" ht="15.95" customHeight="1" x14ac:dyDescent="0.25">
      <c r="A35" s="770"/>
      <c r="B35" s="136" t="s">
        <v>68</v>
      </c>
      <c r="C35" s="322">
        <v>29</v>
      </c>
      <c r="D35" s="138">
        <v>0</v>
      </c>
      <c r="E35" s="141">
        <v>0</v>
      </c>
      <c r="F35" s="140">
        <v>25</v>
      </c>
      <c r="G35" s="139">
        <v>1366.4466666666599</v>
      </c>
      <c r="H35" s="141">
        <v>0</v>
      </c>
      <c r="I35" s="141">
        <v>0</v>
      </c>
      <c r="J35" s="140">
        <v>0</v>
      </c>
      <c r="K35" s="139">
        <v>0</v>
      </c>
      <c r="L35" s="141">
        <v>2</v>
      </c>
      <c r="M35" s="141">
        <v>846.26</v>
      </c>
      <c r="N35" s="140">
        <v>0</v>
      </c>
      <c r="O35" s="139">
        <v>0</v>
      </c>
      <c r="P35" s="140">
        <v>0</v>
      </c>
      <c r="Q35" s="141">
        <v>0</v>
      </c>
      <c r="R35" s="140">
        <v>0</v>
      </c>
      <c r="S35" s="139">
        <v>0</v>
      </c>
      <c r="T35" s="141"/>
      <c r="U35" s="140"/>
      <c r="V35" s="139"/>
      <c r="W35" s="140"/>
      <c r="X35" s="139"/>
      <c r="Y35" s="142">
        <f t="shared" si="0"/>
        <v>27</v>
      </c>
      <c r="Z35" s="143">
        <f t="shared" si="1"/>
        <v>35853.686666666494</v>
      </c>
      <c r="AA35" s="147">
        <f>IF(Z35=0,0,Z35/Y35)</f>
        <v>1327.9143209876479</v>
      </c>
      <c r="AB35" s="148">
        <f t="shared" si="2"/>
        <v>0.33750000000000002</v>
      </c>
      <c r="AC35" s="143"/>
      <c r="AD35" s="127"/>
      <c r="AE35" s="143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</row>
    <row r="36" spans="1:55" s="126" customFormat="1" ht="15.95" customHeight="1" x14ac:dyDescent="0.25">
      <c r="A36" s="770"/>
      <c r="B36" s="136" t="s">
        <v>69</v>
      </c>
      <c r="C36" s="321">
        <v>30</v>
      </c>
      <c r="D36" s="138">
        <v>0</v>
      </c>
      <c r="E36" s="141">
        <v>0</v>
      </c>
      <c r="F36" s="140">
        <v>25</v>
      </c>
      <c r="G36" s="139">
        <v>1366</v>
      </c>
      <c r="H36" s="141">
        <v>0</v>
      </c>
      <c r="I36" s="141">
        <v>0</v>
      </c>
      <c r="J36" s="140">
        <v>0</v>
      </c>
      <c r="K36" s="139">
        <v>0</v>
      </c>
      <c r="L36" s="141">
        <v>3</v>
      </c>
      <c r="M36" s="141">
        <v>1189.8533333333301</v>
      </c>
      <c r="N36" s="140">
        <v>0</v>
      </c>
      <c r="O36" s="139">
        <v>0</v>
      </c>
      <c r="P36" s="140">
        <v>0</v>
      </c>
      <c r="Q36" s="141">
        <v>0</v>
      </c>
      <c r="R36" s="140">
        <v>0</v>
      </c>
      <c r="S36" s="139">
        <v>0</v>
      </c>
      <c r="T36" s="141"/>
      <c r="U36" s="140"/>
      <c r="V36" s="139"/>
      <c r="W36" s="140"/>
      <c r="X36" s="139"/>
      <c r="Y36" s="142">
        <f t="shared" si="0"/>
        <v>28</v>
      </c>
      <c r="Z36" s="143">
        <f t="shared" si="1"/>
        <v>37719.55999999999</v>
      </c>
      <c r="AA36" s="147">
        <f>IF(Z36=0,0,Z36/Y36)</f>
        <v>1347.1271428571424</v>
      </c>
      <c r="AB36" s="148">
        <f t="shared" si="2"/>
        <v>0.35</v>
      </c>
      <c r="AC36" s="143"/>
      <c r="AD36" s="127"/>
      <c r="AE36" s="143"/>
    </row>
    <row r="37" spans="1:55" s="128" customFormat="1" ht="16.5" thickBot="1" x14ac:dyDescent="0.3">
      <c r="A37" s="206"/>
      <c r="B37" s="136" t="s">
        <v>63</v>
      </c>
      <c r="C37" s="321">
        <v>31</v>
      </c>
      <c r="D37" s="323">
        <v>0</v>
      </c>
      <c r="E37" s="325">
        <v>0</v>
      </c>
      <c r="F37" s="326">
        <v>14</v>
      </c>
      <c r="G37" s="324">
        <v>1366</v>
      </c>
      <c r="H37" s="141">
        <v>0</v>
      </c>
      <c r="I37" s="141">
        <v>0</v>
      </c>
      <c r="J37" s="326">
        <v>0</v>
      </c>
      <c r="K37" s="324">
        <v>0</v>
      </c>
      <c r="L37" s="141">
        <v>2</v>
      </c>
      <c r="M37" s="141">
        <v>1396.52</v>
      </c>
      <c r="N37" s="326">
        <v>0</v>
      </c>
      <c r="O37" s="324">
        <v>0</v>
      </c>
      <c r="P37" s="326">
        <v>0</v>
      </c>
      <c r="Q37" s="325">
        <v>0</v>
      </c>
      <c r="R37" s="326">
        <v>0</v>
      </c>
      <c r="S37" s="324">
        <v>0</v>
      </c>
      <c r="T37" s="141"/>
      <c r="U37" s="140"/>
      <c r="V37" s="139"/>
      <c r="W37" s="140"/>
      <c r="X37" s="139"/>
      <c r="Y37" s="142">
        <f t="shared" si="0"/>
        <v>16</v>
      </c>
      <c r="Z37" s="143">
        <f t="shared" si="1"/>
        <v>21917.040000000001</v>
      </c>
      <c r="AA37" s="147">
        <f>IF(Z37=0,0,Z37/Y37)</f>
        <v>1369.8150000000001</v>
      </c>
      <c r="AB37" s="148">
        <f t="shared" si="2"/>
        <v>0.2</v>
      </c>
      <c r="AC37" s="143"/>
      <c r="AD37" s="127"/>
      <c r="AE37" s="143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</row>
    <row r="38" spans="1:55" s="128" customFormat="1" ht="17.100000000000001" customHeight="1" thickTop="1" x14ac:dyDescent="0.25">
      <c r="A38" s="171" t="s">
        <v>70</v>
      </c>
      <c r="B38" s="172"/>
      <c r="C38" s="172"/>
      <c r="D38" s="173">
        <f>SUM(D7:D37)</f>
        <v>0</v>
      </c>
      <c r="E38" s="174">
        <f>IF(D38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+(D37*E37))/D38)</f>
        <v>0</v>
      </c>
      <c r="F38" s="173">
        <f>SUM(F7:F37)</f>
        <v>672</v>
      </c>
      <c r="G38" s="174">
        <f>IF(F38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+(F37*G37))/F38)</f>
        <v>1213.7190585317451</v>
      </c>
      <c r="H38" s="173">
        <f>SUM(H7:H37)</f>
        <v>14</v>
      </c>
      <c r="I38" s="174">
        <f>IF(H38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+(H37*I37))/H38)</f>
        <v>1205.9157142857143</v>
      </c>
      <c r="J38" s="175">
        <f>SUM(J7:J37)</f>
        <v>70</v>
      </c>
      <c r="K38" s="174">
        <f>IF(J38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+(J37*K37))/J38)</f>
        <v>820.42283597883591</v>
      </c>
      <c r="L38" s="175">
        <f>SUM(L7:L37)</f>
        <v>107</v>
      </c>
      <c r="M38" s="174">
        <f>IF(L38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+(L37*M37))/L38)</f>
        <v>956.93233644859697</v>
      </c>
      <c r="N38" s="175">
        <f>SUM(N7:N37)</f>
        <v>135</v>
      </c>
      <c r="O38" s="174">
        <f>IF(N38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+(N37*O37))/N38)</f>
        <v>2124.6344444444399</v>
      </c>
      <c r="P38" s="175">
        <f>SUM(P7:P37)</f>
        <v>61</v>
      </c>
      <c r="Q38" s="174">
        <f>IF(P38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+(P37*Q37))/P38)</f>
        <v>1530.5831147540969</v>
      </c>
      <c r="R38" s="175">
        <f>SUM(R7:R37)</f>
        <v>12</v>
      </c>
      <c r="S38" s="174">
        <f>IF(R38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+(R37*S37))/R38)</f>
        <v>203.13333333333333</v>
      </c>
      <c r="T38" s="174"/>
      <c r="U38" s="175"/>
      <c r="V38" s="174"/>
      <c r="W38" s="175"/>
      <c r="X38" s="174"/>
      <c r="Y38" s="175">
        <f>SUM(Y7:Y37)</f>
        <v>1071</v>
      </c>
      <c r="Z38" s="177">
        <f>SUM(Z7:Z37)</f>
        <v>1374952.2058518501</v>
      </c>
      <c r="AA38" s="176">
        <f>IF(Z38=0,0,Z38/Y38)</f>
        <v>1283.8022463602708</v>
      </c>
      <c r="AB38" s="178">
        <f>Y38/(AB6*D2)</f>
        <v>0.43185483870967745</v>
      </c>
      <c r="AC38" s="143"/>
      <c r="AD38" s="127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</row>
    <row r="39" spans="1:55" s="128" customFormat="1" ht="17.100000000000001" customHeight="1" thickBot="1" x14ac:dyDescent="0.3">
      <c r="A39" s="179" t="s">
        <v>71</v>
      </c>
      <c r="B39" s="180"/>
      <c r="C39" s="180"/>
      <c r="D39" s="771">
        <f>+E38*D38</f>
        <v>0</v>
      </c>
      <c r="E39" s="767"/>
      <c r="F39" s="771">
        <f>+G38*F38</f>
        <v>815619.20733333274</v>
      </c>
      <c r="G39" s="767"/>
      <c r="H39" s="771">
        <f>+I38*H38</f>
        <v>16882.82</v>
      </c>
      <c r="I39" s="767"/>
      <c r="J39" s="766">
        <f>+K38*J38</f>
        <v>57429.598518518513</v>
      </c>
      <c r="K39" s="767"/>
      <c r="L39" s="766">
        <f>+M38*L38</f>
        <v>102391.75999999988</v>
      </c>
      <c r="M39" s="767"/>
      <c r="N39" s="766">
        <f>+O38*N38</f>
        <v>286825.64999999938</v>
      </c>
      <c r="O39" s="767"/>
      <c r="P39" s="766">
        <f>+Q38*P38</f>
        <v>93365.569999999905</v>
      </c>
      <c r="Q39" s="767"/>
      <c r="R39" s="766">
        <f>+S38*R38</f>
        <v>2437.6</v>
      </c>
      <c r="S39" s="768"/>
      <c r="T39" s="181"/>
      <c r="U39" s="182"/>
      <c r="V39" s="181"/>
      <c r="W39" s="182"/>
      <c r="X39" s="181"/>
      <c r="Y39" s="183"/>
      <c r="Z39" s="184"/>
      <c r="AA39" s="184"/>
      <c r="AB39" s="185"/>
      <c r="AC39" s="143"/>
      <c r="AD39" s="127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</row>
    <row r="40" spans="1:55" s="111" customFormat="1" ht="13.5" thickTop="1" x14ac:dyDescent="0.2">
      <c r="L40" s="211"/>
      <c r="P40" s="211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4"/>
    </row>
    <row r="41" spans="1:55" s="111" customFormat="1" x14ac:dyDescent="0.2">
      <c r="P41" s="211"/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4"/>
    </row>
    <row r="42" spans="1:55" s="111" customFormat="1" x14ac:dyDescent="0.2">
      <c r="Q42" s="226"/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4"/>
    </row>
    <row r="43" spans="1:55" s="111" customFormat="1" x14ac:dyDescent="0.2"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4"/>
    </row>
    <row r="44" spans="1:55" s="111" customFormat="1" x14ac:dyDescent="0.2">
      <c r="A44" s="114"/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4"/>
    </row>
    <row r="45" spans="1:55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4"/>
    </row>
    <row r="46" spans="1:55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4"/>
    </row>
    <row r="47" spans="1:55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4"/>
    </row>
    <row r="48" spans="1:55" s="111" customFormat="1" x14ac:dyDescent="0.2"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4"/>
    </row>
    <row r="49" spans="29:55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4"/>
    </row>
    <row r="50" spans="29:55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4"/>
    </row>
    <row r="51" spans="29:55" s="111" customFormat="1" x14ac:dyDescent="0.2"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4"/>
    </row>
    <row r="52" spans="29:55" s="111" customFormat="1" x14ac:dyDescent="0.2"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4"/>
    </row>
    <row r="53" spans="29:55" s="111" customFormat="1" x14ac:dyDescent="0.2">
      <c r="AC53" s="112"/>
      <c r="AD53" s="113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4"/>
    </row>
    <row r="54" spans="29:55" s="111" customFormat="1" x14ac:dyDescent="0.2">
      <c r="AC54" s="112"/>
      <c r="AD54" s="113"/>
      <c r="AE54" s="112"/>
      <c r="AF54" s="112"/>
      <c r="AG54" s="112"/>
      <c r="AH54" s="112"/>
      <c r="AI54" s="112"/>
      <c r="AJ54" s="112"/>
      <c r="AK54" s="112"/>
      <c r="AL54" s="112"/>
      <c r="AM54" s="112"/>
      <c r="AN54" s="112"/>
      <c r="AO54" s="112"/>
      <c r="AP54" s="112"/>
      <c r="AQ54" s="112"/>
      <c r="AR54" s="112"/>
      <c r="AS54" s="112"/>
      <c r="AT54" s="112"/>
      <c r="AU54" s="112"/>
      <c r="AV54" s="112"/>
      <c r="AW54" s="112"/>
      <c r="AX54" s="112"/>
      <c r="AY54" s="112"/>
      <c r="AZ54" s="112"/>
      <c r="BA54" s="112"/>
      <c r="BB54" s="112"/>
      <c r="BC54" s="114"/>
    </row>
    <row r="55" spans="29:55" s="111" customFormat="1" x14ac:dyDescent="0.2">
      <c r="AC55" s="112"/>
      <c r="AD55" s="113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  <c r="AW55" s="112"/>
      <c r="AX55" s="112"/>
      <c r="AY55" s="112"/>
      <c r="AZ55" s="112"/>
      <c r="BA55" s="112"/>
      <c r="BB55" s="112"/>
      <c r="BC55" s="114"/>
    </row>
  </sheetData>
  <dataConsolidate/>
  <mergeCells count="26"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A15:A16"/>
    <mergeCell ref="A26:A27"/>
    <mergeCell ref="R5:S5"/>
    <mergeCell ref="U5:V5"/>
    <mergeCell ref="W5:X5"/>
    <mergeCell ref="R39:S39"/>
    <mergeCell ref="A29:A31"/>
    <mergeCell ref="A32:A33"/>
    <mergeCell ref="A35:A36"/>
    <mergeCell ref="D39:E39"/>
    <mergeCell ref="F39:G39"/>
    <mergeCell ref="H39:I39"/>
    <mergeCell ref="E1:F1"/>
    <mergeCell ref="J39:K39"/>
    <mergeCell ref="L39:M39"/>
    <mergeCell ref="N39:O39"/>
    <mergeCell ref="P39:Q39"/>
  </mergeCells>
  <phoneticPr fontId="74" type="noConversion"/>
  <dataValidations count="1">
    <dataValidation type="textLength" errorStyle="information" allowBlank="1" showInputMessage="1" showErrorMessage="1" error="XLBVal:2=0_x000d__x000a_" sqref="C27:C37 HY27:HY37 RU27:RU37 ABQ27:ABQ37 ALM27:ALM37 AVI27:AVI37 BFE27:BFE37 BPA27:BPA37 BYW27:BYW37 CIS27:CIS37 CSO27:CSO37 DCK27:DCK37 DMG27:DMG37 DWC27:DWC37 EFY27:EFY37 EPU27:EPU37 EZQ27:EZQ37 FJM27:FJM37 FTI27:FTI37 GDE27:GDE37 GNA27:GNA37 GWW27:GWW37 HGS27:HGS37 HQO27:HQO37 IAK27:IAK37 IKG27:IKG37 IUC27:IUC37 JDY27:JDY37 JNU27:JNU37 JXQ27:JXQ37 KHM27:KHM37 KRI27:KRI37 LBE27:LBE37 LLA27:LLA37 LUW27:LUW37 MES27:MES37 MOO27:MOO37 MYK27:MYK37 NIG27:NIG37 NSC27:NSC37 OBY27:OBY37 OLU27:OLU37 OVQ27:OVQ37 PFM27:PFM37 PPI27:PPI37 PZE27:PZE37 QJA27:QJA37 QSW27:QSW37 RCS27:RCS37 RMO27:RMO37 RWK27:RWK37 SGG27:SGG37 SQC27:SQC37 SZY27:SZY37 TJU27:TJU37 TTQ27:TTQ37 UDM27:UDM37 UNI27:UNI37 UXE27:UXE37 VHA27:VHA37 VQW27:VQW37 WAS27:WAS37 WKO27:WKO37 WUK27:WUK37 C65513:C65523 HY65513:HY65523 RU65513:RU65523 ABQ65513:ABQ65523 ALM65513:ALM65523 AVI65513:AVI65523 BFE65513:BFE65523 BPA65513:BPA65523 BYW65513:BYW65523 CIS65513:CIS65523 CSO65513:CSO65523 DCK65513:DCK65523 DMG65513:DMG65523 DWC65513:DWC65523 EFY65513:EFY65523 EPU65513:EPU65523 EZQ65513:EZQ65523 FJM65513:FJM65523 FTI65513:FTI65523 GDE65513:GDE65523 GNA65513:GNA65523 GWW65513:GWW65523 HGS65513:HGS65523 HQO65513:HQO65523 IAK65513:IAK65523 IKG65513:IKG65523 IUC65513:IUC65523 JDY65513:JDY65523 JNU65513:JNU65523 JXQ65513:JXQ65523 KHM65513:KHM65523 KRI65513:KRI65523 LBE65513:LBE65523 LLA65513:LLA65523 LUW65513:LUW65523 MES65513:MES65523 MOO65513:MOO65523 MYK65513:MYK65523 NIG65513:NIG65523 NSC65513:NSC65523 OBY65513:OBY65523 OLU65513:OLU65523 OVQ65513:OVQ65523 PFM65513:PFM65523 PPI65513:PPI65523 PZE65513:PZE65523 QJA65513:QJA65523 QSW65513:QSW65523 RCS65513:RCS65523 RMO65513:RMO65523 RWK65513:RWK65523 SGG65513:SGG65523 SQC65513:SQC65523 SZY65513:SZY65523 TJU65513:TJU65523 TTQ65513:TTQ65523 UDM65513:UDM65523 UNI65513:UNI65523 UXE65513:UXE65523 VHA65513:VHA65523 VQW65513:VQW65523 WAS65513:WAS65523 WKO65513:WKO65523 WUK65513:WUK65523 C131049:C131059 HY131049:HY131059 RU131049:RU131059 ABQ131049:ABQ131059 ALM131049:ALM131059 AVI131049:AVI131059 BFE131049:BFE131059 BPA131049:BPA131059 BYW131049:BYW131059 CIS131049:CIS131059 CSO131049:CSO131059 DCK131049:DCK131059 DMG131049:DMG131059 DWC131049:DWC131059 EFY131049:EFY131059 EPU131049:EPU131059 EZQ131049:EZQ131059 FJM131049:FJM131059 FTI131049:FTI131059 GDE131049:GDE131059 GNA131049:GNA131059 GWW131049:GWW131059 HGS131049:HGS131059 HQO131049:HQO131059 IAK131049:IAK131059 IKG131049:IKG131059 IUC131049:IUC131059 JDY131049:JDY131059 JNU131049:JNU131059 JXQ131049:JXQ131059 KHM131049:KHM131059 KRI131049:KRI131059 LBE131049:LBE131059 LLA131049:LLA131059 LUW131049:LUW131059 MES131049:MES131059 MOO131049:MOO131059 MYK131049:MYK131059 NIG131049:NIG131059 NSC131049:NSC131059 OBY131049:OBY131059 OLU131049:OLU131059 OVQ131049:OVQ131059 PFM131049:PFM131059 PPI131049:PPI131059 PZE131049:PZE131059 QJA131049:QJA131059 QSW131049:QSW131059 RCS131049:RCS131059 RMO131049:RMO131059 RWK131049:RWK131059 SGG131049:SGG131059 SQC131049:SQC131059 SZY131049:SZY131059 TJU131049:TJU131059 TTQ131049:TTQ131059 UDM131049:UDM131059 UNI131049:UNI131059 UXE131049:UXE131059 VHA131049:VHA131059 VQW131049:VQW131059 WAS131049:WAS131059 WKO131049:WKO131059 WUK131049:WUK131059 C196585:C196595 HY196585:HY196595 RU196585:RU196595 ABQ196585:ABQ196595 ALM196585:ALM196595 AVI196585:AVI196595 BFE196585:BFE196595 BPA196585:BPA196595 BYW196585:BYW196595 CIS196585:CIS196595 CSO196585:CSO196595 DCK196585:DCK196595 DMG196585:DMG196595 DWC196585:DWC196595 EFY196585:EFY196595 EPU196585:EPU196595 EZQ196585:EZQ196595 FJM196585:FJM196595 FTI196585:FTI196595 GDE196585:GDE196595 GNA196585:GNA196595 GWW196585:GWW196595 HGS196585:HGS196595 HQO196585:HQO196595 IAK196585:IAK196595 IKG196585:IKG196595 IUC196585:IUC196595 JDY196585:JDY196595 JNU196585:JNU196595 JXQ196585:JXQ196595 KHM196585:KHM196595 KRI196585:KRI196595 LBE196585:LBE196595 LLA196585:LLA196595 LUW196585:LUW196595 MES196585:MES196595 MOO196585:MOO196595 MYK196585:MYK196595 NIG196585:NIG196595 NSC196585:NSC196595 OBY196585:OBY196595 OLU196585:OLU196595 OVQ196585:OVQ196595 PFM196585:PFM196595 PPI196585:PPI196595 PZE196585:PZE196595 QJA196585:QJA196595 QSW196585:QSW196595 RCS196585:RCS196595 RMO196585:RMO196595 RWK196585:RWK196595 SGG196585:SGG196595 SQC196585:SQC196595 SZY196585:SZY196595 TJU196585:TJU196595 TTQ196585:TTQ196595 UDM196585:UDM196595 UNI196585:UNI196595 UXE196585:UXE196595 VHA196585:VHA196595 VQW196585:VQW196595 WAS196585:WAS196595 WKO196585:WKO196595 WUK196585:WUK196595 C262121:C262131 HY262121:HY262131 RU262121:RU262131 ABQ262121:ABQ262131 ALM262121:ALM262131 AVI262121:AVI262131 BFE262121:BFE262131 BPA262121:BPA262131 BYW262121:BYW262131 CIS262121:CIS262131 CSO262121:CSO262131 DCK262121:DCK262131 DMG262121:DMG262131 DWC262121:DWC262131 EFY262121:EFY262131 EPU262121:EPU262131 EZQ262121:EZQ262131 FJM262121:FJM262131 FTI262121:FTI262131 GDE262121:GDE262131 GNA262121:GNA262131 GWW262121:GWW262131 HGS262121:HGS262131 HQO262121:HQO262131 IAK262121:IAK262131 IKG262121:IKG262131 IUC262121:IUC262131 JDY262121:JDY262131 JNU262121:JNU262131 JXQ262121:JXQ262131 KHM262121:KHM262131 KRI262121:KRI262131 LBE262121:LBE262131 LLA262121:LLA262131 LUW262121:LUW262131 MES262121:MES262131 MOO262121:MOO262131 MYK262121:MYK262131 NIG262121:NIG262131 NSC262121:NSC262131 OBY262121:OBY262131 OLU262121:OLU262131 OVQ262121:OVQ262131 PFM262121:PFM262131 PPI262121:PPI262131 PZE262121:PZE262131 QJA262121:QJA262131 QSW262121:QSW262131 RCS262121:RCS262131 RMO262121:RMO262131 RWK262121:RWK262131 SGG262121:SGG262131 SQC262121:SQC262131 SZY262121:SZY262131 TJU262121:TJU262131 TTQ262121:TTQ262131 UDM262121:UDM262131 UNI262121:UNI262131 UXE262121:UXE262131 VHA262121:VHA262131 VQW262121:VQW262131 WAS262121:WAS262131 WKO262121:WKO262131 WUK262121:WUK262131 C327657:C327667 HY327657:HY327667 RU327657:RU327667 ABQ327657:ABQ327667 ALM327657:ALM327667 AVI327657:AVI327667 BFE327657:BFE327667 BPA327657:BPA327667 BYW327657:BYW327667 CIS327657:CIS327667 CSO327657:CSO327667 DCK327657:DCK327667 DMG327657:DMG327667 DWC327657:DWC327667 EFY327657:EFY327667 EPU327657:EPU327667 EZQ327657:EZQ327667 FJM327657:FJM327667 FTI327657:FTI327667 GDE327657:GDE327667 GNA327657:GNA327667 GWW327657:GWW327667 HGS327657:HGS327667 HQO327657:HQO327667 IAK327657:IAK327667 IKG327657:IKG327667 IUC327657:IUC327667 JDY327657:JDY327667 JNU327657:JNU327667 JXQ327657:JXQ327667 KHM327657:KHM327667 KRI327657:KRI327667 LBE327657:LBE327667 LLA327657:LLA327667 LUW327657:LUW327667 MES327657:MES327667 MOO327657:MOO327667 MYK327657:MYK327667 NIG327657:NIG327667 NSC327657:NSC327667 OBY327657:OBY327667 OLU327657:OLU327667 OVQ327657:OVQ327667 PFM327657:PFM327667 PPI327657:PPI327667 PZE327657:PZE327667 QJA327657:QJA327667 QSW327657:QSW327667 RCS327657:RCS327667 RMO327657:RMO327667 RWK327657:RWK327667 SGG327657:SGG327667 SQC327657:SQC327667 SZY327657:SZY327667 TJU327657:TJU327667 TTQ327657:TTQ327667 UDM327657:UDM327667 UNI327657:UNI327667 UXE327657:UXE327667 VHA327657:VHA327667 VQW327657:VQW327667 WAS327657:WAS327667 WKO327657:WKO327667 WUK327657:WUK327667 C393193:C393203 HY393193:HY393203 RU393193:RU393203 ABQ393193:ABQ393203 ALM393193:ALM393203 AVI393193:AVI393203 BFE393193:BFE393203 BPA393193:BPA393203 BYW393193:BYW393203 CIS393193:CIS393203 CSO393193:CSO393203 DCK393193:DCK393203 DMG393193:DMG393203 DWC393193:DWC393203 EFY393193:EFY393203 EPU393193:EPU393203 EZQ393193:EZQ393203 FJM393193:FJM393203 FTI393193:FTI393203 GDE393193:GDE393203 GNA393193:GNA393203 GWW393193:GWW393203 HGS393193:HGS393203 HQO393193:HQO393203 IAK393193:IAK393203 IKG393193:IKG393203 IUC393193:IUC393203 JDY393193:JDY393203 JNU393193:JNU393203 JXQ393193:JXQ393203 KHM393193:KHM393203 KRI393193:KRI393203 LBE393193:LBE393203 LLA393193:LLA393203 LUW393193:LUW393203 MES393193:MES393203 MOO393193:MOO393203 MYK393193:MYK393203 NIG393193:NIG393203 NSC393193:NSC393203 OBY393193:OBY393203 OLU393193:OLU393203 OVQ393193:OVQ393203 PFM393193:PFM393203 PPI393193:PPI393203 PZE393193:PZE393203 QJA393193:QJA393203 QSW393193:QSW393203 RCS393193:RCS393203 RMO393193:RMO393203 RWK393193:RWK393203 SGG393193:SGG393203 SQC393193:SQC393203 SZY393193:SZY393203 TJU393193:TJU393203 TTQ393193:TTQ393203 UDM393193:UDM393203 UNI393193:UNI393203 UXE393193:UXE393203 VHA393193:VHA393203 VQW393193:VQW393203 WAS393193:WAS393203 WKO393193:WKO393203 WUK393193:WUK393203 C458729:C458739 HY458729:HY458739 RU458729:RU458739 ABQ458729:ABQ458739 ALM458729:ALM458739 AVI458729:AVI458739 BFE458729:BFE458739 BPA458729:BPA458739 BYW458729:BYW458739 CIS458729:CIS458739 CSO458729:CSO458739 DCK458729:DCK458739 DMG458729:DMG458739 DWC458729:DWC458739 EFY458729:EFY458739 EPU458729:EPU458739 EZQ458729:EZQ458739 FJM458729:FJM458739 FTI458729:FTI458739 GDE458729:GDE458739 GNA458729:GNA458739 GWW458729:GWW458739 HGS458729:HGS458739 HQO458729:HQO458739 IAK458729:IAK458739 IKG458729:IKG458739 IUC458729:IUC458739 JDY458729:JDY458739 JNU458729:JNU458739 JXQ458729:JXQ458739 KHM458729:KHM458739 KRI458729:KRI458739 LBE458729:LBE458739 LLA458729:LLA458739 LUW458729:LUW458739 MES458729:MES458739 MOO458729:MOO458739 MYK458729:MYK458739 NIG458729:NIG458739 NSC458729:NSC458739 OBY458729:OBY458739 OLU458729:OLU458739 OVQ458729:OVQ458739 PFM458729:PFM458739 PPI458729:PPI458739 PZE458729:PZE458739 QJA458729:QJA458739 QSW458729:QSW458739 RCS458729:RCS458739 RMO458729:RMO458739 RWK458729:RWK458739 SGG458729:SGG458739 SQC458729:SQC458739 SZY458729:SZY458739 TJU458729:TJU458739 TTQ458729:TTQ458739 UDM458729:UDM458739 UNI458729:UNI458739 UXE458729:UXE458739 VHA458729:VHA458739 VQW458729:VQW458739 WAS458729:WAS458739 WKO458729:WKO458739 WUK458729:WUK458739 C524265:C524275 HY524265:HY524275 RU524265:RU524275 ABQ524265:ABQ524275 ALM524265:ALM524275 AVI524265:AVI524275 BFE524265:BFE524275 BPA524265:BPA524275 BYW524265:BYW524275 CIS524265:CIS524275 CSO524265:CSO524275 DCK524265:DCK524275 DMG524265:DMG524275 DWC524265:DWC524275 EFY524265:EFY524275 EPU524265:EPU524275 EZQ524265:EZQ524275 FJM524265:FJM524275 FTI524265:FTI524275 GDE524265:GDE524275 GNA524265:GNA524275 GWW524265:GWW524275 HGS524265:HGS524275 HQO524265:HQO524275 IAK524265:IAK524275 IKG524265:IKG524275 IUC524265:IUC524275 JDY524265:JDY524275 JNU524265:JNU524275 JXQ524265:JXQ524275 KHM524265:KHM524275 KRI524265:KRI524275 LBE524265:LBE524275 LLA524265:LLA524275 LUW524265:LUW524275 MES524265:MES524275 MOO524265:MOO524275 MYK524265:MYK524275 NIG524265:NIG524275 NSC524265:NSC524275 OBY524265:OBY524275 OLU524265:OLU524275 OVQ524265:OVQ524275 PFM524265:PFM524275 PPI524265:PPI524275 PZE524265:PZE524275 QJA524265:QJA524275 QSW524265:QSW524275 RCS524265:RCS524275 RMO524265:RMO524275 RWK524265:RWK524275 SGG524265:SGG524275 SQC524265:SQC524275 SZY524265:SZY524275 TJU524265:TJU524275 TTQ524265:TTQ524275 UDM524265:UDM524275 UNI524265:UNI524275 UXE524265:UXE524275 VHA524265:VHA524275 VQW524265:VQW524275 WAS524265:WAS524275 WKO524265:WKO524275 WUK524265:WUK524275 C589801:C589811 HY589801:HY589811 RU589801:RU589811 ABQ589801:ABQ589811 ALM589801:ALM589811 AVI589801:AVI589811 BFE589801:BFE589811 BPA589801:BPA589811 BYW589801:BYW589811 CIS589801:CIS589811 CSO589801:CSO589811 DCK589801:DCK589811 DMG589801:DMG589811 DWC589801:DWC589811 EFY589801:EFY589811 EPU589801:EPU589811 EZQ589801:EZQ589811 FJM589801:FJM589811 FTI589801:FTI589811 GDE589801:GDE589811 GNA589801:GNA589811 GWW589801:GWW589811 HGS589801:HGS589811 HQO589801:HQO589811 IAK589801:IAK589811 IKG589801:IKG589811 IUC589801:IUC589811 JDY589801:JDY589811 JNU589801:JNU589811 JXQ589801:JXQ589811 KHM589801:KHM589811 KRI589801:KRI589811 LBE589801:LBE589811 LLA589801:LLA589811 LUW589801:LUW589811 MES589801:MES589811 MOO589801:MOO589811 MYK589801:MYK589811 NIG589801:NIG589811 NSC589801:NSC589811 OBY589801:OBY589811 OLU589801:OLU589811 OVQ589801:OVQ589811 PFM589801:PFM589811 PPI589801:PPI589811 PZE589801:PZE589811 QJA589801:QJA589811 QSW589801:QSW589811 RCS589801:RCS589811 RMO589801:RMO589811 RWK589801:RWK589811 SGG589801:SGG589811 SQC589801:SQC589811 SZY589801:SZY589811 TJU589801:TJU589811 TTQ589801:TTQ589811 UDM589801:UDM589811 UNI589801:UNI589811 UXE589801:UXE589811 VHA589801:VHA589811 VQW589801:VQW589811 WAS589801:WAS589811 WKO589801:WKO589811 WUK589801:WUK589811 C655337:C655347 HY655337:HY655347 RU655337:RU655347 ABQ655337:ABQ655347 ALM655337:ALM655347 AVI655337:AVI655347 BFE655337:BFE655347 BPA655337:BPA655347 BYW655337:BYW655347 CIS655337:CIS655347 CSO655337:CSO655347 DCK655337:DCK655347 DMG655337:DMG655347 DWC655337:DWC655347 EFY655337:EFY655347 EPU655337:EPU655347 EZQ655337:EZQ655347 FJM655337:FJM655347 FTI655337:FTI655347 GDE655337:GDE655347 GNA655337:GNA655347 GWW655337:GWW655347 HGS655337:HGS655347 HQO655337:HQO655347 IAK655337:IAK655347 IKG655337:IKG655347 IUC655337:IUC655347 JDY655337:JDY655347 JNU655337:JNU655347 JXQ655337:JXQ655347 KHM655337:KHM655347 KRI655337:KRI655347 LBE655337:LBE655347 LLA655337:LLA655347 LUW655337:LUW655347 MES655337:MES655347 MOO655337:MOO655347 MYK655337:MYK655347 NIG655337:NIG655347 NSC655337:NSC655347 OBY655337:OBY655347 OLU655337:OLU655347 OVQ655337:OVQ655347 PFM655337:PFM655347 PPI655337:PPI655347 PZE655337:PZE655347 QJA655337:QJA655347 QSW655337:QSW655347 RCS655337:RCS655347 RMO655337:RMO655347 RWK655337:RWK655347 SGG655337:SGG655347 SQC655337:SQC655347 SZY655337:SZY655347 TJU655337:TJU655347 TTQ655337:TTQ655347 UDM655337:UDM655347 UNI655337:UNI655347 UXE655337:UXE655347 VHA655337:VHA655347 VQW655337:VQW655347 WAS655337:WAS655347 WKO655337:WKO655347 WUK655337:WUK655347 C720873:C720883 HY720873:HY720883 RU720873:RU720883 ABQ720873:ABQ720883 ALM720873:ALM720883 AVI720873:AVI720883 BFE720873:BFE720883 BPA720873:BPA720883 BYW720873:BYW720883 CIS720873:CIS720883 CSO720873:CSO720883 DCK720873:DCK720883 DMG720873:DMG720883 DWC720873:DWC720883 EFY720873:EFY720883 EPU720873:EPU720883 EZQ720873:EZQ720883 FJM720873:FJM720883 FTI720873:FTI720883 GDE720873:GDE720883 GNA720873:GNA720883 GWW720873:GWW720883 HGS720873:HGS720883 HQO720873:HQO720883 IAK720873:IAK720883 IKG720873:IKG720883 IUC720873:IUC720883 JDY720873:JDY720883 JNU720873:JNU720883 JXQ720873:JXQ720883 KHM720873:KHM720883 KRI720873:KRI720883 LBE720873:LBE720883 LLA720873:LLA720883 LUW720873:LUW720883 MES720873:MES720883 MOO720873:MOO720883 MYK720873:MYK720883 NIG720873:NIG720883 NSC720873:NSC720883 OBY720873:OBY720883 OLU720873:OLU720883 OVQ720873:OVQ720883 PFM720873:PFM720883 PPI720873:PPI720883 PZE720873:PZE720883 QJA720873:QJA720883 QSW720873:QSW720883 RCS720873:RCS720883 RMO720873:RMO720883 RWK720873:RWK720883 SGG720873:SGG720883 SQC720873:SQC720883 SZY720873:SZY720883 TJU720873:TJU720883 TTQ720873:TTQ720883 UDM720873:UDM720883 UNI720873:UNI720883 UXE720873:UXE720883 VHA720873:VHA720883 VQW720873:VQW720883 WAS720873:WAS720883 WKO720873:WKO720883 WUK720873:WUK720883 C786409:C786419 HY786409:HY786419 RU786409:RU786419 ABQ786409:ABQ786419 ALM786409:ALM786419 AVI786409:AVI786419 BFE786409:BFE786419 BPA786409:BPA786419 BYW786409:BYW786419 CIS786409:CIS786419 CSO786409:CSO786419 DCK786409:DCK786419 DMG786409:DMG786419 DWC786409:DWC786419 EFY786409:EFY786419 EPU786409:EPU786419 EZQ786409:EZQ786419 FJM786409:FJM786419 FTI786409:FTI786419 GDE786409:GDE786419 GNA786409:GNA786419 GWW786409:GWW786419 HGS786409:HGS786419 HQO786409:HQO786419 IAK786409:IAK786419 IKG786409:IKG786419 IUC786409:IUC786419 JDY786409:JDY786419 JNU786409:JNU786419 JXQ786409:JXQ786419 KHM786409:KHM786419 KRI786409:KRI786419 LBE786409:LBE786419 LLA786409:LLA786419 LUW786409:LUW786419 MES786409:MES786419 MOO786409:MOO786419 MYK786409:MYK786419 NIG786409:NIG786419 NSC786409:NSC786419 OBY786409:OBY786419 OLU786409:OLU786419 OVQ786409:OVQ786419 PFM786409:PFM786419 PPI786409:PPI786419 PZE786409:PZE786419 QJA786409:QJA786419 QSW786409:QSW786419 RCS786409:RCS786419 RMO786409:RMO786419 RWK786409:RWK786419 SGG786409:SGG786419 SQC786409:SQC786419 SZY786409:SZY786419 TJU786409:TJU786419 TTQ786409:TTQ786419 UDM786409:UDM786419 UNI786409:UNI786419 UXE786409:UXE786419 VHA786409:VHA786419 VQW786409:VQW786419 WAS786409:WAS786419 WKO786409:WKO786419 WUK786409:WUK786419 C851945:C851955 HY851945:HY851955 RU851945:RU851955 ABQ851945:ABQ851955 ALM851945:ALM851955 AVI851945:AVI851955 BFE851945:BFE851955 BPA851945:BPA851955 BYW851945:BYW851955 CIS851945:CIS851955 CSO851945:CSO851955 DCK851945:DCK851955 DMG851945:DMG851955 DWC851945:DWC851955 EFY851945:EFY851955 EPU851945:EPU851955 EZQ851945:EZQ851955 FJM851945:FJM851955 FTI851945:FTI851955 GDE851945:GDE851955 GNA851945:GNA851955 GWW851945:GWW851955 HGS851945:HGS851955 HQO851945:HQO851955 IAK851945:IAK851955 IKG851945:IKG851955 IUC851945:IUC851955 JDY851945:JDY851955 JNU851945:JNU851955 JXQ851945:JXQ851955 KHM851945:KHM851955 KRI851945:KRI851955 LBE851945:LBE851955 LLA851945:LLA851955 LUW851945:LUW851955 MES851945:MES851955 MOO851945:MOO851955 MYK851945:MYK851955 NIG851945:NIG851955 NSC851945:NSC851955 OBY851945:OBY851955 OLU851945:OLU851955 OVQ851945:OVQ851955 PFM851945:PFM851955 PPI851945:PPI851955 PZE851945:PZE851955 QJA851945:QJA851955 QSW851945:QSW851955 RCS851945:RCS851955 RMO851945:RMO851955 RWK851945:RWK851955 SGG851945:SGG851955 SQC851945:SQC851955 SZY851945:SZY851955 TJU851945:TJU851955 TTQ851945:TTQ851955 UDM851945:UDM851955 UNI851945:UNI851955 UXE851945:UXE851955 VHA851945:VHA851955 VQW851945:VQW851955 WAS851945:WAS851955 WKO851945:WKO851955 WUK851945:WUK851955 C917481:C917491 HY917481:HY917491 RU917481:RU917491 ABQ917481:ABQ917491 ALM917481:ALM917491 AVI917481:AVI917491 BFE917481:BFE917491 BPA917481:BPA917491 BYW917481:BYW917491 CIS917481:CIS917491 CSO917481:CSO917491 DCK917481:DCK917491 DMG917481:DMG917491 DWC917481:DWC917491 EFY917481:EFY917491 EPU917481:EPU917491 EZQ917481:EZQ917491 FJM917481:FJM917491 FTI917481:FTI917491 GDE917481:GDE917491 GNA917481:GNA917491 GWW917481:GWW917491 HGS917481:HGS917491 HQO917481:HQO917491 IAK917481:IAK917491 IKG917481:IKG917491 IUC917481:IUC917491 JDY917481:JDY917491 JNU917481:JNU917491 JXQ917481:JXQ917491 KHM917481:KHM917491 KRI917481:KRI917491 LBE917481:LBE917491 LLA917481:LLA917491 LUW917481:LUW917491 MES917481:MES917491 MOO917481:MOO917491 MYK917481:MYK917491 NIG917481:NIG917491 NSC917481:NSC917491 OBY917481:OBY917491 OLU917481:OLU917491 OVQ917481:OVQ917491 PFM917481:PFM917491 PPI917481:PPI917491 PZE917481:PZE917491 QJA917481:QJA917491 QSW917481:QSW917491 RCS917481:RCS917491 RMO917481:RMO917491 RWK917481:RWK917491 SGG917481:SGG917491 SQC917481:SQC917491 SZY917481:SZY917491 TJU917481:TJU917491 TTQ917481:TTQ917491 UDM917481:UDM917491 UNI917481:UNI917491 UXE917481:UXE917491 VHA917481:VHA917491 VQW917481:VQW917491 WAS917481:WAS917491 WKO917481:WKO917491 WUK917481:WUK917491 C983017:C983027 HY983017:HY983027 RU983017:RU983027 ABQ983017:ABQ983027 ALM983017:ALM983027 AVI983017:AVI983027 BFE983017:BFE983027 BPA983017:BPA983027 BYW983017:BYW983027 CIS983017:CIS983027 CSO983017:CSO983027 DCK983017:DCK983027 DMG983017:DMG983027 DWC983017:DWC983027 EFY983017:EFY983027 EPU983017:EPU983027 EZQ983017:EZQ983027 FJM983017:FJM983027 FTI983017:FTI983027 GDE983017:GDE983027 GNA983017:GNA983027 GWW983017:GWW983027 HGS983017:HGS983027 HQO983017:HQO983027 IAK983017:IAK983027 IKG983017:IKG983027 IUC983017:IUC983027 JDY983017:JDY983027 JNU983017:JNU983027 JXQ983017:JXQ983027 KHM983017:KHM983027 KRI983017:KRI983027 LBE983017:LBE983027 LLA983017:LLA983027 LUW983017:LUW983027 MES983017:MES983027 MOO983017:MOO983027 MYK983017:MYK983027 NIG983017:NIG983027 NSC983017:NSC983027 OBY983017:OBY983027 OLU983017:OLU983027 OVQ983017:OVQ983027 PFM983017:PFM983027 PPI983017:PPI983027 PZE983017:PZE983027 QJA983017:QJA983027 QSW983017:QSW983027 RCS983017:RCS983027 RMO983017:RMO983027 RWK983017:RWK983027 SGG983017:SGG983027 SQC983017:SQC983027 SZY983017:SZY983027 TJU983017:TJU983027 TTQ983017:TTQ983027 UDM983017:UDM983027 UNI983017:UNI983027 UXE983017:UXE983027 VHA983017:VHA983027 VQW983017:VQW983027 WAS983017:WAS983027 WKO983017:WKO983027 WUK983017:WUK983027" xr:uid="{00000000-0002-0000-02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1" orientation="landscape" horizontalDpi="300" verticalDpi="30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pageSetUpPr fitToPage="1"/>
  </sheetPr>
  <dimension ref="B1:T36"/>
  <sheetViews>
    <sheetView view="pageBreakPreview" zoomScale="50" zoomScaleNormal="50" zoomScaleSheetLayoutView="50" workbookViewId="0">
      <pane xSplit="2" ySplit="6" topLeftCell="C7" activePane="bottomRight" state="frozen"/>
      <selection activeCell="C4" sqref="C4"/>
      <selection pane="topRight" activeCell="C4" sqref="C4"/>
      <selection pane="bottomLeft" activeCell="C4" sqref="C4"/>
      <selection pane="bottomRight" activeCell="M9" sqref="M9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3.855468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9.140625" style="5"/>
    <col min="20" max="20" width="12.140625" style="5" bestFit="1" customWidth="1"/>
    <col min="21" max="16384" width="9.140625" style="5"/>
  </cols>
  <sheetData>
    <row r="1" spans="2:20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0" s="1" customFormat="1" ht="26.25" x14ac:dyDescent="0.4">
      <c r="B2" s="759" t="s">
        <v>119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0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0" ht="33" customHeight="1" outlineLevel="1" x14ac:dyDescent="0.35">
      <c r="B4" s="6" t="s">
        <v>1</v>
      </c>
      <c r="C4" s="7">
        <f>155*31</f>
        <v>4805</v>
      </c>
      <c r="D4" s="8"/>
      <c r="E4" s="9"/>
      <c r="F4" s="10"/>
      <c r="G4" s="7">
        <f>80*31</f>
        <v>2480</v>
      </c>
      <c r="H4" s="11"/>
      <c r="I4" s="11"/>
      <c r="J4" s="11"/>
      <c r="K4" s="7">
        <f>80*31</f>
        <v>2480</v>
      </c>
      <c r="L4" s="12"/>
      <c r="M4" s="12"/>
      <c r="N4" s="12"/>
      <c r="O4" s="12"/>
      <c r="P4" s="12"/>
      <c r="Q4" s="13"/>
    </row>
    <row r="5" spans="2:20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20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0" s="94" customFormat="1" ht="33" customHeight="1" outlineLevel="1" x14ac:dyDescent="0.3">
      <c r="B7" s="89" t="s">
        <v>37</v>
      </c>
      <c r="C7" s="90">
        <v>0</v>
      </c>
      <c r="D7" s="91">
        <f t="shared" ref="D7:D16" si="0">+IF(C$24=0,0,C7/C$24)</f>
        <v>0</v>
      </c>
      <c r="E7" s="92">
        <f>IF(C7=0,0,F7/C7)</f>
        <v>0</v>
      </c>
      <c r="F7" s="93">
        <v>0</v>
      </c>
      <c r="G7" s="90">
        <v>0</v>
      </c>
      <c r="H7" s="91">
        <f t="shared" ref="H7:H16" si="1">+IF(G$24=0,0,G7/G$24)</f>
        <v>0</v>
      </c>
      <c r="I7" s="92">
        <f>IF(G7=0,0,J7/G7)</f>
        <v>0</v>
      </c>
      <c r="J7" s="93">
        <v>0</v>
      </c>
      <c r="K7" s="90">
        <f>'DJuly 2022'!D38</f>
        <v>0</v>
      </c>
      <c r="L7" s="91">
        <f>+IF(K$24=0,0,K7/K$24)</f>
        <v>0</v>
      </c>
      <c r="M7" s="92">
        <f>IF(K7=0,0,N7/K7)</f>
        <v>0</v>
      </c>
      <c r="N7" s="93">
        <f>'DJuly 2022'!D39</f>
        <v>0</v>
      </c>
      <c r="O7" s="90">
        <f t="shared" ref="O7:O24" si="2">K7-G7</f>
        <v>0</v>
      </c>
      <c r="P7" s="92">
        <f t="shared" ref="P7:P24" si="3">M7-I7</f>
        <v>0</v>
      </c>
      <c r="Q7" s="93">
        <f t="shared" ref="Q7:Q24" si="4">N7-J7</f>
        <v>0</v>
      </c>
      <c r="T7" s="210"/>
    </row>
    <row r="8" spans="2:20" s="94" customFormat="1" ht="33" customHeight="1" outlineLevel="1" x14ac:dyDescent="0.3">
      <c r="B8" s="89" t="s">
        <v>38</v>
      </c>
      <c r="C8" s="90">
        <v>70</v>
      </c>
      <c r="D8" s="91">
        <f t="shared" si="0"/>
        <v>0.86419753086419748</v>
      </c>
      <c r="E8" s="92">
        <f>IF(C8=0,0,F8/C8)</f>
        <v>890.04314285714281</v>
      </c>
      <c r="F8" s="93">
        <v>62303.02</v>
      </c>
      <c r="G8" s="90">
        <v>364</v>
      </c>
      <c r="H8" s="91">
        <f t="shared" si="1"/>
        <v>0.8878048780487805</v>
      </c>
      <c r="I8" s="92">
        <f>IF(G8=0,0,J8/G8)</f>
        <v>905.86813186813185</v>
      </c>
      <c r="J8" s="93">
        <v>329736</v>
      </c>
      <c r="K8" s="90">
        <f>'DJuly 2022'!F38</f>
        <v>672</v>
      </c>
      <c r="L8" s="91">
        <f t="shared" ref="L8:L16" si="5">+IF(K$24=0,0,K8/K$24)</f>
        <v>0.62745098039215685</v>
      </c>
      <c r="M8" s="92">
        <f>IF(K8=0,0,N8/K8)</f>
        <v>1213.7190585317451</v>
      </c>
      <c r="N8" s="93">
        <f>'DJuly 2022'!F39</f>
        <v>815619.20733333274</v>
      </c>
      <c r="O8" s="90">
        <f t="shared" si="2"/>
        <v>308</v>
      </c>
      <c r="P8" s="92">
        <f t="shared" si="3"/>
        <v>307.85092666361322</v>
      </c>
      <c r="Q8" s="93">
        <f t="shared" si="4"/>
        <v>485883.20733333274</v>
      </c>
      <c r="T8" s="210"/>
    </row>
    <row r="9" spans="2:20" s="94" customFormat="1" ht="20.25" outlineLevel="1" x14ac:dyDescent="0.3">
      <c r="B9" s="89" t="s">
        <v>44</v>
      </c>
      <c r="C9" s="90">
        <v>0</v>
      </c>
      <c r="D9" s="91">
        <f t="shared" si="0"/>
        <v>0</v>
      </c>
      <c r="E9" s="92">
        <f>IF(C9=0,0,F9/C9)</f>
        <v>0</v>
      </c>
      <c r="F9" s="93">
        <v>0</v>
      </c>
      <c r="G9" s="90">
        <v>15</v>
      </c>
      <c r="H9" s="91">
        <f t="shared" si="1"/>
        <v>3.6585365853658534E-2</v>
      </c>
      <c r="I9" s="92">
        <f>IF(G9=0,0,J9/G9)</f>
        <v>1331.3333333333333</v>
      </c>
      <c r="J9" s="93">
        <v>19970</v>
      </c>
      <c r="K9" s="90">
        <f>'DJuly 2022'!H38</f>
        <v>14</v>
      </c>
      <c r="L9" s="91">
        <f t="shared" si="5"/>
        <v>1.3071895424836602E-2</v>
      </c>
      <c r="M9" s="92">
        <f>IF(K9=0,0,N9/K9)</f>
        <v>1205.9157142857143</v>
      </c>
      <c r="N9" s="93">
        <f>'DJuly 2022'!H39</f>
        <v>16882.82</v>
      </c>
      <c r="O9" s="90">
        <f t="shared" si="2"/>
        <v>-1</v>
      </c>
      <c r="P9" s="92">
        <f t="shared" si="3"/>
        <v>-125.41761904761893</v>
      </c>
      <c r="Q9" s="93">
        <f t="shared" si="4"/>
        <v>-3087.1800000000003</v>
      </c>
      <c r="T9" s="210"/>
    </row>
    <row r="10" spans="2:20" ht="33" customHeight="1" x14ac:dyDescent="0.35">
      <c r="B10" s="20" t="s">
        <v>36</v>
      </c>
      <c r="C10" s="55">
        <f>SUM(C7:C9)</f>
        <v>70</v>
      </c>
      <c r="D10" s="21">
        <f t="shared" si="0"/>
        <v>0.86419753086419748</v>
      </c>
      <c r="E10" s="58">
        <f>IF(C10=0,0,F10/C10)</f>
        <v>890.04314285714281</v>
      </c>
      <c r="F10" s="59">
        <f>SUM(F7:F9)</f>
        <v>62303.02</v>
      </c>
      <c r="G10" s="55">
        <f>SUM(G7:G9)</f>
        <v>379</v>
      </c>
      <c r="H10" s="21">
        <f t="shared" si="1"/>
        <v>0.92439024390243907</v>
      </c>
      <c r="I10" s="58">
        <f>IF(G10=0,0,J10/G10)</f>
        <v>922.70712401055414</v>
      </c>
      <c r="J10" s="59">
        <f>SUM(J7:J9)</f>
        <v>349706</v>
      </c>
      <c r="K10" s="55">
        <f>SUM(K7:K9)</f>
        <v>686</v>
      </c>
      <c r="L10" s="21">
        <f t="shared" si="5"/>
        <v>0.64052287581699341</v>
      </c>
      <c r="M10" s="58">
        <f>IF(K10=0,0,N10/K10)</f>
        <v>1213.5598066083567</v>
      </c>
      <c r="N10" s="59">
        <f>SUM(N7:N9)</f>
        <v>832502.02733333269</v>
      </c>
      <c r="O10" s="55">
        <f t="shared" si="2"/>
        <v>307</v>
      </c>
      <c r="P10" s="58">
        <f t="shared" si="3"/>
        <v>290.85268259780253</v>
      </c>
      <c r="Q10" s="59">
        <f t="shared" si="4"/>
        <v>482796.02733333269</v>
      </c>
      <c r="S10" s="223">
        <f>P10/I10</f>
        <v>0.31521668688717708</v>
      </c>
      <c r="T10" s="210"/>
    </row>
    <row r="11" spans="2:20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ref="E11:E16" si="6">IF(C11=0,0,F11/C11)</f>
        <v>0</v>
      </c>
      <c r="F11" s="93">
        <v>0</v>
      </c>
      <c r="G11" s="90">
        <v>2</v>
      </c>
      <c r="H11" s="91">
        <f t="shared" si="1"/>
        <v>4.8780487804878049E-3</v>
      </c>
      <c r="I11" s="92">
        <f t="shared" ref="I11:I16" si="7">IF(G11=0,0,J11/G11)</f>
        <v>1104.5</v>
      </c>
      <c r="J11" s="93">
        <v>2209</v>
      </c>
      <c r="K11" s="90">
        <f>'DJuly 2022'!J38</f>
        <v>70</v>
      </c>
      <c r="L11" s="91">
        <f t="shared" si="5"/>
        <v>6.535947712418301E-2</v>
      </c>
      <c r="M11" s="92">
        <f t="shared" ref="M11:M16" si="8">IF(K11=0,0,N11/K11)</f>
        <v>820.42283597883591</v>
      </c>
      <c r="N11" s="93">
        <f>'DJuly 2022'!J39</f>
        <v>57429.598518518513</v>
      </c>
      <c r="O11" s="90">
        <f t="shared" si="2"/>
        <v>68</v>
      </c>
      <c r="P11" s="92">
        <f t="shared" si="3"/>
        <v>-284.07716402116409</v>
      </c>
      <c r="Q11" s="93">
        <f t="shared" si="4"/>
        <v>55220.598518518513</v>
      </c>
      <c r="T11" s="210"/>
    </row>
    <row r="12" spans="2:20" s="94" customFormat="1" ht="33" customHeight="1" x14ac:dyDescent="0.3">
      <c r="B12" s="89" t="s">
        <v>41</v>
      </c>
      <c r="C12" s="90">
        <v>0</v>
      </c>
      <c r="D12" s="91">
        <f t="shared" si="0"/>
        <v>0</v>
      </c>
      <c r="E12" s="92">
        <f t="shared" si="6"/>
        <v>0</v>
      </c>
      <c r="F12" s="93">
        <v>0</v>
      </c>
      <c r="G12" s="90">
        <v>11</v>
      </c>
      <c r="H12" s="91">
        <f t="shared" si="1"/>
        <v>2.6829268292682926E-2</v>
      </c>
      <c r="I12" s="92">
        <f t="shared" si="7"/>
        <v>916.63636363636363</v>
      </c>
      <c r="J12" s="93">
        <v>10083</v>
      </c>
      <c r="K12" s="90">
        <f>'DJuly 2022'!L38</f>
        <v>107</v>
      </c>
      <c r="L12" s="91">
        <f t="shared" si="5"/>
        <v>9.990662931839403E-2</v>
      </c>
      <c r="M12" s="92">
        <f t="shared" si="8"/>
        <v>956.93233644859697</v>
      </c>
      <c r="N12" s="93">
        <f>'DJuly 2022'!L39</f>
        <v>102391.75999999988</v>
      </c>
      <c r="O12" s="90">
        <f t="shared" si="2"/>
        <v>96</v>
      </c>
      <c r="P12" s="92">
        <f t="shared" si="3"/>
        <v>40.295972812233344</v>
      </c>
      <c r="Q12" s="93">
        <f t="shared" si="4"/>
        <v>92308.759999999878</v>
      </c>
      <c r="T12" s="210"/>
    </row>
    <row r="13" spans="2:20" ht="33" customHeight="1" x14ac:dyDescent="0.35">
      <c r="B13" s="20" t="s">
        <v>39</v>
      </c>
      <c r="C13" s="55">
        <f>SUM(C11:C12)</f>
        <v>0</v>
      </c>
      <c r="D13" s="21">
        <f t="shared" si="0"/>
        <v>0</v>
      </c>
      <c r="E13" s="58">
        <f t="shared" si="6"/>
        <v>0</v>
      </c>
      <c r="F13" s="59">
        <f>SUM(F11:F12)</f>
        <v>0</v>
      </c>
      <c r="G13" s="55">
        <f>SUM(G11:G12)</f>
        <v>13</v>
      </c>
      <c r="H13" s="21">
        <f t="shared" si="1"/>
        <v>3.1707317073170732E-2</v>
      </c>
      <c r="I13" s="58">
        <f t="shared" si="7"/>
        <v>945.53846153846155</v>
      </c>
      <c r="J13" s="59">
        <f>SUM(J11:J12)</f>
        <v>12292</v>
      </c>
      <c r="K13" s="55">
        <f>SUM(K11:K12)</f>
        <v>177</v>
      </c>
      <c r="L13" s="21">
        <f t="shared" si="5"/>
        <v>0.16526610644257703</v>
      </c>
      <c r="M13" s="58">
        <f t="shared" si="8"/>
        <v>902.94552835321122</v>
      </c>
      <c r="N13" s="59">
        <f>SUM(N11:N12)</f>
        <v>159821.35851851839</v>
      </c>
      <c r="O13" s="55">
        <f t="shared" si="2"/>
        <v>164</v>
      </c>
      <c r="P13" s="58">
        <f t="shared" si="3"/>
        <v>-42.592933185250331</v>
      </c>
      <c r="Q13" s="59">
        <f t="shared" si="4"/>
        <v>147529.35851851839</v>
      </c>
      <c r="S13" s="223">
        <f>P13/I13</f>
        <v>-4.5046219606919485E-2</v>
      </c>
      <c r="T13" s="210"/>
    </row>
    <row r="14" spans="2:20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6"/>
        <v>0</v>
      </c>
      <c r="F14" s="95">
        <v>0</v>
      </c>
      <c r="G14" s="90">
        <v>0</v>
      </c>
      <c r="H14" s="91">
        <f t="shared" si="1"/>
        <v>0</v>
      </c>
      <c r="I14" s="92">
        <f t="shared" si="7"/>
        <v>0</v>
      </c>
      <c r="J14" s="95">
        <v>0</v>
      </c>
      <c r="K14" s="90">
        <f>'DJuly 2022'!N38</f>
        <v>135</v>
      </c>
      <c r="L14" s="91">
        <f t="shared" si="5"/>
        <v>0.12605042016806722</v>
      </c>
      <c r="M14" s="92">
        <f>IF(K14=0,0,N14/K14)</f>
        <v>2124.6344444444399</v>
      </c>
      <c r="N14" s="95">
        <f>'DJuly 2022'!N39</f>
        <v>286825.64999999938</v>
      </c>
      <c r="O14" s="90">
        <f t="shared" si="2"/>
        <v>135</v>
      </c>
      <c r="P14" s="92">
        <f t="shared" si="3"/>
        <v>2124.6344444444399</v>
      </c>
      <c r="Q14" s="96">
        <f t="shared" si="4"/>
        <v>286825.64999999938</v>
      </c>
      <c r="T14" s="210"/>
    </row>
    <row r="15" spans="2:20" s="94" customFormat="1" ht="33" customHeight="1" x14ac:dyDescent="0.3">
      <c r="B15" s="89" t="s">
        <v>43</v>
      </c>
      <c r="C15" s="90">
        <v>9</v>
      </c>
      <c r="D15" s="91">
        <f t="shared" si="0"/>
        <v>0.1111111111111111</v>
      </c>
      <c r="E15" s="92">
        <f t="shared" si="6"/>
        <v>1210.6288888888889</v>
      </c>
      <c r="F15" s="95">
        <v>10895.66</v>
      </c>
      <c r="G15" s="90">
        <v>12</v>
      </c>
      <c r="H15" s="91">
        <f t="shared" si="1"/>
        <v>2.9268292682926831E-2</v>
      </c>
      <c r="I15" s="92">
        <f t="shared" si="7"/>
        <v>1925.9166666666667</v>
      </c>
      <c r="J15" s="95">
        <v>23111</v>
      </c>
      <c r="K15" s="90">
        <f>'DJuly 2022'!P38</f>
        <v>61</v>
      </c>
      <c r="L15" s="91">
        <f t="shared" si="5"/>
        <v>5.695611577964519E-2</v>
      </c>
      <c r="M15" s="92">
        <f>IF(K15=0,0,N15/K15)</f>
        <v>1530.5831147540969</v>
      </c>
      <c r="N15" s="95">
        <f>'DJuly 2022'!P39</f>
        <v>93365.569999999905</v>
      </c>
      <c r="O15" s="90">
        <f t="shared" si="2"/>
        <v>49</v>
      </c>
      <c r="P15" s="92">
        <f t="shared" si="3"/>
        <v>-395.33355191256987</v>
      </c>
      <c r="Q15" s="96">
        <f t="shared" si="4"/>
        <v>70254.569999999905</v>
      </c>
      <c r="T15" s="210"/>
    </row>
    <row r="16" spans="2:20" ht="33" customHeight="1" x14ac:dyDescent="0.35">
      <c r="B16" s="20" t="s">
        <v>42</v>
      </c>
      <c r="C16" s="55">
        <f>SUM(C14:C15)</f>
        <v>9</v>
      </c>
      <c r="D16" s="21">
        <f t="shared" si="0"/>
        <v>0.1111111111111111</v>
      </c>
      <c r="E16" s="58">
        <f t="shared" si="6"/>
        <v>1210.6288888888889</v>
      </c>
      <c r="F16" s="87">
        <f>SUM(F14:F15)</f>
        <v>10895.66</v>
      </c>
      <c r="G16" s="55">
        <f>SUM(G14:G15)</f>
        <v>12</v>
      </c>
      <c r="H16" s="21">
        <f t="shared" si="1"/>
        <v>2.9268292682926831E-2</v>
      </c>
      <c r="I16" s="58">
        <f t="shared" si="7"/>
        <v>1925.9166666666667</v>
      </c>
      <c r="J16" s="87">
        <f>SUM(J14:J15)</f>
        <v>23111</v>
      </c>
      <c r="K16" s="55">
        <f>SUM(K14:K15)</f>
        <v>196</v>
      </c>
      <c r="L16" s="21">
        <f t="shared" si="5"/>
        <v>0.18300653594771241</v>
      </c>
      <c r="M16" s="58">
        <f t="shared" si="8"/>
        <v>1939.7511224489758</v>
      </c>
      <c r="N16" s="87">
        <f>SUM(N14:N15)</f>
        <v>380191.21999999927</v>
      </c>
      <c r="O16" s="55">
        <f t="shared" si="2"/>
        <v>184</v>
      </c>
      <c r="P16" s="58">
        <f t="shared" si="3"/>
        <v>13.834455782309078</v>
      </c>
      <c r="Q16" s="88">
        <f t="shared" si="4"/>
        <v>357080.21999999927</v>
      </c>
      <c r="S16" s="223">
        <f>P16/I16</f>
        <v>7.1833096528799677E-3</v>
      </c>
      <c r="T16" s="210"/>
    </row>
    <row r="17" spans="2:17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</row>
    <row r="18" spans="2:17" ht="33" hidden="1" customHeight="1" x14ac:dyDescent="0.35">
      <c r="B18" s="22" t="s">
        <v>13</v>
      </c>
      <c r="C18" s="56">
        <f>C8+C9+C11+C12</f>
        <v>70</v>
      </c>
      <c r="D18" s="23">
        <f>+IF(C$24=0,0,C18/C$24)</f>
        <v>0.86419753086419748</v>
      </c>
      <c r="E18" s="60">
        <f>IF(C18=0,0,F18/C18)</f>
        <v>890.04314285714281</v>
      </c>
      <c r="F18" s="61">
        <f>F8+F9+F11+F12</f>
        <v>62303.02</v>
      </c>
      <c r="G18" s="56">
        <f>G8+G9+G11+G12</f>
        <v>392</v>
      </c>
      <c r="H18" s="23">
        <f>+IF(G$24=0,0,G18/G$24)</f>
        <v>0.95609756097560972</v>
      </c>
      <c r="I18" s="60">
        <f>IF(G18=0,0,J18/G18)</f>
        <v>923.46428571428567</v>
      </c>
      <c r="J18" s="61">
        <f>J8+J9+J11+J12</f>
        <v>361998</v>
      </c>
      <c r="K18" s="56">
        <f>K8+K9+K11+K12</f>
        <v>863</v>
      </c>
      <c r="L18" s="23">
        <f>+IF(K$24=0,0,K18/K$24)</f>
        <v>0.80578898225957052</v>
      </c>
      <c r="M18" s="60">
        <f>IF(K18=0,0,N18/K18)</f>
        <v>1149.8532860392249</v>
      </c>
      <c r="N18" s="61">
        <f>N8+N9+N11+N12</f>
        <v>992323.38585185108</v>
      </c>
      <c r="O18" s="56">
        <f t="shared" si="2"/>
        <v>471</v>
      </c>
      <c r="P18" s="60">
        <f t="shared" si="3"/>
        <v>226.38900032493927</v>
      </c>
      <c r="Q18" s="66">
        <f t="shared" si="4"/>
        <v>630325.38585185108</v>
      </c>
    </row>
    <row r="19" spans="2:17" ht="33" hidden="1" customHeight="1" x14ac:dyDescent="0.35">
      <c r="B19" s="22" t="s">
        <v>45</v>
      </c>
      <c r="C19" s="105">
        <f>C7+C14+C15</f>
        <v>9</v>
      </c>
      <c r="D19" s="106">
        <f>+IF(C$24=0,0,C19/C$24)</f>
        <v>0.1111111111111111</v>
      </c>
      <c r="E19" s="107">
        <f>IF(C19=0,0,F19/C19)</f>
        <v>1210.6288888888889</v>
      </c>
      <c r="F19" s="108">
        <f>F7+F14+F15</f>
        <v>10895.66</v>
      </c>
      <c r="G19" s="105">
        <f>G7+G14+G15</f>
        <v>12</v>
      </c>
      <c r="H19" s="106">
        <f>+IF(G$24=0,0,G19/G$24)</f>
        <v>2.9268292682926831E-2</v>
      </c>
      <c r="I19" s="107">
        <f>IF(G19=0,0,J19/G19)</f>
        <v>1925.9166666666667</v>
      </c>
      <c r="J19" s="108">
        <f>J7+J14+J15</f>
        <v>23111</v>
      </c>
      <c r="K19" s="105">
        <f>K7+K14+K15</f>
        <v>196</v>
      </c>
      <c r="L19" s="106">
        <f>+IF(K$24=0,0,K19/K$24)</f>
        <v>0.18300653594771241</v>
      </c>
      <c r="M19" s="107">
        <f>IF(K19=0,0,N19/K19)</f>
        <v>1939.7511224489758</v>
      </c>
      <c r="N19" s="108">
        <f>N7+N14+N15</f>
        <v>380191.21999999927</v>
      </c>
      <c r="O19" s="56">
        <f t="shared" si="2"/>
        <v>184</v>
      </c>
      <c r="P19" s="60">
        <f t="shared" si="3"/>
        <v>13.834455782309078</v>
      </c>
      <c r="Q19" s="66">
        <f t="shared" si="4"/>
        <v>357080.21999999927</v>
      </c>
    </row>
    <row r="20" spans="2:17" ht="33" customHeight="1" x14ac:dyDescent="0.35">
      <c r="B20" s="28" t="s">
        <v>16</v>
      </c>
      <c r="C20" s="56">
        <f>C18+C19</f>
        <v>79</v>
      </c>
      <c r="D20" s="23">
        <f>+IF(C$24=0,0,C20/C$24)</f>
        <v>0.97530864197530864</v>
      </c>
      <c r="E20" s="60">
        <f>IF(C20=0,0,F20/C20)</f>
        <v>926.56556962025309</v>
      </c>
      <c r="F20" s="64">
        <f>F18+F19</f>
        <v>73198.679999999993</v>
      </c>
      <c r="G20" s="56">
        <f>G18+G19</f>
        <v>404</v>
      </c>
      <c r="H20" s="23">
        <f>+IF(G$24=0,0,G20/G$24)</f>
        <v>0.98536585365853657</v>
      </c>
      <c r="I20" s="60">
        <f>IF(G20=0,0,J20/G20)</f>
        <v>953.24009900990097</v>
      </c>
      <c r="J20" s="64">
        <f>J18+J19</f>
        <v>385109</v>
      </c>
      <c r="K20" s="56">
        <f>K18+K19</f>
        <v>1059</v>
      </c>
      <c r="L20" s="23">
        <f>+IF(K$24=0,0,K20/K$24)</f>
        <v>0.98879551820728295</v>
      </c>
      <c r="M20" s="60">
        <f>IF(K20=0,0,N20/K20)</f>
        <v>1296.0477864512279</v>
      </c>
      <c r="N20" s="64">
        <f>N18+N19</f>
        <v>1372514.6058518505</v>
      </c>
      <c r="O20" s="56">
        <f t="shared" si="2"/>
        <v>655</v>
      </c>
      <c r="P20" s="60">
        <f t="shared" si="3"/>
        <v>342.80768744132695</v>
      </c>
      <c r="Q20" s="66">
        <f t="shared" si="4"/>
        <v>987405.60585185047</v>
      </c>
    </row>
    <row r="21" spans="2:17" ht="33" customHeight="1" x14ac:dyDescent="0.35">
      <c r="B21" s="29" t="s">
        <v>17</v>
      </c>
      <c r="C21" s="24">
        <f>IF(C4=0,C20,C20/$C$4)</f>
        <v>1.6441207075962538E-2</v>
      </c>
      <c r="D21" s="30"/>
      <c r="E21" s="35"/>
      <c r="F21" s="36"/>
      <c r="G21" s="24">
        <f>IF(G4=0,G20,G20/$C$4)</f>
        <v>8.4079084287200831E-2</v>
      </c>
      <c r="H21" s="30"/>
      <c r="I21" s="35"/>
      <c r="J21" s="36"/>
      <c r="K21" s="24">
        <f>IF(K4=0,K20,K20/$K$4)</f>
        <v>0.42701612903225805</v>
      </c>
      <c r="L21" s="30"/>
      <c r="M21" s="35"/>
      <c r="N21" s="36"/>
      <c r="O21" s="54">
        <f t="shared" si="2"/>
        <v>0.34293704474505721</v>
      </c>
      <c r="P21" s="30">
        <f t="shared" si="3"/>
        <v>0</v>
      </c>
      <c r="Q21" s="31">
        <f t="shared" si="4"/>
        <v>0</v>
      </c>
    </row>
    <row r="22" spans="2:17" ht="33" customHeight="1" x14ac:dyDescent="0.35">
      <c r="B22" s="25" t="s">
        <v>18</v>
      </c>
      <c r="C22" s="57">
        <v>2</v>
      </c>
      <c r="D22" s="26">
        <f>+IF(C$24=0,0,C22/C$24)</f>
        <v>2.4691358024691357E-2</v>
      </c>
      <c r="E22" s="65">
        <f>IF(C22=0,0,F22/C22)</f>
        <v>-1346.9549999999999</v>
      </c>
      <c r="F22" s="63">
        <v>-2693.91</v>
      </c>
      <c r="G22" s="57">
        <v>6</v>
      </c>
      <c r="H22" s="26">
        <f>+IF(G$24=0,0,G22/G$24)</f>
        <v>1.4634146341463415E-2</v>
      </c>
      <c r="I22" s="65">
        <f>IF(G22=0,0,J22/G22)</f>
        <v>-817.33333333333337</v>
      </c>
      <c r="J22" s="63">
        <v>-4904</v>
      </c>
      <c r="K22" s="57">
        <f>'DJuly 2022'!R38</f>
        <v>12</v>
      </c>
      <c r="L22" s="26">
        <f>+IF(K$24=0,0,K22/K$24)</f>
        <v>1.1204481792717087E-2</v>
      </c>
      <c r="M22" s="65">
        <f>IF(K22=0,0,N22/K22)</f>
        <v>0</v>
      </c>
      <c r="N22" s="63">
        <v>0</v>
      </c>
      <c r="O22" s="57">
        <f t="shared" si="2"/>
        <v>6</v>
      </c>
      <c r="P22" s="62">
        <f t="shared" si="3"/>
        <v>817.33333333333337</v>
      </c>
      <c r="Q22" s="63">
        <f t="shared" si="4"/>
        <v>4904</v>
      </c>
    </row>
    <row r="23" spans="2:17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</row>
    <row r="24" spans="2:17" ht="33" customHeight="1" x14ac:dyDescent="0.35">
      <c r="B24" s="22" t="s">
        <v>20</v>
      </c>
      <c r="C24" s="56">
        <f>C10+C13+C16+C22+C23</f>
        <v>81</v>
      </c>
      <c r="D24" s="23">
        <f>+IF(C$24=0,0,C24/C$24)</f>
        <v>1</v>
      </c>
      <c r="E24" s="60">
        <f>IF(C24=0,0,F24/C24)</f>
        <v>870.42925925925908</v>
      </c>
      <c r="F24" s="64">
        <f>F10+F13+F16+F22+F23</f>
        <v>70504.76999999999</v>
      </c>
      <c r="G24" s="56">
        <f>G10+G13+G16+G22+G23</f>
        <v>410</v>
      </c>
      <c r="H24" s="23">
        <f>+IF(G$24=0,0,G24/G$24)</f>
        <v>1</v>
      </c>
      <c r="I24" s="60">
        <f>IF(G24=0,0,J24/G24)</f>
        <v>927.32926829268297</v>
      </c>
      <c r="J24" s="64">
        <f>J10+J13+J16+J22+J23</f>
        <v>380205</v>
      </c>
      <c r="K24" s="56">
        <f>K10+K13+K16+K22+K23</f>
        <v>1071</v>
      </c>
      <c r="L24" s="23">
        <f>+IF(K$24=0,0,K24/K$24)</f>
        <v>1</v>
      </c>
      <c r="M24" s="60">
        <f>IF(K24=0,0,N24/K24)</f>
        <v>1281.526242625444</v>
      </c>
      <c r="N24" s="64">
        <f>N10+N13+N16+N22+N23</f>
        <v>1372514.6058518505</v>
      </c>
      <c r="O24" s="56">
        <f t="shared" si="2"/>
        <v>661</v>
      </c>
      <c r="P24" s="60">
        <f t="shared" si="3"/>
        <v>354.19697433276099</v>
      </c>
      <c r="Q24" s="64">
        <f t="shared" si="4"/>
        <v>992309.60585185047</v>
      </c>
    </row>
    <row r="25" spans="2:17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0.3819538393141384</v>
      </c>
      <c r="Q25" s="38">
        <f>IF(J24=0,(N24-J24),(N24-J24)/J24)</f>
        <v>2.6099330778181518</v>
      </c>
    </row>
    <row r="26" spans="2:17" ht="33" customHeight="1" x14ac:dyDescent="0.35">
      <c r="B26" s="40" t="s">
        <v>21</v>
      </c>
      <c r="C26" s="41">
        <f>IF(C4=0,C24,C24/C4)</f>
        <v>1.6857440166493237E-2</v>
      </c>
      <c r="D26" s="30"/>
      <c r="E26" s="30"/>
      <c r="F26" s="31"/>
      <c r="G26" s="41">
        <f>IF(G4=0,G24,G24/G4)</f>
        <v>0.16532258064516128</v>
      </c>
      <c r="H26" s="30"/>
      <c r="I26" s="30"/>
      <c r="J26" s="31"/>
      <c r="K26" s="41">
        <f>IF(K4=0,K24,K24/K4)</f>
        <v>0.43185483870967745</v>
      </c>
      <c r="L26" s="30"/>
      <c r="M26" s="30"/>
      <c r="N26" s="31"/>
      <c r="O26" s="41">
        <f>K26-G26</f>
        <v>0.26653225806451619</v>
      </c>
      <c r="P26" s="30"/>
      <c r="Q26" s="31"/>
    </row>
    <row r="27" spans="2:17" ht="33" customHeight="1" x14ac:dyDescent="0.35">
      <c r="B27" s="42" t="s">
        <v>22</v>
      </c>
      <c r="C27" s="43">
        <f>IF(C4=0,0,F$24/C$4)</f>
        <v>14.673209157127989</v>
      </c>
      <c r="D27" s="44"/>
      <c r="E27" s="45"/>
      <c r="F27" s="46"/>
      <c r="G27" s="43">
        <f>IF(G4=0,0,J$24/G$4)</f>
        <v>153.30846774193549</v>
      </c>
      <c r="H27" s="44"/>
      <c r="I27" s="45"/>
      <c r="J27" s="46"/>
      <c r="K27" s="43">
        <f>IF(K4=0,0,N$24/K$4)</f>
        <v>553.43330881123006</v>
      </c>
      <c r="L27" s="44"/>
      <c r="M27" s="45"/>
      <c r="N27" s="46"/>
      <c r="O27" s="43">
        <f>K27-G27</f>
        <v>400.12484106929458</v>
      </c>
      <c r="P27" s="45"/>
      <c r="Q27" s="46"/>
    </row>
    <row r="28" spans="2:17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17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17" x14ac:dyDescent="0.35">
      <c r="B30" s="358"/>
      <c r="Q30" s="86"/>
    </row>
    <row r="31" spans="2:17" x14ac:dyDescent="0.35">
      <c r="B31" s="358"/>
      <c r="Q31" s="86"/>
    </row>
    <row r="32" spans="2:17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1"/>
  <dimension ref="A1:BD53"/>
  <sheetViews>
    <sheetView tabSelected="1" view="pageBreakPreview" zoomScale="60" zoomScaleNormal="100" workbookViewId="0">
      <selection activeCell="AL13" sqref="AL13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8.7109375" style="111" bestFit="1" customWidth="1"/>
    <col min="29" max="29" width="9.140625" style="112"/>
    <col min="30" max="30" width="9.140625" style="113"/>
    <col min="31" max="31" width="8.85546875" style="112"/>
    <col min="32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65">
        <f>'Annual 2022l2023'!C3</f>
        <v>44690</v>
      </c>
      <c r="F1" s="765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31</v>
      </c>
      <c r="E2" s="111" t="s">
        <v>236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76"/>
      <c r="C4" s="777"/>
      <c r="D4" s="778" t="s">
        <v>124</v>
      </c>
      <c r="E4" s="779"/>
      <c r="F4" s="779"/>
      <c r="G4" s="779"/>
      <c r="H4" s="779"/>
      <c r="I4" s="779"/>
      <c r="J4" s="779"/>
      <c r="K4" s="779"/>
      <c r="L4" s="779"/>
      <c r="M4" s="779"/>
      <c r="N4" s="779"/>
      <c r="O4" s="779"/>
      <c r="P4" s="779"/>
      <c r="Q4" s="779"/>
      <c r="R4" s="779"/>
      <c r="S4" s="779"/>
      <c r="T4" s="779"/>
      <c r="U4" s="779"/>
      <c r="V4" s="779"/>
      <c r="W4" s="779"/>
      <c r="X4" s="779"/>
      <c r="Y4" s="779"/>
      <c r="Z4" s="779"/>
      <c r="AA4" s="779"/>
      <c r="AB4" s="780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81" t="s">
        <v>50</v>
      </c>
      <c r="E5" s="784"/>
      <c r="F5" s="782" t="s">
        <v>51</v>
      </c>
      <c r="G5" s="782"/>
      <c r="H5" s="773" t="s">
        <v>52</v>
      </c>
      <c r="I5" s="773"/>
      <c r="J5" s="783" t="s">
        <v>53</v>
      </c>
      <c r="K5" s="773"/>
      <c r="L5" s="783" t="s">
        <v>54</v>
      </c>
      <c r="M5" s="773"/>
      <c r="N5" s="783" t="s">
        <v>55</v>
      </c>
      <c r="O5" s="773"/>
      <c r="P5" s="783" t="s">
        <v>56</v>
      </c>
      <c r="Q5" s="773"/>
      <c r="R5" s="783" t="s">
        <v>57</v>
      </c>
      <c r="S5" s="773"/>
      <c r="T5" s="122"/>
      <c r="U5" s="774"/>
      <c r="V5" s="775"/>
      <c r="W5" s="774"/>
      <c r="X5" s="775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126" customFormat="1" ht="15.75" customHeight="1" x14ac:dyDescent="0.25">
      <c r="A7" s="207"/>
      <c r="B7" s="187" t="s">
        <v>64</v>
      </c>
      <c r="C7" s="188">
        <v>1</v>
      </c>
      <c r="D7" s="189">
        <v>0</v>
      </c>
      <c r="E7" s="190">
        <v>0</v>
      </c>
      <c r="F7" s="191">
        <f>31-5</f>
        <v>26</v>
      </c>
      <c r="G7" s="190">
        <v>1332</v>
      </c>
      <c r="H7" s="191">
        <v>0</v>
      </c>
      <c r="I7" s="190">
        <v>0</v>
      </c>
      <c r="J7" s="191">
        <v>0</v>
      </c>
      <c r="K7" s="192">
        <v>0</v>
      </c>
      <c r="L7" s="191">
        <v>0</v>
      </c>
      <c r="M7" s="192">
        <v>0</v>
      </c>
      <c r="N7" s="191">
        <v>0</v>
      </c>
      <c r="O7" s="192">
        <v>0</v>
      </c>
      <c r="P7" s="599">
        <v>10</v>
      </c>
      <c r="Q7" s="600">
        <v>1404</v>
      </c>
      <c r="R7" s="191">
        <v>1</v>
      </c>
      <c r="S7" s="192">
        <v>0</v>
      </c>
      <c r="T7" s="192"/>
      <c r="U7" s="191"/>
      <c r="V7" s="190"/>
      <c r="W7" s="191"/>
      <c r="X7" s="190"/>
      <c r="Y7" s="193">
        <f t="shared" ref="Y7:Y37" si="0">SUM(D7,F7,H7,J7,L7,U7,W7,N7,P7,R7)</f>
        <v>37</v>
      </c>
      <c r="Z7" s="194">
        <f t="shared" ref="Z7:Z37" si="1">((D7*E7)+(F7*G7)+(H7*I7)+(J7*K7)+(L7*M7)+(U7*V7)+(W7*X7)+(N7*O7)+(P7*Q7)+(R7*S7))</f>
        <v>48672</v>
      </c>
      <c r="AA7" s="195">
        <f>IF(Z7=0,0,Z7/Y7)</f>
        <v>1315.4594594594594</v>
      </c>
      <c r="AB7" s="196">
        <f t="shared" ref="AB7:AB37" si="2">Y7/$AB$6</f>
        <v>0.46250000000000002</v>
      </c>
      <c r="AC7" s="143"/>
      <c r="AD7" s="127"/>
      <c r="AE7" s="143"/>
    </row>
    <row r="8" spans="1:55" s="126" customFormat="1" ht="15.95" customHeight="1" x14ac:dyDescent="0.25">
      <c r="A8" s="149"/>
      <c r="B8" s="136" t="s">
        <v>65</v>
      </c>
      <c r="C8" s="137">
        <v>2</v>
      </c>
      <c r="D8" s="138">
        <v>0</v>
      </c>
      <c r="E8" s="139">
        <v>0</v>
      </c>
      <c r="F8" s="140">
        <f>31-5</f>
        <v>26</v>
      </c>
      <c r="G8" s="139">
        <v>1232</v>
      </c>
      <c r="H8" s="140">
        <v>1</v>
      </c>
      <c r="I8" s="139">
        <v>1157</v>
      </c>
      <c r="J8" s="392">
        <v>2</v>
      </c>
      <c r="K8" s="393">
        <v>591.30499999999995</v>
      </c>
      <c r="L8" s="140">
        <v>0</v>
      </c>
      <c r="M8" s="141">
        <v>0</v>
      </c>
      <c r="N8" s="140">
        <v>0</v>
      </c>
      <c r="O8" s="141">
        <v>0</v>
      </c>
      <c r="P8" s="591">
        <v>10</v>
      </c>
      <c r="Q8" s="592">
        <v>1404</v>
      </c>
      <c r="R8" s="140">
        <v>1</v>
      </c>
      <c r="S8" s="141">
        <v>305</v>
      </c>
      <c r="T8" s="141"/>
      <c r="U8" s="140"/>
      <c r="V8" s="139"/>
      <c r="W8" s="140"/>
      <c r="X8" s="139"/>
      <c r="Y8" s="142">
        <f t="shared" si="0"/>
        <v>40</v>
      </c>
      <c r="Z8" s="143">
        <f t="shared" si="1"/>
        <v>48716.61</v>
      </c>
      <c r="AA8" s="331">
        <f t="shared" ref="AA8:AA33" si="3">IF(Z8=0,0,Z8/Y8)</f>
        <v>1217.91525</v>
      </c>
      <c r="AB8" s="145">
        <f t="shared" si="2"/>
        <v>0.5</v>
      </c>
      <c r="AC8" s="143"/>
      <c r="AD8" s="127"/>
      <c r="AE8" s="143"/>
    </row>
    <row r="9" spans="1:55" s="126" customFormat="1" ht="15.95" customHeight="1" x14ac:dyDescent="0.25">
      <c r="A9" s="149"/>
      <c r="B9" s="136" t="s">
        <v>66</v>
      </c>
      <c r="C9" s="137">
        <v>3</v>
      </c>
      <c r="D9" s="138">
        <v>0</v>
      </c>
      <c r="E9" s="139">
        <v>0</v>
      </c>
      <c r="F9" s="140">
        <v>22</v>
      </c>
      <c r="G9" s="139">
        <v>1471.74</v>
      </c>
      <c r="H9" s="140">
        <v>1</v>
      </c>
      <c r="I9" s="139">
        <v>1157</v>
      </c>
      <c r="J9" s="392">
        <v>2</v>
      </c>
      <c r="K9" s="393">
        <v>591.30499999999995</v>
      </c>
      <c r="L9" s="140">
        <v>2</v>
      </c>
      <c r="M9" s="141">
        <v>706.43</v>
      </c>
      <c r="N9" s="140">
        <v>0</v>
      </c>
      <c r="O9" s="141">
        <v>0</v>
      </c>
      <c r="P9" s="140">
        <v>0</v>
      </c>
      <c r="Q9" s="141">
        <v>0</v>
      </c>
      <c r="R9" s="140">
        <v>1</v>
      </c>
      <c r="S9" s="141">
        <v>0</v>
      </c>
      <c r="T9" s="141"/>
      <c r="U9" s="140"/>
      <c r="V9" s="139"/>
      <c r="W9" s="140"/>
      <c r="X9" s="139"/>
      <c r="Y9" s="142">
        <f t="shared" si="0"/>
        <v>28</v>
      </c>
      <c r="Z9" s="143">
        <f t="shared" si="1"/>
        <v>36130.75</v>
      </c>
      <c r="AA9" s="144">
        <f t="shared" si="3"/>
        <v>1290.3839285714287</v>
      </c>
      <c r="AB9" s="145">
        <f t="shared" si="2"/>
        <v>0.35</v>
      </c>
      <c r="AC9" s="143"/>
      <c r="AD9" s="127"/>
      <c r="AE9" s="143"/>
    </row>
    <row r="10" spans="1:55" s="126" customFormat="1" ht="15.95" customHeight="1" x14ac:dyDescent="0.25">
      <c r="A10" s="149"/>
      <c r="B10" s="136" t="s">
        <v>67</v>
      </c>
      <c r="C10" s="137">
        <v>4</v>
      </c>
      <c r="D10" s="138">
        <v>0</v>
      </c>
      <c r="E10" s="139">
        <v>0</v>
      </c>
      <c r="F10" s="300">
        <v>22</v>
      </c>
      <c r="G10" s="301">
        <v>1332</v>
      </c>
      <c r="H10" s="140">
        <v>1</v>
      </c>
      <c r="I10" s="139">
        <v>1157</v>
      </c>
      <c r="J10" s="140">
        <v>0</v>
      </c>
      <c r="K10" s="141">
        <v>0</v>
      </c>
      <c r="L10" s="140">
        <v>4</v>
      </c>
      <c r="M10" s="141">
        <v>1088.22</v>
      </c>
      <c r="N10" s="140">
        <v>0</v>
      </c>
      <c r="O10" s="141">
        <v>0</v>
      </c>
      <c r="P10" s="140">
        <v>0</v>
      </c>
      <c r="Q10" s="141">
        <v>0</v>
      </c>
      <c r="R10" s="140">
        <v>1</v>
      </c>
      <c r="S10" s="141">
        <v>0</v>
      </c>
      <c r="T10" s="141"/>
      <c r="U10" s="140"/>
      <c r="V10" s="139"/>
      <c r="W10" s="140"/>
      <c r="X10" s="139"/>
      <c r="Y10" s="142">
        <f t="shared" si="0"/>
        <v>28</v>
      </c>
      <c r="Z10" s="143">
        <f t="shared" si="1"/>
        <v>34813.879999999997</v>
      </c>
      <c r="AA10" s="331">
        <f t="shared" si="3"/>
        <v>1243.3528571428571</v>
      </c>
      <c r="AB10" s="145">
        <f t="shared" si="2"/>
        <v>0.35</v>
      </c>
      <c r="AC10" s="143"/>
      <c r="AD10" s="127"/>
      <c r="AE10" s="143"/>
    </row>
    <row r="11" spans="1:55" s="146" customFormat="1" ht="15.95" customHeight="1" x14ac:dyDescent="0.25">
      <c r="A11" s="149"/>
      <c r="B11" s="136" t="s">
        <v>68</v>
      </c>
      <c r="C11" s="137">
        <v>5</v>
      </c>
      <c r="D11" s="138">
        <v>0</v>
      </c>
      <c r="E11" s="139">
        <v>0</v>
      </c>
      <c r="F11" s="300">
        <v>38</v>
      </c>
      <c r="G11" s="301">
        <v>1332</v>
      </c>
      <c r="H11" s="140">
        <v>0</v>
      </c>
      <c r="I11" s="139">
        <v>0</v>
      </c>
      <c r="J11" s="140">
        <v>11</v>
      </c>
      <c r="K11" s="141">
        <v>1530.43</v>
      </c>
      <c r="L11" s="140">
        <v>9</v>
      </c>
      <c r="M11" s="141">
        <v>1030.68777777777</v>
      </c>
      <c r="N11" s="140">
        <v>0</v>
      </c>
      <c r="O11" s="141">
        <v>0</v>
      </c>
      <c r="P11" s="140">
        <v>0</v>
      </c>
      <c r="Q11" s="141">
        <v>0</v>
      </c>
      <c r="R11" s="140">
        <v>1</v>
      </c>
      <c r="S11" s="141">
        <v>305</v>
      </c>
      <c r="T11" s="141"/>
      <c r="U11" s="140"/>
      <c r="V11" s="139"/>
      <c r="W11" s="140"/>
      <c r="X11" s="139"/>
      <c r="Y11" s="142">
        <f t="shared" si="0"/>
        <v>59</v>
      </c>
      <c r="Z11" s="143">
        <f t="shared" si="1"/>
        <v>77031.919999999925</v>
      </c>
      <c r="AA11" s="144">
        <f t="shared" si="3"/>
        <v>1305.6257627118632</v>
      </c>
      <c r="AB11" s="145">
        <f t="shared" si="2"/>
        <v>0.73750000000000004</v>
      </c>
      <c r="AC11" s="143"/>
      <c r="AD11" s="127"/>
      <c r="AE11" s="143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  <c r="BB11" s="126"/>
    </row>
    <row r="12" spans="1:55" s="126" customFormat="1" ht="15.95" customHeight="1" x14ac:dyDescent="0.25">
      <c r="A12" s="149"/>
      <c r="B12" s="136" t="s">
        <v>69</v>
      </c>
      <c r="C12" s="137">
        <v>6</v>
      </c>
      <c r="D12" s="138">
        <v>0</v>
      </c>
      <c r="E12" s="139">
        <v>0</v>
      </c>
      <c r="F12" s="300">
        <v>46</v>
      </c>
      <c r="G12" s="301">
        <v>1332</v>
      </c>
      <c r="H12" s="140">
        <v>0</v>
      </c>
      <c r="I12" s="139">
        <v>0</v>
      </c>
      <c r="J12" s="140">
        <v>0</v>
      </c>
      <c r="K12" s="141">
        <v>0</v>
      </c>
      <c r="L12" s="140">
        <v>6</v>
      </c>
      <c r="M12" s="141">
        <v>1268.7166666666601</v>
      </c>
      <c r="N12" s="140">
        <v>0</v>
      </c>
      <c r="O12" s="141">
        <v>0</v>
      </c>
      <c r="P12" s="140">
        <v>0</v>
      </c>
      <c r="Q12" s="141">
        <v>0</v>
      </c>
      <c r="R12" s="140">
        <v>1</v>
      </c>
      <c r="S12" s="141">
        <v>305</v>
      </c>
      <c r="T12" s="141"/>
      <c r="U12" s="140"/>
      <c r="V12" s="139"/>
      <c r="W12" s="140"/>
      <c r="X12" s="139"/>
      <c r="Y12" s="142">
        <f t="shared" si="0"/>
        <v>53</v>
      </c>
      <c r="Z12" s="143">
        <f>((D12*E12)+(F12*G12)+(H12*I12)+(J12*K12)+(L12*M12)+(U12*V12)+(W12*X12)+(N12*O12)+(P12*Q12)+(R12*S12))</f>
        <v>69189.299999999959</v>
      </c>
      <c r="AA12" s="147">
        <f t="shared" si="3"/>
        <v>1305.458490566037</v>
      </c>
      <c r="AB12" s="148">
        <f t="shared" si="2"/>
        <v>0.66249999999999998</v>
      </c>
      <c r="AC12" s="143"/>
      <c r="AD12" s="127"/>
      <c r="AE12" s="143"/>
    </row>
    <row r="13" spans="1:55" s="126" customFormat="1" ht="15.75" customHeight="1" x14ac:dyDescent="0.25">
      <c r="A13" s="149"/>
      <c r="B13" s="150" t="s">
        <v>63</v>
      </c>
      <c r="C13" s="151">
        <v>7</v>
      </c>
      <c r="D13" s="152">
        <v>0</v>
      </c>
      <c r="E13" s="153">
        <v>0</v>
      </c>
      <c r="F13" s="394">
        <v>39</v>
      </c>
      <c r="G13" s="395">
        <v>1359</v>
      </c>
      <c r="H13" s="154">
        <v>0</v>
      </c>
      <c r="I13" s="153">
        <v>0</v>
      </c>
      <c r="J13" s="154">
        <v>0</v>
      </c>
      <c r="K13" s="155">
        <v>0</v>
      </c>
      <c r="L13" s="154">
        <v>2</v>
      </c>
      <c r="M13" s="155">
        <v>1024</v>
      </c>
      <c r="N13" s="154">
        <v>0</v>
      </c>
      <c r="O13" s="155">
        <v>0</v>
      </c>
      <c r="P13" s="154">
        <v>0</v>
      </c>
      <c r="Q13" s="155">
        <v>0</v>
      </c>
      <c r="R13" s="154">
        <v>1</v>
      </c>
      <c r="S13" s="155">
        <v>305</v>
      </c>
      <c r="T13" s="155"/>
      <c r="U13" s="154"/>
      <c r="V13" s="153"/>
      <c r="W13" s="154"/>
      <c r="X13" s="153"/>
      <c r="Y13" s="156">
        <f t="shared" si="0"/>
        <v>42</v>
      </c>
      <c r="Z13" s="157">
        <f>((D13*E13)+(F13*G13)+(H13*I13)+(J13*K13)+(L13*M13)+(U13*V13)+(W13*X13)+(N13*O13)+(P13*Q13)+(R13*S13))</f>
        <v>55354</v>
      </c>
      <c r="AA13" s="158">
        <f t="shared" si="3"/>
        <v>1317.952380952381</v>
      </c>
      <c r="AB13" s="159">
        <f t="shared" si="2"/>
        <v>0.52500000000000002</v>
      </c>
      <c r="AC13" s="143"/>
      <c r="AD13" s="127"/>
      <c r="AE13" s="143"/>
    </row>
    <row r="14" spans="1:55" s="126" customFormat="1" ht="15.95" customHeight="1" x14ac:dyDescent="0.25">
      <c r="A14" s="292"/>
      <c r="B14" s="136" t="s">
        <v>64</v>
      </c>
      <c r="C14" s="137">
        <v>8</v>
      </c>
      <c r="D14" s="138">
        <v>0</v>
      </c>
      <c r="E14" s="139">
        <v>0</v>
      </c>
      <c r="F14" s="140">
        <v>37</v>
      </c>
      <c r="G14" s="139">
        <v>1358.8824999999999</v>
      </c>
      <c r="H14" s="140">
        <v>0</v>
      </c>
      <c r="I14" s="139">
        <v>0</v>
      </c>
      <c r="J14" s="140">
        <v>0</v>
      </c>
      <c r="K14" s="141">
        <v>0</v>
      </c>
      <c r="L14" s="140">
        <v>2</v>
      </c>
      <c r="M14" s="141">
        <v>1349.57</v>
      </c>
      <c r="N14" s="140">
        <v>0</v>
      </c>
      <c r="O14" s="141">
        <v>0</v>
      </c>
      <c r="P14" s="140">
        <v>0</v>
      </c>
      <c r="Q14" s="141">
        <v>0</v>
      </c>
      <c r="R14" s="140">
        <v>0</v>
      </c>
      <c r="S14" s="141">
        <v>0</v>
      </c>
      <c r="T14" s="141"/>
      <c r="U14" s="140"/>
      <c r="V14" s="139"/>
      <c r="W14" s="140"/>
      <c r="X14" s="139"/>
      <c r="Y14" s="142">
        <f t="shared" si="0"/>
        <v>39</v>
      </c>
      <c r="Z14" s="143">
        <f t="shared" si="1"/>
        <v>52977.792499999996</v>
      </c>
      <c r="AA14" s="329">
        <f t="shared" si="3"/>
        <v>1358.4049358974357</v>
      </c>
      <c r="AB14" s="148">
        <f t="shared" si="2"/>
        <v>0.48749999999999999</v>
      </c>
      <c r="AC14" s="143"/>
      <c r="AD14" s="127"/>
      <c r="AE14" s="143"/>
    </row>
    <row r="15" spans="1:55" s="126" customFormat="1" ht="15.95" customHeight="1" x14ac:dyDescent="0.25">
      <c r="A15" s="280" t="s">
        <v>101</v>
      </c>
      <c r="B15" s="281" t="s">
        <v>65</v>
      </c>
      <c r="C15" s="282">
        <v>9</v>
      </c>
      <c r="D15" s="283">
        <v>0</v>
      </c>
      <c r="E15" s="284">
        <v>0</v>
      </c>
      <c r="F15" s="285">
        <v>20</v>
      </c>
      <c r="G15" s="284">
        <v>1230.93333333333</v>
      </c>
      <c r="H15" s="285">
        <v>0</v>
      </c>
      <c r="I15" s="284">
        <v>0</v>
      </c>
      <c r="J15" s="285">
        <v>0</v>
      </c>
      <c r="K15" s="344">
        <v>0</v>
      </c>
      <c r="L15" s="285">
        <v>2</v>
      </c>
      <c r="M15" s="344">
        <v>1024</v>
      </c>
      <c r="N15" s="285">
        <v>0</v>
      </c>
      <c r="O15" s="344">
        <v>0</v>
      </c>
      <c r="P15" s="285">
        <v>0</v>
      </c>
      <c r="Q15" s="344">
        <v>0</v>
      </c>
      <c r="R15" s="285">
        <v>0</v>
      </c>
      <c r="S15" s="344">
        <v>0</v>
      </c>
      <c r="T15" s="344"/>
      <c r="U15" s="285"/>
      <c r="V15" s="284"/>
      <c r="W15" s="285"/>
      <c r="X15" s="284"/>
      <c r="Y15" s="286">
        <f t="shared" si="0"/>
        <v>22</v>
      </c>
      <c r="Z15" s="345">
        <f t="shared" si="1"/>
        <v>26666.666666666599</v>
      </c>
      <c r="AA15" s="346">
        <f>IF(Z15=0,0,Z15/Y15)</f>
        <v>1212.1212121212091</v>
      </c>
      <c r="AB15" s="287">
        <f t="shared" si="2"/>
        <v>0.27500000000000002</v>
      </c>
      <c r="AC15" s="143"/>
      <c r="AD15" s="127"/>
      <c r="AE15" s="143"/>
    </row>
    <row r="16" spans="1:55" s="126" customFormat="1" ht="15.95" customHeight="1" x14ac:dyDescent="0.25">
      <c r="A16" s="206"/>
      <c r="B16" s="136" t="s">
        <v>66</v>
      </c>
      <c r="C16" s="137">
        <v>10</v>
      </c>
      <c r="D16" s="138">
        <v>0</v>
      </c>
      <c r="E16" s="139">
        <v>0</v>
      </c>
      <c r="F16" s="140">
        <v>25</v>
      </c>
      <c r="G16" s="139">
        <v>1071.8399999999999</v>
      </c>
      <c r="H16" s="140">
        <v>0</v>
      </c>
      <c r="I16" s="139">
        <v>0</v>
      </c>
      <c r="J16" s="140">
        <v>0</v>
      </c>
      <c r="K16" s="141">
        <v>0</v>
      </c>
      <c r="L16" s="140">
        <v>2</v>
      </c>
      <c r="M16" s="141">
        <v>828.65</v>
      </c>
      <c r="N16" s="140">
        <v>0</v>
      </c>
      <c r="O16" s="141">
        <v>0</v>
      </c>
      <c r="P16" s="140">
        <v>0</v>
      </c>
      <c r="Q16" s="141">
        <v>0</v>
      </c>
      <c r="R16" s="140">
        <v>0</v>
      </c>
      <c r="S16" s="141">
        <v>0</v>
      </c>
      <c r="T16" s="141"/>
      <c r="U16" s="140"/>
      <c r="V16" s="139"/>
      <c r="W16" s="140"/>
      <c r="X16" s="139"/>
      <c r="Y16" s="142">
        <f t="shared" si="0"/>
        <v>27</v>
      </c>
      <c r="Z16" s="143">
        <f t="shared" si="1"/>
        <v>28453.299999999996</v>
      </c>
      <c r="AA16" s="147">
        <f>IF(Z16=0,0,Z16/Y16)</f>
        <v>1053.8259259259257</v>
      </c>
      <c r="AB16" s="148">
        <f t="shared" si="2"/>
        <v>0.33750000000000002</v>
      </c>
      <c r="AC16" s="143"/>
      <c r="AD16" s="127"/>
      <c r="AE16" s="143"/>
    </row>
    <row r="17" spans="1:55" s="160" customFormat="1" ht="15.75" customHeight="1" x14ac:dyDescent="0.25">
      <c r="A17" s="149"/>
      <c r="B17" s="136" t="s">
        <v>67</v>
      </c>
      <c r="C17" s="137">
        <v>11</v>
      </c>
      <c r="D17" s="138">
        <v>0</v>
      </c>
      <c r="E17" s="139">
        <v>0</v>
      </c>
      <c r="F17" s="140">
        <f>21-5</f>
        <v>16</v>
      </c>
      <c r="G17" s="139">
        <v>1332</v>
      </c>
      <c r="H17" s="140">
        <v>0</v>
      </c>
      <c r="I17" s="139">
        <v>0</v>
      </c>
      <c r="J17" s="140">
        <v>0</v>
      </c>
      <c r="K17" s="141">
        <v>0</v>
      </c>
      <c r="L17" s="140">
        <v>2</v>
      </c>
      <c r="M17" s="141">
        <v>820.61</v>
      </c>
      <c r="N17" s="140">
        <v>29</v>
      </c>
      <c r="O17" s="141">
        <v>2119.6368965517199</v>
      </c>
      <c r="P17" s="140">
        <v>0</v>
      </c>
      <c r="Q17" s="141">
        <v>0</v>
      </c>
      <c r="R17" s="140">
        <v>0</v>
      </c>
      <c r="S17" s="141">
        <v>0</v>
      </c>
      <c r="T17" s="141"/>
      <c r="U17" s="140"/>
      <c r="V17" s="139"/>
      <c r="W17" s="140"/>
      <c r="X17" s="139"/>
      <c r="Y17" s="142">
        <f t="shared" si="0"/>
        <v>47</v>
      </c>
      <c r="Z17" s="143">
        <f t="shared" si="1"/>
        <v>84422.689999999886</v>
      </c>
      <c r="AA17" s="329">
        <f t="shared" si="3"/>
        <v>1796.2274468085081</v>
      </c>
      <c r="AB17" s="148">
        <f t="shared" si="2"/>
        <v>0.58750000000000002</v>
      </c>
      <c r="AC17" s="143"/>
      <c r="AD17" s="127"/>
      <c r="AE17" s="143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  <c r="BA17" s="126"/>
      <c r="BB17" s="126"/>
    </row>
    <row r="18" spans="1:55" s="126" customFormat="1" ht="15.75" customHeight="1" x14ac:dyDescent="0.25">
      <c r="A18" s="149"/>
      <c r="B18" s="136" t="s">
        <v>68</v>
      </c>
      <c r="C18" s="137">
        <v>12</v>
      </c>
      <c r="D18" s="138">
        <v>0</v>
      </c>
      <c r="E18" s="139">
        <v>0</v>
      </c>
      <c r="F18" s="140">
        <f>27-5</f>
        <v>22</v>
      </c>
      <c r="G18" s="139">
        <v>1371.19</v>
      </c>
      <c r="H18" s="140">
        <v>2</v>
      </c>
      <c r="I18" s="139">
        <v>1127</v>
      </c>
      <c r="J18" s="140">
        <v>0</v>
      </c>
      <c r="K18" s="141">
        <v>0</v>
      </c>
      <c r="L18" s="140">
        <v>3</v>
      </c>
      <c r="M18" s="141">
        <v>943.27333333333297</v>
      </c>
      <c r="N18" s="140">
        <v>29</v>
      </c>
      <c r="O18" s="141">
        <v>2119.6368965517199</v>
      </c>
      <c r="P18" s="140">
        <v>0</v>
      </c>
      <c r="Q18" s="141">
        <v>0</v>
      </c>
      <c r="R18" s="140">
        <v>0</v>
      </c>
      <c r="S18" s="141">
        <v>0</v>
      </c>
      <c r="T18" s="141"/>
      <c r="U18" s="140"/>
      <c r="V18" s="139"/>
      <c r="W18" s="140"/>
      <c r="X18" s="139"/>
      <c r="Y18" s="142">
        <f t="shared" si="0"/>
        <v>56</v>
      </c>
      <c r="Z18" s="143">
        <f t="shared" si="1"/>
        <v>96719.469999999885</v>
      </c>
      <c r="AA18" s="147">
        <f t="shared" si="3"/>
        <v>1727.1333928571407</v>
      </c>
      <c r="AB18" s="148">
        <f t="shared" si="2"/>
        <v>0.7</v>
      </c>
      <c r="AC18" s="143"/>
      <c r="AD18" s="127"/>
      <c r="AE18" s="143"/>
    </row>
    <row r="19" spans="1:55" s="126" customFormat="1" ht="15.95" customHeight="1" x14ac:dyDescent="0.25">
      <c r="A19" s="149"/>
      <c r="B19" s="136" t="s">
        <v>69</v>
      </c>
      <c r="C19" s="137">
        <v>13</v>
      </c>
      <c r="D19" s="138">
        <v>0</v>
      </c>
      <c r="E19" s="139">
        <v>0</v>
      </c>
      <c r="F19" s="140">
        <f>33-5</f>
        <v>28</v>
      </c>
      <c r="G19" s="139">
        <v>1232</v>
      </c>
      <c r="H19" s="140">
        <v>2</v>
      </c>
      <c r="I19" s="139">
        <v>1157</v>
      </c>
      <c r="J19" s="140">
        <v>0</v>
      </c>
      <c r="K19" s="141">
        <v>0</v>
      </c>
      <c r="L19" s="140">
        <v>2</v>
      </c>
      <c r="M19" s="141">
        <v>1010.87</v>
      </c>
      <c r="N19" s="140">
        <v>29</v>
      </c>
      <c r="O19" s="141">
        <v>2119.6368965517199</v>
      </c>
      <c r="P19" s="140">
        <v>0</v>
      </c>
      <c r="Q19" s="141">
        <v>0</v>
      </c>
      <c r="R19" s="140">
        <v>0</v>
      </c>
      <c r="S19" s="141">
        <v>0</v>
      </c>
      <c r="T19" s="141"/>
      <c r="U19" s="140"/>
      <c r="V19" s="139"/>
      <c r="W19" s="140"/>
      <c r="X19" s="139"/>
      <c r="Y19" s="142">
        <f t="shared" si="0"/>
        <v>61</v>
      </c>
      <c r="Z19" s="143">
        <f t="shared" si="1"/>
        <v>100301.20999999988</v>
      </c>
      <c r="AA19" s="147">
        <f t="shared" si="3"/>
        <v>1644.2821311475388</v>
      </c>
      <c r="AB19" s="148">
        <f t="shared" si="2"/>
        <v>0.76249999999999996</v>
      </c>
      <c r="AC19" s="143"/>
      <c r="AD19" s="127"/>
      <c r="AE19" s="143"/>
    </row>
    <row r="20" spans="1:55" s="126" customFormat="1" ht="15.95" customHeight="1" x14ac:dyDescent="0.25">
      <c r="A20" s="149"/>
      <c r="B20" s="150" t="s">
        <v>63</v>
      </c>
      <c r="C20" s="151">
        <v>14</v>
      </c>
      <c r="D20" s="152">
        <v>0</v>
      </c>
      <c r="E20" s="153">
        <v>0</v>
      </c>
      <c r="F20" s="154">
        <f>27-5</f>
        <v>22</v>
      </c>
      <c r="G20" s="153">
        <v>1332</v>
      </c>
      <c r="H20" s="154">
        <v>1</v>
      </c>
      <c r="I20" s="153">
        <v>1157</v>
      </c>
      <c r="J20" s="154">
        <v>0</v>
      </c>
      <c r="K20" s="155">
        <v>0</v>
      </c>
      <c r="L20" s="154">
        <v>3</v>
      </c>
      <c r="M20" s="155">
        <v>909.68333333333305</v>
      </c>
      <c r="N20" s="154">
        <v>29</v>
      </c>
      <c r="O20" s="155">
        <v>2119.6368965517199</v>
      </c>
      <c r="P20" s="154">
        <v>14</v>
      </c>
      <c r="Q20" s="155">
        <v>1480</v>
      </c>
      <c r="R20" s="154">
        <v>0</v>
      </c>
      <c r="S20" s="155">
        <v>0</v>
      </c>
      <c r="T20" s="155"/>
      <c r="U20" s="154"/>
      <c r="V20" s="153"/>
      <c r="W20" s="154"/>
      <c r="X20" s="153"/>
      <c r="Y20" s="156">
        <f t="shared" si="0"/>
        <v>69</v>
      </c>
      <c r="Z20" s="157">
        <f t="shared" si="1"/>
        <v>115379.51999999987</v>
      </c>
      <c r="AA20" s="158">
        <f t="shared" si="3"/>
        <v>1672.1669565217373</v>
      </c>
      <c r="AB20" s="159">
        <f t="shared" si="2"/>
        <v>0.86250000000000004</v>
      </c>
      <c r="AC20" s="143"/>
      <c r="AD20" s="127"/>
      <c r="AE20" s="143"/>
    </row>
    <row r="21" spans="1:55" s="126" customFormat="1" ht="15.95" customHeight="1" x14ac:dyDescent="0.25">
      <c r="A21" s="149"/>
      <c r="B21" s="136" t="s">
        <v>64</v>
      </c>
      <c r="C21" s="137">
        <v>15</v>
      </c>
      <c r="D21" s="138">
        <v>0</v>
      </c>
      <c r="E21" s="139">
        <v>0</v>
      </c>
      <c r="F21" s="140">
        <f>17-5</f>
        <v>12</v>
      </c>
      <c r="G21" s="139">
        <v>1386.52</v>
      </c>
      <c r="H21" s="140">
        <v>1</v>
      </c>
      <c r="I21" s="139">
        <v>1127</v>
      </c>
      <c r="J21" s="140">
        <v>0</v>
      </c>
      <c r="K21" s="141">
        <v>0</v>
      </c>
      <c r="L21" s="140">
        <v>5</v>
      </c>
      <c r="M21" s="141">
        <v>1056.836</v>
      </c>
      <c r="N21" s="140">
        <v>29</v>
      </c>
      <c r="O21" s="141">
        <v>2119.6368965517199</v>
      </c>
      <c r="P21" s="140">
        <v>7</v>
      </c>
      <c r="Q21" s="141">
        <v>1480</v>
      </c>
      <c r="R21" s="140">
        <v>1</v>
      </c>
      <c r="S21" s="141">
        <v>305</v>
      </c>
      <c r="T21" s="141"/>
      <c r="U21" s="140"/>
      <c r="V21" s="139"/>
      <c r="W21" s="140"/>
      <c r="X21" s="139"/>
      <c r="Y21" s="142">
        <f t="shared" si="0"/>
        <v>55</v>
      </c>
      <c r="Z21" s="143">
        <f t="shared" si="1"/>
        <v>95183.889999999868</v>
      </c>
      <c r="AA21" s="329">
        <f t="shared" si="3"/>
        <v>1730.6161818181795</v>
      </c>
      <c r="AB21" s="148">
        <f t="shared" si="2"/>
        <v>0.6875</v>
      </c>
      <c r="AC21" s="143"/>
      <c r="AD21" s="127"/>
      <c r="AE21" s="143"/>
    </row>
    <row r="22" spans="1:55" s="128" customFormat="1" ht="15.95" customHeight="1" x14ac:dyDescent="0.25">
      <c r="A22" s="149"/>
      <c r="B22" s="136" t="s">
        <v>65</v>
      </c>
      <c r="C22" s="137">
        <v>16</v>
      </c>
      <c r="D22" s="138">
        <v>0</v>
      </c>
      <c r="E22" s="139">
        <v>0</v>
      </c>
      <c r="F22" s="140">
        <f>19-5</f>
        <v>14</v>
      </c>
      <c r="G22" s="139">
        <v>1272</v>
      </c>
      <c r="H22" s="140">
        <v>1</v>
      </c>
      <c r="I22" s="139">
        <v>1127</v>
      </c>
      <c r="J22" s="140">
        <v>0</v>
      </c>
      <c r="K22" s="141">
        <v>0</v>
      </c>
      <c r="L22" s="140">
        <v>5</v>
      </c>
      <c r="M22" s="141">
        <v>1067.828</v>
      </c>
      <c r="N22" s="140">
        <v>0</v>
      </c>
      <c r="O22" s="141">
        <v>0</v>
      </c>
      <c r="P22" s="140">
        <v>0</v>
      </c>
      <c r="Q22" s="141">
        <v>0</v>
      </c>
      <c r="R22" s="140">
        <v>1</v>
      </c>
      <c r="S22" s="141">
        <v>305</v>
      </c>
      <c r="T22" s="141"/>
      <c r="U22" s="140"/>
      <c r="V22" s="139"/>
      <c r="W22" s="140"/>
      <c r="X22" s="139"/>
      <c r="Y22" s="142">
        <f t="shared" si="0"/>
        <v>21</v>
      </c>
      <c r="Z22" s="143">
        <f t="shared" si="1"/>
        <v>24579.14</v>
      </c>
      <c r="AA22" s="329">
        <f t="shared" si="3"/>
        <v>1170.435238095238</v>
      </c>
      <c r="AB22" s="148">
        <f t="shared" si="2"/>
        <v>0.26250000000000001</v>
      </c>
      <c r="AC22" s="143"/>
      <c r="AD22" s="127"/>
      <c r="AE22" s="143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</row>
    <row r="23" spans="1:55" s="128" customFormat="1" ht="15.95" customHeight="1" x14ac:dyDescent="0.25">
      <c r="A23" s="209"/>
      <c r="B23" s="136" t="s">
        <v>66</v>
      </c>
      <c r="C23" s="137">
        <v>17</v>
      </c>
      <c r="D23" s="138">
        <v>0</v>
      </c>
      <c r="E23" s="139">
        <v>0</v>
      </c>
      <c r="F23" s="140">
        <v>14</v>
      </c>
      <c r="G23" s="139">
        <v>1252.17</v>
      </c>
      <c r="H23" s="140">
        <v>0</v>
      </c>
      <c r="I23" s="139">
        <v>0</v>
      </c>
      <c r="J23" s="140">
        <v>0</v>
      </c>
      <c r="K23" s="141">
        <v>0</v>
      </c>
      <c r="L23" s="140">
        <v>2</v>
      </c>
      <c r="M23" s="141">
        <v>1004.35</v>
      </c>
      <c r="N23" s="140">
        <v>0</v>
      </c>
      <c r="O23" s="141">
        <v>0</v>
      </c>
      <c r="P23" s="140">
        <v>0</v>
      </c>
      <c r="Q23" s="141">
        <v>0</v>
      </c>
      <c r="R23" s="140">
        <v>1</v>
      </c>
      <c r="S23" s="141">
        <v>305</v>
      </c>
      <c r="T23" s="141"/>
      <c r="U23" s="140"/>
      <c r="V23" s="139"/>
      <c r="W23" s="140"/>
      <c r="X23" s="139"/>
      <c r="Y23" s="142">
        <f t="shared" si="0"/>
        <v>17</v>
      </c>
      <c r="Z23" s="143">
        <f t="shared" si="1"/>
        <v>19844.080000000002</v>
      </c>
      <c r="AA23" s="147">
        <f t="shared" si="3"/>
        <v>1167.2988235294119</v>
      </c>
      <c r="AB23" s="148">
        <f t="shared" si="2"/>
        <v>0.21249999999999999</v>
      </c>
      <c r="AC23" s="143"/>
      <c r="AD23" s="127"/>
      <c r="AE23" s="143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</row>
    <row r="24" spans="1:55" s="126" customFormat="1" ht="15.95" customHeight="1" x14ac:dyDescent="0.25">
      <c r="A24" s="209"/>
      <c r="B24" s="136" t="s">
        <v>67</v>
      </c>
      <c r="C24" s="137">
        <v>18</v>
      </c>
      <c r="D24" s="138">
        <v>0</v>
      </c>
      <c r="E24" s="139">
        <v>0</v>
      </c>
      <c r="F24" s="140">
        <v>14</v>
      </c>
      <c r="G24" s="139">
        <v>1320.825</v>
      </c>
      <c r="H24" s="140">
        <v>0</v>
      </c>
      <c r="I24" s="139">
        <v>0</v>
      </c>
      <c r="J24" s="140">
        <v>0</v>
      </c>
      <c r="K24" s="141">
        <v>0</v>
      </c>
      <c r="L24" s="140">
        <v>6</v>
      </c>
      <c r="M24" s="141">
        <v>1061.85666666666</v>
      </c>
      <c r="N24" s="140">
        <v>0</v>
      </c>
      <c r="O24" s="141">
        <v>0</v>
      </c>
      <c r="P24" s="140">
        <v>0</v>
      </c>
      <c r="Q24" s="141">
        <v>0</v>
      </c>
      <c r="R24" s="140">
        <v>1</v>
      </c>
      <c r="S24" s="141">
        <v>0</v>
      </c>
      <c r="T24" s="141"/>
      <c r="U24" s="140"/>
      <c r="V24" s="139"/>
      <c r="W24" s="140"/>
      <c r="X24" s="139"/>
      <c r="Y24" s="142">
        <f t="shared" si="0"/>
        <v>21</v>
      </c>
      <c r="Z24" s="143">
        <f t="shared" si="1"/>
        <v>24862.689999999959</v>
      </c>
      <c r="AA24" s="329">
        <f t="shared" si="3"/>
        <v>1183.9376190476171</v>
      </c>
      <c r="AB24" s="148">
        <f t="shared" si="2"/>
        <v>0.26250000000000001</v>
      </c>
      <c r="AC24" s="143"/>
      <c r="AD24" s="127"/>
      <c r="AE24" s="143"/>
    </row>
    <row r="25" spans="1:55" s="146" customFormat="1" ht="15.95" customHeight="1" x14ac:dyDescent="0.25">
      <c r="A25" s="209"/>
      <c r="B25" s="136" t="s">
        <v>68</v>
      </c>
      <c r="C25" s="137">
        <v>19</v>
      </c>
      <c r="D25" s="138">
        <v>0</v>
      </c>
      <c r="E25" s="139">
        <v>0</v>
      </c>
      <c r="F25" s="140">
        <f>29-5</f>
        <v>24</v>
      </c>
      <c r="G25" s="139">
        <v>1360.5</v>
      </c>
      <c r="H25" s="140">
        <v>3</v>
      </c>
      <c r="I25" s="139">
        <v>1127</v>
      </c>
      <c r="J25" s="140">
        <v>0</v>
      </c>
      <c r="K25" s="141">
        <v>0</v>
      </c>
      <c r="L25" s="140">
        <v>6</v>
      </c>
      <c r="M25" s="141">
        <v>1130.9066666666599</v>
      </c>
      <c r="N25" s="140">
        <v>0</v>
      </c>
      <c r="O25" s="141">
        <v>0</v>
      </c>
      <c r="P25" s="140">
        <v>0</v>
      </c>
      <c r="Q25" s="141">
        <v>0</v>
      </c>
      <c r="R25" s="140">
        <v>1</v>
      </c>
      <c r="S25" s="141">
        <v>0</v>
      </c>
      <c r="T25" s="141"/>
      <c r="U25" s="140"/>
      <c r="V25" s="139"/>
      <c r="W25" s="140"/>
      <c r="X25" s="139"/>
      <c r="Y25" s="142">
        <f t="shared" si="0"/>
        <v>34</v>
      </c>
      <c r="Z25" s="143">
        <f t="shared" si="1"/>
        <v>42818.439999999959</v>
      </c>
      <c r="AA25" s="147">
        <f t="shared" si="3"/>
        <v>1259.3658823529399</v>
      </c>
      <c r="AB25" s="148">
        <f t="shared" si="2"/>
        <v>0.42499999999999999</v>
      </c>
      <c r="AC25" s="143"/>
      <c r="AD25" s="127"/>
      <c r="AE25" s="143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</row>
    <row r="26" spans="1:55" s="128" customFormat="1" ht="15.95" customHeight="1" x14ac:dyDescent="0.25">
      <c r="A26" s="168"/>
      <c r="B26" s="136" t="s">
        <v>69</v>
      </c>
      <c r="C26" s="161">
        <v>20</v>
      </c>
      <c r="D26" s="162">
        <v>0</v>
      </c>
      <c r="E26" s="163">
        <v>0</v>
      </c>
      <c r="F26" s="164">
        <f>38-5</f>
        <v>33</v>
      </c>
      <c r="G26" s="163">
        <v>1202.2485714285699</v>
      </c>
      <c r="H26" s="164">
        <v>3</v>
      </c>
      <c r="I26" s="163">
        <v>1127</v>
      </c>
      <c r="J26" s="164">
        <v>0</v>
      </c>
      <c r="K26" s="165">
        <v>0</v>
      </c>
      <c r="L26" s="164">
        <v>2</v>
      </c>
      <c r="M26" s="165">
        <v>1480.98</v>
      </c>
      <c r="N26" s="164">
        <v>0</v>
      </c>
      <c r="O26" s="165">
        <v>0</v>
      </c>
      <c r="P26" s="164">
        <v>0</v>
      </c>
      <c r="Q26" s="165">
        <v>0</v>
      </c>
      <c r="R26" s="164">
        <v>1</v>
      </c>
      <c r="S26" s="165">
        <v>305</v>
      </c>
      <c r="T26" s="165"/>
      <c r="U26" s="164"/>
      <c r="V26" s="163"/>
      <c r="W26" s="164"/>
      <c r="X26" s="163"/>
      <c r="Y26" s="166">
        <f t="shared" si="0"/>
        <v>39</v>
      </c>
      <c r="Z26" s="167">
        <f t="shared" si="1"/>
        <v>46322.162857142808</v>
      </c>
      <c r="AA26" s="147">
        <f t="shared" si="3"/>
        <v>1187.7477655677644</v>
      </c>
      <c r="AB26" s="148">
        <f t="shared" si="2"/>
        <v>0.48749999999999999</v>
      </c>
      <c r="AC26" s="143"/>
      <c r="AD26" s="127"/>
      <c r="AE26" s="143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</row>
    <row r="27" spans="1:55" s="128" customFormat="1" ht="15.95" customHeight="1" x14ac:dyDescent="0.25">
      <c r="A27" s="168"/>
      <c r="B27" s="150" t="s">
        <v>63</v>
      </c>
      <c r="C27" s="199">
        <v>21</v>
      </c>
      <c r="D27" s="200">
        <v>0</v>
      </c>
      <c r="E27" s="201">
        <v>0</v>
      </c>
      <c r="F27" s="202">
        <f>21-5</f>
        <v>16</v>
      </c>
      <c r="G27" s="201">
        <v>1145.9933333333299</v>
      </c>
      <c r="H27" s="202">
        <v>0</v>
      </c>
      <c r="I27" s="201">
        <v>0</v>
      </c>
      <c r="J27" s="202">
        <v>0</v>
      </c>
      <c r="K27" s="203">
        <v>0</v>
      </c>
      <c r="L27" s="202">
        <v>2</v>
      </c>
      <c r="M27" s="203">
        <v>1024</v>
      </c>
      <c r="N27" s="202">
        <v>0</v>
      </c>
      <c r="O27" s="203">
        <v>0</v>
      </c>
      <c r="P27" s="202">
        <v>0</v>
      </c>
      <c r="Q27" s="203">
        <v>0</v>
      </c>
      <c r="R27" s="202">
        <v>1</v>
      </c>
      <c r="S27" s="203">
        <v>305</v>
      </c>
      <c r="T27" s="203"/>
      <c r="U27" s="202"/>
      <c r="V27" s="201"/>
      <c r="W27" s="202"/>
      <c r="X27" s="201"/>
      <c r="Y27" s="204">
        <f t="shared" si="0"/>
        <v>19</v>
      </c>
      <c r="Z27" s="205">
        <f t="shared" si="1"/>
        <v>20688.893333333279</v>
      </c>
      <c r="AA27" s="158">
        <f t="shared" si="3"/>
        <v>1088.8891228070147</v>
      </c>
      <c r="AB27" s="159">
        <f t="shared" si="2"/>
        <v>0.23749999999999999</v>
      </c>
      <c r="AC27" s="143"/>
      <c r="AD27" s="127"/>
      <c r="AE27" s="143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168"/>
      <c r="B28" s="136" t="s">
        <v>64</v>
      </c>
      <c r="C28" s="137">
        <v>22</v>
      </c>
      <c r="D28" s="138">
        <v>0</v>
      </c>
      <c r="E28" s="139">
        <v>0</v>
      </c>
      <c r="F28" s="140">
        <v>10</v>
      </c>
      <c r="G28" s="139">
        <v>1146</v>
      </c>
      <c r="H28" s="140">
        <v>0</v>
      </c>
      <c r="I28" s="139">
        <v>0</v>
      </c>
      <c r="J28" s="601">
        <v>0</v>
      </c>
      <c r="K28" s="603">
        <v>0</v>
      </c>
      <c r="L28" s="140">
        <v>2</v>
      </c>
      <c r="M28" s="141">
        <v>1024</v>
      </c>
      <c r="N28" s="140">
        <v>0</v>
      </c>
      <c r="O28" s="141">
        <v>0</v>
      </c>
      <c r="P28" s="591">
        <v>10</v>
      </c>
      <c r="Q28" s="592">
        <v>1404</v>
      </c>
      <c r="R28" s="140">
        <v>1</v>
      </c>
      <c r="S28" s="141">
        <v>305</v>
      </c>
      <c r="T28" s="141"/>
      <c r="U28" s="140"/>
      <c r="V28" s="139"/>
      <c r="W28" s="140"/>
      <c r="X28" s="139"/>
      <c r="Y28" s="142">
        <f t="shared" si="0"/>
        <v>23</v>
      </c>
      <c r="Z28" s="143">
        <f t="shared" si="1"/>
        <v>27853</v>
      </c>
      <c r="AA28" s="329">
        <f t="shared" si="3"/>
        <v>1211</v>
      </c>
      <c r="AB28" s="148">
        <f t="shared" si="2"/>
        <v>0.28749999999999998</v>
      </c>
      <c r="AC28" s="143"/>
      <c r="AD28" s="127"/>
      <c r="AE28" s="143"/>
    </row>
    <row r="29" spans="1:55" s="126" customFormat="1" ht="15.95" customHeight="1" x14ac:dyDescent="0.25">
      <c r="A29" s="168"/>
      <c r="B29" s="136" t="s">
        <v>65</v>
      </c>
      <c r="C29" s="137">
        <v>23</v>
      </c>
      <c r="D29" s="138">
        <v>0</v>
      </c>
      <c r="E29" s="139">
        <v>0</v>
      </c>
      <c r="F29" s="140">
        <v>12</v>
      </c>
      <c r="G29" s="139">
        <v>1139.3800000000001</v>
      </c>
      <c r="H29" s="140">
        <v>0</v>
      </c>
      <c r="I29" s="139">
        <v>0</v>
      </c>
      <c r="J29" s="602">
        <v>0</v>
      </c>
      <c r="K29" s="603">
        <v>0</v>
      </c>
      <c r="L29" s="140">
        <v>2</v>
      </c>
      <c r="M29" s="141">
        <v>1047.83</v>
      </c>
      <c r="N29" s="140">
        <v>0</v>
      </c>
      <c r="O29" s="141">
        <v>0</v>
      </c>
      <c r="P29" s="591">
        <v>10</v>
      </c>
      <c r="Q29" s="592">
        <v>1404</v>
      </c>
      <c r="R29" s="140">
        <v>1</v>
      </c>
      <c r="S29" s="141">
        <v>305</v>
      </c>
      <c r="T29" s="141"/>
      <c r="U29" s="140"/>
      <c r="V29" s="139"/>
      <c r="W29" s="140"/>
      <c r="X29" s="139"/>
      <c r="Y29" s="142">
        <f t="shared" si="0"/>
        <v>25</v>
      </c>
      <c r="Z29" s="143">
        <f t="shared" si="1"/>
        <v>30113.22</v>
      </c>
      <c r="AA29" s="329">
        <f t="shared" si="3"/>
        <v>1204.5288</v>
      </c>
      <c r="AB29" s="148">
        <f t="shared" si="2"/>
        <v>0.3125</v>
      </c>
      <c r="AC29" s="143"/>
      <c r="AD29" s="127"/>
      <c r="AE29" s="143"/>
    </row>
    <row r="30" spans="1:55" s="126" customFormat="1" ht="16.5" customHeight="1" x14ac:dyDescent="0.25">
      <c r="A30" s="168"/>
      <c r="B30" s="136" t="s">
        <v>66</v>
      </c>
      <c r="C30" s="137">
        <v>24</v>
      </c>
      <c r="D30" s="138">
        <v>0</v>
      </c>
      <c r="E30" s="139">
        <v>0</v>
      </c>
      <c r="F30" s="140">
        <v>13</v>
      </c>
      <c r="G30" s="139">
        <v>1199.32666666666</v>
      </c>
      <c r="H30" s="140">
        <v>0</v>
      </c>
      <c r="I30" s="139">
        <v>0</v>
      </c>
      <c r="J30" s="602">
        <v>0</v>
      </c>
      <c r="K30" s="603">
        <v>0</v>
      </c>
      <c r="L30" s="140">
        <v>3</v>
      </c>
      <c r="M30" s="141">
        <v>898.48</v>
      </c>
      <c r="N30" s="140">
        <v>0</v>
      </c>
      <c r="O30" s="141">
        <v>0</v>
      </c>
      <c r="P30" s="140">
        <v>0</v>
      </c>
      <c r="Q30" s="141">
        <v>0</v>
      </c>
      <c r="R30" s="140">
        <v>1</v>
      </c>
      <c r="S30" s="141">
        <v>0</v>
      </c>
      <c r="T30" s="141"/>
      <c r="U30" s="140"/>
      <c r="V30" s="139"/>
      <c r="W30" s="140"/>
      <c r="X30" s="139"/>
      <c r="Y30" s="142">
        <f t="shared" si="0"/>
        <v>17</v>
      </c>
      <c r="Z30" s="143">
        <f t="shared" si="1"/>
        <v>18286.686666666581</v>
      </c>
      <c r="AA30" s="147">
        <f t="shared" si="3"/>
        <v>1075.6874509803872</v>
      </c>
      <c r="AB30" s="148">
        <f t="shared" si="2"/>
        <v>0.21249999999999999</v>
      </c>
      <c r="AC30" s="143"/>
      <c r="AD30" s="127"/>
      <c r="AE30" s="143"/>
    </row>
    <row r="31" spans="1:55" s="169" customFormat="1" ht="15.95" customHeight="1" x14ac:dyDescent="0.25">
      <c r="A31" s="168"/>
      <c r="B31" s="136" t="s">
        <v>67</v>
      </c>
      <c r="C31" s="161">
        <v>25</v>
      </c>
      <c r="D31" s="162">
        <v>0</v>
      </c>
      <c r="E31" s="139">
        <v>0</v>
      </c>
      <c r="F31" s="140">
        <v>12</v>
      </c>
      <c r="G31" s="139">
        <v>1130.8325</v>
      </c>
      <c r="H31" s="140">
        <v>0</v>
      </c>
      <c r="I31" s="139">
        <v>0</v>
      </c>
      <c r="J31" s="602">
        <v>0</v>
      </c>
      <c r="K31" s="603">
        <v>0</v>
      </c>
      <c r="L31" s="140">
        <v>4</v>
      </c>
      <c r="M31" s="141">
        <v>736.31666666666604</v>
      </c>
      <c r="N31" s="140">
        <v>0</v>
      </c>
      <c r="O31" s="141">
        <v>0</v>
      </c>
      <c r="P31" s="591">
        <v>10</v>
      </c>
      <c r="Q31" s="592">
        <v>1404</v>
      </c>
      <c r="R31" s="140">
        <v>1</v>
      </c>
      <c r="S31" s="141">
        <v>0</v>
      </c>
      <c r="T31" s="141"/>
      <c r="U31" s="140"/>
      <c r="V31" s="139"/>
      <c r="W31" s="140"/>
      <c r="X31" s="139"/>
      <c r="Y31" s="142">
        <f t="shared" si="0"/>
        <v>27</v>
      </c>
      <c r="Z31" s="143">
        <f t="shared" si="1"/>
        <v>30555.256666666664</v>
      </c>
      <c r="AA31" s="329">
        <f t="shared" si="3"/>
        <v>1131.6761728395061</v>
      </c>
      <c r="AB31" s="148">
        <f t="shared" si="2"/>
        <v>0.33750000000000002</v>
      </c>
      <c r="AC31" s="143"/>
      <c r="AD31" s="127"/>
      <c r="AE31" s="143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60"/>
    </row>
    <row r="32" spans="1:55" s="128" customFormat="1" ht="15.95" customHeight="1" x14ac:dyDescent="0.25">
      <c r="A32" s="168"/>
      <c r="B32" s="136" t="s">
        <v>68</v>
      </c>
      <c r="C32" s="161">
        <v>26</v>
      </c>
      <c r="D32" s="162">
        <v>0</v>
      </c>
      <c r="E32" s="139">
        <v>0</v>
      </c>
      <c r="F32" s="140">
        <v>21</v>
      </c>
      <c r="G32" s="139">
        <v>1242.4760000000001</v>
      </c>
      <c r="H32" s="140">
        <v>2</v>
      </c>
      <c r="I32" s="139">
        <v>1127</v>
      </c>
      <c r="J32" s="602">
        <v>13</v>
      </c>
      <c r="K32" s="603">
        <v>808.7</v>
      </c>
      <c r="L32" s="140">
        <v>3</v>
      </c>
      <c r="M32" s="141">
        <v>757.39</v>
      </c>
      <c r="N32" s="140">
        <v>0</v>
      </c>
      <c r="O32" s="141">
        <v>0</v>
      </c>
      <c r="P32" s="140">
        <v>0</v>
      </c>
      <c r="Q32" s="141">
        <v>0</v>
      </c>
      <c r="R32" s="140">
        <v>1</v>
      </c>
      <c r="S32" s="141">
        <v>0</v>
      </c>
      <c r="T32" s="141"/>
      <c r="U32" s="140"/>
      <c r="V32" s="139"/>
      <c r="W32" s="140"/>
      <c r="X32" s="139"/>
      <c r="Y32" s="142">
        <f t="shared" si="0"/>
        <v>40</v>
      </c>
      <c r="Z32" s="143">
        <f t="shared" si="1"/>
        <v>41131.266000000003</v>
      </c>
      <c r="AA32" s="147">
        <f t="shared" si="3"/>
        <v>1028.2816500000001</v>
      </c>
      <c r="AB32" s="148">
        <f t="shared" si="2"/>
        <v>0.5</v>
      </c>
      <c r="AC32" s="143"/>
      <c r="AD32" s="127"/>
      <c r="AE32" s="143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  <c r="BC32" s="126"/>
    </row>
    <row r="33" spans="1:56" s="128" customFormat="1" ht="15.95" customHeight="1" x14ac:dyDescent="0.25">
      <c r="A33" s="168"/>
      <c r="B33" s="136" t="s">
        <v>69</v>
      </c>
      <c r="C33" s="137">
        <v>27</v>
      </c>
      <c r="D33" s="138">
        <v>0</v>
      </c>
      <c r="E33" s="139">
        <v>0</v>
      </c>
      <c r="F33" s="140">
        <v>22</v>
      </c>
      <c r="G33" s="139">
        <v>1228.0274999999999</v>
      </c>
      <c r="H33" s="140">
        <v>2</v>
      </c>
      <c r="I33" s="139">
        <v>1127</v>
      </c>
      <c r="J33" s="602">
        <v>13</v>
      </c>
      <c r="K33" s="603">
        <v>808.7</v>
      </c>
      <c r="L33" s="140">
        <v>3</v>
      </c>
      <c r="M33" s="141">
        <v>876.87</v>
      </c>
      <c r="N33" s="140">
        <v>0</v>
      </c>
      <c r="O33" s="141">
        <v>0</v>
      </c>
      <c r="P33" s="140">
        <v>0</v>
      </c>
      <c r="Q33" s="141">
        <v>0</v>
      </c>
      <c r="R33" s="140">
        <v>1</v>
      </c>
      <c r="S33" s="141">
        <v>304.7</v>
      </c>
      <c r="T33" s="141"/>
      <c r="U33" s="140"/>
      <c r="V33" s="139"/>
      <c r="W33" s="140"/>
      <c r="X33" s="139"/>
      <c r="Y33" s="142">
        <f t="shared" si="0"/>
        <v>41</v>
      </c>
      <c r="Z33" s="143">
        <f t="shared" si="1"/>
        <v>42719.014999999999</v>
      </c>
      <c r="AA33" s="147">
        <f t="shared" si="3"/>
        <v>1041.9271951219512</v>
      </c>
      <c r="AB33" s="148">
        <f t="shared" si="2"/>
        <v>0.51249999999999996</v>
      </c>
      <c r="AC33" s="143"/>
      <c r="AD33" s="127"/>
      <c r="AE33" s="143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</row>
    <row r="34" spans="1:56" s="128" customFormat="1" ht="15.95" customHeight="1" x14ac:dyDescent="0.25">
      <c r="A34" s="170"/>
      <c r="B34" s="150" t="s">
        <v>63</v>
      </c>
      <c r="C34" s="199">
        <v>28</v>
      </c>
      <c r="D34" s="200">
        <v>0</v>
      </c>
      <c r="E34" s="153">
        <v>0</v>
      </c>
      <c r="F34" s="154">
        <f>21-6</f>
        <v>15</v>
      </c>
      <c r="G34" s="153">
        <v>1164.5825</v>
      </c>
      <c r="H34" s="154">
        <v>0</v>
      </c>
      <c r="I34" s="153">
        <v>0</v>
      </c>
      <c r="J34" s="604">
        <v>13</v>
      </c>
      <c r="K34" s="605">
        <v>808.7</v>
      </c>
      <c r="L34" s="154">
        <v>3</v>
      </c>
      <c r="M34" s="155">
        <v>904.35</v>
      </c>
      <c r="N34" s="154">
        <v>0</v>
      </c>
      <c r="O34" s="155">
        <v>0</v>
      </c>
      <c r="P34" s="154">
        <v>0</v>
      </c>
      <c r="Q34" s="155">
        <v>0</v>
      </c>
      <c r="R34" s="154">
        <v>1</v>
      </c>
      <c r="S34" s="155">
        <v>332.17</v>
      </c>
      <c r="T34" s="155"/>
      <c r="U34" s="154"/>
      <c r="V34" s="153"/>
      <c r="W34" s="154"/>
      <c r="X34" s="153"/>
      <c r="Y34" s="156">
        <f t="shared" si="0"/>
        <v>32</v>
      </c>
      <c r="Z34" s="157">
        <f t="shared" si="1"/>
        <v>31027.057499999999</v>
      </c>
      <c r="AA34" s="158">
        <f>IF(Z34=0,0,Z34/Y34)</f>
        <v>969.59554687499997</v>
      </c>
      <c r="AB34" s="159">
        <f t="shared" si="2"/>
        <v>0.4</v>
      </c>
      <c r="AC34" s="143"/>
      <c r="AD34" s="127"/>
      <c r="AE34" s="143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5.95" customHeight="1" x14ac:dyDescent="0.25">
      <c r="A35" s="149"/>
      <c r="B35" s="136" t="s">
        <v>64</v>
      </c>
      <c r="C35" s="161">
        <v>29</v>
      </c>
      <c r="D35" s="162">
        <v>0</v>
      </c>
      <c r="E35" s="139">
        <v>0</v>
      </c>
      <c r="F35" s="140">
        <v>10</v>
      </c>
      <c r="G35" s="139">
        <v>1059.03</v>
      </c>
      <c r="H35" s="140">
        <v>0</v>
      </c>
      <c r="I35" s="139">
        <v>0</v>
      </c>
      <c r="J35" s="602">
        <v>13</v>
      </c>
      <c r="K35" s="603">
        <v>808.7</v>
      </c>
      <c r="L35" s="140">
        <v>2</v>
      </c>
      <c r="M35" s="141">
        <v>1024</v>
      </c>
      <c r="N35" s="140">
        <v>0</v>
      </c>
      <c r="O35" s="141">
        <v>0</v>
      </c>
      <c r="P35" s="591">
        <v>10</v>
      </c>
      <c r="Q35" s="592">
        <v>1404</v>
      </c>
      <c r="R35" s="140">
        <v>0</v>
      </c>
      <c r="S35" s="141">
        <v>0</v>
      </c>
      <c r="T35" s="141"/>
      <c r="U35" s="140"/>
      <c r="V35" s="139"/>
      <c r="W35" s="140"/>
      <c r="X35" s="139"/>
      <c r="Y35" s="142">
        <f t="shared" si="0"/>
        <v>35</v>
      </c>
      <c r="Z35" s="143">
        <f t="shared" si="1"/>
        <v>37191.4</v>
      </c>
      <c r="AA35" s="329">
        <f>IF(Z35=0,0,Z35/Y35)</f>
        <v>1062.6114285714286</v>
      </c>
      <c r="AB35" s="148">
        <f t="shared" si="2"/>
        <v>0.4375</v>
      </c>
      <c r="AC35" s="143"/>
      <c r="AD35" s="127"/>
      <c r="AE35" s="143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6" customFormat="1" ht="15.95" customHeight="1" x14ac:dyDescent="0.25">
      <c r="A36" s="149"/>
      <c r="B36" s="136" t="s">
        <v>65</v>
      </c>
      <c r="C36" s="137">
        <v>30</v>
      </c>
      <c r="D36" s="138">
        <v>0</v>
      </c>
      <c r="E36" s="139">
        <v>0</v>
      </c>
      <c r="F36" s="140">
        <v>12</v>
      </c>
      <c r="G36" s="139">
        <v>996.30333333333294</v>
      </c>
      <c r="H36" s="140">
        <v>0</v>
      </c>
      <c r="I36" s="139">
        <v>0</v>
      </c>
      <c r="J36" s="140">
        <v>0</v>
      </c>
      <c r="K36" s="141">
        <v>0</v>
      </c>
      <c r="L36" s="140">
        <v>2</v>
      </c>
      <c r="M36" s="141">
        <v>1024</v>
      </c>
      <c r="N36" s="140">
        <v>0</v>
      </c>
      <c r="O36" s="141">
        <v>0</v>
      </c>
      <c r="P36" s="140">
        <v>0</v>
      </c>
      <c r="Q36" s="141">
        <v>0</v>
      </c>
      <c r="R36" s="140">
        <v>0</v>
      </c>
      <c r="S36" s="141">
        <v>0</v>
      </c>
      <c r="T36" s="141"/>
      <c r="U36" s="140"/>
      <c r="V36" s="139"/>
      <c r="W36" s="140"/>
      <c r="X36" s="139"/>
      <c r="Y36" s="142">
        <f t="shared" si="0"/>
        <v>14</v>
      </c>
      <c r="Z36" s="143">
        <f t="shared" si="1"/>
        <v>14003.639999999996</v>
      </c>
      <c r="AA36" s="329">
        <f>IF(Z36=0,0,Z36/Y36)</f>
        <v>1000.2599999999996</v>
      </c>
      <c r="AB36" s="148">
        <f t="shared" si="2"/>
        <v>0.17499999999999999</v>
      </c>
      <c r="AC36" s="143"/>
      <c r="AD36" s="127"/>
      <c r="AE36" s="143"/>
    </row>
    <row r="37" spans="1:56" s="128" customFormat="1" ht="16.5" thickBot="1" x14ac:dyDescent="0.3">
      <c r="A37" s="149"/>
      <c r="B37" s="136" t="s">
        <v>66</v>
      </c>
      <c r="C37" s="137">
        <v>31</v>
      </c>
      <c r="D37" s="138">
        <v>0</v>
      </c>
      <c r="E37" s="139">
        <v>0</v>
      </c>
      <c r="F37" s="140">
        <v>13</v>
      </c>
      <c r="G37" s="139">
        <v>1362.08857142857</v>
      </c>
      <c r="H37" s="140">
        <v>1</v>
      </c>
      <c r="I37" s="139">
        <v>1616.43</v>
      </c>
      <c r="J37" s="140">
        <v>0</v>
      </c>
      <c r="K37" s="141">
        <v>0</v>
      </c>
      <c r="L37" s="140">
        <v>2</v>
      </c>
      <c r="M37" s="141">
        <v>1024</v>
      </c>
      <c r="N37" s="140">
        <v>0</v>
      </c>
      <c r="O37" s="141">
        <v>0</v>
      </c>
      <c r="P37" s="140">
        <v>0</v>
      </c>
      <c r="Q37" s="141">
        <v>0</v>
      </c>
      <c r="R37" s="140">
        <v>0</v>
      </c>
      <c r="S37" s="141">
        <v>0</v>
      </c>
      <c r="T37" s="141"/>
      <c r="U37" s="140"/>
      <c r="V37" s="139"/>
      <c r="W37" s="140"/>
      <c r="X37" s="139"/>
      <c r="Y37" s="142">
        <f t="shared" si="0"/>
        <v>16</v>
      </c>
      <c r="Z37" s="143">
        <f t="shared" si="1"/>
        <v>21371.581428571411</v>
      </c>
      <c r="AA37" s="147">
        <f>IF(Z37=0,0,Z37/Y37)</f>
        <v>1335.7238392857132</v>
      </c>
      <c r="AB37" s="148">
        <f t="shared" si="2"/>
        <v>0.2</v>
      </c>
      <c r="AC37" s="143"/>
      <c r="AD37" s="127"/>
      <c r="AE37" s="143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</row>
    <row r="38" spans="1:56" s="128" customFormat="1" ht="17.100000000000001" customHeight="1" thickTop="1" x14ac:dyDescent="0.25">
      <c r="A38" s="171" t="s">
        <v>70</v>
      </c>
      <c r="B38" s="172"/>
      <c r="C38" s="172"/>
      <c r="D38" s="173">
        <f>SUM(D7:D37)</f>
        <v>0</v>
      </c>
      <c r="E38" s="174">
        <f>IF(D38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+(D37*E37))/D38)</f>
        <v>0</v>
      </c>
      <c r="F38" s="175">
        <f>SUM(F7:F37)</f>
        <v>656</v>
      </c>
      <c r="G38" s="174">
        <f>IF(F38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+(F37*G37))/F38)</f>
        <v>1275.0934023664345</v>
      </c>
      <c r="H38" s="176">
        <f>SUM(H7:H37)</f>
        <v>21</v>
      </c>
      <c r="I38" s="174">
        <f>IF(H38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+(H37*I37))/H38)</f>
        <v>1158.877619047619</v>
      </c>
      <c r="J38" s="175">
        <f>SUM(J7:J37)</f>
        <v>67</v>
      </c>
      <c r="K38" s="174">
        <f>IF(J38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+(J37*K37))/J38)</f>
        <v>914.21417910447758</v>
      </c>
      <c r="L38" s="175">
        <f>SUM(L7:L37)</f>
        <v>93</v>
      </c>
      <c r="M38" s="174">
        <f>IF(L38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+(L37*M37))/L38)</f>
        <v>1017.9705017921127</v>
      </c>
      <c r="N38" s="175">
        <f>SUM(N7:N37)</f>
        <v>145</v>
      </c>
      <c r="O38" s="174">
        <f>IF(N38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+(N37*O37))/N38)</f>
        <v>2119.6368965517199</v>
      </c>
      <c r="P38" s="175">
        <f>SUM(P7:P37)</f>
        <v>81</v>
      </c>
      <c r="Q38" s="174">
        <f>IF(P38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+(P37*Q37))/P38)</f>
        <v>1423.7037037037037</v>
      </c>
      <c r="R38" s="175">
        <f>SUM(R7:R37)</f>
        <v>21</v>
      </c>
      <c r="S38" s="174">
        <f>IF(R38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+(R37*S37))/R38)</f>
        <v>190.08904761904762</v>
      </c>
      <c r="T38" s="174"/>
      <c r="U38" s="175"/>
      <c r="V38" s="174"/>
      <c r="W38" s="175"/>
      <c r="X38" s="174"/>
      <c r="Y38" s="175">
        <f>SUM(Y7:Y37)</f>
        <v>1084</v>
      </c>
      <c r="Z38" s="177">
        <f>SUM(Z7:Z37)</f>
        <v>1443380.5286190461</v>
      </c>
      <c r="AA38" s="176">
        <f>IF(Z38=0,0,Z38/Y38)</f>
        <v>1331.5318529695996</v>
      </c>
      <c r="AB38" s="178">
        <f>Y38/(AB6*D2)</f>
        <v>0.43709677419354837</v>
      </c>
      <c r="AC38" s="126"/>
      <c r="AD38" s="127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28" customFormat="1" ht="17.100000000000001" customHeight="1" thickBot="1" x14ac:dyDescent="0.3">
      <c r="A39" s="179" t="s">
        <v>71</v>
      </c>
      <c r="B39" s="180"/>
      <c r="C39" s="180"/>
      <c r="D39" s="771">
        <f>+E38*D38</f>
        <v>0</v>
      </c>
      <c r="E39" s="767"/>
      <c r="F39" s="766">
        <f>+G38*F38</f>
        <v>836461.27195238101</v>
      </c>
      <c r="G39" s="767"/>
      <c r="H39" s="766">
        <f>+I38*H38</f>
        <v>24336.429999999997</v>
      </c>
      <c r="I39" s="767"/>
      <c r="J39" s="766">
        <f>+K38*J38</f>
        <v>61252.35</v>
      </c>
      <c r="K39" s="767"/>
      <c r="L39" s="766">
        <f>+M38*L38</f>
        <v>94671.256666666479</v>
      </c>
      <c r="M39" s="767"/>
      <c r="N39" s="766">
        <f>+O38*N38</f>
        <v>307347.34999999939</v>
      </c>
      <c r="O39" s="767"/>
      <c r="P39" s="766">
        <f>+Q38*P38</f>
        <v>115320</v>
      </c>
      <c r="Q39" s="767"/>
      <c r="R39" s="766">
        <f>+S38*R38</f>
        <v>3991.87</v>
      </c>
      <c r="S39" s="768"/>
      <c r="T39" s="181"/>
      <c r="U39" s="182"/>
      <c r="V39" s="181"/>
      <c r="W39" s="182"/>
      <c r="X39" s="181"/>
      <c r="Y39" s="183"/>
      <c r="Z39" s="184"/>
      <c r="AA39" s="184"/>
      <c r="AB39" s="185"/>
      <c r="AC39" s="126"/>
      <c r="AD39" s="127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  <c r="BC39" s="126"/>
    </row>
    <row r="40" spans="1:56" s="111" customFormat="1" ht="13.5" thickTop="1" x14ac:dyDescent="0.2">
      <c r="L40" s="211"/>
      <c r="P40" s="211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F41" s="211"/>
      <c r="Q41" s="226"/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G42" s="226"/>
      <c r="Q42" s="226"/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48" s="384"/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9:56" s="111" customFormat="1" x14ac:dyDescent="0.2"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9:56" s="111" customFormat="1" x14ac:dyDescent="0.2"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  <row r="53" spans="29:56" s="111" customFormat="1" x14ac:dyDescent="0.2">
      <c r="AC53" s="112"/>
      <c r="AD53" s="113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4"/>
    </row>
  </sheetData>
  <mergeCells count="21">
    <mergeCell ref="D39:E39"/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  <mergeCell ref="R5:S5"/>
    <mergeCell ref="R39:S39"/>
    <mergeCell ref="P39:Q39"/>
    <mergeCell ref="F39:G39"/>
    <mergeCell ref="H39:I39"/>
    <mergeCell ref="J39:K39"/>
    <mergeCell ref="L39:M39"/>
    <mergeCell ref="N39:O39"/>
  </mergeCells>
  <phoneticPr fontId="74" type="noConversion"/>
  <dataValidations count="1">
    <dataValidation type="textLength" errorStyle="information" allowBlank="1" showInputMessage="1" showErrorMessage="1" error="XLBVal:2=0_x000d__x000a_" sqref="C27:C37 HZ27:HZ37 RV27:RV37 ABR27:ABR37 ALN27:ALN37 AVJ27:AVJ37 BFF27:BFF37 BPB27:BPB37 BYX27:BYX37 CIT27:CIT37 CSP27:CSP37 DCL27:DCL37 DMH27:DMH37 DWD27:DWD37 EFZ27:EFZ37 EPV27:EPV37 EZR27:EZR37 FJN27:FJN37 FTJ27:FTJ37 GDF27:GDF37 GNB27:GNB37 GWX27:GWX37 HGT27:HGT37 HQP27:HQP37 IAL27:IAL37 IKH27:IKH37 IUD27:IUD37 JDZ27:JDZ37 JNV27:JNV37 JXR27:JXR37 KHN27:KHN37 KRJ27:KRJ37 LBF27:LBF37 LLB27:LLB37 LUX27:LUX37 MET27:MET37 MOP27:MOP37 MYL27:MYL37 NIH27:NIH37 NSD27:NSD37 OBZ27:OBZ37 OLV27:OLV37 OVR27:OVR37 PFN27:PFN37 PPJ27:PPJ37 PZF27:PZF37 QJB27:QJB37 QSX27:QSX37 RCT27:RCT37 RMP27:RMP37 RWL27:RWL37 SGH27:SGH37 SQD27:SQD37 SZZ27:SZZ37 TJV27:TJV37 TTR27:TTR37 UDN27:UDN37 UNJ27:UNJ37 UXF27:UXF37 VHB27:VHB37 VQX27:VQX37 WAT27:WAT37 WKP27:WKP37 WUL27:WUL37 C65511:C65521 HZ65511:HZ65521 RV65511:RV65521 ABR65511:ABR65521 ALN65511:ALN65521 AVJ65511:AVJ65521 BFF65511:BFF65521 BPB65511:BPB65521 BYX65511:BYX65521 CIT65511:CIT65521 CSP65511:CSP65521 DCL65511:DCL65521 DMH65511:DMH65521 DWD65511:DWD65521 EFZ65511:EFZ65521 EPV65511:EPV65521 EZR65511:EZR65521 FJN65511:FJN65521 FTJ65511:FTJ65521 GDF65511:GDF65521 GNB65511:GNB65521 GWX65511:GWX65521 HGT65511:HGT65521 HQP65511:HQP65521 IAL65511:IAL65521 IKH65511:IKH65521 IUD65511:IUD65521 JDZ65511:JDZ65521 JNV65511:JNV65521 JXR65511:JXR65521 KHN65511:KHN65521 KRJ65511:KRJ65521 LBF65511:LBF65521 LLB65511:LLB65521 LUX65511:LUX65521 MET65511:MET65521 MOP65511:MOP65521 MYL65511:MYL65521 NIH65511:NIH65521 NSD65511:NSD65521 OBZ65511:OBZ65521 OLV65511:OLV65521 OVR65511:OVR65521 PFN65511:PFN65521 PPJ65511:PPJ65521 PZF65511:PZF65521 QJB65511:QJB65521 QSX65511:QSX65521 RCT65511:RCT65521 RMP65511:RMP65521 RWL65511:RWL65521 SGH65511:SGH65521 SQD65511:SQD65521 SZZ65511:SZZ65521 TJV65511:TJV65521 TTR65511:TTR65521 UDN65511:UDN65521 UNJ65511:UNJ65521 UXF65511:UXF65521 VHB65511:VHB65521 VQX65511:VQX65521 WAT65511:WAT65521 WKP65511:WKP65521 WUL65511:WUL65521 C131047:C131057 HZ131047:HZ131057 RV131047:RV131057 ABR131047:ABR131057 ALN131047:ALN131057 AVJ131047:AVJ131057 BFF131047:BFF131057 BPB131047:BPB131057 BYX131047:BYX131057 CIT131047:CIT131057 CSP131047:CSP131057 DCL131047:DCL131057 DMH131047:DMH131057 DWD131047:DWD131057 EFZ131047:EFZ131057 EPV131047:EPV131057 EZR131047:EZR131057 FJN131047:FJN131057 FTJ131047:FTJ131057 GDF131047:GDF131057 GNB131047:GNB131057 GWX131047:GWX131057 HGT131047:HGT131057 HQP131047:HQP131057 IAL131047:IAL131057 IKH131047:IKH131057 IUD131047:IUD131057 JDZ131047:JDZ131057 JNV131047:JNV131057 JXR131047:JXR131057 KHN131047:KHN131057 KRJ131047:KRJ131057 LBF131047:LBF131057 LLB131047:LLB131057 LUX131047:LUX131057 MET131047:MET131057 MOP131047:MOP131057 MYL131047:MYL131057 NIH131047:NIH131057 NSD131047:NSD131057 OBZ131047:OBZ131057 OLV131047:OLV131057 OVR131047:OVR131057 PFN131047:PFN131057 PPJ131047:PPJ131057 PZF131047:PZF131057 QJB131047:QJB131057 QSX131047:QSX131057 RCT131047:RCT131057 RMP131047:RMP131057 RWL131047:RWL131057 SGH131047:SGH131057 SQD131047:SQD131057 SZZ131047:SZZ131057 TJV131047:TJV131057 TTR131047:TTR131057 UDN131047:UDN131057 UNJ131047:UNJ131057 UXF131047:UXF131057 VHB131047:VHB131057 VQX131047:VQX131057 WAT131047:WAT131057 WKP131047:WKP131057 WUL131047:WUL131057 C196583:C196593 HZ196583:HZ196593 RV196583:RV196593 ABR196583:ABR196593 ALN196583:ALN196593 AVJ196583:AVJ196593 BFF196583:BFF196593 BPB196583:BPB196593 BYX196583:BYX196593 CIT196583:CIT196593 CSP196583:CSP196593 DCL196583:DCL196593 DMH196583:DMH196593 DWD196583:DWD196593 EFZ196583:EFZ196593 EPV196583:EPV196593 EZR196583:EZR196593 FJN196583:FJN196593 FTJ196583:FTJ196593 GDF196583:GDF196593 GNB196583:GNB196593 GWX196583:GWX196593 HGT196583:HGT196593 HQP196583:HQP196593 IAL196583:IAL196593 IKH196583:IKH196593 IUD196583:IUD196593 JDZ196583:JDZ196593 JNV196583:JNV196593 JXR196583:JXR196593 KHN196583:KHN196593 KRJ196583:KRJ196593 LBF196583:LBF196593 LLB196583:LLB196593 LUX196583:LUX196593 MET196583:MET196593 MOP196583:MOP196593 MYL196583:MYL196593 NIH196583:NIH196593 NSD196583:NSD196593 OBZ196583:OBZ196593 OLV196583:OLV196593 OVR196583:OVR196593 PFN196583:PFN196593 PPJ196583:PPJ196593 PZF196583:PZF196593 QJB196583:QJB196593 QSX196583:QSX196593 RCT196583:RCT196593 RMP196583:RMP196593 RWL196583:RWL196593 SGH196583:SGH196593 SQD196583:SQD196593 SZZ196583:SZZ196593 TJV196583:TJV196593 TTR196583:TTR196593 UDN196583:UDN196593 UNJ196583:UNJ196593 UXF196583:UXF196593 VHB196583:VHB196593 VQX196583:VQX196593 WAT196583:WAT196593 WKP196583:WKP196593 WUL196583:WUL196593 C262119:C262129 HZ262119:HZ262129 RV262119:RV262129 ABR262119:ABR262129 ALN262119:ALN262129 AVJ262119:AVJ262129 BFF262119:BFF262129 BPB262119:BPB262129 BYX262119:BYX262129 CIT262119:CIT262129 CSP262119:CSP262129 DCL262119:DCL262129 DMH262119:DMH262129 DWD262119:DWD262129 EFZ262119:EFZ262129 EPV262119:EPV262129 EZR262119:EZR262129 FJN262119:FJN262129 FTJ262119:FTJ262129 GDF262119:GDF262129 GNB262119:GNB262129 GWX262119:GWX262129 HGT262119:HGT262129 HQP262119:HQP262129 IAL262119:IAL262129 IKH262119:IKH262129 IUD262119:IUD262129 JDZ262119:JDZ262129 JNV262119:JNV262129 JXR262119:JXR262129 KHN262119:KHN262129 KRJ262119:KRJ262129 LBF262119:LBF262129 LLB262119:LLB262129 LUX262119:LUX262129 MET262119:MET262129 MOP262119:MOP262129 MYL262119:MYL262129 NIH262119:NIH262129 NSD262119:NSD262129 OBZ262119:OBZ262129 OLV262119:OLV262129 OVR262119:OVR262129 PFN262119:PFN262129 PPJ262119:PPJ262129 PZF262119:PZF262129 QJB262119:QJB262129 QSX262119:QSX262129 RCT262119:RCT262129 RMP262119:RMP262129 RWL262119:RWL262129 SGH262119:SGH262129 SQD262119:SQD262129 SZZ262119:SZZ262129 TJV262119:TJV262129 TTR262119:TTR262129 UDN262119:UDN262129 UNJ262119:UNJ262129 UXF262119:UXF262129 VHB262119:VHB262129 VQX262119:VQX262129 WAT262119:WAT262129 WKP262119:WKP262129 WUL262119:WUL262129 C327655:C327665 HZ327655:HZ327665 RV327655:RV327665 ABR327655:ABR327665 ALN327655:ALN327665 AVJ327655:AVJ327665 BFF327655:BFF327665 BPB327655:BPB327665 BYX327655:BYX327665 CIT327655:CIT327665 CSP327655:CSP327665 DCL327655:DCL327665 DMH327655:DMH327665 DWD327655:DWD327665 EFZ327655:EFZ327665 EPV327655:EPV327665 EZR327655:EZR327665 FJN327655:FJN327665 FTJ327655:FTJ327665 GDF327655:GDF327665 GNB327655:GNB327665 GWX327655:GWX327665 HGT327655:HGT327665 HQP327655:HQP327665 IAL327655:IAL327665 IKH327655:IKH327665 IUD327655:IUD327665 JDZ327655:JDZ327665 JNV327655:JNV327665 JXR327655:JXR327665 KHN327655:KHN327665 KRJ327655:KRJ327665 LBF327655:LBF327665 LLB327655:LLB327665 LUX327655:LUX327665 MET327655:MET327665 MOP327655:MOP327665 MYL327655:MYL327665 NIH327655:NIH327665 NSD327655:NSD327665 OBZ327655:OBZ327665 OLV327655:OLV327665 OVR327655:OVR327665 PFN327655:PFN327665 PPJ327655:PPJ327665 PZF327655:PZF327665 QJB327655:QJB327665 QSX327655:QSX327665 RCT327655:RCT327665 RMP327655:RMP327665 RWL327655:RWL327665 SGH327655:SGH327665 SQD327655:SQD327665 SZZ327655:SZZ327665 TJV327655:TJV327665 TTR327655:TTR327665 UDN327655:UDN327665 UNJ327655:UNJ327665 UXF327655:UXF327665 VHB327655:VHB327665 VQX327655:VQX327665 WAT327655:WAT327665 WKP327655:WKP327665 WUL327655:WUL327665 C393191:C393201 HZ393191:HZ393201 RV393191:RV393201 ABR393191:ABR393201 ALN393191:ALN393201 AVJ393191:AVJ393201 BFF393191:BFF393201 BPB393191:BPB393201 BYX393191:BYX393201 CIT393191:CIT393201 CSP393191:CSP393201 DCL393191:DCL393201 DMH393191:DMH393201 DWD393191:DWD393201 EFZ393191:EFZ393201 EPV393191:EPV393201 EZR393191:EZR393201 FJN393191:FJN393201 FTJ393191:FTJ393201 GDF393191:GDF393201 GNB393191:GNB393201 GWX393191:GWX393201 HGT393191:HGT393201 HQP393191:HQP393201 IAL393191:IAL393201 IKH393191:IKH393201 IUD393191:IUD393201 JDZ393191:JDZ393201 JNV393191:JNV393201 JXR393191:JXR393201 KHN393191:KHN393201 KRJ393191:KRJ393201 LBF393191:LBF393201 LLB393191:LLB393201 LUX393191:LUX393201 MET393191:MET393201 MOP393191:MOP393201 MYL393191:MYL393201 NIH393191:NIH393201 NSD393191:NSD393201 OBZ393191:OBZ393201 OLV393191:OLV393201 OVR393191:OVR393201 PFN393191:PFN393201 PPJ393191:PPJ393201 PZF393191:PZF393201 QJB393191:QJB393201 QSX393191:QSX393201 RCT393191:RCT393201 RMP393191:RMP393201 RWL393191:RWL393201 SGH393191:SGH393201 SQD393191:SQD393201 SZZ393191:SZZ393201 TJV393191:TJV393201 TTR393191:TTR393201 UDN393191:UDN393201 UNJ393191:UNJ393201 UXF393191:UXF393201 VHB393191:VHB393201 VQX393191:VQX393201 WAT393191:WAT393201 WKP393191:WKP393201 WUL393191:WUL393201 C458727:C458737 HZ458727:HZ458737 RV458727:RV458737 ABR458727:ABR458737 ALN458727:ALN458737 AVJ458727:AVJ458737 BFF458727:BFF458737 BPB458727:BPB458737 BYX458727:BYX458737 CIT458727:CIT458737 CSP458727:CSP458737 DCL458727:DCL458737 DMH458727:DMH458737 DWD458727:DWD458737 EFZ458727:EFZ458737 EPV458727:EPV458737 EZR458727:EZR458737 FJN458727:FJN458737 FTJ458727:FTJ458737 GDF458727:GDF458737 GNB458727:GNB458737 GWX458727:GWX458737 HGT458727:HGT458737 HQP458727:HQP458737 IAL458727:IAL458737 IKH458727:IKH458737 IUD458727:IUD458737 JDZ458727:JDZ458737 JNV458727:JNV458737 JXR458727:JXR458737 KHN458727:KHN458737 KRJ458727:KRJ458737 LBF458727:LBF458737 LLB458727:LLB458737 LUX458727:LUX458737 MET458727:MET458737 MOP458727:MOP458737 MYL458727:MYL458737 NIH458727:NIH458737 NSD458727:NSD458737 OBZ458727:OBZ458737 OLV458727:OLV458737 OVR458727:OVR458737 PFN458727:PFN458737 PPJ458727:PPJ458737 PZF458727:PZF458737 QJB458727:QJB458737 QSX458727:QSX458737 RCT458727:RCT458737 RMP458727:RMP458737 RWL458727:RWL458737 SGH458727:SGH458737 SQD458727:SQD458737 SZZ458727:SZZ458737 TJV458727:TJV458737 TTR458727:TTR458737 UDN458727:UDN458737 UNJ458727:UNJ458737 UXF458727:UXF458737 VHB458727:VHB458737 VQX458727:VQX458737 WAT458727:WAT458737 WKP458727:WKP458737 WUL458727:WUL458737 C524263:C524273 HZ524263:HZ524273 RV524263:RV524273 ABR524263:ABR524273 ALN524263:ALN524273 AVJ524263:AVJ524273 BFF524263:BFF524273 BPB524263:BPB524273 BYX524263:BYX524273 CIT524263:CIT524273 CSP524263:CSP524273 DCL524263:DCL524273 DMH524263:DMH524273 DWD524263:DWD524273 EFZ524263:EFZ524273 EPV524263:EPV524273 EZR524263:EZR524273 FJN524263:FJN524273 FTJ524263:FTJ524273 GDF524263:GDF524273 GNB524263:GNB524273 GWX524263:GWX524273 HGT524263:HGT524273 HQP524263:HQP524273 IAL524263:IAL524273 IKH524263:IKH524273 IUD524263:IUD524273 JDZ524263:JDZ524273 JNV524263:JNV524273 JXR524263:JXR524273 KHN524263:KHN524273 KRJ524263:KRJ524273 LBF524263:LBF524273 LLB524263:LLB524273 LUX524263:LUX524273 MET524263:MET524273 MOP524263:MOP524273 MYL524263:MYL524273 NIH524263:NIH524273 NSD524263:NSD524273 OBZ524263:OBZ524273 OLV524263:OLV524273 OVR524263:OVR524273 PFN524263:PFN524273 PPJ524263:PPJ524273 PZF524263:PZF524273 QJB524263:QJB524273 QSX524263:QSX524273 RCT524263:RCT524273 RMP524263:RMP524273 RWL524263:RWL524273 SGH524263:SGH524273 SQD524263:SQD524273 SZZ524263:SZZ524273 TJV524263:TJV524273 TTR524263:TTR524273 UDN524263:UDN524273 UNJ524263:UNJ524273 UXF524263:UXF524273 VHB524263:VHB524273 VQX524263:VQX524273 WAT524263:WAT524273 WKP524263:WKP524273 WUL524263:WUL524273 C589799:C589809 HZ589799:HZ589809 RV589799:RV589809 ABR589799:ABR589809 ALN589799:ALN589809 AVJ589799:AVJ589809 BFF589799:BFF589809 BPB589799:BPB589809 BYX589799:BYX589809 CIT589799:CIT589809 CSP589799:CSP589809 DCL589799:DCL589809 DMH589799:DMH589809 DWD589799:DWD589809 EFZ589799:EFZ589809 EPV589799:EPV589809 EZR589799:EZR589809 FJN589799:FJN589809 FTJ589799:FTJ589809 GDF589799:GDF589809 GNB589799:GNB589809 GWX589799:GWX589809 HGT589799:HGT589809 HQP589799:HQP589809 IAL589799:IAL589809 IKH589799:IKH589809 IUD589799:IUD589809 JDZ589799:JDZ589809 JNV589799:JNV589809 JXR589799:JXR589809 KHN589799:KHN589809 KRJ589799:KRJ589809 LBF589799:LBF589809 LLB589799:LLB589809 LUX589799:LUX589809 MET589799:MET589809 MOP589799:MOP589809 MYL589799:MYL589809 NIH589799:NIH589809 NSD589799:NSD589809 OBZ589799:OBZ589809 OLV589799:OLV589809 OVR589799:OVR589809 PFN589799:PFN589809 PPJ589799:PPJ589809 PZF589799:PZF589809 QJB589799:QJB589809 QSX589799:QSX589809 RCT589799:RCT589809 RMP589799:RMP589809 RWL589799:RWL589809 SGH589799:SGH589809 SQD589799:SQD589809 SZZ589799:SZZ589809 TJV589799:TJV589809 TTR589799:TTR589809 UDN589799:UDN589809 UNJ589799:UNJ589809 UXF589799:UXF589809 VHB589799:VHB589809 VQX589799:VQX589809 WAT589799:WAT589809 WKP589799:WKP589809 WUL589799:WUL589809 C655335:C655345 HZ655335:HZ655345 RV655335:RV655345 ABR655335:ABR655345 ALN655335:ALN655345 AVJ655335:AVJ655345 BFF655335:BFF655345 BPB655335:BPB655345 BYX655335:BYX655345 CIT655335:CIT655345 CSP655335:CSP655345 DCL655335:DCL655345 DMH655335:DMH655345 DWD655335:DWD655345 EFZ655335:EFZ655345 EPV655335:EPV655345 EZR655335:EZR655345 FJN655335:FJN655345 FTJ655335:FTJ655345 GDF655335:GDF655345 GNB655335:GNB655345 GWX655335:GWX655345 HGT655335:HGT655345 HQP655335:HQP655345 IAL655335:IAL655345 IKH655335:IKH655345 IUD655335:IUD655345 JDZ655335:JDZ655345 JNV655335:JNV655345 JXR655335:JXR655345 KHN655335:KHN655345 KRJ655335:KRJ655345 LBF655335:LBF655345 LLB655335:LLB655345 LUX655335:LUX655345 MET655335:MET655345 MOP655335:MOP655345 MYL655335:MYL655345 NIH655335:NIH655345 NSD655335:NSD655345 OBZ655335:OBZ655345 OLV655335:OLV655345 OVR655335:OVR655345 PFN655335:PFN655345 PPJ655335:PPJ655345 PZF655335:PZF655345 QJB655335:QJB655345 QSX655335:QSX655345 RCT655335:RCT655345 RMP655335:RMP655345 RWL655335:RWL655345 SGH655335:SGH655345 SQD655335:SQD655345 SZZ655335:SZZ655345 TJV655335:TJV655345 TTR655335:TTR655345 UDN655335:UDN655345 UNJ655335:UNJ655345 UXF655335:UXF655345 VHB655335:VHB655345 VQX655335:VQX655345 WAT655335:WAT655345 WKP655335:WKP655345 WUL655335:WUL655345 C720871:C720881 HZ720871:HZ720881 RV720871:RV720881 ABR720871:ABR720881 ALN720871:ALN720881 AVJ720871:AVJ720881 BFF720871:BFF720881 BPB720871:BPB720881 BYX720871:BYX720881 CIT720871:CIT720881 CSP720871:CSP720881 DCL720871:DCL720881 DMH720871:DMH720881 DWD720871:DWD720881 EFZ720871:EFZ720881 EPV720871:EPV720881 EZR720871:EZR720881 FJN720871:FJN720881 FTJ720871:FTJ720881 GDF720871:GDF720881 GNB720871:GNB720881 GWX720871:GWX720881 HGT720871:HGT720881 HQP720871:HQP720881 IAL720871:IAL720881 IKH720871:IKH720881 IUD720871:IUD720881 JDZ720871:JDZ720881 JNV720871:JNV720881 JXR720871:JXR720881 KHN720871:KHN720881 KRJ720871:KRJ720881 LBF720871:LBF720881 LLB720871:LLB720881 LUX720871:LUX720881 MET720871:MET720881 MOP720871:MOP720881 MYL720871:MYL720881 NIH720871:NIH720881 NSD720871:NSD720881 OBZ720871:OBZ720881 OLV720871:OLV720881 OVR720871:OVR720881 PFN720871:PFN720881 PPJ720871:PPJ720881 PZF720871:PZF720881 QJB720871:QJB720881 QSX720871:QSX720881 RCT720871:RCT720881 RMP720871:RMP720881 RWL720871:RWL720881 SGH720871:SGH720881 SQD720871:SQD720881 SZZ720871:SZZ720881 TJV720871:TJV720881 TTR720871:TTR720881 UDN720871:UDN720881 UNJ720871:UNJ720881 UXF720871:UXF720881 VHB720871:VHB720881 VQX720871:VQX720881 WAT720871:WAT720881 WKP720871:WKP720881 WUL720871:WUL720881 C786407:C786417 HZ786407:HZ786417 RV786407:RV786417 ABR786407:ABR786417 ALN786407:ALN786417 AVJ786407:AVJ786417 BFF786407:BFF786417 BPB786407:BPB786417 BYX786407:BYX786417 CIT786407:CIT786417 CSP786407:CSP786417 DCL786407:DCL786417 DMH786407:DMH786417 DWD786407:DWD786417 EFZ786407:EFZ786417 EPV786407:EPV786417 EZR786407:EZR786417 FJN786407:FJN786417 FTJ786407:FTJ786417 GDF786407:GDF786417 GNB786407:GNB786417 GWX786407:GWX786417 HGT786407:HGT786417 HQP786407:HQP786417 IAL786407:IAL786417 IKH786407:IKH786417 IUD786407:IUD786417 JDZ786407:JDZ786417 JNV786407:JNV786417 JXR786407:JXR786417 KHN786407:KHN786417 KRJ786407:KRJ786417 LBF786407:LBF786417 LLB786407:LLB786417 LUX786407:LUX786417 MET786407:MET786417 MOP786407:MOP786417 MYL786407:MYL786417 NIH786407:NIH786417 NSD786407:NSD786417 OBZ786407:OBZ786417 OLV786407:OLV786417 OVR786407:OVR786417 PFN786407:PFN786417 PPJ786407:PPJ786417 PZF786407:PZF786417 QJB786407:QJB786417 QSX786407:QSX786417 RCT786407:RCT786417 RMP786407:RMP786417 RWL786407:RWL786417 SGH786407:SGH786417 SQD786407:SQD786417 SZZ786407:SZZ786417 TJV786407:TJV786417 TTR786407:TTR786417 UDN786407:UDN786417 UNJ786407:UNJ786417 UXF786407:UXF786417 VHB786407:VHB786417 VQX786407:VQX786417 WAT786407:WAT786417 WKP786407:WKP786417 WUL786407:WUL786417 C851943:C851953 HZ851943:HZ851953 RV851943:RV851953 ABR851943:ABR851953 ALN851943:ALN851953 AVJ851943:AVJ851953 BFF851943:BFF851953 BPB851943:BPB851953 BYX851943:BYX851953 CIT851943:CIT851953 CSP851943:CSP851953 DCL851943:DCL851953 DMH851943:DMH851953 DWD851943:DWD851953 EFZ851943:EFZ851953 EPV851943:EPV851953 EZR851943:EZR851953 FJN851943:FJN851953 FTJ851943:FTJ851953 GDF851943:GDF851953 GNB851943:GNB851953 GWX851943:GWX851953 HGT851943:HGT851953 HQP851943:HQP851953 IAL851943:IAL851953 IKH851943:IKH851953 IUD851943:IUD851953 JDZ851943:JDZ851953 JNV851943:JNV851953 JXR851943:JXR851953 KHN851943:KHN851953 KRJ851943:KRJ851953 LBF851943:LBF851953 LLB851943:LLB851953 LUX851943:LUX851953 MET851943:MET851953 MOP851943:MOP851953 MYL851943:MYL851953 NIH851943:NIH851953 NSD851943:NSD851953 OBZ851943:OBZ851953 OLV851943:OLV851953 OVR851943:OVR851953 PFN851943:PFN851953 PPJ851943:PPJ851953 PZF851943:PZF851953 QJB851943:QJB851953 QSX851943:QSX851953 RCT851943:RCT851953 RMP851943:RMP851953 RWL851943:RWL851953 SGH851943:SGH851953 SQD851943:SQD851953 SZZ851943:SZZ851953 TJV851943:TJV851953 TTR851943:TTR851953 UDN851943:UDN851953 UNJ851943:UNJ851953 UXF851943:UXF851953 VHB851943:VHB851953 VQX851943:VQX851953 WAT851943:WAT851953 WKP851943:WKP851953 WUL851943:WUL851953 C917479:C917489 HZ917479:HZ917489 RV917479:RV917489 ABR917479:ABR917489 ALN917479:ALN917489 AVJ917479:AVJ917489 BFF917479:BFF917489 BPB917479:BPB917489 BYX917479:BYX917489 CIT917479:CIT917489 CSP917479:CSP917489 DCL917479:DCL917489 DMH917479:DMH917489 DWD917479:DWD917489 EFZ917479:EFZ917489 EPV917479:EPV917489 EZR917479:EZR917489 FJN917479:FJN917489 FTJ917479:FTJ917489 GDF917479:GDF917489 GNB917479:GNB917489 GWX917479:GWX917489 HGT917479:HGT917489 HQP917479:HQP917489 IAL917479:IAL917489 IKH917479:IKH917489 IUD917479:IUD917489 JDZ917479:JDZ917489 JNV917479:JNV917489 JXR917479:JXR917489 KHN917479:KHN917489 KRJ917479:KRJ917489 LBF917479:LBF917489 LLB917479:LLB917489 LUX917479:LUX917489 MET917479:MET917489 MOP917479:MOP917489 MYL917479:MYL917489 NIH917479:NIH917489 NSD917479:NSD917489 OBZ917479:OBZ917489 OLV917479:OLV917489 OVR917479:OVR917489 PFN917479:PFN917489 PPJ917479:PPJ917489 PZF917479:PZF917489 QJB917479:QJB917489 QSX917479:QSX917489 RCT917479:RCT917489 RMP917479:RMP917489 RWL917479:RWL917489 SGH917479:SGH917489 SQD917479:SQD917489 SZZ917479:SZZ917489 TJV917479:TJV917489 TTR917479:TTR917489 UDN917479:UDN917489 UNJ917479:UNJ917489 UXF917479:UXF917489 VHB917479:VHB917489 VQX917479:VQX917489 WAT917479:WAT917489 WKP917479:WKP917489 WUL917479:WUL917489 C983015:C983025 HZ983015:HZ983025 RV983015:RV983025 ABR983015:ABR983025 ALN983015:ALN983025 AVJ983015:AVJ983025 BFF983015:BFF983025 BPB983015:BPB983025 BYX983015:BYX983025 CIT983015:CIT983025 CSP983015:CSP983025 DCL983015:DCL983025 DMH983015:DMH983025 DWD983015:DWD983025 EFZ983015:EFZ983025 EPV983015:EPV983025 EZR983015:EZR983025 FJN983015:FJN983025 FTJ983015:FTJ983025 GDF983015:GDF983025 GNB983015:GNB983025 GWX983015:GWX983025 HGT983015:HGT983025 HQP983015:HQP983025 IAL983015:IAL983025 IKH983015:IKH983025 IUD983015:IUD983025 JDZ983015:JDZ983025 JNV983015:JNV983025 JXR983015:JXR983025 KHN983015:KHN983025 KRJ983015:KRJ983025 LBF983015:LBF983025 LLB983015:LLB983025 LUX983015:LUX983025 MET983015:MET983025 MOP983015:MOP983025 MYL983015:MYL983025 NIH983015:NIH983025 NSD983015:NSD983025 OBZ983015:OBZ983025 OLV983015:OLV983025 OVR983015:OVR983025 PFN983015:PFN983025 PPJ983015:PPJ983025 PZF983015:PZF983025 QJB983015:QJB983025 QSX983015:QSX983025 RCT983015:RCT983025 RMP983015:RMP983025 RWL983015:RWL983025 SGH983015:SGH983025 SQD983015:SQD983025 SZZ983015:SZZ983025 TJV983015:TJV983025 TTR983015:TTR983025 UDN983015:UDN983025 UNJ983015:UNJ983025 UXF983015:UXF983025 VHB983015:VHB983025 VQX983015:VQX983025 WAT983015:WAT983025 WKP983015:WKP983025 WUL983015:WUL983025" xr:uid="{00000000-0002-0000-04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1" orientation="landscape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0">
    <pageSetUpPr fitToPage="1"/>
  </sheetPr>
  <dimension ref="B1:T36"/>
  <sheetViews>
    <sheetView view="pageBreakPreview" zoomScale="50" zoomScaleNormal="50" zoomScaleSheetLayoutView="50" workbookViewId="0">
      <pane xSplit="2" ySplit="6" topLeftCell="C7" activePane="bottomRight" state="frozen"/>
      <selection activeCell="C4" sqref="C4"/>
      <selection pane="topRight" activeCell="C4" sqref="C4"/>
      <selection pane="bottomLeft" activeCell="C4" sqref="C4"/>
      <selection pane="bottomRight" activeCell="N8" sqref="N8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2.71093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9.140625" style="5"/>
    <col min="20" max="20" width="12.140625" style="5" bestFit="1" customWidth="1"/>
    <col min="21" max="16384" width="9.140625" style="5"/>
  </cols>
  <sheetData>
    <row r="1" spans="2:20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0" s="1" customFormat="1" ht="26.25" x14ac:dyDescent="0.4">
      <c r="B2" s="759" t="s">
        <v>125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0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  <c r="T3" s="5">
        <f>102+391+25</f>
        <v>518</v>
      </c>
    </row>
    <row r="4" spans="2:20" ht="33" customHeight="1" outlineLevel="1" x14ac:dyDescent="0.35">
      <c r="B4" s="6" t="s">
        <v>1</v>
      </c>
      <c r="C4" s="7">
        <f>155*31</f>
        <v>4805</v>
      </c>
      <c r="D4" s="8"/>
      <c r="E4" s="9"/>
      <c r="F4" s="10"/>
      <c r="G4" s="7">
        <f>80*31</f>
        <v>2480</v>
      </c>
      <c r="H4" s="11"/>
      <c r="I4" s="11"/>
      <c r="J4" s="11"/>
      <c r="K4" s="7">
        <f>80*31</f>
        <v>2480</v>
      </c>
      <c r="L4" s="12"/>
      <c r="M4" s="12"/>
      <c r="N4" s="12"/>
      <c r="O4" s="12"/>
      <c r="P4" s="12"/>
      <c r="Q4" s="13"/>
    </row>
    <row r="5" spans="2:20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106</v>
      </c>
      <c r="P5" s="763"/>
      <c r="Q5" s="764"/>
    </row>
    <row r="6" spans="2:20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0" s="94" customFormat="1" ht="33" customHeight="1" outlineLevel="1" x14ac:dyDescent="0.3">
      <c r="B7" s="89" t="s">
        <v>37</v>
      </c>
      <c r="C7" s="90">
        <v>0</v>
      </c>
      <c r="D7" s="91">
        <f t="shared" ref="D7:D16" si="0">+IF(C$24=0,0,C7/C$24)</f>
        <v>0</v>
      </c>
      <c r="E7" s="92">
        <f t="shared" ref="E7:E16" si="1">IF(C7=0,0,F7/C7)</f>
        <v>0</v>
      </c>
      <c r="F7" s="93">
        <v>0</v>
      </c>
      <c r="G7" s="90">
        <v>21</v>
      </c>
      <c r="H7" s="91">
        <f t="shared" ref="H7:H16" si="2">+IF(G$24=0,0,G7/G$24)</f>
        <v>2.3890784982935155E-2</v>
      </c>
      <c r="I7" s="92">
        <f t="shared" ref="I7:I16" si="3">IF(G7=0,0,J7/G7)</f>
        <v>695.23809523809518</v>
      </c>
      <c r="J7" s="93">
        <v>14600</v>
      </c>
      <c r="K7" s="90">
        <f>'DAugust 2022'!D38</f>
        <v>0</v>
      </c>
      <c r="L7" s="91">
        <f>+IF(K$24=0,0,K7/K$24)</f>
        <v>0</v>
      </c>
      <c r="M7" s="92">
        <f>IF(K7=0,0,N7/K7)</f>
        <v>0</v>
      </c>
      <c r="N7" s="93">
        <f>'DAugust 2022'!D39</f>
        <v>0</v>
      </c>
      <c r="O7" s="90">
        <f t="shared" ref="O7:O24" si="4">K7-G7</f>
        <v>-21</v>
      </c>
      <c r="P7" s="92">
        <f t="shared" ref="P7:P24" si="5">M7-I7</f>
        <v>-695.23809523809518</v>
      </c>
      <c r="Q7" s="93">
        <f t="shared" ref="Q7:Q24" si="6">N7-J7</f>
        <v>-14600</v>
      </c>
      <c r="T7" s="210">
        <f>P7/I7</f>
        <v>-1</v>
      </c>
    </row>
    <row r="8" spans="2:20" s="94" customFormat="1" ht="33" customHeight="1" outlineLevel="1" x14ac:dyDescent="0.3">
      <c r="B8" s="89" t="s">
        <v>38</v>
      </c>
      <c r="C8" s="90">
        <v>282</v>
      </c>
      <c r="D8" s="91">
        <f t="shared" si="0"/>
        <v>0.71938775510204078</v>
      </c>
      <c r="E8" s="92">
        <f t="shared" si="1"/>
        <v>987.34595744680848</v>
      </c>
      <c r="F8" s="93">
        <v>278431.56</v>
      </c>
      <c r="G8" s="90">
        <v>576</v>
      </c>
      <c r="H8" s="91">
        <f t="shared" si="2"/>
        <v>0.65529010238907848</v>
      </c>
      <c r="I8" s="92">
        <f t="shared" si="3"/>
        <v>1031.8854166666667</v>
      </c>
      <c r="J8" s="93">
        <v>594366</v>
      </c>
      <c r="K8" s="90">
        <f>'DAugust 2022'!F38</f>
        <v>656</v>
      </c>
      <c r="L8" s="91">
        <f t="shared" ref="L8:L16" si="7">+IF(K$24=0,0,K8/K$24)</f>
        <v>0.60516605166051662</v>
      </c>
      <c r="M8" s="92">
        <f>IF(K8=0,0,N8/K8)</f>
        <v>1275.0934023664345</v>
      </c>
      <c r="N8" s="93">
        <f>'DAugust 2022'!F39</f>
        <v>836461.27195238101</v>
      </c>
      <c r="O8" s="90">
        <f t="shared" si="4"/>
        <v>80</v>
      </c>
      <c r="P8" s="92">
        <f t="shared" si="5"/>
        <v>243.20798569976773</v>
      </c>
      <c r="Q8" s="93">
        <f t="shared" si="6"/>
        <v>242095.27195238101</v>
      </c>
      <c r="T8" s="210">
        <f t="shared" ref="T8:T16" si="8">P8/I8</f>
        <v>0.23569282186912813</v>
      </c>
    </row>
    <row r="9" spans="2:20" s="94" customFormat="1" ht="20.25" outlineLevel="1" x14ac:dyDescent="0.3">
      <c r="B9" s="89" t="s">
        <v>44</v>
      </c>
      <c r="C9" s="90">
        <v>51</v>
      </c>
      <c r="D9" s="91">
        <f t="shared" si="0"/>
        <v>0.13010204081632654</v>
      </c>
      <c r="E9" s="92">
        <f t="shared" si="1"/>
        <v>941.26352941176481</v>
      </c>
      <c r="F9" s="93">
        <v>48004.44</v>
      </c>
      <c r="G9" s="90">
        <v>37</v>
      </c>
      <c r="H9" s="91">
        <f t="shared" si="2"/>
        <v>4.209328782707622E-2</v>
      </c>
      <c r="I9" s="92">
        <f t="shared" si="3"/>
        <v>1039.1891891891892</v>
      </c>
      <c r="J9" s="93">
        <v>38450</v>
      </c>
      <c r="K9" s="90">
        <f>'DAugust 2022'!H38</f>
        <v>21</v>
      </c>
      <c r="L9" s="91">
        <f t="shared" si="7"/>
        <v>1.9372693726937271E-2</v>
      </c>
      <c r="M9" s="92">
        <f>IF(K9=0,0,N9/K9)</f>
        <v>1158.877619047619</v>
      </c>
      <c r="N9" s="93">
        <f>'DAugust 2022'!H39</f>
        <v>24336.429999999997</v>
      </c>
      <c r="O9" s="90">
        <f t="shared" si="4"/>
        <v>-16</v>
      </c>
      <c r="P9" s="92">
        <f t="shared" si="5"/>
        <v>119.6884298584298</v>
      </c>
      <c r="Q9" s="93">
        <f t="shared" si="6"/>
        <v>-14113.570000000003</v>
      </c>
      <c r="T9" s="210">
        <f t="shared" si="8"/>
        <v>0.11517482197040059</v>
      </c>
    </row>
    <row r="10" spans="2:20" ht="33" customHeight="1" x14ac:dyDescent="0.35">
      <c r="B10" s="20" t="s">
        <v>36</v>
      </c>
      <c r="C10" s="55">
        <f>SUM(C7:C9)</f>
        <v>333</v>
      </c>
      <c r="D10" s="21">
        <f t="shared" si="0"/>
        <v>0.84948979591836737</v>
      </c>
      <c r="E10" s="58">
        <f t="shared" si="1"/>
        <v>980.2882882882883</v>
      </c>
      <c r="F10" s="59">
        <f>SUM(F7:F9)</f>
        <v>326436</v>
      </c>
      <c r="G10" s="55">
        <f>SUM(G7:G9)</f>
        <v>634</v>
      </c>
      <c r="H10" s="21">
        <f t="shared" si="2"/>
        <v>0.72127417519908987</v>
      </c>
      <c r="I10" s="58">
        <f t="shared" si="3"/>
        <v>1021.160883280757</v>
      </c>
      <c r="J10" s="59">
        <f>SUM(J7:J9)</f>
        <v>647416</v>
      </c>
      <c r="K10" s="55">
        <f>SUM(K7:K9)</f>
        <v>677</v>
      </c>
      <c r="L10" s="21">
        <f t="shared" si="7"/>
        <v>0.62453874538745391</v>
      </c>
      <c r="M10" s="58">
        <f>IF(K10=0,0,N10/K10)</f>
        <v>1271.488481465851</v>
      </c>
      <c r="N10" s="59">
        <f>SUM(N7:N9)</f>
        <v>860797.70195238106</v>
      </c>
      <c r="O10" s="55">
        <f t="shared" si="4"/>
        <v>43</v>
      </c>
      <c r="P10" s="58">
        <f t="shared" si="5"/>
        <v>250.32759818509396</v>
      </c>
      <c r="Q10" s="59">
        <f t="shared" si="6"/>
        <v>213381.70195238106</v>
      </c>
      <c r="T10" s="210">
        <f t="shared" si="8"/>
        <v>0.24514021471410899</v>
      </c>
    </row>
    <row r="11" spans="2:20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si="1"/>
        <v>0</v>
      </c>
      <c r="F11" s="93">
        <v>0</v>
      </c>
      <c r="G11" s="90">
        <v>4</v>
      </c>
      <c r="H11" s="91">
        <f t="shared" si="2"/>
        <v>4.5506257110352671E-3</v>
      </c>
      <c r="I11" s="92">
        <f t="shared" si="3"/>
        <v>1104.25</v>
      </c>
      <c r="J11" s="93">
        <v>4417</v>
      </c>
      <c r="K11" s="90">
        <f>'DAugust 2022'!J38</f>
        <v>67</v>
      </c>
      <c r="L11" s="91">
        <f t="shared" si="7"/>
        <v>6.1808118081180814E-2</v>
      </c>
      <c r="M11" s="92">
        <f t="shared" ref="M11:M16" si="9">IF(K11=0,0,N11/K11)</f>
        <v>914.21417910447758</v>
      </c>
      <c r="N11" s="93">
        <f>'DAugust 2022'!J39</f>
        <v>61252.35</v>
      </c>
      <c r="O11" s="90">
        <f t="shared" si="4"/>
        <v>63</v>
      </c>
      <c r="P11" s="92">
        <f t="shared" si="5"/>
        <v>-190.03582089552242</v>
      </c>
      <c r="Q11" s="93">
        <f t="shared" si="6"/>
        <v>56835.35</v>
      </c>
      <c r="T11" s="210">
        <f t="shared" si="8"/>
        <v>-0.17209492496764539</v>
      </c>
    </row>
    <row r="12" spans="2:20" s="94" customFormat="1" ht="33" customHeight="1" x14ac:dyDescent="0.3">
      <c r="B12" s="89" t="s">
        <v>41</v>
      </c>
      <c r="C12" s="90">
        <v>4</v>
      </c>
      <c r="D12" s="91">
        <f t="shared" si="0"/>
        <v>1.020408163265306E-2</v>
      </c>
      <c r="E12" s="92">
        <f t="shared" si="1"/>
        <v>1567.3924999999999</v>
      </c>
      <c r="F12" s="93">
        <v>6269.57</v>
      </c>
      <c r="G12" s="90">
        <v>40</v>
      </c>
      <c r="H12" s="91">
        <f t="shared" si="2"/>
        <v>4.5506257110352673E-2</v>
      </c>
      <c r="I12" s="92">
        <f t="shared" si="3"/>
        <v>834.125</v>
      </c>
      <c r="J12" s="93">
        <v>33365</v>
      </c>
      <c r="K12" s="90">
        <f>'DAugust 2022'!L38</f>
        <v>93</v>
      </c>
      <c r="L12" s="91">
        <f t="shared" si="7"/>
        <v>8.5793357933579339E-2</v>
      </c>
      <c r="M12" s="92">
        <f t="shared" si="9"/>
        <v>1017.9705017921127</v>
      </c>
      <c r="N12" s="93">
        <f>'DAugust 2022'!L39</f>
        <v>94671.256666666479</v>
      </c>
      <c r="O12" s="90">
        <f t="shared" si="4"/>
        <v>53</v>
      </c>
      <c r="P12" s="92">
        <f t="shared" si="5"/>
        <v>183.84550179211271</v>
      </c>
      <c r="Q12" s="93">
        <f t="shared" si="6"/>
        <v>61306.256666666479</v>
      </c>
      <c r="T12" s="210">
        <f t="shared" si="8"/>
        <v>0.22040521719420075</v>
      </c>
    </row>
    <row r="13" spans="2:20" ht="33" customHeight="1" x14ac:dyDescent="0.35">
      <c r="B13" s="20" t="s">
        <v>39</v>
      </c>
      <c r="C13" s="55">
        <f>SUM(C11:C12)</f>
        <v>4</v>
      </c>
      <c r="D13" s="21">
        <f t="shared" si="0"/>
        <v>1.020408163265306E-2</v>
      </c>
      <c r="E13" s="58">
        <f t="shared" si="1"/>
        <v>1567.3924999999999</v>
      </c>
      <c r="F13" s="59">
        <f>SUM(F11:F12)</f>
        <v>6269.57</v>
      </c>
      <c r="G13" s="55">
        <f>SUM(G11:G12)</f>
        <v>44</v>
      </c>
      <c r="H13" s="21">
        <f t="shared" si="2"/>
        <v>5.0056882821387941E-2</v>
      </c>
      <c r="I13" s="58">
        <f t="shared" si="3"/>
        <v>858.68181818181813</v>
      </c>
      <c r="J13" s="59">
        <f>SUM(J11:J12)</f>
        <v>37782</v>
      </c>
      <c r="K13" s="55">
        <f>SUM(K11:K12)</f>
        <v>160</v>
      </c>
      <c r="L13" s="21">
        <f t="shared" si="7"/>
        <v>0.14760147601476015</v>
      </c>
      <c r="M13" s="58">
        <f t="shared" si="9"/>
        <v>974.52254166666557</v>
      </c>
      <c r="N13" s="59">
        <f>SUM(N11:N12)</f>
        <v>155923.60666666648</v>
      </c>
      <c r="O13" s="55">
        <f t="shared" si="4"/>
        <v>116</v>
      </c>
      <c r="P13" s="58">
        <f t="shared" si="5"/>
        <v>115.84072348484744</v>
      </c>
      <c r="Q13" s="59">
        <f t="shared" si="6"/>
        <v>118141.60666666648</v>
      </c>
      <c r="T13" s="210">
        <f t="shared" si="8"/>
        <v>0.13490529440827081</v>
      </c>
    </row>
    <row r="14" spans="2:20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1"/>
        <v>0</v>
      </c>
      <c r="F14" s="95">
        <v>0</v>
      </c>
      <c r="G14" s="90">
        <v>71</v>
      </c>
      <c r="H14" s="91">
        <f t="shared" si="2"/>
        <v>8.0773606370875994E-2</v>
      </c>
      <c r="I14" s="92">
        <f t="shared" si="3"/>
        <v>1334.5352112676057</v>
      </c>
      <c r="J14" s="95">
        <v>94752</v>
      </c>
      <c r="K14" s="90">
        <f>'DAugust 2022'!N38</f>
        <v>145</v>
      </c>
      <c r="L14" s="91">
        <f t="shared" si="7"/>
        <v>0.13376383763837638</v>
      </c>
      <c r="M14" s="92">
        <f t="shared" si="9"/>
        <v>2119.6368965517199</v>
      </c>
      <c r="N14" s="95">
        <f>'DAugust 2022'!N39:O39</f>
        <v>307347.34999999939</v>
      </c>
      <c r="O14" s="90">
        <f t="shared" si="4"/>
        <v>74</v>
      </c>
      <c r="P14" s="92">
        <f t="shared" si="5"/>
        <v>785.10168528411418</v>
      </c>
      <c r="Q14" s="96">
        <f t="shared" si="6"/>
        <v>212595.34999999939</v>
      </c>
      <c r="T14" s="210">
        <f t="shared" si="8"/>
        <v>0.58829596900510917</v>
      </c>
    </row>
    <row r="15" spans="2:20" s="94" customFormat="1" ht="33" customHeight="1" x14ac:dyDescent="0.3">
      <c r="B15" s="89" t="s">
        <v>43</v>
      </c>
      <c r="C15" s="90">
        <v>30</v>
      </c>
      <c r="D15" s="91">
        <f t="shared" si="0"/>
        <v>7.6530612244897961E-2</v>
      </c>
      <c r="E15" s="92">
        <f t="shared" si="1"/>
        <v>1595.5620000000001</v>
      </c>
      <c r="F15" s="95">
        <v>47866.86</v>
      </c>
      <c r="G15" s="90">
        <v>124</v>
      </c>
      <c r="H15" s="91">
        <f t="shared" si="2"/>
        <v>0.14106939704209329</v>
      </c>
      <c r="I15" s="92">
        <f t="shared" si="3"/>
        <v>1317.3951612903227</v>
      </c>
      <c r="J15" s="95">
        <v>163357</v>
      </c>
      <c r="K15" s="90">
        <f>'DAugust 2022'!P38</f>
        <v>81</v>
      </c>
      <c r="L15" s="91">
        <f t="shared" si="7"/>
        <v>7.4723247232472326E-2</v>
      </c>
      <c r="M15" s="92">
        <f t="shared" si="9"/>
        <v>1423.7037037037037</v>
      </c>
      <c r="N15" s="95">
        <f>'DAugust 2022'!P39</f>
        <v>115320</v>
      </c>
      <c r="O15" s="90">
        <f t="shared" si="4"/>
        <v>-43</v>
      </c>
      <c r="P15" s="92">
        <f t="shared" si="5"/>
        <v>106.30854241338102</v>
      </c>
      <c r="Q15" s="96">
        <f t="shared" si="6"/>
        <v>-48037</v>
      </c>
      <c r="T15" s="210">
        <f t="shared" si="8"/>
        <v>8.0696017062380221E-2</v>
      </c>
    </row>
    <row r="16" spans="2:20" ht="33" customHeight="1" x14ac:dyDescent="0.35">
      <c r="B16" s="20" t="s">
        <v>42</v>
      </c>
      <c r="C16" s="55">
        <f>SUM(C14:C15)</f>
        <v>30</v>
      </c>
      <c r="D16" s="21">
        <f t="shared" si="0"/>
        <v>7.6530612244897961E-2</v>
      </c>
      <c r="E16" s="58">
        <f t="shared" si="1"/>
        <v>1595.5620000000001</v>
      </c>
      <c r="F16" s="87">
        <f>SUM(F14:F15)</f>
        <v>47866.86</v>
      </c>
      <c r="G16" s="55">
        <f>SUM(G14:G15)</f>
        <v>195</v>
      </c>
      <c r="H16" s="21">
        <f t="shared" si="2"/>
        <v>0.22184300341296928</v>
      </c>
      <c r="I16" s="58">
        <f t="shared" si="3"/>
        <v>1323.6358974358975</v>
      </c>
      <c r="J16" s="87">
        <f>SUM(J14:J15)</f>
        <v>258109</v>
      </c>
      <c r="K16" s="55">
        <f>SUM(K14:K15)</f>
        <v>226</v>
      </c>
      <c r="L16" s="21">
        <f t="shared" si="7"/>
        <v>0.20848708487084872</v>
      </c>
      <c r="M16" s="58">
        <f t="shared" si="9"/>
        <v>1870.2095132743336</v>
      </c>
      <c r="N16" s="87">
        <f>SUM(N14:N15)</f>
        <v>422667.34999999939</v>
      </c>
      <c r="O16" s="55">
        <f t="shared" si="4"/>
        <v>31</v>
      </c>
      <c r="P16" s="58">
        <f t="shared" si="5"/>
        <v>546.57361583843613</v>
      </c>
      <c r="Q16" s="88">
        <f t="shared" si="6"/>
        <v>164558.34999999939</v>
      </c>
      <c r="T16" s="210">
        <f t="shared" si="8"/>
        <v>0.41293350905429504</v>
      </c>
    </row>
    <row r="17" spans="2:17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4"/>
        <v>0</v>
      </c>
      <c r="P17" s="58">
        <f t="shared" si="5"/>
        <v>0</v>
      </c>
      <c r="Q17" s="88">
        <f t="shared" si="6"/>
        <v>0</v>
      </c>
    </row>
    <row r="18" spans="2:17" ht="33" hidden="1" customHeight="1" x14ac:dyDescent="0.35">
      <c r="B18" s="22" t="s">
        <v>13</v>
      </c>
      <c r="C18" s="56">
        <f>C8+C9+C11+C12</f>
        <v>337</v>
      </c>
      <c r="D18" s="23">
        <f>+IF(C$24=0,0,C18/C$24)</f>
        <v>0.85969387755102045</v>
      </c>
      <c r="E18" s="60">
        <f>IF(C18=0,0,F18/C18)</f>
        <v>987.25688427299701</v>
      </c>
      <c r="F18" s="61">
        <f>F8+F9+F11+F12</f>
        <v>332705.57</v>
      </c>
      <c r="G18" s="56">
        <f>G8+G9+G11+G12</f>
        <v>657</v>
      </c>
      <c r="H18" s="23">
        <f>+IF(G$24=0,0,G18/G$24)</f>
        <v>0.74744027303754268</v>
      </c>
      <c r="I18" s="60">
        <f>IF(G18=0,0,J18/G18)</f>
        <v>1020.6971080669711</v>
      </c>
      <c r="J18" s="61">
        <f>J8+J9+J11+J12</f>
        <v>670598</v>
      </c>
      <c r="K18" s="56">
        <f>K8+K9+K11+K12</f>
        <v>837</v>
      </c>
      <c r="L18" s="23">
        <f>+IF(K$24=0,0,K18/K$24)</f>
        <v>0.77214022140221406</v>
      </c>
      <c r="M18" s="60">
        <f>IF(K18=0,0,N18/K18)</f>
        <v>1214.7207988280138</v>
      </c>
      <c r="N18" s="61">
        <f>N8+N9+N11+N12</f>
        <v>1016721.3086190475</v>
      </c>
      <c r="O18" s="56">
        <f t="shared" si="4"/>
        <v>180</v>
      </c>
      <c r="P18" s="60">
        <f t="shared" si="5"/>
        <v>194.02369076104276</v>
      </c>
      <c r="Q18" s="66">
        <f t="shared" si="6"/>
        <v>346123.30861904752</v>
      </c>
    </row>
    <row r="19" spans="2:17" ht="33" hidden="1" customHeight="1" x14ac:dyDescent="0.35">
      <c r="B19" s="22" t="s">
        <v>45</v>
      </c>
      <c r="C19" s="105">
        <f>C7+C14+C15</f>
        <v>30</v>
      </c>
      <c r="D19" s="106">
        <f>+IF(C$24=0,0,C19/C$24)</f>
        <v>7.6530612244897961E-2</v>
      </c>
      <c r="E19" s="107">
        <f>IF(C19=0,0,F19/C19)</f>
        <v>1595.5620000000001</v>
      </c>
      <c r="F19" s="108">
        <f>F7+F14+F15</f>
        <v>47866.86</v>
      </c>
      <c r="G19" s="105">
        <f>G7+G14+G15</f>
        <v>216</v>
      </c>
      <c r="H19" s="106">
        <f>+IF(G$24=0,0,G19/G$24)</f>
        <v>0.24573378839590443</v>
      </c>
      <c r="I19" s="107">
        <f>IF(G19=0,0,J19/G19)</f>
        <v>1262.5416666666667</v>
      </c>
      <c r="J19" s="108">
        <f>J7+J14+J15</f>
        <v>272709</v>
      </c>
      <c r="K19" s="105">
        <f>K7+K14+K15</f>
        <v>226</v>
      </c>
      <c r="L19" s="106">
        <f>+IF(K$24=0,0,K19/K$24)</f>
        <v>0.20848708487084872</v>
      </c>
      <c r="M19" s="107">
        <f>IF(K19=0,0,N19/K19)</f>
        <v>1870.2095132743336</v>
      </c>
      <c r="N19" s="108">
        <f>N7+N14+N15</f>
        <v>422667.34999999939</v>
      </c>
      <c r="O19" s="56">
        <f t="shared" si="4"/>
        <v>10</v>
      </c>
      <c r="P19" s="60">
        <f t="shared" si="5"/>
        <v>607.66784660766689</v>
      </c>
      <c r="Q19" s="66">
        <f t="shared" si="6"/>
        <v>149958.34999999939</v>
      </c>
    </row>
    <row r="20" spans="2:17" ht="33" customHeight="1" x14ac:dyDescent="0.35">
      <c r="B20" s="28" t="s">
        <v>16</v>
      </c>
      <c r="C20" s="56">
        <f>C18+C19</f>
        <v>367</v>
      </c>
      <c r="D20" s="23">
        <f>+IF(C$24=0,0,C20/C$24)</f>
        <v>0.93622448979591832</v>
      </c>
      <c r="E20" s="60">
        <f>IF(C20=0,0,F20/C20)</f>
        <v>1036.9820980926431</v>
      </c>
      <c r="F20" s="64">
        <f>F18+F19</f>
        <v>380572.43</v>
      </c>
      <c r="G20" s="56">
        <f>G18+G19</f>
        <v>873</v>
      </c>
      <c r="H20" s="23">
        <f>+IF(G$24=0,0,G20/G$24)</f>
        <v>0.99317406143344711</v>
      </c>
      <c r="I20" s="60">
        <f>IF(G20=0,0,J20/G20)</f>
        <v>1080.5349369988546</v>
      </c>
      <c r="J20" s="64">
        <f>J18+J19</f>
        <v>943307</v>
      </c>
      <c r="K20" s="56">
        <f>K18+K19</f>
        <v>1063</v>
      </c>
      <c r="L20" s="23">
        <f>+IF(K$24=0,0,K20/K$24)</f>
        <v>0.98062730627306272</v>
      </c>
      <c r="M20" s="60">
        <f>IF(K20=0,0,N20/K20)</f>
        <v>1354.081522689602</v>
      </c>
      <c r="N20" s="64">
        <f>N18+N19</f>
        <v>1439388.6586190469</v>
      </c>
      <c r="O20" s="56">
        <f t="shared" si="4"/>
        <v>190</v>
      </c>
      <c r="P20" s="60">
        <f t="shared" si="5"/>
        <v>273.54658569074741</v>
      </c>
      <c r="Q20" s="66">
        <f t="shared" si="6"/>
        <v>496081.65861904691</v>
      </c>
    </row>
    <row r="21" spans="2:17" ht="33" customHeight="1" x14ac:dyDescent="0.35">
      <c r="B21" s="29" t="s">
        <v>17</v>
      </c>
      <c r="C21" s="24">
        <f>IF(C4=0,C20,C20/$C$4)</f>
        <v>7.6378772112382934E-2</v>
      </c>
      <c r="D21" s="30"/>
      <c r="E21" s="35"/>
      <c r="F21" s="36"/>
      <c r="G21" s="24">
        <f>IF(G4=0,G20,G20/$C$4)</f>
        <v>0.18168574401664933</v>
      </c>
      <c r="H21" s="30"/>
      <c r="I21" s="35"/>
      <c r="J21" s="36"/>
      <c r="K21" s="24">
        <f>IF(K4=0,K20,K20/$K$4)</f>
        <v>0.42862903225806454</v>
      </c>
      <c r="L21" s="30"/>
      <c r="M21" s="35"/>
      <c r="N21" s="36"/>
      <c r="O21" s="54">
        <f t="shared" si="4"/>
        <v>0.2469432882414152</v>
      </c>
      <c r="P21" s="30">
        <f t="shared" si="5"/>
        <v>0</v>
      </c>
      <c r="Q21" s="31">
        <f t="shared" si="6"/>
        <v>0</v>
      </c>
    </row>
    <row r="22" spans="2:17" ht="33" customHeight="1" x14ac:dyDescent="0.35">
      <c r="B22" s="25" t="s">
        <v>18</v>
      </c>
      <c r="C22" s="57">
        <v>25</v>
      </c>
      <c r="D22" s="26">
        <f>+IF(C$24=0,0,C22/C$24)</f>
        <v>6.3775510204081634E-2</v>
      </c>
      <c r="E22" s="65">
        <f>IF(C22=0,0,F22/C22)</f>
        <v>0</v>
      </c>
      <c r="F22" s="63">
        <v>0</v>
      </c>
      <c r="G22" s="57">
        <v>6</v>
      </c>
      <c r="H22" s="26">
        <f>+IF(G$24=0,0,G22/G$24)</f>
        <v>6.8259385665529011E-3</v>
      </c>
      <c r="I22" s="65">
        <f>IF(G22=0,0,J22/G22)</f>
        <v>548</v>
      </c>
      <c r="J22" s="63">
        <v>3288</v>
      </c>
      <c r="K22" s="57">
        <f>'DAugust 2022'!R38</f>
        <v>21</v>
      </c>
      <c r="L22" s="26">
        <f>+IF(K$24=0,0,K22/K$24)</f>
        <v>1.9372693726937271E-2</v>
      </c>
      <c r="M22" s="65">
        <f>IF(K22=0,0,N22/K22)</f>
        <v>0</v>
      </c>
      <c r="N22" s="63">
        <v>0</v>
      </c>
      <c r="O22" s="57">
        <f t="shared" si="4"/>
        <v>15</v>
      </c>
      <c r="P22" s="62">
        <f t="shared" si="5"/>
        <v>-548</v>
      </c>
      <c r="Q22" s="63">
        <f t="shared" si="6"/>
        <v>-3288</v>
      </c>
    </row>
    <row r="23" spans="2:17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4"/>
        <v>0</v>
      </c>
      <c r="P23" s="62">
        <f t="shared" si="5"/>
        <v>0</v>
      </c>
      <c r="Q23" s="72">
        <f t="shared" si="6"/>
        <v>0</v>
      </c>
    </row>
    <row r="24" spans="2:17" ht="33" customHeight="1" x14ac:dyDescent="0.35">
      <c r="B24" s="22" t="s">
        <v>20</v>
      </c>
      <c r="C24" s="56">
        <f>C10+C13+C16+C22+C23</f>
        <v>392</v>
      </c>
      <c r="D24" s="23">
        <f>+IF(C$24=0,0,C24/C$24)</f>
        <v>1</v>
      </c>
      <c r="E24" s="60">
        <f>IF(C24=0,0,F24/C24)</f>
        <v>970.84803571428574</v>
      </c>
      <c r="F24" s="64">
        <f>F10+F13+F16+F22+F23</f>
        <v>380572.43</v>
      </c>
      <c r="G24" s="56">
        <f>G10+G13+G16+G22+G23</f>
        <v>879</v>
      </c>
      <c r="H24" s="23">
        <f>+IF(G$24=0,0,G24/G$24)</f>
        <v>1</v>
      </c>
      <c r="I24" s="60">
        <f>IF(G24=0,0,J24/G24)</f>
        <v>1076.8998862343572</v>
      </c>
      <c r="J24" s="64">
        <f>J10+J13+J16+J22+J23</f>
        <v>946595</v>
      </c>
      <c r="K24" s="56">
        <f>K10+K13+K16+K22+K23</f>
        <v>1084</v>
      </c>
      <c r="L24" s="23">
        <f>+IF(K$24=0,0,K24/K$24)</f>
        <v>1</v>
      </c>
      <c r="M24" s="60">
        <f>IF(K24=0,0,N24/K24)</f>
        <v>1327.8493160692315</v>
      </c>
      <c r="N24" s="64">
        <f>N10+N13+N16+N22+N23</f>
        <v>1439388.6586190469</v>
      </c>
      <c r="O24" s="56">
        <f t="shared" si="4"/>
        <v>205</v>
      </c>
      <c r="P24" s="60">
        <f t="shared" si="5"/>
        <v>250.94942983487431</v>
      </c>
      <c r="Q24" s="64">
        <f t="shared" si="6"/>
        <v>492793.65861904691</v>
      </c>
    </row>
    <row r="25" spans="2:17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0.2330294886671222</v>
      </c>
      <c r="Q25" s="38">
        <f>IF(J24=0,(N24-J24),(N24-J24)/J24)</f>
        <v>0.5205960929637774</v>
      </c>
    </row>
    <row r="26" spans="2:17" ht="33" customHeight="1" x14ac:dyDescent="0.35">
      <c r="B26" s="40" t="s">
        <v>21</v>
      </c>
      <c r="C26" s="41">
        <f>IF(C4=0,C24,C24/C4)</f>
        <v>8.1581685744016655E-2</v>
      </c>
      <c r="D26" s="30"/>
      <c r="E26" s="30"/>
      <c r="F26" s="31"/>
      <c r="G26" s="41">
        <f>IF(G4=0,G24,G24/G4)</f>
        <v>0.35443548387096774</v>
      </c>
      <c r="H26" s="30"/>
      <c r="I26" s="30"/>
      <c r="J26" s="31"/>
      <c r="K26" s="41">
        <f>IF(K4=0,K24,K24/K4)</f>
        <v>0.43709677419354837</v>
      </c>
      <c r="L26" s="30"/>
      <c r="M26" s="30"/>
      <c r="N26" s="31"/>
      <c r="O26" s="41">
        <f>K26-G26</f>
        <v>8.2661290322580627E-2</v>
      </c>
      <c r="P26" s="30"/>
      <c r="Q26" s="31"/>
    </row>
    <row r="27" spans="2:17" ht="33" customHeight="1" x14ac:dyDescent="0.35">
      <c r="B27" s="42" t="s">
        <v>22</v>
      </c>
      <c r="C27" s="43">
        <f>IF(C4=0,0,F$24/C$4)</f>
        <v>79.203419354838715</v>
      </c>
      <c r="D27" s="44"/>
      <c r="E27" s="45"/>
      <c r="F27" s="46"/>
      <c r="G27" s="43">
        <f>IF(G4=0,0,J$24/G$4)</f>
        <v>381.69153225806451</v>
      </c>
      <c r="H27" s="44"/>
      <c r="I27" s="45"/>
      <c r="J27" s="46"/>
      <c r="K27" s="43">
        <f>IF(K4=0,0,N$24/K$4)</f>
        <v>580.3986526689705</v>
      </c>
      <c r="L27" s="44"/>
      <c r="M27" s="45"/>
      <c r="N27" s="46"/>
      <c r="O27" s="43">
        <f>K27-G27</f>
        <v>198.70712041090599</v>
      </c>
      <c r="P27" s="45"/>
      <c r="Q27" s="46"/>
    </row>
    <row r="28" spans="2:17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17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17" x14ac:dyDescent="0.35">
      <c r="B30" s="358"/>
      <c r="Q30" s="86"/>
    </row>
    <row r="31" spans="2:17" x14ac:dyDescent="0.35">
      <c r="B31" s="358"/>
      <c r="Q31" s="86"/>
    </row>
    <row r="32" spans="2:17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2"/>
  <dimension ref="A1:BB52"/>
  <sheetViews>
    <sheetView view="pageBreakPreview" topLeftCell="A10" zoomScale="60" zoomScaleNormal="100" workbookViewId="0">
      <selection activeCell="N28" sqref="N28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7109375" style="111" bestFit="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7.7109375" style="111" bestFit="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9.7109375" style="111" bestFit="1" customWidth="1"/>
    <col min="29" max="30" width="9.140625" style="112"/>
    <col min="31" max="31" width="8.85546875" style="112"/>
    <col min="32" max="34" width="9.140625" style="112"/>
    <col min="35" max="35" width="12.28515625" style="112" bestFit="1" customWidth="1"/>
    <col min="36" max="53" width="9.140625" style="112"/>
    <col min="54" max="229" width="9.140625" style="114"/>
    <col min="230" max="230" width="15.7109375" style="114" customWidth="1"/>
    <col min="231" max="231" width="6.85546875" style="114" bestFit="1" customWidth="1"/>
    <col min="232" max="232" width="4.7109375" style="114" bestFit="1" customWidth="1"/>
    <col min="233" max="233" width="6.140625" style="114" customWidth="1"/>
    <col min="234" max="234" width="12.7109375" style="114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8.140625" style="114" bestFit="1" customWidth="1"/>
    <col min="246" max="246" width="12.7109375" style="114" customWidth="1"/>
    <col min="247" max="247" width="6.140625" style="114" customWidth="1"/>
    <col min="248" max="248" width="12.7109375" style="114" customWidth="1"/>
    <col min="249" max="253" width="0" style="114" hidden="1" customWidth="1"/>
    <col min="254" max="254" width="10.140625" style="114" customWidth="1"/>
    <col min="255" max="255" width="17" style="114" customWidth="1"/>
    <col min="256" max="256" width="11.28515625" style="114" bestFit="1" customWidth="1"/>
    <col min="257" max="257" width="8.7109375" style="114" bestFit="1" customWidth="1"/>
    <col min="258" max="258" width="6" style="114" customWidth="1"/>
    <col min="259" max="259" width="12.7109375" style="114" customWidth="1"/>
    <col min="260" max="260" width="7.28515625" style="114" bestFit="1" customWidth="1"/>
    <col min="261" max="261" width="12.7109375" style="114" customWidth="1"/>
    <col min="262" max="262" width="6" style="114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8" width="0" style="114" hidden="1" customWidth="1"/>
    <col min="279" max="279" width="9.7109375" style="114" customWidth="1"/>
    <col min="280" max="280" width="12.28515625" style="114" customWidth="1"/>
    <col min="281" max="281" width="14.7109375" style="114" customWidth="1"/>
    <col min="282" max="282" width="9.7109375" style="114" customWidth="1"/>
    <col min="283" max="485" width="9.140625" style="114"/>
    <col min="486" max="486" width="15.7109375" style="114" customWidth="1"/>
    <col min="487" max="487" width="6.85546875" style="114" bestFit="1" customWidth="1"/>
    <col min="488" max="488" width="4.7109375" style="114" bestFit="1" customWidth="1"/>
    <col min="489" max="489" width="6.140625" style="114" customWidth="1"/>
    <col min="490" max="490" width="12.7109375" style="114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8.140625" style="114" bestFit="1" customWidth="1"/>
    <col min="502" max="502" width="12.7109375" style="114" customWidth="1"/>
    <col min="503" max="503" width="6.140625" style="114" customWidth="1"/>
    <col min="504" max="504" width="12.7109375" style="114" customWidth="1"/>
    <col min="505" max="509" width="0" style="114" hidden="1" customWidth="1"/>
    <col min="510" max="510" width="10.140625" style="114" customWidth="1"/>
    <col min="511" max="511" width="17" style="114" customWidth="1"/>
    <col min="512" max="512" width="11.28515625" style="114" bestFit="1" customWidth="1"/>
    <col min="513" max="513" width="8.7109375" style="114" bestFit="1" customWidth="1"/>
    <col min="514" max="514" width="6" style="114" customWidth="1"/>
    <col min="515" max="515" width="12.7109375" style="114" customWidth="1"/>
    <col min="516" max="516" width="7.28515625" style="114" bestFit="1" customWidth="1"/>
    <col min="517" max="517" width="12.7109375" style="114" customWidth="1"/>
    <col min="518" max="518" width="6" style="114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4" width="0" style="114" hidden="1" customWidth="1"/>
    <col min="535" max="535" width="9.7109375" style="114" customWidth="1"/>
    <col min="536" max="536" width="12.28515625" style="114" customWidth="1"/>
    <col min="537" max="537" width="14.7109375" style="114" customWidth="1"/>
    <col min="538" max="538" width="9.7109375" style="114" customWidth="1"/>
    <col min="539" max="741" width="9.140625" style="114"/>
    <col min="742" max="742" width="15.7109375" style="114" customWidth="1"/>
    <col min="743" max="743" width="6.85546875" style="114" bestFit="1" customWidth="1"/>
    <col min="744" max="744" width="4.7109375" style="114" bestFit="1" customWidth="1"/>
    <col min="745" max="745" width="6.140625" style="114" customWidth="1"/>
    <col min="746" max="746" width="12.7109375" style="114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8.140625" style="114" bestFit="1" customWidth="1"/>
    <col min="758" max="758" width="12.7109375" style="114" customWidth="1"/>
    <col min="759" max="759" width="6.140625" style="114" customWidth="1"/>
    <col min="760" max="760" width="12.7109375" style="114" customWidth="1"/>
    <col min="761" max="765" width="0" style="114" hidden="1" customWidth="1"/>
    <col min="766" max="766" width="10.140625" style="114" customWidth="1"/>
    <col min="767" max="767" width="17" style="114" customWidth="1"/>
    <col min="768" max="768" width="11.28515625" style="114" bestFit="1" customWidth="1"/>
    <col min="769" max="769" width="8.7109375" style="114" bestFit="1" customWidth="1"/>
    <col min="770" max="770" width="6" style="114" customWidth="1"/>
    <col min="771" max="771" width="12.7109375" style="114" customWidth="1"/>
    <col min="772" max="772" width="7.28515625" style="114" bestFit="1" customWidth="1"/>
    <col min="773" max="773" width="12.7109375" style="114" customWidth="1"/>
    <col min="774" max="774" width="6" style="114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90" width="0" style="114" hidden="1" customWidth="1"/>
    <col min="791" max="791" width="9.7109375" style="114" customWidth="1"/>
    <col min="792" max="792" width="12.28515625" style="114" customWidth="1"/>
    <col min="793" max="793" width="14.7109375" style="114" customWidth="1"/>
    <col min="794" max="794" width="9.7109375" style="114" customWidth="1"/>
    <col min="795" max="997" width="9.140625" style="114"/>
    <col min="998" max="998" width="15.7109375" style="114" customWidth="1"/>
    <col min="999" max="999" width="6.85546875" style="114" bestFit="1" customWidth="1"/>
    <col min="1000" max="1000" width="4.7109375" style="114" bestFit="1" customWidth="1"/>
    <col min="1001" max="1001" width="6.140625" style="114" customWidth="1"/>
    <col min="1002" max="1002" width="12.7109375" style="114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8.140625" style="114" bestFit="1" customWidth="1"/>
    <col min="1014" max="1014" width="12.7109375" style="114" customWidth="1"/>
    <col min="1015" max="1015" width="6.140625" style="114" customWidth="1"/>
    <col min="1016" max="1016" width="12.7109375" style="114" customWidth="1"/>
    <col min="1017" max="1021" width="0" style="114" hidden="1" customWidth="1"/>
    <col min="1022" max="1022" width="10.140625" style="114" customWidth="1"/>
    <col min="1023" max="1023" width="17" style="114" customWidth="1"/>
    <col min="1024" max="1024" width="11.28515625" style="114" bestFit="1" customWidth="1"/>
    <col min="1025" max="1025" width="8.7109375" style="114" bestFit="1" customWidth="1"/>
    <col min="1026" max="1026" width="6" style="114" customWidth="1"/>
    <col min="1027" max="1027" width="12.7109375" style="114" customWidth="1"/>
    <col min="1028" max="1028" width="7.28515625" style="114" bestFit="1" customWidth="1"/>
    <col min="1029" max="1029" width="12.7109375" style="114" customWidth="1"/>
    <col min="1030" max="1030" width="6" style="114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6" width="0" style="114" hidden="1" customWidth="1"/>
    <col min="1047" max="1047" width="9.7109375" style="114" customWidth="1"/>
    <col min="1048" max="1048" width="12.28515625" style="114" customWidth="1"/>
    <col min="1049" max="1049" width="14.7109375" style="114" customWidth="1"/>
    <col min="1050" max="1050" width="9.7109375" style="114" customWidth="1"/>
    <col min="1051" max="1253" width="9.140625" style="114"/>
    <col min="1254" max="1254" width="15.7109375" style="114" customWidth="1"/>
    <col min="1255" max="1255" width="6.85546875" style="114" bestFit="1" customWidth="1"/>
    <col min="1256" max="1256" width="4.7109375" style="114" bestFit="1" customWidth="1"/>
    <col min="1257" max="1257" width="6.140625" style="114" customWidth="1"/>
    <col min="1258" max="1258" width="12.7109375" style="114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8.140625" style="114" bestFit="1" customWidth="1"/>
    <col min="1270" max="1270" width="12.7109375" style="114" customWidth="1"/>
    <col min="1271" max="1271" width="6.140625" style="114" customWidth="1"/>
    <col min="1272" max="1272" width="12.7109375" style="114" customWidth="1"/>
    <col min="1273" max="1277" width="0" style="114" hidden="1" customWidth="1"/>
    <col min="1278" max="1278" width="10.140625" style="114" customWidth="1"/>
    <col min="1279" max="1279" width="17" style="114" customWidth="1"/>
    <col min="1280" max="1280" width="11.28515625" style="114" bestFit="1" customWidth="1"/>
    <col min="1281" max="1281" width="8.7109375" style="114" bestFit="1" customWidth="1"/>
    <col min="1282" max="1282" width="6" style="114" customWidth="1"/>
    <col min="1283" max="1283" width="12.7109375" style="114" customWidth="1"/>
    <col min="1284" max="1284" width="7.28515625" style="114" bestFit="1" customWidth="1"/>
    <col min="1285" max="1285" width="12.7109375" style="114" customWidth="1"/>
    <col min="1286" max="1286" width="6" style="114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302" width="0" style="114" hidden="1" customWidth="1"/>
    <col min="1303" max="1303" width="9.7109375" style="114" customWidth="1"/>
    <col min="1304" max="1304" width="12.28515625" style="114" customWidth="1"/>
    <col min="1305" max="1305" width="14.7109375" style="114" customWidth="1"/>
    <col min="1306" max="1306" width="9.7109375" style="114" customWidth="1"/>
    <col min="1307" max="1509" width="9.140625" style="114"/>
    <col min="1510" max="1510" width="15.7109375" style="114" customWidth="1"/>
    <col min="1511" max="1511" width="6.85546875" style="114" bestFit="1" customWidth="1"/>
    <col min="1512" max="1512" width="4.7109375" style="114" bestFit="1" customWidth="1"/>
    <col min="1513" max="1513" width="6.140625" style="114" customWidth="1"/>
    <col min="1514" max="1514" width="12.7109375" style="114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8.140625" style="114" bestFit="1" customWidth="1"/>
    <col min="1526" max="1526" width="12.7109375" style="114" customWidth="1"/>
    <col min="1527" max="1527" width="6.140625" style="114" customWidth="1"/>
    <col min="1528" max="1528" width="12.7109375" style="114" customWidth="1"/>
    <col min="1529" max="1533" width="0" style="114" hidden="1" customWidth="1"/>
    <col min="1534" max="1534" width="10.140625" style="114" customWidth="1"/>
    <col min="1535" max="1535" width="17" style="114" customWidth="1"/>
    <col min="1536" max="1536" width="11.28515625" style="114" bestFit="1" customWidth="1"/>
    <col min="1537" max="1537" width="8.7109375" style="114" bestFit="1" customWidth="1"/>
    <col min="1538" max="1538" width="6" style="114" customWidth="1"/>
    <col min="1539" max="1539" width="12.7109375" style="114" customWidth="1"/>
    <col min="1540" max="1540" width="7.28515625" style="114" bestFit="1" customWidth="1"/>
    <col min="1541" max="1541" width="12.7109375" style="114" customWidth="1"/>
    <col min="1542" max="1542" width="6" style="114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8" width="0" style="114" hidden="1" customWidth="1"/>
    <col min="1559" max="1559" width="9.7109375" style="114" customWidth="1"/>
    <col min="1560" max="1560" width="12.28515625" style="114" customWidth="1"/>
    <col min="1561" max="1561" width="14.7109375" style="114" customWidth="1"/>
    <col min="1562" max="1562" width="9.7109375" style="114" customWidth="1"/>
    <col min="1563" max="1765" width="9.140625" style="114"/>
    <col min="1766" max="1766" width="15.7109375" style="114" customWidth="1"/>
    <col min="1767" max="1767" width="6.85546875" style="114" bestFit="1" customWidth="1"/>
    <col min="1768" max="1768" width="4.7109375" style="114" bestFit="1" customWidth="1"/>
    <col min="1769" max="1769" width="6.140625" style="114" customWidth="1"/>
    <col min="1770" max="1770" width="12.7109375" style="114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8.140625" style="114" bestFit="1" customWidth="1"/>
    <col min="1782" max="1782" width="12.7109375" style="114" customWidth="1"/>
    <col min="1783" max="1783" width="6.140625" style="114" customWidth="1"/>
    <col min="1784" max="1784" width="12.7109375" style="114" customWidth="1"/>
    <col min="1785" max="1789" width="0" style="114" hidden="1" customWidth="1"/>
    <col min="1790" max="1790" width="10.140625" style="114" customWidth="1"/>
    <col min="1791" max="1791" width="17" style="114" customWidth="1"/>
    <col min="1792" max="1792" width="11.28515625" style="114" bestFit="1" customWidth="1"/>
    <col min="1793" max="1793" width="8.7109375" style="114" bestFit="1" customWidth="1"/>
    <col min="1794" max="1794" width="6" style="114" customWidth="1"/>
    <col min="1795" max="1795" width="12.7109375" style="114" customWidth="1"/>
    <col min="1796" max="1796" width="7.28515625" style="114" bestFit="1" customWidth="1"/>
    <col min="1797" max="1797" width="12.7109375" style="114" customWidth="1"/>
    <col min="1798" max="1798" width="6" style="114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4" width="0" style="114" hidden="1" customWidth="1"/>
    <col min="1815" max="1815" width="9.7109375" style="114" customWidth="1"/>
    <col min="1816" max="1816" width="12.28515625" style="114" customWidth="1"/>
    <col min="1817" max="1817" width="14.7109375" style="114" customWidth="1"/>
    <col min="1818" max="1818" width="9.7109375" style="114" customWidth="1"/>
    <col min="1819" max="2021" width="9.140625" style="114"/>
    <col min="2022" max="2022" width="15.7109375" style="114" customWidth="1"/>
    <col min="2023" max="2023" width="6.85546875" style="114" bestFit="1" customWidth="1"/>
    <col min="2024" max="2024" width="4.7109375" style="114" bestFit="1" customWidth="1"/>
    <col min="2025" max="2025" width="6.140625" style="114" customWidth="1"/>
    <col min="2026" max="2026" width="12.7109375" style="114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8.140625" style="114" bestFit="1" customWidth="1"/>
    <col min="2038" max="2038" width="12.7109375" style="114" customWidth="1"/>
    <col min="2039" max="2039" width="6.140625" style="114" customWidth="1"/>
    <col min="2040" max="2040" width="12.7109375" style="114" customWidth="1"/>
    <col min="2041" max="2045" width="0" style="114" hidden="1" customWidth="1"/>
    <col min="2046" max="2046" width="10.140625" style="114" customWidth="1"/>
    <col min="2047" max="2047" width="17" style="114" customWidth="1"/>
    <col min="2048" max="2048" width="11.28515625" style="114" bestFit="1" customWidth="1"/>
    <col min="2049" max="2049" width="8.7109375" style="114" bestFit="1" customWidth="1"/>
    <col min="2050" max="2050" width="6" style="114" customWidth="1"/>
    <col min="2051" max="2051" width="12.7109375" style="114" customWidth="1"/>
    <col min="2052" max="2052" width="7.28515625" style="114" bestFit="1" customWidth="1"/>
    <col min="2053" max="2053" width="12.7109375" style="114" customWidth="1"/>
    <col min="2054" max="2054" width="6" style="114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70" width="0" style="114" hidden="1" customWidth="1"/>
    <col min="2071" max="2071" width="9.7109375" style="114" customWidth="1"/>
    <col min="2072" max="2072" width="12.28515625" style="114" customWidth="1"/>
    <col min="2073" max="2073" width="14.7109375" style="114" customWidth="1"/>
    <col min="2074" max="2074" width="9.7109375" style="114" customWidth="1"/>
    <col min="2075" max="2277" width="9.140625" style="114"/>
    <col min="2278" max="2278" width="15.7109375" style="114" customWidth="1"/>
    <col min="2279" max="2279" width="6.85546875" style="114" bestFit="1" customWidth="1"/>
    <col min="2280" max="2280" width="4.7109375" style="114" bestFit="1" customWidth="1"/>
    <col min="2281" max="2281" width="6.140625" style="114" customWidth="1"/>
    <col min="2282" max="2282" width="12.7109375" style="114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8.140625" style="114" bestFit="1" customWidth="1"/>
    <col min="2294" max="2294" width="12.7109375" style="114" customWidth="1"/>
    <col min="2295" max="2295" width="6.140625" style="114" customWidth="1"/>
    <col min="2296" max="2296" width="12.7109375" style="114" customWidth="1"/>
    <col min="2297" max="2301" width="0" style="114" hidden="1" customWidth="1"/>
    <col min="2302" max="2302" width="10.140625" style="114" customWidth="1"/>
    <col min="2303" max="2303" width="17" style="114" customWidth="1"/>
    <col min="2304" max="2304" width="11.28515625" style="114" bestFit="1" customWidth="1"/>
    <col min="2305" max="2305" width="8.7109375" style="114" bestFit="1" customWidth="1"/>
    <col min="2306" max="2306" width="6" style="114" customWidth="1"/>
    <col min="2307" max="2307" width="12.7109375" style="114" customWidth="1"/>
    <col min="2308" max="2308" width="7.28515625" style="114" bestFit="1" customWidth="1"/>
    <col min="2309" max="2309" width="12.7109375" style="114" customWidth="1"/>
    <col min="2310" max="2310" width="6" style="114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6" width="0" style="114" hidden="1" customWidth="1"/>
    <col min="2327" max="2327" width="9.7109375" style="114" customWidth="1"/>
    <col min="2328" max="2328" width="12.28515625" style="114" customWidth="1"/>
    <col min="2329" max="2329" width="14.7109375" style="114" customWidth="1"/>
    <col min="2330" max="2330" width="9.7109375" style="114" customWidth="1"/>
    <col min="2331" max="2533" width="9.140625" style="114"/>
    <col min="2534" max="2534" width="15.7109375" style="114" customWidth="1"/>
    <col min="2535" max="2535" width="6.85546875" style="114" bestFit="1" customWidth="1"/>
    <col min="2536" max="2536" width="4.7109375" style="114" bestFit="1" customWidth="1"/>
    <col min="2537" max="2537" width="6.140625" style="114" customWidth="1"/>
    <col min="2538" max="2538" width="12.7109375" style="114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8.140625" style="114" bestFit="1" customWidth="1"/>
    <col min="2550" max="2550" width="12.7109375" style="114" customWidth="1"/>
    <col min="2551" max="2551" width="6.140625" style="114" customWidth="1"/>
    <col min="2552" max="2552" width="12.7109375" style="114" customWidth="1"/>
    <col min="2553" max="2557" width="0" style="114" hidden="1" customWidth="1"/>
    <col min="2558" max="2558" width="10.140625" style="114" customWidth="1"/>
    <col min="2559" max="2559" width="17" style="114" customWidth="1"/>
    <col min="2560" max="2560" width="11.28515625" style="114" bestFit="1" customWidth="1"/>
    <col min="2561" max="2561" width="8.7109375" style="114" bestFit="1" customWidth="1"/>
    <col min="2562" max="2562" width="6" style="114" customWidth="1"/>
    <col min="2563" max="2563" width="12.7109375" style="114" customWidth="1"/>
    <col min="2564" max="2564" width="7.28515625" style="114" bestFit="1" customWidth="1"/>
    <col min="2565" max="2565" width="12.7109375" style="114" customWidth="1"/>
    <col min="2566" max="2566" width="6" style="114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82" width="0" style="114" hidden="1" customWidth="1"/>
    <col min="2583" max="2583" width="9.7109375" style="114" customWidth="1"/>
    <col min="2584" max="2584" width="12.28515625" style="114" customWidth="1"/>
    <col min="2585" max="2585" width="14.7109375" style="114" customWidth="1"/>
    <col min="2586" max="2586" width="9.7109375" style="114" customWidth="1"/>
    <col min="2587" max="2789" width="9.140625" style="114"/>
    <col min="2790" max="2790" width="15.7109375" style="114" customWidth="1"/>
    <col min="2791" max="2791" width="6.85546875" style="114" bestFit="1" customWidth="1"/>
    <col min="2792" max="2792" width="4.7109375" style="114" bestFit="1" customWidth="1"/>
    <col min="2793" max="2793" width="6.140625" style="114" customWidth="1"/>
    <col min="2794" max="2794" width="12.7109375" style="114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8.140625" style="114" bestFit="1" customWidth="1"/>
    <col min="2806" max="2806" width="12.7109375" style="114" customWidth="1"/>
    <col min="2807" max="2807" width="6.140625" style="114" customWidth="1"/>
    <col min="2808" max="2808" width="12.7109375" style="114" customWidth="1"/>
    <col min="2809" max="2813" width="0" style="114" hidden="1" customWidth="1"/>
    <col min="2814" max="2814" width="10.140625" style="114" customWidth="1"/>
    <col min="2815" max="2815" width="17" style="114" customWidth="1"/>
    <col min="2816" max="2816" width="11.28515625" style="114" bestFit="1" customWidth="1"/>
    <col min="2817" max="2817" width="8.7109375" style="114" bestFit="1" customWidth="1"/>
    <col min="2818" max="2818" width="6" style="114" customWidth="1"/>
    <col min="2819" max="2819" width="12.7109375" style="114" customWidth="1"/>
    <col min="2820" max="2820" width="7.28515625" style="114" bestFit="1" customWidth="1"/>
    <col min="2821" max="2821" width="12.7109375" style="114" customWidth="1"/>
    <col min="2822" max="2822" width="6" style="114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8" width="0" style="114" hidden="1" customWidth="1"/>
    <col min="2839" max="2839" width="9.7109375" style="114" customWidth="1"/>
    <col min="2840" max="2840" width="12.28515625" style="114" customWidth="1"/>
    <col min="2841" max="2841" width="14.7109375" style="114" customWidth="1"/>
    <col min="2842" max="2842" width="9.7109375" style="114" customWidth="1"/>
    <col min="2843" max="3045" width="9.140625" style="114"/>
    <col min="3046" max="3046" width="15.7109375" style="114" customWidth="1"/>
    <col min="3047" max="3047" width="6.85546875" style="114" bestFit="1" customWidth="1"/>
    <col min="3048" max="3048" width="4.7109375" style="114" bestFit="1" customWidth="1"/>
    <col min="3049" max="3049" width="6.140625" style="114" customWidth="1"/>
    <col min="3050" max="3050" width="12.7109375" style="114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8.140625" style="114" bestFit="1" customWidth="1"/>
    <col min="3062" max="3062" width="12.7109375" style="114" customWidth="1"/>
    <col min="3063" max="3063" width="6.140625" style="114" customWidth="1"/>
    <col min="3064" max="3064" width="12.7109375" style="114" customWidth="1"/>
    <col min="3065" max="3069" width="0" style="114" hidden="1" customWidth="1"/>
    <col min="3070" max="3070" width="10.140625" style="114" customWidth="1"/>
    <col min="3071" max="3071" width="17" style="114" customWidth="1"/>
    <col min="3072" max="3072" width="11.28515625" style="114" bestFit="1" customWidth="1"/>
    <col min="3073" max="3073" width="8.7109375" style="114" bestFit="1" customWidth="1"/>
    <col min="3074" max="3074" width="6" style="114" customWidth="1"/>
    <col min="3075" max="3075" width="12.7109375" style="114" customWidth="1"/>
    <col min="3076" max="3076" width="7.28515625" style="114" bestFit="1" customWidth="1"/>
    <col min="3077" max="3077" width="12.7109375" style="114" customWidth="1"/>
    <col min="3078" max="3078" width="6" style="114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4" width="0" style="114" hidden="1" customWidth="1"/>
    <col min="3095" max="3095" width="9.7109375" style="114" customWidth="1"/>
    <col min="3096" max="3096" width="12.28515625" style="114" customWidth="1"/>
    <col min="3097" max="3097" width="14.7109375" style="114" customWidth="1"/>
    <col min="3098" max="3098" width="9.7109375" style="114" customWidth="1"/>
    <col min="3099" max="3301" width="9.140625" style="114"/>
    <col min="3302" max="3302" width="15.7109375" style="114" customWidth="1"/>
    <col min="3303" max="3303" width="6.85546875" style="114" bestFit="1" customWidth="1"/>
    <col min="3304" max="3304" width="4.7109375" style="114" bestFit="1" customWidth="1"/>
    <col min="3305" max="3305" width="6.140625" style="114" customWidth="1"/>
    <col min="3306" max="3306" width="12.7109375" style="114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8.140625" style="114" bestFit="1" customWidth="1"/>
    <col min="3318" max="3318" width="12.7109375" style="114" customWidth="1"/>
    <col min="3319" max="3319" width="6.140625" style="114" customWidth="1"/>
    <col min="3320" max="3320" width="12.7109375" style="114" customWidth="1"/>
    <col min="3321" max="3325" width="0" style="114" hidden="1" customWidth="1"/>
    <col min="3326" max="3326" width="10.140625" style="114" customWidth="1"/>
    <col min="3327" max="3327" width="17" style="114" customWidth="1"/>
    <col min="3328" max="3328" width="11.28515625" style="114" bestFit="1" customWidth="1"/>
    <col min="3329" max="3329" width="8.7109375" style="114" bestFit="1" customWidth="1"/>
    <col min="3330" max="3330" width="6" style="114" customWidth="1"/>
    <col min="3331" max="3331" width="12.7109375" style="114" customWidth="1"/>
    <col min="3332" max="3332" width="7.28515625" style="114" bestFit="1" customWidth="1"/>
    <col min="3333" max="3333" width="12.7109375" style="114" customWidth="1"/>
    <col min="3334" max="3334" width="6" style="114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50" width="0" style="114" hidden="1" customWidth="1"/>
    <col min="3351" max="3351" width="9.7109375" style="114" customWidth="1"/>
    <col min="3352" max="3352" width="12.28515625" style="114" customWidth="1"/>
    <col min="3353" max="3353" width="14.7109375" style="114" customWidth="1"/>
    <col min="3354" max="3354" width="9.7109375" style="114" customWidth="1"/>
    <col min="3355" max="3557" width="9.140625" style="114"/>
    <col min="3558" max="3558" width="15.7109375" style="114" customWidth="1"/>
    <col min="3559" max="3559" width="6.85546875" style="114" bestFit="1" customWidth="1"/>
    <col min="3560" max="3560" width="4.7109375" style="114" bestFit="1" customWidth="1"/>
    <col min="3561" max="3561" width="6.140625" style="114" customWidth="1"/>
    <col min="3562" max="3562" width="12.7109375" style="114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8.140625" style="114" bestFit="1" customWidth="1"/>
    <col min="3574" max="3574" width="12.7109375" style="114" customWidth="1"/>
    <col min="3575" max="3575" width="6.140625" style="114" customWidth="1"/>
    <col min="3576" max="3576" width="12.7109375" style="114" customWidth="1"/>
    <col min="3577" max="3581" width="0" style="114" hidden="1" customWidth="1"/>
    <col min="3582" max="3582" width="10.140625" style="114" customWidth="1"/>
    <col min="3583" max="3583" width="17" style="114" customWidth="1"/>
    <col min="3584" max="3584" width="11.28515625" style="114" bestFit="1" customWidth="1"/>
    <col min="3585" max="3585" width="8.7109375" style="114" bestFit="1" customWidth="1"/>
    <col min="3586" max="3586" width="6" style="114" customWidth="1"/>
    <col min="3587" max="3587" width="12.7109375" style="114" customWidth="1"/>
    <col min="3588" max="3588" width="7.28515625" style="114" bestFit="1" customWidth="1"/>
    <col min="3589" max="3589" width="12.7109375" style="114" customWidth="1"/>
    <col min="3590" max="3590" width="6" style="114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6" width="0" style="114" hidden="1" customWidth="1"/>
    <col min="3607" max="3607" width="9.7109375" style="114" customWidth="1"/>
    <col min="3608" max="3608" width="12.28515625" style="114" customWidth="1"/>
    <col min="3609" max="3609" width="14.7109375" style="114" customWidth="1"/>
    <col min="3610" max="3610" width="9.7109375" style="114" customWidth="1"/>
    <col min="3611" max="3813" width="9.140625" style="114"/>
    <col min="3814" max="3814" width="15.7109375" style="114" customWidth="1"/>
    <col min="3815" max="3815" width="6.85546875" style="114" bestFit="1" customWidth="1"/>
    <col min="3816" max="3816" width="4.7109375" style="114" bestFit="1" customWidth="1"/>
    <col min="3817" max="3817" width="6.140625" style="114" customWidth="1"/>
    <col min="3818" max="3818" width="12.7109375" style="114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8.140625" style="114" bestFit="1" customWidth="1"/>
    <col min="3830" max="3830" width="12.7109375" style="114" customWidth="1"/>
    <col min="3831" max="3831" width="6.140625" style="114" customWidth="1"/>
    <col min="3832" max="3832" width="12.7109375" style="114" customWidth="1"/>
    <col min="3833" max="3837" width="0" style="114" hidden="1" customWidth="1"/>
    <col min="3838" max="3838" width="10.140625" style="114" customWidth="1"/>
    <col min="3839" max="3839" width="17" style="114" customWidth="1"/>
    <col min="3840" max="3840" width="11.28515625" style="114" bestFit="1" customWidth="1"/>
    <col min="3841" max="3841" width="8.7109375" style="114" bestFit="1" customWidth="1"/>
    <col min="3842" max="3842" width="6" style="114" customWidth="1"/>
    <col min="3843" max="3843" width="12.7109375" style="114" customWidth="1"/>
    <col min="3844" max="3844" width="7.28515625" style="114" bestFit="1" customWidth="1"/>
    <col min="3845" max="3845" width="12.7109375" style="114" customWidth="1"/>
    <col min="3846" max="3846" width="6" style="114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62" width="0" style="114" hidden="1" customWidth="1"/>
    <col min="3863" max="3863" width="9.7109375" style="114" customWidth="1"/>
    <col min="3864" max="3864" width="12.28515625" style="114" customWidth="1"/>
    <col min="3865" max="3865" width="14.7109375" style="114" customWidth="1"/>
    <col min="3866" max="3866" width="9.7109375" style="114" customWidth="1"/>
    <col min="3867" max="4069" width="9.140625" style="114"/>
    <col min="4070" max="4070" width="15.7109375" style="114" customWidth="1"/>
    <col min="4071" max="4071" width="6.85546875" style="114" bestFit="1" customWidth="1"/>
    <col min="4072" max="4072" width="4.7109375" style="114" bestFit="1" customWidth="1"/>
    <col min="4073" max="4073" width="6.140625" style="114" customWidth="1"/>
    <col min="4074" max="4074" width="12.7109375" style="114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8.140625" style="114" bestFit="1" customWidth="1"/>
    <col min="4086" max="4086" width="12.7109375" style="114" customWidth="1"/>
    <col min="4087" max="4087" width="6.140625" style="114" customWidth="1"/>
    <col min="4088" max="4088" width="12.7109375" style="114" customWidth="1"/>
    <col min="4089" max="4093" width="0" style="114" hidden="1" customWidth="1"/>
    <col min="4094" max="4094" width="10.140625" style="114" customWidth="1"/>
    <col min="4095" max="4095" width="17" style="114" customWidth="1"/>
    <col min="4096" max="4096" width="11.28515625" style="114" bestFit="1" customWidth="1"/>
    <col min="4097" max="4097" width="8.7109375" style="114" bestFit="1" customWidth="1"/>
    <col min="4098" max="4098" width="6" style="114" customWidth="1"/>
    <col min="4099" max="4099" width="12.7109375" style="114" customWidth="1"/>
    <col min="4100" max="4100" width="7.28515625" style="114" bestFit="1" customWidth="1"/>
    <col min="4101" max="4101" width="12.7109375" style="114" customWidth="1"/>
    <col min="4102" max="4102" width="6" style="114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8" width="0" style="114" hidden="1" customWidth="1"/>
    <col min="4119" max="4119" width="9.7109375" style="114" customWidth="1"/>
    <col min="4120" max="4120" width="12.28515625" style="114" customWidth="1"/>
    <col min="4121" max="4121" width="14.7109375" style="114" customWidth="1"/>
    <col min="4122" max="4122" width="9.7109375" style="114" customWidth="1"/>
    <col min="4123" max="4325" width="9.140625" style="114"/>
    <col min="4326" max="4326" width="15.7109375" style="114" customWidth="1"/>
    <col min="4327" max="4327" width="6.85546875" style="114" bestFit="1" customWidth="1"/>
    <col min="4328" max="4328" width="4.7109375" style="114" bestFit="1" customWidth="1"/>
    <col min="4329" max="4329" width="6.140625" style="114" customWidth="1"/>
    <col min="4330" max="4330" width="12.7109375" style="114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8.140625" style="114" bestFit="1" customWidth="1"/>
    <col min="4342" max="4342" width="12.7109375" style="114" customWidth="1"/>
    <col min="4343" max="4343" width="6.140625" style="114" customWidth="1"/>
    <col min="4344" max="4344" width="12.7109375" style="114" customWidth="1"/>
    <col min="4345" max="4349" width="0" style="114" hidden="1" customWidth="1"/>
    <col min="4350" max="4350" width="10.140625" style="114" customWidth="1"/>
    <col min="4351" max="4351" width="17" style="114" customWidth="1"/>
    <col min="4352" max="4352" width="11.28515625" style="114" bestFit="1" customWidth="1"/>
    <col min="4353" max="4353" width="8.7109375" style="114" bestFit="1" customWidth="1"/>
    <col min="4354" max="4354" width="6" style="114" customWidth="1"/>
    <col min="4355" max="4355" width="12.7109375" style="114" customWidth="1"/>
    <col min="4356" max="4356" width="7.28515625" style="114" bestFit="1" customWidth="1"/>
    <col min="4357" max="4357" width="12.7109375" style="114" customWidth="1"/>
    <col min="4358" max="4358" width="6" style="114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4" width="0" style="114" hidden="1" customWidth="1"/>
    <col min="4375" max="4375" width="9.7109375" style="114" customWidth="1"/>
    <col min="4376" max="4376" width="12.28515625" style="114" customWidth="1"/>
    <col min="4377" max="4377" width="14.7109375" style="114" customWidth="1"/>
    <col min="4378" max="4378" width="9.7109375" style="114" customWidth="1"/>
    <col min="4379" max="4581" width="9.140625" style="114"/>
    <col min="4582" max="4582" width="15.7109375" style="114" customWidth="1"/>
    <col min="4583" max="4583" width="6.85546875" style="114" bestFit="1" customWidth="1"/>
    <col min="4584" max="4584" width="4.7109375" style="114" bestFit="1" customWidth="1"/>
    <col min="4585" max="4585" width="6.140625" style="114" customWidth="1"/>
    <col min="4586" max="4586" width="12.7109375" style="114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8.140625" style="114" bestFit="1" customWidth="1"/>
    <col min="4598" max="4598" width="12.7109375" style="114" customWidth="1"/>
    <col min="4599" max="4599" width="6.140625" style="114" customWidth="1"/>
    <col min="4600" max="4600" width="12.7109375" style="114" customWidth="1"/>
    <col min="4601" max="4605" width="0" style="114" hidden="1" customWidth="1"/>
    <col min="4606" max="4606" width="10.140625" style="114" customWidth="1"/>
    <col min="4607" max="4607" width="17" style="114" customWidth="1"/>
    <col min="4608" max="4608" width="11.28515625" style="114" bestFit="1" customWidth="1"/>
    <col min="4609" max="4609" width="8.7109375" style="114" bestFit="1" customWidth="1"/>
    <col min="4610" max="4610" width="6" style="114" customWidth="1"/>
    <col min="4611" max="4611" width="12.7109375" style="114" customWidth="1"/>
    <col min="4612" max="4612" width="7.28515625" style="114" bestFit="1" customWidth="1"/>
    <col min="4613" max="4613" width="12.7109375" style="114" customWidth="1"/>
    <col min="4614" max="4614" width="6" style="114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30" width="0" style="114" hidden="1" customWidth="1"/>
    <col min="4631" max="4631" width="9.7109375" style="114" customWidth="1"/>
    <col min="4632" max="4632" width="12.28515625" style="114" customWidth="1"/>
    <col min="4633" max="4633" width="14.7109375" style="114" customWidth="1"/>
    <col min="4634" max="4634" width="9.7109375" style="114" customWidth="1"/>
    <col min="4635" max="4837" width="9.140625" style="114"/>
    <col min="4838" max="4838" width="15.7109375" style="114" customWidth="1"/>
    <col min="4839" max="4839" width="6.85546875" style="114" bestFit="1" customWidth="1"/>
    <col min="4840" max="4840" width="4.7109375" style="114" bestFit="1" customWidth="1"/>
    <col min="4841" max="4841" width="6.140625" style="114" customWidth="1"/>
    <col min="4842" max="4842" width="12.7109375" style="114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8.140625" style="114" bestFit="1" customWidth="1"/>
    <col min="4854" max="4854" width="12.7109375" style="114" customWidth="1"/>
    <col min="4855" max="4855" width="6.140625" style="114" customWidth="1"/>
    <col min="4856" max="4856" width="12.7109375" style="114" customWidth="1"/>
    <col min="4857" max="4861" width="0" style="114" hidden="1" customWidth="1"/>
    <col min="4862" max="4862" width="10.140625" style="114" customWidth="1"/>
    <col min="4863" max="4863" width="17" style="114" customWidth="1"/>
    <col min="4864" max="4864" width="11.28515625" style="114" bestFit="1" customWidth="1"/>
    <col min="4865" max="4865" width="8.7109375" style="114" bestFit="1" customWidth="1"/>
    <col min="4866" max="4866" width="6" style="114" customWidth="1"/>
    <col min="4867" max="4867" width="12.7109375" style="114" customWidth="1"/>
    <col min="4868" max="4868" width="7.28515625" style="114" bestFit="1" customWidth="1"/>
    <col min="4869" max="4869" width="12.7109375" style="114" customWidth="1"/>
    <col min="4870" max="4870" width="6" style="114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6" width="0" style="114" hidden="1" customWidth="1"/>
    <col min="4887" max="4887" width="9.7109375" style="114" customWidth="1"/>
    <col min="4888" max="4888" width="12.28515625" style="114" customWidth="1"/>
    <col min="4889" max="4889" width="14.7109375" style="114" customWidth="1"/>
    <col min="4890" max="4890" width="9.7109375" style="114" customWidth="1"/>
    <col min="4891" max="5093" width="9.140625" style="114"/>
    <col min="5094" max="5094" width="15.7109375" style="114" customWidth="1"/>
    <col min="5095" max="5095" width="6.85546875" style="114" bestFit="1" customWidth="1"/>
    <col min="5096" max="5096" width="4.7109375" style="114" bestFit="1" customWidth="1"/>
    <col min="5097" max="5097" width="6.140625" style="114" customWidth="1"/>
    <col min="5098" max="5098" width="12.7109375" style="114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8.140625" style="114" bestFit="1" customWidth="1"/>
    <col min="5110" max="5110" width="12.7109375" style="114" customWidth="1"/>
    <col min="5111" max="5111" width="6.140625" style="114" customWidth="1"/>
    <col min="5112" max="5112" width="12.7109375" style="114" customWidth="1"/>
    <col min="5113" max="5117" width="0" style="114" hidden="1" customWidth="1"/>
    <col min="5118" max="5118" width="10.140625" style="114" customWidth="1"/>
    <col min="5119" max="5119" width="17" style="114" customWidth="1"/>
    <col min="5120" max="5120" width="11.28515625" style="114" bestFit="1" customWidth="1"/>
    <col min="5121" max="5121" width="8.7109375" style="114" bestFit="1" customWidth="1"/>
    <col min="5122" max="5122" width="6" style="114" customWidth="1"/>
    <col min="5123" max="5123" width="12.7109375" style="114" customWidth="1"/>
    <col min="5124" max="5124" width="7.28515625" style="114" bestFit="1" customWidth="1"/>
    <col min="5125" max="5125" width="12.7109375" style="114" customWidth="1"/>
    <col min="5126" max="5126" width="6" style="114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42" width="0" style="114" hidden="1" customWidth="1"/>
    <col min="5143" max="5143" width="9.7109375" style="114" customWidth="1"/>
    <col min="5144" max="5144" width="12.28515625" style="114" customWidth="1"/>
    <col min="5145" max="5145" width="14.7109375" style="114" customWidth="1"/>
    <col min="5146" max="5146" width="9.7109375" style="114" customWidth="1"/>
    <col min="5147" max="5349" width="9.140625" style="114"/>
    <col min="5350" max="5350" width="15.7109375" style="114" customWidth="1"/>
    <col min="5351" max="5351" width="6.85546875" style="114" bestFit="1" customWidth="1"/>
    <col min="5352" max="5352" width="4.7109375" style="114" bestFit="1" customWidth="1"/>
    <col min="5353" max="5353" width="6.140625" style="114" customWidth="1"/>
    <col min="5354" max="5354" width="12.7109375" style="114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8.140625" style="114" bestFit="1" customWidth="1"/>
    <col min="5366" max="5366" width="12.7109375" style="114" customWidth="1"/>
    <col min="5367" max="5367" width="6.140625" style="114" customWidth="1"/>
    <col min="5368" max="5368" width="12.7109375" style="114" customWidth="1"/>
    <col min="5369" max="5373" width="0" style="114" hidden="1" customWidth="1"/>
    <col min="5374" max="5374" width="10.140625" style="114" customWidth="1"/>
    <col min="5375" max="5375" width="17" style="114" customWidth="1"/>
    <col min="5376" max="5376" width="11.28515625" style="114" bestFit="1" customWidth="1"/>
    <col min="5377" max="5377" width="8.7109375" style="114" bestFit="1" customWidth="1"/>
    <col min="5378" max="5378" width="6" style="114" customWidth="1"/>
    <col min="5379" max="5379" width="12.7109375" style="114" customWidth="1"/>
    <col min="5380" max="5380" width="7.28515625" style="114" bestFit="1" customWidth="1"/>
    <col min="5381" max="5381" width="12.7109375" style="114" customWidth="1"/>
    <col min="5382" max="5382" width="6" style="114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8" width="0" style="114" hidden="1" customWidth="1"/>
    <col min="5399" max="5399" width="9.7109375" style="114" customWidth="1"/>
    <col min="5400" max="5400" width="12.28515625" style="114" customWidth="1"/>
    <col min="5401" max="5401" width="14.7109375" style="114" customWidth="1"/>
    <col min="5402" max="5402" width="9.7109375" style="114" customWidth="1"/>
    <col min="5403" max="5605" width="9.140625" style="114"/>
    <col min="5606" max="5606" width="15.7109375" style="114" customWidth="1"/>
    <col min="5607" max="5607" width="6.85546875" style="114" bestFit="1" customWidth="1"/>
    <col min="5608" max="5608" width="4.7109375" style="114" bestFit="1" customWidth="1"/>
    <col min="5609" max="5609" width="6.140625" style="114" customWidth="1"/>
    <col min="5610" max="5610" width="12.7109375" style="114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8.140625" style="114" bestFit="1" customWidth="1"/>
    <col min="5622" max="5622" width="12.7109375" style="114" customWidth="1"/>
    <col min="5623" max="5623" width="6.140625" style="114" customWidth="1"/>
    <col min="5624" max="5624" width="12.7109375" style="114" customWidth="1"/>
    <col min="5625" max="5629" width="0" style="114" hidden="1" customWidth="1"/>
    <col min="5630" max="5630" width="10.140625" style="114" customWidth="1"/>
    <col min="5631" max="5631" width="17" style="114" customWidth="1"/>
    <col min="5632" max="5632" width="11.28515625" style="114" bestFit="1" customWidth="1"/>
    <col min="5633" max="5633" width="8.7109375" style="114" bestFit="1" customWidth="1"/>
    <col min="5634" max="5634" width="6" style="114" customWidth="1"/>
    <col min="5635" max="5635" width="12.7109375" style="114" customWidth="1"/>
    <col min="5636" max="5636" width="7.28515625" style="114" bestFit="1" customWidth="1"/>
    <col min="5637" max="5637" width="12.7109375" style="114" customWidth="1"/>
    <col min="5638" max="5638" width="6" style="114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4" width="0" style="114" hidden="1" customWidth="1"/>
    <col min="5655" max="5655" width="9.7109375" style="114" customWidth="1"/>
    <col min="5656" max="5656" width="12.28515625" style="114" customWidth="1"/>
    <col min="5657" max="5657" width="14.7109375" style="114" customWidth="1"/>
    <col min="5658" max="5658" width="9.7109375" style="114" customWidth="1"/>
    <col min="5659" max="5861" width="9.140625" style="114"/>
    <col min="5862" max="5862" width="15.7109375" style="114" customWidth="1"/>
    <col min="5863" max="5863" width="6.85546875" style="114" bestFit="1" customWidth="1"/>
    <col min="5864" max="5864" width="4.7109375" style="114" bestFit="1" customWidth="1"/>
    <col min="5865" max="5865" width="6.140625" style="114" customWidth="1"/>
    <col min="5866" max="5866" width="12.7109375" style="114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8.140625" style="114" bestFit="1" customWidth="1"/>
    <col min="5878" max="5878" width="12.7109375" style="114" customWidth="1"/>
    <col min="5879" max="5879" width="6.140625" style="114" customWidth="1"/>
    <col min="5880" max="5880" width="12.7109375" style="114" customWidth="1"/>
    <col min="5881" max="5885" width="0" style="114" hidden="1" customWidth="1"/>
    <col min="5886" max="5886" width="10.140625" style="114" customWidth="1"/>
    <col min="5887" max="5887" width="17" style="114" customWidth="1"/>
    <col min="5888" max="5888" width="11.28515625" style="114" bestFit="1" customWidth="1"/>
    <col min="5889" max="5889" width="8.7109375" style="114" bestFit="1" customWidth="1"/>
    <col min="5890" max="5890" width="6" style="114" customWidth="1"/>
    <col min="5891" max="5891" width="12.7109375" style="114" customWidth="1"/>
    <col min="5892" max="5892" width="7.28515625" style="114" bestFit="1" customWidth="1"/>
    <col min="5893" max="5893" width="12.7109375" style="114" customWidth="1"/>
    <col min="5894" max="5894" width="6" style="114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10" width="0" style="114" hidden="1" customWidth="1"/>
    <col min="5911" max="5911" width="9.7109375" style="114" customWidth="1"/>
    <col min="5912" max="5912" width="12.28515625" style="114" customWidth="1"/>
    <col min="5913" max="5913" width="14.7109375" style="114" customWidth="1"/>
    <col min="5914" max="5914" width="9.7109375" style="114" customWidth="1"/>
    <col min="5915" max="6117" width="9.140625" style="114"/>
    <col min="6118" max="6118" width="15.7109375" style="114" customWidth="1"/>
    <col min="6119" max="6119" width="6.85546875" style="114" bestFit="1" customWidth="1"/>
    <col min="6120" max="6120" width="4.7109375" style="114" bestFit="1" customWidth="1"/>
    <col min="6121" max="6121" width="6.140625" style="114" customWidth="1"/>
    <col min="6122" max="6122" width="12.7109375" style="114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8.140625" style="114" bestFit="1" customWidth="1"/>
    <col min="6134" max="6134" width="12.7109375" style="114" customWidth="1"/>
    <col min="6135" max="6135" width="6.140625" style="114" customWidth="1"/>
    <col min="6136" max="6136" width="12.7109375" style="114" customWidth="1"/>
    <col min="6137" max="6141" width="0" style="114" hidden="1" customWidth="1"/>
    <col min="6142" max="6142" width="10.140625" style="114" customWidth="1"/>
    <col min="6143" max="6143" width="17" style="114" customWidth="1"/>
    <col min="6144" max="6144" width="11.28515625" style="114" bestFit="1" customWidth="1"/>
    <col min="6145" max="6145" width="8.7109375" style="114" bestFit="1" customWidth="1"/>
    <col min="6146" max="6146" width="6" style="114" customWidth="1"/>
    <col min="6147" max="6147" width="12.7109375" style="114" customWidth="1"/>
    <col min="6148" max="6148" width="7.28515625" style="114" bestFit="1" customWidth="1"/>
    <col min="6149" max="6149" width="12.7109375" style="114" customWidth="1"/>
    <col min="6150" max="6150" width="6" style="114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6" width="0" style="114" hidden="1" customWidth="1"/>
    <col min="6167" max="6167" width="9.7109375" style="114" customWidth="1"/>
    <col min="6168" max="6168" width="12.28515625" style="114" customWidth="1"/>
    <col min="6169" max="6169" width="14.7109375" style="114" customWidth="1"/>
    <col min="6170" max="6170" width="9.7109375" style="114" customWidth="1"/>
    <col min="6171" max="6373" width="9.140625" style="114"/>
    <col min="6374" max="6374" width="15.7109375" style="114" customWidth="1"/>
    <col min="6375" max="6375" width="6.85546875" style="114" bestFit="1" customWidth="1"/>
    <col min="6376" max="6376" width="4.7109375" style="114" bestFit="1" customWidth="1"/>
    <col min="6377" max="6377" width="6.140625" style="114" customWidth="1"/>
    <col min="6378" max="6378" width="12.7109375" style="114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8.140625" style="114" bestFit="1" customWidth="1"/>
    <col min="6390" max="6390" width="12.7109375" style="114" customWidth="1"/>
    <col min="6391" max="6391" width="6.140625" style="114" customWidth="1"/>
    <col min="6392" max="6392" width="12.7109375" style="114" customWidth="1"/>
    <col min="6393" max="6397" width="0" style="114" hidden="1" customWidth="1"/>
    <col min="6398" max="6398" width="10.140625" style="114" customWidth="1"/>
    <col min="6399" max="6399" width="17" style="114" customWidth="1"/>
    <col min="6400" max="6400" width="11.28515625" style="114" bestFit="1" customWidth="1"/>
    <col min="6401" max="6401" width="8.7109375" style="114" bestFit="1" customWidth="1"/>
    <col min="6402" max="6402" width="6" style="114" customWidth="1"/>
    <col min="6403" max="6403" width="12.7109375" style="114" customWidth="1"/>
    <col min="6404" max="6404" width="7.28515625" style="114" bestFit="1" customWidth="1"/>
    <col min="6405" max="6405" width="12.7109375" style="114" customWidth="1"/>
    <col min="6406" max="6406" width="6" style="114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22" width="0" style="114" hidden="1" customWidth="1"/>
    <col min="6423" max="6423" width="9.7109375" style="114" customWidth="1"/>
    <col min="6424" max="6424" width="12.28515625" style="114" customWidth="1"/>
    <col min="6425" max="6425" width="14.7109375" style="114" customWidth="1"/>
    <col min="6426" max="6426" width="9.7109375" style="114" customWidth="1"/>
    <col min="6427" max="6629" width="9.140625" style="114"/>
    <col min="6630" max="6630" width="15.7109375" style="114" customWidth="1"/>
    <col min="6631" max="6631" width="6.85546875" style="114" bestFit="1" customWidth="1"/>
    <col min="6632" max="6632" width="4.7109375" style="114" bestFit="1" customWidth="1"/>
    <col min="6633" max="6633" width="6.140625" style="114" customWidth="1"/>
    <col min="6634" max="6634" width="12.7109375" style="114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8.140625" style="114" bestFit="1" customWidth="1"/>
    <col min="6646" max="6646" width="12.7109375" style="114" customWidth="1"/>
    <col min="6647" max="6647" width="6.140625" style="114" customWidth="1"/>
    <col min="6648" max="6648" width="12.7109375" style="114" customWidth="1"/>
    <col min="6649" max="6653" width="0" style="114" hidden="1" customWidth="1"/>
    <col min="6654" max="6654" width="10.140625" style="114" customWidth="1"/>
    <col min="6655" max="6655" width="17" style="114" customWidth="1"/>
    <col min="6656" max="6656" width="11.28515625" style="114" bestFit="1" customWidth="1"/>
    <col min="6657" max="6657" width="8.7109375" style="114" bestFit="1" customWidth="1"/>
    <col min="6658" max="6658" width="6" style="114" customWidth="1"/>
    <col min="6659" max="6659" width="12.7109375" style="114" customWidth="1"/>
    <col min="6660" max="6660" width="7.28515625" style="114" bestFit="1" customWidth="1"/>
    <col min="6661" max="6661" width="12.7109375" style="114" customWidth="1"/>
    <col min="6662" max="6662" width="6" style="114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8" width="0" style="114" hidden="1" customWidth="1"/>
    <col min="6679" max="6679" width="9.7109375" style="114" customWidth="1"/>
    <col min="6680" max="6680" width="12.28515625" style="114" customWidth="1"/>
    <col min="6681" max="6681" width="14.7109375" style="114" customWidth="1"/>
    <col min="6682" max="6682" width="9.7109375" style="114" customWidth="1"/>
    <col min="6683" max="6885" width="9.140625" style="114"/>
    <col min="6886" max="6886" width="15.7109375" style="114" customWidth="1"/>
    <col min="6887" max="6887" width="6.85546875" style="114" bestFit="1" customWidth="1"/>
    <col min="6888" max="6888" width="4.7109375" style="114" bestFit="1" customWidth="1"/>
    <col min="6889" max="6889" width="6.140625" style="114" customWidth="1"/>
    <col min="6890" max="6890" width="12.7109375" style="114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8.140625" style="114" bestFit="1" customWidth="1"/>
    <col min="6902" max="6902" width="12.7109375" style="114" customWidth="1"/>
    <col min="6903" max="6903" width="6.140625" style="114" customWidth="1"/>
    <col min="6904" max="6904" width="12.7109375" style="114" customWidth="1"/>
    <col min="6905" max="6909" width="0" style="114" hidden="1" customWidth="1"/>
    <col min="6910" max="6910" width="10.140625" style="114" customWidth="1"/>
    <col min="6911" max="6911" width="17" style="114" customWidth="1"/>
    <col min="6912" max="6912" width="11.28515625" style="114" bestFit="1" customWidth="1"/>
    <col min="6913" max="6913" width="8.7109375" style="114" bestFit="1" customWidth="1"/>
    <col min="6914" max="6914" width="6" style="114" customWidth="1"/>
    <col min="6915" max="6915" width="12.7109375" style="114" customWidth="1"/>
    <col min="6916" max="6916" width="7.28515625" style="114" bestFit="1" customWidth="1"/>
    <col min="6917" max="6917" width="12.7109375" style="114" customWidth="1"/>
    <col min="6918" max="6918" width="6" style="114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4" width="0" style="114" hidden="1" customWidth="1"/>
    <col min="6935" max="6935" width="9.7109375" style="114" customWidth="1"/>
    <col min="6936" max="6936" width="12.28515625" style="114" customWidth="1"/>
    <col min="6937" max="6937" width="14.7109375" style="114" customWidth="1"/>
    <col min="6938" max="6938" width="9.7109375" style="114" customWidth="1"/>
    <col min="6939" max="7141" width="9.140625" style="114"/>
    <col min="7142" max="7142" width="15.7109375" style="114" customWidth="1"/>
    <col min="7143" max="7143" width="6.85546875" style="114" bestFit="1" customWidth="1"/>
    <col min="7144" max="7144" width="4.7109375" style="114" bestFit="1" customWidth="1"/>
    <col min="7145" max="7145" width="6.140625" style="114" customWidth="1"/>
    <col min="7146" max="7146" width="12.7109375" style="114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8.140625" style="114" bestFit="1" customWidth="1"/>
    <col min="7158" max="7158" width="12.7109375" style="114" customWidth="1"/>
    <col min="7159" max="7159" width="6.140625" style="114" customWidth="1"/>
    <col min="7160" max="7160" width="12.7109375" style="114" customWidth="1"/>
    <col min="7161" max="7165" width="0" style="114" hidden="1" customWidth="1"/>
    <col min="7166" max="7166" width="10.140625" style="114" customWidth="1"/>
    <col min="7167" max="7167" width="17" style="114" customWidth="1"/>
    <col min="7168" max="7168" width="11.28515625" style="114" bestFit="1" customWidth="1"/>
    <col min="7169" max="7169" width="8.7109375" style="114" bestFit="1" customWidth="1"/>
    <col min="7170" max="7170" width="6" style="114" customWidth="1"/>
    <col min="7171" max="7171" width="12.7109375" style="114" customWidth="1"/>
    <col min="7172" max="7172" width="7.28515625" style="114" bestFit="1" customWidth="1"/>
    <col min="7173" max="7173" width="12.7109375" style="114" customWidth="1"/>
    <col min="7174" max="7174" width="6" style="114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90" width="0" style="114" hidden="1" customWidth="1"/>
    <col min="7191" max="7191" width="9.7109375" style="114" customWidth="1"/>
    <col min="7192" max="7192" width="12.28515625" style="114" customWidth="1"/>
    <col min="7193" max="7193" width="14.7109375" style="114" customWidth="1"/>
    <col min="7194" max="7194" width="9.7109375" style="114" customWidth="1"/>
    <col min="7195" max="7397" width="9.140625" style="114"/>
    <col min="7398" max="7398" width="15.7109375" style="114" customWidth="1"/>
    <col min="7399" max="7399" width="6.85546875" style="114" bestFit="1" customWidth="1"/>
    <col min="7400" max="7400" width="4.7109375" style="114" bestFit="1" customWidth="1"/>
    <col min="7401" max="7401" width="6.140625" style="114" customWidth="1"/>
    <col min="7402" max="7402" width="12.7109375" style="114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8.140625" style="114" bestFit="1" customWidth="1"/>
    <col min="7414" max="7414" width="12.7109375" style="114" customWidth="1"/>
    <col min="7415" max="7415" width="6.140625" style="114" customWidth="1"/>
    <col min="7416" max="7416" width="12.7109375" style="114" customWidth="1"/>
    <col min="7417" max="7421" width="0" style="114" hidden="1" customWidth="1"/>
    <col min="7422" max="7422" width="10.140625" style="114" customWidth="1"/>
    <col min="7423" max="7423" width="17" style="114" customWidth="1"/>
    <col min="7424" max="7424" width="11.28515625" style="114" bestFit="1" customWidth="1"/>
    <col min="7425" max="7425" width="8.7109375" style="114" bestFit="1" customWidth="1"/>
    <col min="7426" max="7426" width="6" style="114" customWidth="1"/>
    <col min="7427" max="7427" width="12.7109375" style="114" customWidth="1"/>
    <col min="7428" max="7428" width="7.28515625" style="114" bestFit="1" customWidth="1"/>
    <col min="7429" max="7429" width="12.7109375" style="114" customWidth="1"/>
    <col min="7430" max="7430" width="6" style="114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6" width="0" style="114" hidden="1" customWidth="1"/>
    <col min="7447" max="7447" width="9.7109375" style="114" customWidth="1"/>
    <col min="7448" max="7448" width="12.28515625" style="114" customWidth="1"/>
    <col min="7449" max="7449" width="14.7109375" style="114" customWidth="1"/>
    <col min="7450" max="7450" width="9.7109375" style="114" customWidth="1"/>
    <col min="7451" max="7653" width="9.140625" style="114"/>
    <col min="7654" max="7654" width="15.7109375" style="114" customWidth="1"/>
    <col min="7655" max="7655" width="6.85546875" style="114" bestFit="1" customWidth="1"/>
    <col min="7656" max="7656" width="4.7109375" style="114" bestFit="1" customWidth="1"/>
    <col min="7657" max="7657" width="6.140625" style="114" customWidth="1"/>
    <col min="7658" max="7658" width="12.7109375" style="114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8.140625" style="114" bestFit="1" customWidth="1"/>
    <col min="7670" max="7670" width="12.7109375" style="114" customWidth="1"/>
    <col min="7671" max="7671" width="6.140625" style="114" customWidth="1"/>
    <col min="7672" max="7672" width="12.7109375" style="114" customWidth="1"/>
    <col min="7673" max="7677" width="0" style="114" hidden="1" customWidth="1"/>
    <col min="7678" max="7678" width="10.140625" style="114" customWidth="1"/>
    <col min="7679" max="7679" width="17" style="114" customWidth="1"/>
    <col min="7680" max="7680" width="11.28515625" style="114" bestFit="1" customWidth="1"/>
    <col min="7681" max="7681" width="8.7109375" style="114" bestFit="1" customWidth="1"/>
    <col min="7682" max="7682" width="6" style="114" customWidth="1"/>
    <col min="7683" max="7683" width="12.7109375" style="114" customWidth="1"/>
    <col min="7684" max="7684" width="7.28515625" style="114" bestFit="1" customWidth="1"/>
    <col min="7685" max="7685" width="12.7109375" style="114" customWidth="1"/>
    <col min="7686" max="7686" width="6" style="114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702" width="0" style="114" hidden="1" customWidth="1"/>
    <col min="7703" max="7703" width="9.7109375" style="114" customWidth="1"/>
    <col min="7704" max="7704" width="12.28515625" style="114" customWidth="1"/>
    <col min="7705" max="7705" width="14.7109375" style="114" customWidth="1"/>
    <col min="7706" max="7706" width="9.7109375" style="114" customWidth="1"/>
    <col min="7707" max="7909" width="9.140625" style="114"/>
    <col min="7910" max="7910" width="15.7109375" style="114" customWidth="1"/>
    <col min="7911" max="7911" width="6.85546875" style="114" bestFit="1" customWidth="1"/>
    <col min="7912" max="7912" width="4.7109375" style="114" bestFit="1" customWidth="1"/>
    <col min="7913" max="7913" width="6.140625" style="114" customWidth="1"/>
    <col min="7914" max="7914" width="12.7109375" style="114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8.140625" style="114" bestFit="1" customWidth="1"/>
    <col min="7926" max="7926" width="12.7109375" style="114" customWidth="1"/>
    <col min="7927" max="7927" width="6.140625" style="114" customWidth="1"/>
    <col min="7928" max="7928" width="12.7109375" style="114" customWidth="1"/>
    <col min="7929" max="7933" width="0" style="114" hidden="1" customWidth="1"/>
    <col min="7934" max="7934" width="10.140625" style="114" customWidth="1"/>
    <col min="7935" max="7935" width="17" style="114" customWidth="1"/>
    <col min="7936" max="7936" width="11.28515625" style="114" bestFit="1" customWidth="1"/>
    <col min="7937" max="7937" width="8.7109375" style="114" bestFit="1" customWidth="1"/>
    <col min="7938" max="7938" width="6" style="114" customWidth="1"/>
    <col min="7939" max="7939" width="12.7109375" style="114" customWidth="1"/>
    <col min="7940" max="7940" width="7.28515625" style="114" bestFit="1" customWidth="1"/>
    <col min="7941" max="7941" width="12.7109375" style="114" customWidth="1"/>
    <col min="7942" max="7942" width="6" style="114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8" width="0" style="114" hidden="1" customWidth="1"/>
    <col min="7959" max="7959" width="9.7109375" style="114" customWidth="1"/>
    <col min="7960" max="7960" width="12.28515625" style="114" customWidth="1"/>
    <col min="7961" max="7961" width="14.7109375" style="114" customWidth="1"/>
    <col min="7962" max="7962" width="9.7109375" style="114" customWidth="1"/>
    <col min="7963" max="8165" width="9.140625" style="114"/>
    <col min="8166" max="8166" width="15.7109375" style="114" customWidth="1"/>
    <col min="8167" max="8167" width="6.85546875" style="114" bestFit="1" customWidth="1"/>
    <col min="8168" max="8168" width="4.7109375" style="114" bestFit="1" customWidth="1"/>
    <col min="8169" max="8169" width="6.140625" style="114" customWidth="1"/>
    <col min="8170" max="8170" width="12.7109375" style="114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8.140625" style="114" bestFit="1" customWidth="1"/>
    <col min="8182" max="8182" width="12.7109375" style="114" customWidth="1"/>
    <col min="8183" max="8183" width="6.140625" style="114" customWidth="1"/>
    <col min="8184" max="8184" width="12.7109375" style="114" customWidth="1"/>
    <col min="8185" max="8189" width="0" style="114" hidden="1" customWidth="1"/>
    <col min="8190" max="8190" width="10.140625" style="114" customWidth="1"/>
    <col min="8191" max="8191" width="17" style="114" customWidth="1"/>
    <col min="8192" max="8192" width="11.28515625" style="114" bestFit="1" customWidth="1"/>
    <col min="8193" max="8193" width="8.7109375" style="114" bestFit="1" customWidth="1"/>
    <col min="8194" max="8194" width="6" style="114" customWidth="1"/>
    <col min="8195" max="8195" width="12.7109375" style="114" customWidth="1"/>
    <col min="8196" max="8196" width="7.28515625" style="114" bestFit="1" customWidth="1"/>
    <col min="8197" max="8197" width="12.7109375" style="114" customWidth="1"/>
    <col min="8198" max="8198" width="6" style="114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4" width="0" style="114" hidden="1" customWidth="1"/>
    <col min="8215" max="8215" width="9.7109375" style="114" customWidth="1"/>
    <col min="8216" max="8216" width="12.28515625" style="114" customWidth="1"/>
    <col min="8217" max="8217" width="14.7109375" style="114" customWidth="1"/>
    <col min="8218" max="8218" width="9.7109375" style="114" customWidth="1"/>
    <col min="8219" max="8421" width="9.140625" style="114"/>
    <col min="8422" max="8422" width="15.7109375" style="114" customWidth="1"/>
    <col min="8423" max="8423" width="6.85546875" style="114" bestFit="1" customWidth="1"/>
    <col min="8424" max="8424" width="4.7109375" style="114" bestFit="1" customWidth="1"/>
    <col min="8425" max="8425" width="6.140625" style="114" customWidth="1"/>
    <col min="8426" max="8426" width="12.7109375" style="114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8.140625" style="114" bestFit="1" customWidth="1"/>
    <col min="8438" max="8438" width="12.7109375" style="114" customWidth="1"/>
    <col min="8439" max="8439" width="6.140625" style="114" customWidth="1"/>
    <col min="8440" max="8440" width="12.7109375" style="114" customWidth="1"/>
    <col min="8441" max="8445" width="0" style="114" hidden="1" customWidth="1"/>
    <col min="8446" max="8446" width="10.140625" style="114" customWidth="1"/>
    <col min="8447" max="8447" width="17" style="114" customWidth="1"/>
    <col min="8448" max="8448" width="11.28515625" style="114" bestFit="1" customWidth="1"/>
    <col min="8449" max="8449" width="8.7109375" style="114" bestFit="1" customWidth="1"/>
    <col min="8450" max="8450" width="6" style="114" customWidth="1"/>
    <col min="8451" max="8451" width="12.7109375" style="114" customWidth="1"/>
    <col min="8452" max="8452" width="7.28515625" style="114" bestFit="1" customWidth="1"/>
    <col min="8453" max="8453" width="12.7109375" style="114" customWidth="1"/>
    <col min="8454" max="8454" width="6" style="114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70" width="0" style="114" hidden="1" customWidth="1"/>
    <col min="8471" max="8471" width="9.7109375" style="114" customWidth="1"/>
    <col min="8472" max="8472" width="12.28515625" style="114" customWidth="1"/>
    <col min="8473" max="8473" width="14.7109375" style="114" customWidth="1"/>
    <col min="8474" max="8474" width="9.7109375" style="114" customWidth="1"/>
    <col min="8475" max="8677" width="9.140625" style="114"/>
    <col min="8678" max="8678" width="15.7109375" style="114" customWidth="1"/>
    <col min="8679" max="8679" width="6.85546875" style="114" bestFit="1" customWidth="1"/>
    <col min="8680" max="8680" width="4.7109375" style="114" bestFit="1" customWidth="1"/>
    <col min="8681" max="8681" width="6.140625" style="114" customWidth="1"/>
    <col min="8682" max="8682" width="12.7109375" style="114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8.140625" style="114" bestFit="1" customWidth="1"/>
    <col min="8694" max="8694" width="12.7109375" style="114" customWidth="1"/>
    <col min="8695" max="8695" width="6.140625" style="114" customWidth="1"/>
    <col min="8696" max="8696" width="12.7109375" style="114" customWidth="1"/>
    <col min="8697" max="8701" width="0" style="114" hidden="1" customWidth="1"/>
    <col min="8702" max="8702" width="10.140625" style="114" customWidth="1"/>
    <col min="8703" max="8703" width="17" style="114" customWidth="1"/>
    <col min="8704" max="8704" width="11.28515625" style="114" bestFit="1" customWidth="1"/>
    <col min="8705" max="8705" width="8.7109375" style="114" bestFit="1" customWidth="1"/>
    <col min="8706" max="8706" width="6" style="114" customWidth="1"/>
    <col min="8707" max="8707" width="12.7109375" style="114" customWidth="1"/>
    <col min="8708" max="8708" width="7.28515625" style="114" bestFit="1" customWidth="1"/>
    <col min="8709" max="8709" width="12.7109375" style="114" customWidth="1"/>
    <col min="8710" max="8710" width="6" style="114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6" width="0" style="114" hidden="1" customWidth="1"/>
    <col min="8727" max="8727" width="9.7109375" style="114" customWidth="1"/>
    <col min="8728" max="8728" width="12.28515625" style="114" customWidth="1"/>
    <col min="8729" max="8729" width="14.7109375" style="114" customWidth="1"/>
    <col min="8730" max="8730" width="9.7109375" style="114" customWidth="1"/>
    <col min="8731" max="8933" width="9.140625" style="114"/>
    <col min="8934" max="8934" width="15.7109375" style="114" customWidth="1"/>
    <col min="8935" max="8935" width="6.85546875" style="114" bestFit="1" customWidth="1"/>
    <col min="8936" max="8936" width="4.7109375" style="114" bestFit="1" customWidth="1"/>
    <col min="8937" max="8937" width="6.140625" style="114" customWidth="1"/>
    <col min="8938" max="8938" width="12.7109375" style="114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8.140625" style="114" bestFit="1" customWidth="1"/>
    <col min="8950" max="8950" width="12.7109375" style="114" customWidth="1"/>
    <col min="8951" max="8951" width="6.140625" style="114" customWidth="1"/>
    <col min="8952" max="8952" width="12.7109375" style="114" customWidth="1"/>
    <col min="8953" max="8957" width="0" style="114" hidden="1" customWidth="1"/>
    <col min="8958" max="8958" width="10.140625" style="114" customWidth="1"/>
    <col min="8959" max="8959" width="17" style="114" customWidth="1"/>
    <col min="8960" max="8960" width="11.28515625" style="114" bestFit="1" customWidth="1"/>
    <col min="8961" max="8961" width="8.7109375" style="114" bestFit="1" customWidth="1"/>
    <col min="8962" max="8962" width="6" style="114" customWidth="1"/>
    <col min="8963" max="8963" width="12.7109375" style="114" customWidth="1"/>
    <col min="8964" max="8964" width="7.28515625" style="114" bestFit="1" customWidth="1"/>
    <col min="8965" max="8965" width="12.7109375" style="114" customWidth="1"/>
    <col min="8966" max="8966" width="6" style="114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82" width="0" style="114" hidden="1" customWidth="1"/>
    <col min="8983" max="8983" width="9.7109375" style="114" customWidth="1"/>
    <col min="8984" max="8984" width="12.28515625" style="114" customWidth="1"/>
    <col min="8985" max="8985" width="14.7109375" style="114" customWidth="1"/>
    <col min="8986" max="8986" width="9.7109375" style="114" customWidth="1"/>
    <col min="8987" max="9189" width="9.140625" style="114"/>
    <col min="9190" max="9190" width="15.7109375" style="114" customWidth="1"/>
    <col min="9191" max="9191" width="6.85546875" style="114" bestFit="1" customWidth="1"/>
    <col min="9192" max="9192" width="4.7109375" style="114" bestFit="1" customWidth="1"/>
    <col min="9193" max="9193" width="6.140625" style="114" customWidth="1"/>
    <col min="9194" max="9194" width="12.7109375" style="114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8.140625" style="114" bestFit="1" customWidth="1"/>
    <col min="9206" max="9206" width="12.7109375" style="114" customWidth="1"/>
    <col min="9207" max="9207" width="6.140625" style="114" customWidth="1"/>
    <col min="9208" max="9208" width="12.7109375" style="114" customWidth="1"/>
    <col min="9209" max="9213" width="0" style="114" hidden="1" customWidth="1"/>
    <col min="9214" max="9214" width="10.140625" style="114" customWidth="1"/>
    <col min="9215" max="9215" width="17" style="114" customWidth="1"/>
    <col min="9216" max="9216" width="11.28515625" style="114" bestFit="1" customWidth="1"/>
    <col min="9217" max="9217" width="8.7109375" style="114" bestFit="1" customWidth="1"/>
    <col min="9218" max="9218" width="6" style="114" customWidth="1"/>
    <col min="9219" max="9219" width="12.7109375" style="114" customWidth="1"/>
    <col min="9220" max="9220" width="7.28515625" style="114" bestFit="1" customWidth="1"/>
    <col min="9221" max="9221" width="12.7109375" style="114" customWidth="1"/>
    <col min="9222" max="9222" width="6" style="114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8" width="0" style="114" hidden="1" customWidth="1"/>
    <col min="9239" max="9239" width="9.7109375" style="114" customWidth="1"/>
    <col min="9240" max="9240" width="12.28515625" style="114" customWidth="1"/>
    <col min="9241" max="9241" width="14.7109375" style="114" customWidth="1"/>
    <col min="9242" max="9242" width="9.7109375" style="114" customWidth="1"/>
    <col min="9243" max="9445" width="9.140625" style="114"/>
    <col min="9446" max="9446" width="15.7109375" style="114" customWidth="1"/>
    <col min="9447" max="9447" width="6.85546875" style="114" bestFit="1" customWidth="1"/>
    <col min="9448" max="9448" width="4.7109375" style="114" bestFit="1" customWidth="1"/>
    <col min="9449" max="9449" width="6.140625" style="114" customWidth="1"/>
    <col min="9450" max="9450" width="12.7109375" style="114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8.140625" style="114" bestFit="1" customWidth="1"/>
    <col min="9462" max="9462" width="12.7109375" style="114" customWidth="1"/>
    <col min="9463" max="9463" width="6.140625" style="114" customWidth="1"/>
    <col min="9464" max="9464" width="12.7109375" style="114" customWidth="1"/>
    <col min="9465" max="9469" width="0" style="114" hidden="1" customWidth="1"/>
    <col min="9470" max="9470" width="10.140625" style="114" customWidth="1"/>
    <col min="9471" max="9471" width="17" style="114" customWidth="1"/>
    <col min="9472" max="9472" width="11.28515625" style="114" bestFit="1" customWidth="1"/>
    <col min="9473" max="9473" width="8.7109375" style="114" bestFit="1" customWidth="1"/>
    <col min="9474" max="9474" width="6" style="114" customWidth="1"/>
    <col min="9475" max="9475" width="12.7109375" style="114" customWidth="1"/>
    <col min="9476" max="9476" width="7.28515625" style="114" bestFit="1" customWidth="1"/>
    <col min="9477" max="9477" width="12.7109375" style="114" customWidth="1"/>
    <col min="9478" max="9478" width="6" style="114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4" width="0" style="114" hidden="1" customWidth="1"/>
    <col min="9495" max="9495" width="9.7109375" style="114" customWidth="1"/>
    <col min="9496" max="9496" width="12.28515625" style="114" customWidth="1"/>
    <col min="9497" max="9497" width="14.7109375" style="114" customWidth="1"/>
    <col min="9498" max="9498" width="9.7109375" style="114" customWidth="1"/>
    <col min="9499" max="9701" width="9.140625" style="114"/>
    <col min="9702" max="9702" width="15.7109375" style="114" customWidth="1"/>
    <col min="9703" max="9703" width="6.85546875" style="114" bestFit="1" customWidth="1"/>
    <col min="9704" max="9704" width="4.7109375" style="114" bestFit="1" customWidth="1"/>
    <col min="9705" max="9705" width="6.140625" style="114" customWidth="1"/>
    <col min="9706" max="9706" width="12.7109375" style="114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8.140625" style="114" bestFit="1" customWidth="1"/>
    <col min="9718" max="9718" width="12.7109375" style="114" customWidth="1"/>
    <col min="9719" max="9719" width="6.140625" style="114" customWidth="1"/>
    <col min="9720" max="9720" width="12.7109375" style="114" customWidth="1"/>
    <col min="9721" max="9725" width="0" style="114" hidden="1" customWidth="1"/>
    <col min="9726" max="9726" width="10.140625" style="114" customWidth="1"/>
    <col min="9727" max="9727" width="17" style="114" customWidth="1"/>
    <col min="9728" max="9728" width="11.28515625" style="114" bestFit="1" customWidth="1"/>
    <col min="9729" max="9729" width="8.7109375" style="114" bestFit="1" customWidth="1"/>
    <col min="9730" max="9730" width="6" style="114" customWidth="1"/>
    <col min="9731" max="9731" width="12.7109375" style="114" customWidth="1"/>
    <col min="9732" max="9732" width="7.28515625" style="114" bestFit="1" customWidth="1"/>
    <col min="9733" max="9733" width="12.7109375" style="114" customWidth="1"/>
    <col min="9734" max="9734" width="6" style="114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50" width="0" style="114" hidden="1" customWidth="1"/>
    <col min="9751" max="9751" width="9.7109375" style="114" customWidth="1"/>
    <col min="9752" max="9752" width="12.28515625" style="114" customWidth="1"/>
    <col min="9753" max="9753" width="14.7109375" style="114" customWidth="1"/>
    <col min="9754" max="9754" width="9.7109375" style="114" customWidth="1"/>
    <col min="9755" max="9957" width="9.140625" style="114"/>
    <col min="9958" max="9958" width="15.7109375" style="114" customWidth="1"/>
    <col min="9959" max="9959" width="6.85546875" style="114" bestFit="1" customWidth="1"/>
    <col min="9960" max="9960" width="4.7109375" style="114" bestFit="1" customWidth="1"/>
    <col min="9961" max="9961" width="6.140625" style="114" customWidth="1"/>
    <col min="9962" max="9962" width="12.7109375" style="114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8.140625" style="114" bestFit="1" customWidth="1"/>
    <col min="9974" max="9974" width="12.7109375" style="114" customWidth="1"/>
    <col min="9975" max="9975" width="6.140625" style="114" customWidth="1"/>
    <col min="9976" max="9976" width="12.7109375" style="114" customWidth="1"/>
    <col min="9977" max="9981" width="0" style="114" hidden="1" customWidth="1"/>
    <col min="9982" max="9982" width="10.140625" style="114" customWidth="1"/>
    <col min="9983" max="9983" width="17" style="114" customWidth="1"/>
    <col min="9984" max="9984" width="11.28515625" style="114" bestFit="1" customWidth="1"/>
    <col min="9985" max="9985" width="8.7109375" style="114" bestFit="1" customWidth="1"/>
    <col min="9986" max="9986" width="6" style="114" customWidth="1"/>
    <col min="9987" max="9987" width="12.7109375" style="114" customWidth="1"/>
    <col min="9988" max="9988" width="7.28515625" style="114" bestFit="1" customWidth="1"/>
    <col min="9989" max="9989" width="12.7109375" style="114" customWidth="1"/>
    <col min="9990" max="9990" width="6" style="114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6" width="0" style="114" hidden="1" customWidth="1"/>
    <col min="10007" max="10007" width="9.7109375" style="114" customWidth="1"/>
    <col min="10008" max="10008" width="12.28515625" style="114" customWidth="1"/>
    <col min="10009" max="10009" width="14.7109375" style="114" customWidth="1"/>
    <col min="10010" max="10010" width="9.7109375" style="114" customWidth="1"/>
    <col min="10011" max="10213" width="9.140625" style="114"/>
    <col min="10214" max="10214" width="15.7109375" style="114" customWidth="1"/>
    <col min="10215" max="10215" width="6.85546875" style="114" bestFit="1" customWidth="1"/>
    <col min="10216" max="10216" width="4.7109375" style="114" bestFit="1" customWidth="1"/>
    <col min="10217" max="10217" width="6.140625" style="114" customWidth="1"/>
    <col min="10218" max="10218" width="12.7109375" style="114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8.140625" style="114" bestFit="1" customWidth="1"/>
    <col min="10230" max="10230" width="12.7109375" style="114" customWidth="1"/>
    <col min="10231" max="10231" width="6.140625" style="114" customWidth="1"/>
    <col min="10232" max="10232" width="12.7109375" style="114" customWidth="1"/>
    <col min="10233" max="10237" width="0" style="114" hidden="1" customWidth="1"/>
    <col min="10238" max="10238" width="10.140625" style="114" customWidth="1"/>
    <col min="10239" max="10239" width="17" style="114" customWidth="1"/>
    <col min="10240" max="10240" width="11.28515625" style="114" bestFit="1" customWidth="1"/>
    <col min="10241" max="10241" width="8.7109375" style="114" bestFit="1" customWidth="1"/>
    <col min="10242" max="10242" width="6" style="114" customWidth="1"/>
    <col min="10243" max="10243" width="12.7109375" style="114" customWidth="1"/>
    <col min="10244" max="10244" width="7.28515625" style="114" bestFit="1" customWidth="1"/>
    <col min="10245" max="10245" width="12.7109375" style="114" customWidth="1"/>
    <col min="10246" max="10246" width="6" style="114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62" width="0" style="114" hidden="1" customWidth="1"/>
    <col min="10263" max="10263" width="9.7109375" style="114" customWidth="1"/>
    <col min="10264" max="10264" width="12.28515625" style="114" customWidth="1"/>
    <col min="10265" max="10265" width="14.7109375" style="114" customWidth="1"/>
    <col min="10266" max="10266" width="9.7109375" style="114" customWidth="1"/>
    <col min="10267" max="10469" width="9.140625" style="114"/>
    <col min="10470" max="10470" width="15.7109375" style="114" customWidth="1"/>
    <col min="10471" max="10471" width="6.85546875" style="114" bestFit="1" customWidth="1"/>
    <col min="10472" max="10472" width="4.7109375" style="114" bestFit="1" customWidth="1"/>
    <col min="10473" max="10473" width="6.140625" style="114" customWidth="1"/>
    <col min="10474" max="10474" width="12.7109375" style="114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8.140625" style="114" bestFit="1" customWidth="1"/>
    <col min="10486" max="10486" width="12.7109375" style="114" customWidth="1"/>
    <col min="10487" max="10487" width="6.140625" style="114" customWidth="1"/>
    <col min="10488" max="10488" width="12.7109375" style="114" customWidth="1"/>
    <col min="10489" max="10493" width="0" style="114" hidden="1" customWidth="1"/>
    <col min="10494" max="10494" width="10.140625" style="114" customWidth="1"/>
    <col min="10495" max="10495" width="17" style="114" customWidth="1"/>
    <col min="10496" max="10496" width="11.28515625" style="114" bestFit="1" customWidth="1"/>
    <col min="10497" max="10497" width="8.7109375" style="114" bestFit="1" customWidth="1"/>
    <col min="10498" max="10498" width="6" style="114" customWidth="1"/>
    <col min="10499" max="10499" width="12.7109375" style="114" customWidth="1"/>
    <col min="10500" max="10500" width="7.28515625" style="114" bestFit="1" customWidth="1"/>
    <col min="10501" max="10501" width="12.7109375" style="114" customWidth="1"/>
    <col min="10502" max="10502" width="6" style="114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8" width="0" style="114" hidden="1" customWidth="1"/>
    <col min="10519" max="10519" width="9.7109375" style="114" customWidth="1"/>
    <col min="10520" max="10520" width="12.28515625" style="114" customWidth="1"/>
    <col min="10521" max="10521" width="14.7109375" style="114" customWidth="1"/>
    <col min="10522" max="10522" width="9.7109375" style="114" customWidth="1"/>
    <col min="10523" max="10725" width="9.140625" style="114"/>
    <col min="10726" max="10726" width="15.7109375" style="114" customWidth="1"/>
    <col min="10727" max="10727" width="6.85546875" style="114" bestFit="1" customWidth="1"/>
    <col min="10728" max="10728" width="4.7109375" style="114" bestFit="1" customWidth="1"/>
    <col min="10729" max="10729" width="6.140625" style="114" customWidth="1"/>
    <col min="10730" max="10730" width="12.7109375" style="114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8.140625" style="114" bestFit="1" customWidth="1"/>
    <col min="10742" max="10742" width="12.7109375" style="114" customWidth="1"/>
    <col min="10743" max="10743" width="6.140625" style="114" customWidth="1"/>
    <col min="10744" max="10744" width="12.7109375" style="114" customWidth="1"/>
    <col min="10745" max="10749" width="0" style="114" hidden="1" customWidth="1"/>
    <col min="10750" max="10750" width="10.140625" style="114" customWidth="1"/>
    <col min="10751" max="10751" width="17" style="114" customWidth="1"/>
    <col min="10752" max="10752" width="11.28515625" style="114" bestFit="1" customWidth="1"/>
    <col min="10753" max="10753" width="8.7109375" style="114" bestFit="1" customWidth="1"/>
    <col min="10754" max="10754" width="6" style="114" customWidth="1"/>
    <col min="10755" max="10755" width="12.7109375" style="114" customWidth="1"/>
    <col min="10756" max="10756" width="7.28515625" style="114" bestFit="1" customWidth="1"/>
    <col min="10757" max="10757" width="12.7109375" style="114" customWidth="1"/>
    <col min="10758" max="10758" width="6" style="114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4" width="0" style="114" hidden="1" customWidth="1"/>
    <col min="10775" max="10775" width="9.7109375" style="114" customWidth="1"/>
    <col min="10776" max="10776" width="12.28515625" style="114" customWidth="1"/>
    <col min="10777" max="10777" width="14.7109375" style="114" customWidth="1"/>
    <col min="10778" max="10778" width="9.7109375" style="114" customWidth="1"/>
    <col min="10779" max="10981" width="9.140625" style="114"/>
    <col min="10982" max="10982" width="15.7109375" style="114" customWidth="1"/>
    <col min="10983" max="10983" width="6.85546875" style="114" bestFit="1" customWidth="1"/>
    <col min="10984" max="10984" width="4.7109375" style="114" bestFit="1" customWidth="1"/>
    <col min="10985" max="10985" width="6.140625" style="114" customWidth="1"/>
    <col min="10986" max="10986" width="12.7109375" style="114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8.140625" style="114" bestFit="1" customWidth="1"/>
    <col min="10998" max="10998" width="12.7109375" style="114" customWidth="1"/>
    <col min="10999" max="10999" width="6.140625" style="114" customWidth="1"/>
    <col min="11000" max="11000" width="12.7109375" style="114" customWidth="1"/>
    <col min="11001" max="11005" width="0" style="114" hidden="1" customWidth="1"/>
    <col min="11006" max="11006" width="10.140625" style="114" customWidth="1"/>
    <col min="11007" max="11007" width="17" style="114" customWidth="1"/>
    <col min="11008" max="11008" width="11.28515625" style="114" bestFit="1" customWidth="1"/>
    <col min="11009" max="11009" width="8.7109375" style="114" bestFit="1" customWidth="1"/>
    <col min="11010" max="11010" width="6" style="114" customWidth="1"/>
    <col min="11011" max="11011" width="12.7109375" style="114" customWidth="1"/>
    <col min="11012" max="11012" width="7.28515625" style="114" bestFit="1" customWidth="1"/>
    <col min="11013" max="11013" width="12.7109375" style="114" customWidth="1"/>
    <col min="11014" max="11014" width="6" style="114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30" width="0" style="114" hidden="1" customWidth="1"/>
    <col min="11031" max="11031" width="9.7109375" style="114" customWidth="1"/>
    <col min="11032" max="11032" width="12.28515625" style="114" customWidth="1"/>
    <col min="11033" max="11033" width="14.7109375" style="114" customWidth="1"/>
    <col min="11034" max="11034" width="9.7109375" style="114" customWidth="1"/>
    <col min="11035" max="11237" width="9.140625" style="114"/>
    <col min="11238" max="11238" width="15.7109375" style="114" customWidth="1"/>
    <col min="11239" max="11239" width="6.85546875" style="114" bestFit="1" customWidth="1"/>
    <col min="11240" max="11240" width="4.7109375" style="114" bestFit="1" customWidth="1"/>
    <col min="11241" max="11241" width="6.140625" style="114" customWidth="1"/>
    <col min="11242" max="11242" width="12.7109375" style="114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8.140625" style="114" bestFit="1" customWidth="1"/>
    <col min="11254" max="11254" width="12.7109375" style="114" customWidth="1"/>
    <col min="11255" max="11255" width="6.140625" style="114" customWidth="1"/>
    <col min="11256" max="11256" width="12.7109375" style="114" customWidth="1"/>
    <col min="11257" max="11261" width="0" style="114" hidden="1" customWidth="1"/>
    <col min="11262" max="11262" width="10.140625" style="114" customWidth="1"/>
    <col min="11263" max="11263" width="17" style="114" customWidth="1"/>
    <col min="11264" max="11264" width="11.28515625" style="114" bestFit="1" customWidth="1"/>
    <col min="11265" max="11265" width="8.7109375" style="114" bestFit="1" customWidth="1"/>
    <col min="11266" max="11266" width="6" style="114" customWidth="1"/>
    <col min="11267" max="11267" width="12.7109375" style="114" customWidth="1"/>
    <col min="11268" max="11268" width="7.28515625" style="114" bestFit="1" customWidth="1"/>
    <col min="11269" max="11269" width="12.7109375" style="114" customWidth="1"/>
    <col min="11270" max="11270" width="6" style="114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6" width="0" style="114" hidden="1" customWidth="1"/>
    <col min="11287" max="11287" width="9.7109375" style="114" customWidth="1"/>
    <col min="11288" max="11288" width="12.28515625" style="114" customWidth="1"/>
    <col min="11289" max="11289" width="14.7109375" style="114" customWidth="1"/>
    <col min="11290" max="11290" width="9.7109375" style="114" customWidth="1"/>
    <col min="11291" max="11493" width="9.140625" style="114"/>
    <col min="11494" max="11494" width="15.7109375" style="114" customWidth="1"/>
    <col min="11495" max="11495" width="6.85546875" style="114" bestFit="1" customWidth="1"/>
    <col min="11496" max="11496" width="4.7109375" style="114" bestFit="1" customWidth="1"/>
    <col min="11497" max="11497" width="6.140625" style="114" customWidth="1"/>
    <col min="11498" max="11498" width="12.7109375" style="114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8.140625" style="114" bestFit="1" customWidth="1"/>
    <col min="11510" max="11510" width="12.7109375" style="114" customWidth="1"/>
    <col min="11511" max="11511" width="6.140625" style="114" customWidth="1"/>
    <col min="11512" max="11512" width="12.7109375" style="114" customWidth="1"/>
    <col min="11513" max="11517" width="0" style="114" hidden="1" customWidth="1"/>
    <col min="11518" max="11518" width="10.140625" style="114" customWidth="1"/>
    <col min="11519" max="11519" width="17" style="114" customWidth="1"/>
    <col min="11520" max="11520" width="11.28515625" style="114" bestFit="1" customWidth="1"/>
    <col min="11521" max="11521" width="8.7109375" style="114" bestFit="1" customWidth="1"/>
    <col min="11522" max="11522" width="6" style="114" customWidth="1"/>
    <col min="11523" max="11523" width="12.7109375" style="114" customWidth="1"/>
    <col min="11524" max="11524" width="7.28515625" style="114" bestFit="1" customWidth="1"/>
    <col min="11525" max="11525" width="12.7109375" style="114" customWidth="1"/>
    <col min="11526" max="11526" width="6" style="114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42" width="0" style="114" hidden="1" customWidth="1"/>
    <col min="11543" max="11543" width="9.7109375" style="114" customWidth="1"/>
    <col min="11544" max="11544" width="12.28515625" style="114" customWidth="1"/>
    <col min="11545" max="11545" width="14.7109375" style="114" customWidth="1"/>
    <col min="11546" max="11546" width="9.7109375" style="114" customWidth="1"/>
    <col min="11547" max="11749" width="9.140625" style="114"/>
    <col min="11750" max="11750" width="15.7109375" style="114" customWidth="1"/>
    <col min="11751" max="11751" width="6.85546875" style="114" bestFit="1" customWidth="1"/>
    <col min="11752" max="11752" width="4.7109375" style="114" bestFit="1" customWidth="1"/>
    <col min="11753" max="11753" width="6.140625" style="114" customWidth="1"/>
    <col min="11754" max="11754" width="12.7109375" style="114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8.140625" style="114" bestFit="1" customWidth="1"/>
    <col min="11766" max="11766" width="12.7109375" style="114" customWidth="1"/>
    <col min="11767" max="11767" width="6.140625" style="114" customWidth="1"/>
    <col min="11768" max="11768" width="12.7109375" style="114" customWidth="1"/>
    <col min="11769" max="11773" width="0" style="114" hidden="1" customWidth="1"/>
    <col min="11774" max="11774" width="10.140625" style="114" customWidth="1"/>
    <col min="11775" max="11775" width="17" style="114" customWidth="1"/>
    <col min="11776" max="11776" width="11.28515625" style="114" bestFit="1" customWidth="1"/>
    <col min="11777" max="11777" width="8.7109375" style="114" bestFit="1" customWidth="1"/>
    <col min="11778" max="11778" width="6" style="114" customWidth="1"/>
    <col min="11779" max="11779" width="12.7109375" style="114" customWidth="1"/>
    <col min="11780" max="11780" width="7.28515625" style="114" bestFit="1" customWidth="1"/>
    <col min="11781" max="11781" width="12.7109375" style="114" customWidth="1"/>
    <col min="11782" max="11782" width="6" style="114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8" width="0" style="114" hidden="1" customWidth="1"/>
    <col min="11799" max="11799" width="9.7109375" style="114" customWidth="1"/>
    <col min="11800" max="11800" width="12.28515625" style="114" customWidth="1"/>
    <col min="11801" max="11801" width="14.7109375" style="114" customWidth="1"/>
    <col min="11802" max="11802" width="9.7109375" style="114" customWidth="1"/>
    <col min="11803" max="12005" width="9.140625" style="114"/>
    <col min="12006" max="12006" width="15.7109375" style="114" customWidth="1"/>
    <col min="12007" max="12007" width="6.85546875" style="114" bestFit="1" customWidth="1"/>
    <col min="12008" max="12008" width="4.7109375" style="114" bestFit="1" customWidth="1"/>
    <col min="12009" max="12009" width="6.140625" style="114" customWidth="1"/>
    <col min="12010" max="12010" width="12.7109375" style="114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8.140625" style="114" bestFit="1" customWidth="1"/>
    <col min="12022" max="12022" width="12.7109375" style="114" customWidth="1"/>
    <col min="12023" max="12023" width="6.140625" style="114" customWidth="1"/>
    <col min="12024" max="12024" width="12.7109375" style="114" customWidth="1"/>
    <col min="12025" max="12029" width="0" style="114" hidden="1" customWidth="1"/>
    <col min="12030" max="12030" width="10.140625" style="114" customWidth="1"/>
    <col min="12031" max="12031" width="17" style="114" customWidth="1"/>
    <col min="12032" max="12032" width="11.28515625" style="114" bestFit="1" customWidth="1"/>
    <col min="12033" max="12033" width="8.7109375" style="114" bestFit="1" customWidth="1"/>
    <col min="12034" max="12034" width="6" style="114" customWidth="1"/>
    <col min="12035" max="12035" width="12.7109375" style="114" customWidth="1"/>
    <col min="12036" max="12036" width="7.28515625" style="114" bestFit="1" customWidth="1"/>
    <col min="12037" max="12037" width="12.7109375" style="114" customWidth="1"/>
    <col min="12038" max="12038" width="6" style="114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4" width="0" style="114" hidden="1" customWidth="1"/>
    <col min="12055" max="12055" width="9.7109375" style="114" customWidth="1"/>
    <col min="12056" max="12056" width="12.28515625" style="114" customWidth="1"/>
    <col min="12057" max="12057" width="14.7109375" style="114" customWidth="1"/>
    <col min="12058" max="12058" width="9.7109375" style="114" customWidth="1"/>
    <col min="12059" max="12261" width="9.140625" style="114"/>
    <col min="12262" max="12262" width="15.7109375" style="114" customWidth="1"/>
    <col min="12263" max="12263" width="6.85546875" style="114" bestFit="1" customWidth="1"/>
    <col min="12264" max="12264" width="4.7109375" style="114" bestFit="1" customWidth="1"/>
    <col min="12265" max="12265" width="6.140625" style="114" customWidth="1"/>
    <col min="12266" max="12266" width="12.7109375" style="114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8.140625" style="114" bestFit="1" customWidth="1"/>
    <col min="12278" max="12278" width="12.7109375" style="114" customWidth="1"/>
    <col min="12279" max="12279" width="6.140625" style="114" customWidth="1"/>
    <col min="12280" max="12280" width="12.7109375" style="114" customWidth="1"/>
    <col min="12281" max="12285" width="0" style="114" hidden="1" customWidth="1"/>
    <col min="12286" max="12286" width="10.140625" style="114" customWidth="1"/>
    <col min="12287" max="12287" width="17" style="114" customWidth="1"/>
    <col min="12288" max="12288" width="11.28515625" style="114" bestFit="1" customWidth="1"/>
    <col min="12289" max="12289" width="8.7109375" style="114" bestFit="1" customWidth="1"/>
    <col min="12290" max="12290" width="6" style="114" customWidth="1"/>
    <col min="12291" max="12291" width="12.7109375" style="114" customWidth="1"/>
    <col min="12292" max="12292" width="7.28515625" style="114" bestFit="1" customWidth="1"/>
    <col min="12293" max="12293" width="12.7109375" style="114" customWidth="1"/>
    <col min="12294" max="12294" width="6" style="114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10" width="0" style="114" hidden="1" customWidth="1"/>
    <col min="12311" max="12311" width="9.7109375" style="114" customWidth="1"/>
    <col min="12312" max="12312" width="12.28515625" style="114" customWidth="1"/>
    <col min="12313" max="12313" width="14.7109375" style="114" customWidth="1"/>
    <col min="12314" max="12314" width="9.7109375" style="114" customWidth="1"/>
    <col min="12315" max="12517" width="9.140625" style="114"/>
    <col min="12518" max="12518" width="15.7109375" style="114" customWidth="1"/>
    <col min="12519" max="12519" width="6.85546875" style="114" bestFit="1" customWidth="1"/>
    <col min="12520" max="12520" width="4.7109375" style="114" bestFit="1" customWidth="1"/>
    <col min="12521" max="12521" width="6.140625" style="114" customWidth="1"/>
    <col min="12522" max="12522" width="12.7109375" style="114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8.140625" style="114" bestFit="1" customWidth="1"/>
    <col min="12534" max="12534" width="12.7109375" style="114" customWidth="1"/>
    <col min="12535" max="12535" width="6.140625" style="114" customWidth="1"/>
    <col min="12536" max="12536" width="12.7109375" style="114" customWidth="1"/>
    <col min="12537" max="12541" width="0" style="114" hidden="1" customWidth="1"/>
    <col min="12542" max="12542" width="10.140625" style="114" customWidth="1"/>
    <col min="12543" max="12543" width="17" style="114" customWidth="1"/>
    <col min="12544" max="12544" width="11.28515625" style="114" bestFit="1" customWidth="1"/>
    <col min="12545" max="12545" width="8.7109375" style="114" bestFit="1" customWidth="1"/>
    <col min="12546" max="12546" width="6" style="114" customWidth="1"/>
    <col min="12547" max="12547" width="12.7109375" style="114" customWidth="1"/>
    <col min="12548" max="12548" width="7.28515625" style="114" bestFit="1" customWidth="1"/>
    <col min="12549" max="12549" width="12.7109375" style="114" customWidth="1"/>
    <col min="12550" max="12550" width="6" style="114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6" width="0" style="114" hidden="1" customWidth="1"/>
    <col min="12567" max="12567" width="9.7109375" style="114" customWidth="1"/>
    <col min="12568" max="12568" width="12.28515625" style="114" customWidth="1"/>
    <col min="12569" max="12569" width="14.7109375" style="114" customWidth="1"/>
    <col min="12570" max="12570" width="9.7109375" style="114" customWidth="1"/>
    <col min="12571" max="12773" width="9.140625" style="114"/>
    <col min="12774" max="12774" width="15.7109375" style="114" customWidth="1"/>
    <col min="12775" max="12775" width="6.85546875" style="114" bestFit="1" customWidth="1"/>
    <col min="12776" max="12776" width="4.7109375" style="114" bestFit="1" customWidth="1"/>
    <col min="12777" max="12777" width="6.140625" style="114" customWidth="1"/>
    <col min="12778" max="12778" width="12.7109375" style="114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8.140625" style="114" bestFit="1" customWidth="1"/>
    <col min="12790" max="12790" width="12.7109375" style="114" customWidth="1"/>
    <col min="12791" max="12791" width="6.140625" style="114" customWidth="1"/>
    <col min="12792" max="12792" width="12.7109375" style="114" customWidth="1"/>
    <col min="12793" max="12797" width="0" style="114" hidden="1" customWidth="1"/>
    <col min="12798" max="12798" width="10.140625" style="114" customWidth="1"/>
    <col min="12799" max="12799" width="17" style="114" customWidth="1"/>
    <col min="12800" max="12800" width="11.28515625" style="114" bestFit="1" customWidth="1"/>
    <col min="12801" max="12801" width="8.7109375" style="114" bestFit="1" customWidth="1"/>
    <col min="12802" max="12802" width="6" style="114" customWidth="1"/>
    <col min="12803" max="12803" width="12.7109375" style="114" customWidth="1"/>
    <col min="12804" max="12804" width="7.28515625" style="114" bestFit="1" customWidth="1"/>
    <col min="12805" max="12805" width="12.7109375" style="114" customWidth="1"/>
    <col min="12806" max="12806" width="6" style="114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22" width="0" style="114" hidden="1" customWidth="1"/>
    <col min="12823" max="12823" width="9.7109375" style="114" customWidth="1"/>
    <col min="12824" max="12824" width="12.28515625" style="114" customWidth="1"/>
    <col min="12825" max="12825" width="14.7109375" style="114" customWidth="1"/>
    <col min="12826" max="12826" width="9.7109375" style="114" customWidth="1"/>
    <col min="12827" max="13029" width="9.140625" style="114"/>
    <col min="13030" max="13030" width="15.7109375" style="114" customWidth="1"/>
    <col min="13031" max="13031" width="6.85546875" style="114" bestFit="1" customWidth="1"/>
    <col min="13032" max="13032" width="4.7109375" style="114" bestFit="1" customWidth="1"/>
    <col min="13033" max="13033" width="6.140625" style="114" customWidth="1"/>
    <col min="13034" max="13034" width="12.7109375" style="114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8.140625" style="114" bestFit="1" customWidth="1"/>
    <col min="13046" max="13046" width="12.7109375" style="114" customWidth="1"/>
    <col min="13047" max="13047" width="6.140625" style="114" customWidth="1"/>
    <col min="13048" max="13048" width="12.7109375" style="114" customWidth="1"/>
    <col min="13049" max="13053" width="0" style="114" hidden="1" customWidth="1"/>
    <col min="13054" max="13054" width="10.140625" style="114" customWidth="1"/>
    <col min="13055" max="13055" width="17" style="114" customWidth="1"/>
    <col min="13056" max="13056" width="11.28515625" style="114" bestFit="1" customWidth="1"/>
    <col min="13057" max="13057" width="8.7109375" style="114" bestFit="1" customWidth="1"/>
    <col min="13058" max="13058" width="6" style="114" customWidth="1"/>
    <col min="13059" max="13059" width="12.7109375" style="114" customWidth="1"/>
    <col min="13060" max="13060" width="7.28515625" style="114" bestFit="1" customWidth="1"/>
    <col min="13061" max="13061" width="12.7109375" style="114" customWidth="1"/>
    <col min="13062" max="13062" width="6" style="114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8" width="0" style="114" hidden="1" customWidth="1"/>
    <col min="13079" max="13079" width="9.7109375" style="114" customWidth="1"/>
    <col min="13080" max="13080" width="12.28515625" style="114" customWidth="1"/>
    <col min="13081" max="13081" width="14.7109375" style="114" customWidth="1"/>
    <col min="13082" max="13082" width="9.7109375" style="114" customWidth="1"/>
    <col min="13083" max="13285" width="9.140625" style="114"/>
    <col min="13286" max="13286" width="15.7109375" style="114" customWidth="1"/>
    <col min="13287" max="13287" width="6.85546875" style="114" bestFit="1" customWidth="1"/>
    <col min="13288" max="13288" width="4.7109375" style="114" bestFit="1" customWidth="1"/>
    <col min="13289" max="13289" width="6.140625" style="114" customWidth="1"/>
    <col min="13290" max="13290" width="12.7109375" style="114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8.140625" style="114" bestFit="1" customWidth="1"/>
    <col min="13302" max="13302" width="12.7109375" style="114" customWidth="1"/>
    <col min="13303" max="13303" width="6.140625" style="114" customWidth="1"/>
    <col min="13304" max="13304" width="12.7109375" style="114" customWidth="1"/>
    <col min="13305" max="13309" width="0" style="114" hidden="1" customWidth="1"/>
    <col min="13310" max="13310" width="10.140625" style="114" customWidth="1"/>
    <col min="13311" max="13311" width="17" style="114" customWidth="1"/>
    <col min="13312" max="13312" width="11.28515625" style="114" bestFit="1" customWidth="1"/>
    <col min="13313" max="13313" width="8.7109375" style="114" bestFit="1" customWidth="1"/>
    <col min="13314" max="13314" width="6" style="114" customWidth="1"/>
    <col min="13315" max="13315" width="12.7109375" style="114" customWidth="1"/>
    <col min="13316" max="13316" width="7.28515625" style="114" bestFit="1" customWidth="1"/>
    <col min="13317" max="13317" width="12.7109375" style="114" customWidth="1"/>
    <col min="13318" max="13318" width="6" style="114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4" width="0" style="114" hidden="1" customWidth="1"/>
    <col min="13335" max="13335" width="9.7109375" style="114" customWidth="1"/>
    <col min="13336" max="13336" width="12.28515625" style="114" customWidth="1"/>
    <col min="13337" max="13337" width="14.7109375" style="114" customWidth="1"/>
    <col min="13338" max="13338" width="9.7109375" style="114" customWidth="1"/>
    <col min="13339" max="13541" width="9.140625" style="114"/>
    <col min="13542" max="13542" width="15.7109375" style="114" customWidth="1"/>
    <col min="13543" max="13543" width="6.85546875" style="114" bestFit="1" customWidth="1"/>
    <col min="13544" max="13544" width="4.7109375" style="114" bestFit="1" customWidth="1"/>
    <col min="13545" max="13545" width="6.140625" style="114" customWidth="1"/>
    <col min="13546" max="13546" width="12.7109375" style="114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8.140625" style="114" bestFit="1" customWidth="1"/>
    <col min="13558" max="13558" width="12.7109375" style="114" customWidth="1"/>
    <col min="13559" max="13559" width="6.140625" style="114" customWidth="1"/>
    <col min="13560" max="13560" width="12.7109375" style="114" customWidth="1"/>
    <col min="13561" max="13565" width="0" style="114" hidden="1" customWidth="1"/>
    <col min="13566" max="13566" width="10.140625" style="114" customWidth="1"/>
    <col min="13567" max="13567" width="17" style="114" customWidth="1"/>
    <col min="13568" max="13568" width="11.28515625" style="114" bestFit="1" customWidth="1"/>
    <col min="13569" max="13569" width="8.7109375" style="114" bestFit="1" customWidth="1"/>
    <col min="13570" max="13570" width="6" style="114" customWidth="1"/>
    <col min="13571" max="13571" width="12.7109375" style="114" customWidth="1"/>
    <col min="13572" max="13572" width="7.28515625" style="114" bestFit="1" customWidth="1"/>
    <col min="13573" max="13573" width="12.7109375" style="114" customWidth="1"/>
    <col min="13574" max="13574" width="6" style="114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90" width="0" style="114" hidden="1" customWidth="1"/>
    <col min="13591" max="13591" width="9.7109375" style="114" customWidth="1"/>
    <col min="13592" max="13592" width="12.28515625" style="114" customWidth="1"/>
    <col min="13593" max="13593" width="14.7109375" style="114" customWidth="1"/>
    <col min="13594" max="13594" width="9.7109375" style="114" customWidth="1"/>
    <col min="13595" max="13797" width="9.140625" style="114"/>
    <col min="13798" max="13798" width="15.7109375" style="114" customWidth="1"/>
    <col min="13799" max="13799" width="6.85546875" style="114" bestFit="1" customWidth="1"/>
    <col min="13800" max="13800" width="4.7109375" style="114" bestFit="1" customWidth="1"/>
    <col min="13801" max="13801" width="6.140625" style="114" customWidth="1"/>
    <col min="13802" max="13802" width="12.7109375" style="114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8.140625" style="114" bestFit="1" customWidth="1"/>
    <col min="13814" max="13814" width="12.7109375" style="114" customWidth="1"/>
    <col min="13815" max="13815" width="6.140625" style="114" customWidth="1"/>
    <col min="13816" max="13816" width="12.7109375" style="114" customWidth="1"/>
    <col min="13817" max="13821" width="0" style="114" hidden="1" customWidth="1"/>
    <col min="13822" max="13822" width="10.140625" style="114" customWidth="1"/>
    <col min="13823" max="13823" width="17" style="114" customWidth="1"/>
    <col min="13824" max="13824" width="11.28515625" style="114" bestFit="1" customWidth="1"/>
    <col min="13825" max="13825" width="8.7109375" style="114" bestFit="1" customWidth="1"/>
    <col min="13826" max="13826" width="6" style="114" customWidth="1"/>
    <col min="13827" max="13827" width="12.7109375" style="114" customWidth="1"/>
    <col min="13828" max="13828" width="7.28515625" style="114" bestFit="1" customWidth="1"/>
    <col min="13829" max="13829" width="12.7109375" style="114" customWidth="1"/>
    <col min="13830" max="13830" width="6" style="114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6" width="0" style="114" hidden="1" customWidth="1"/>
    <col min="13847" max="13847" width="9.7109375" style="114" customWidth="1"/>
    <col min="13848" max="13848" width="12.28515625" style="114" customWidth="1"/>
    <col min="13849" max="13849" width="14.7109375" style="114" customWidth="1"/>
    <col min="13850" max="13850" width="9.7109375" style="114" customWidth="1"/>
    <col min="13851" max="14053" width="9.140625" style="114"/>
    <col min="14054" max="14054" width="15.7109375" style="114" customWidth="1"/>
    <col min="14055" max="14055" width="6.85546875" style="114" bestFit="1" customWidth="1"/>
    <col min="14056" max="14056" width="4.7109375" style="114" bestFit="1" customWidth="1"/>
    <col min="14057" max="14057" width="6.140625" style="114" customWidth="1"/>
    <col min="14058" max="14058" width="12.7109375" style="114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8.140625" style="114" bestFit="1" customWidth="1"/>
    <col min="14070" max="14070" width="12.7109375" style="114" customWidth="1"/>
    <col min="14071" max="14071" width="6.140625" style="114" customWidth="1"/>
    <col min="14072" max="14072" width="12.7109375" style="114" customWidth="1"/>
    <col min="14073" max="14077" width="0" style="114" hidden="1" customWidth="1"/>
    <col min="14078" max="14078" width="10.140625" style="114" customWidth="1"/>
    <col min="14079" max="14079" width="17" style="114" customWidth="1"/>
    <col min="14080" max="14080" width="11.28515625" style="114" bestFit="1" customWidth="1"/>
    <col min="14081" max="14081" width="8.7109375" style="114" bestFit="1" customWidth="1"/>
    <col min="14082" max="14082" width="6" style="114" customWidth="1"/>
    <col min="14083" max="14083" width="12.7109375" style="114" customWidth="1"/>
    <col min="14084" max="14084" width="7.28515625" style="114" bestFit="1" customWidth="1"/>
    <col min="14085" max="14085" width="12.7109375" style="114" customWidth="1"/>
    <col min="14086" max="14086" width="6" style="114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102" width="0" style="114" hidden="1" customWidth="1"/>
    <col min="14103" max="14103" width="9.7109375" style="114" customWidth="1"/>
    <col min="14104" max="14104" width="12.28515625" style="114" customWidth="1"/>
    <col min="14105" max="14105" width="14.7109375" style="114" customWidth="1"/>
    <col min="14106" max="14106" width="9.7109375" style="114" customWidth="1"/>
    <col min="14107" max="14309" width="9.140625" style="114"/>
    <col min="14310" max="14310" width="15.7109375" style="114" customWidth="1"/>
    <col min="14311" max="14311" width="6.85546875" style="114" bestFit="1" customWidth="1"/>
    <col min="14312" max="14312" width="4.7109375" style="114" bestFit="1" customWidth="1"/>
    <col min="14313" max="14313" width="6.140625" style="114" customWidth="1"/>
    <col min="14314" max="14314" width="12.7109375" style="114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8.140625" style="114" bestFit="1" customWidth="1"/>
    <col min="14326" max="14326" width="12.7109375" style="114" customWidth="1"/>
    <col min="14327" max="14327" width="6.140625" style="114" customWidth="1"/>
    <col min="14328" max="14328" width="12.7109375" style="114" customWidth="1"/>
    <col min="14329" max="14333" width="0" style="114" hidden="1" customWidth="1"/>
    <col min="14334" max="14334" width="10.140625" style="114" customWidth="1"/>
    <col min="14335" max="14335" width="17" style="114" customWidth="1"/>
    <col min="14336" max="14336" width="11.28515625" style="114" bestFit="1" customWidth="1"/>
    <col min="14337" max="14337" width="8.7109375" style="114" bestFit="1" customWidth="1"/>
    <col min="14338" max="14338" width="6" style="114" customWidth="1"/>
    <col min="14339" max="14339" width="12.7109375" style="114" customWidth="1"/>
    <col min="14340" max="14340" width="7.28515625" style="114" bestFit="1" customWidth="1"/>
    <col min="14341" max="14341" width="12.7109375" style="114" customWidth="1"/>
    <col min="14342" max="14342" width="6" style="114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8" width="0" style="114" hidden="1" customWidth="1"/>
    <col min="14359" max="14359" width="9.7109375" style="114" customWidth="1"/>
    <col min="14360" max="14360" width="12.28515625" style="114" customWidth="1"/>
    <col min="14361" max="14361" width="14.7109375" style="114" customWidth="1"/>
    <col min="14362" max="14362" width="9.7109375" style="114" customWidth="1"/>
    <col min="14363" max="14565" width="9.140625" style="114"/>
    <col min="14566" max="14566" width="15.7109375" style="114" customWidth="1"/>
    <col min="14567" max="14567" width="6.85546875" style="114" bestFit="1" customWidth="1"/>
    <col min="14568" max="14568" width="4.7109375" style="114" bestFit="1" customWidth="1"/>
    <col min="14569" max="14569" width="6.140625" style="114" customWidth="1"/>
    <col min="14570" max="14570" width="12.7109375" style="114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8.140625" style="114" bestFit="1" customWidth="1"/>
    <col min="14582" max="14582" width="12.7109375" style="114" customWidth="1"/>
    <col min="14583" max="14583" width="6.140625" style="114" customWidth="1"/>
    <col min="14584" max="14584" width="12.7109375" style="114" customWidth="1"/>
    <col min="14585" max="14589" width="0" style="114" hidden="1" customWidth="1"/>
    <col min="14590" max="14590" width="10.140625" style="114" customWidth="1"/>
    <col min="14591" max="14591" width="17" style="114" customWidth="1"/>
    <col min="14592" max="14592" width="11.28515625" style="114" bestFit="1" customWidth="1"/>
    <col min="14593" max="14593" width="8.7109375" style="114" bestFit="1" customWidth="1"/>
    <col min="14594" max="14594" width="6" style="114" customWidth="1"/>
    <col min="14595" max="14595" width="12.7109375" style="114" customWidth="1"/>
    <col min="14596" max="14596" width="7.28515625" style="114" bestFit="1" customWidth="1"/>
    <col min="14597" max="14597" width="12.7109375" style="114" customWidth="1"/>
    <col min="14598" max="14598" width="6" style="114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4" width="0" style="114" hidden="1" customWidth="1"/>
    <col min="14615" max="14615" width="9.7109375" style="114" customWidth="1"/>
    <col min="14616" max="14616" width="12.28515625" style="114" customWidth="1"/>
    <col min="14617" max="14617" width="14.7109375" style="114" customWidth="1"/>
    <col min="14618" max="14618" width="9.7109375" style="114" customWidth="1"/>
    <col min="14619" max="14821" width="9.140625" style="114"/>
    <col min="14822" max="14822" width="15.7109375" style="114" customWidth="1"/>
    <col min="14823" max="14823" width="6.85546875" style="114" bestFit="1" customWidth="1"/>
    <col min="14824" max="14824" width="4.7109375" style="114" bestFit="1" customWidth="1"/>
    <col min="14825" max="14825" width="6.140625" style="114" customWidth="1"/>
    <col min="14826" max="14826" width="12.7109375" style="114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8.140625" style="114" bestFit="1" customWidth="1"/>
    <col min="14838" max="14838" width="12.7109375" style="114" customWidth="1"/>
    <col min="14839" max="14839" width="6.140625" style="114" customWidth="1"/>
    <col min="14840" max="14840" width="12.7109375" style="114" customWidth="1"/>
    <col min="14841" max="14845" width="0" style="114" hidden="1" customWidth="1"/>
    <col min="14846" max="14846" width="10.140625" style="114" customWidth="1"/>
    <col min="14847" max="14847" width="17" style="114" customWidth="1"/>
    <col min="14848" max="14848" width="11.28515625" style="114" bestFit="1" customWidth="1"/>
    <col min="14849" max="14849" width="8.7109375" style="114" bestFit="1" customWidth="1"/>
    <col min="14850" max="14850" width="6" style="114" customWidth="1"/>
    <col min="14851" max="14851" width="12.7109375" style="114" customWidth="1"/>
    <col min="14852" max="14852" width="7.28515625" style="114" bestFit="1" customWidth="1"/>
    <col min="14853" max="14853" width="12.7109375" style="114" customWidth="1"/>
    <col min="14854" max="14854" width="6" style="114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70" width="0" style="114" hidden="1" customWidth="1"/>
    <col min="14871" max="14871" width="9.7109375" style="114" customWidth="1"/>
    <col min="14872" max="14872" width="12.28515625" style="114" customWidth="1"/>
    <col min="14873" max="14873" width="14.7109375" style="114" customWidth="1"/>
    <col min="14874" max="14874" width="9.7109375" style="114" customWidth="1"/>
    <col min="14875" max="15077" width="9.140625" style="114"/>
    <col min="15078" max="15078" width="15.7109375" style="114" customWidth="1"/>
    <col min="15079" max="15079" width="6.85546875" style="114" bestFit="1" customWidth="1"/>
    <col min="15080" max="15080" width="4.7109375" style="114" bestFit="1" customWidth="1"/>
    <col min="15081" max="15081" width="6.140625" style="114" customWidth="1"/>
    <col min="15082" max="15082" width="12.7109375" style="114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8.140625" style="114" bestFit="1" customWidth="1"/>
    <col min="15094" max="15094" width="12.7109375" style="114" customWidth="1"/>
    <col min="15095" max="15095" width="6.140625" style="114" customWidth="1"/>
    <col min="15096" max="15096" width="12.7109375" style="114" customWidth="1"/>
    <col min="15097" max="15101" width="0" style="114" hidden="1" customWidth="1"/>
    <col min="15102" max="15102" width="10.140625" style="114" customWidth="1"/>
    <col min="15103" max="15103" width="17" style="114" customWidth="1"/>
    <col min="15104" max="15104" width="11.28515625" style="114" bestFit="1" customWidth="1"/>
    <col min="15105" max="15105" width="8.7109375" style="114" bestFit="1" customWidth="1"/>
    <col min="15106" max="15106" width="6" style="114" customWidth="1"/>
    <col min="15107" max="15107" width="12.7109375" style="114" customWidth="1"/>
    <col min="15108" max="15108" width="7.28515625" style="114" bestFit="1" customWidth="1"/>
    <col min="15109" max="15109" width="12.7109375" style="114" customWidth="1"/>
    <col min="15110" max="15110" width="6" style="114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6" width="0" style="114" hidden="1" customWidth="1"/>
    <col min="15127" max="15127" width="9.7109375" style="114" customWidth="1"/>
    <col min="15128" max="15128" width="12.28515625" style="114" customWidth="1"/>
    <col min="15129" max="15129" width="14.7109375" style="114" customWidth="1"/>
    <col min="15130" max="15130" width="9.7109375" style="114" customWidth="1"/>
    <col min="15131" max="15333" width="9.140625" style="114"/>
    <col min="15334" max="15334" width="15.7109375" style="114" customWidth="1"/>
    <col min="15335" max="15335" width="6.85546875" style="114" bestFit="1" customWidth="1"/>
    <col min="15336" max="15336" width="4.7109375" style="114" bestFit="1" customWidth="1"/>
    <col min="15337" max="15337" width="6.140625" style="114" customWidth="1"/>
    <col min="15338" max="15338" width="12.7109375" style="114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8.140625" style="114" bestFit="1" customWidth="1"/>
    <col min="15350" max="15350" width="12.7109375" style="114" customWidth="1"/>
    <col min="15351" max="15351" width="6.140625" style="114" customWidth="1"/>
    <col min="15352" max="15352" width="12.7109375" style="114" customWidth="1"/>
    <col min="15353" max="15357" width="0" style="114" hidden="1" customWidth="1"/>
    <col min="15358" max="15358" width="10.140625" style="114" customWidth="1"/>
    <col min="15359" max="15359" width="17" style="114" customWidth="1"/>
    <col min="15360" max="15360" width="11.28515625" style="114" bestFit="1" customWidth="1"/>
    <col min="15361" max="15361" width="8.7109375" style="114" bestFit="1" customWidth="1"/>
    <col min="15362" max="15362" width="6" style="114" customWidth="1"/>
    <col min="15363" max="15363" width="12.7109375" style="114" customWidth="1"/>
    <col min="15364" max="15364" width="7.28515625" style="114" bestFit="1" customWidth="1"/>
    <col min="15365" max="15365" width="12.7109375" style="114" customWidth="1"/>
    <col min="15366" max="15366" width="6" style="114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82" width="0" style="114" hidden="1" customWidth="1"/>
    <col min="15383" max="15383" width="9.7109375" style="114" customWidth="1"/>
    <col min="15384" max="15384" width="12.28515625" style="114" customWidth="1"/>
    <col min="15385" max="15385" width="14.7109375" style="114" customWidth="1"/>
    <col min="15386" max="15386" width="9.7109375" style="114" customWidth="1"/>
    <col min="15387" max="15589" width="9.140625" style="114"/>
    <col min="15590" max="15590" width="15.7109375" style="114" customWidth="1"/>
    <col min="15591" max="15591" width="6.85546875" style="114" bestFit="1" customWidth="1"/>
    <col min="15592" max="15592" width="4.7109375" style="114" bestFit="1" customWidth="1"/>
    <col min="15593" max="15593" width="6.140625" style="114" customWidth="1"/>
    <col min="15594" max="15594" width="12.7109375" style="114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8.140625" style="114" bestFit="1" customWidth="1"/>
    <col min="15606" max="15606" width="12.7109375" style="114" customWidth="1"/>
    <col min="15607" max="15607" width="6.140625" style="114" customWidth="1"/>
    <col min="15608" max="15608" width="12.7109375" style="114" customWidth="1"/>
    <col min="15609" max="15613" width="0" style="114" hidden="1" customWidth="1"/>
    <col min="15614" max="15614" width="10.140625" style="114" customWidth="1"/>
    <col min="15615" max="15615" width="17" style="114" customWidth="1"/>
    <col min="15616" max="15616" width="11.28515625" style="114" bestFit="1" customWidth="1"/>
    <col min="15617" max="15617" width="8.7109375" style="114" bestFit="1" customWidth="1"/>
    <col min="15618" max="15618" width="6" style="114" customWidth="1"/>
    <col min="15619" max="15619" width="12.7109375" style="114" customWidth="1"/>
    <col min="15620" max="15620" width="7.28515625" style="114" bestFit="1" customWidth="1"/>
    <col min="15621" max="15621" width="12.7109375" style="114" customWidth="1"/>
    <col min="15622" max="15622" width="6" style="114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8" width="0" style="114" hidden="1" customWidth="1"/>
    <col min="15639" max="15639" width="9.7109375" style="114" customWidth="1"/>
    <col min="15640" max="15640" width="12.28515625" style="114" customWidth="1"/>
    <col min="15641" max="15641" width="14.7109375" style="114" customWidth="1"/>
    <col min="15642" max="15642" width="9.7109375" style="114" customWidth="1"/>
    <col min="15643" max="15845" width="9.140625" style="114"/>
    <col min="15846" max="15846" width="15.7109375" style="114" customWidth="1"/>
    <col min="15847" max="15847" width="6.85546875" style="114" bestFit="1" customWidth="1"/>
    <col min="15848" max="15848" width="4.7109375" style="114" bestFit="1" customWidth="1"/>
    <col min="15849" max="15849" width="6.140625" style="114" customWidth="1"/>
    <col min="15850" max="15850" width="12.7109375" style="114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8.140625" style="114" bestFit="1" customWidth="1"/>
    <col min="15862" max="15862" width="12.7109375" style="114" customWidth="1"/>
    <col min="15863" max="15863" width="6.140625" style="114" customWidth="1"/>
    <col min="15864" max="15864" width="12.7109375" style="114" customWidth="1"/>
    <col min="15865" max="15869" width="0" style="114" hidden="1" customWidth="1"/>
    <col min="15870" max="15870" width="10.140625" style="114" customWidth="1"/>
    <col min="15871" max="15871" width="17" style="114" customWidth="1"/>
    <col min="15872" max="15872" width="11.28515625" style="114" bestFit="1" customWidth="1"/>
    <col min="15873" max="15873" width="8.7109375" style="114" bestFit="1" customWidth="1"/>
    <col min="15874" max="15874" width="6" style="114" customWidth="1"/>
    <col min="15875" max="15875" width="12.7109375" style="114" customWidth="1"/>
    <col min="15876" max="15876" width="7.28515625" style="114" bestFit="1" customWidth="1"/>
    <col min="15877" max="15877" width="12.7109375" style="114" customWidth="1"/>
    <col min="15878" max="15878" width="6" style="114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4" width="0" style="114" hidden="1" customWidth="1"/>
    <col min="15895" max="15895" width="9.7109375" style="114" customWidth="1"/>
    <col min="15896" max="15896" width="12.28515625" style="114" customWidth="1"/>
    <col min="15897" max="15897" width="14.7109375" style="114" customWidth="1"/>
    <col min="15898" max="15898" width="9.7109375" style="114" customWidth="1"/>
    <col min="15899" max="16101" width="9.140625" style="114"/>
    <col min="16102" max="16102" width="15.7109375" style="114" customWidth="1"/>
    <col min="16103" max="16103" width="6.85546875" style="114" bestFit="1" customWidth="1"/>
    <col min="16104" max="16104" width="4.7109375" style="114" bestFit="1" customWidth="1"/>
    <col min="16105" max="16105" width="6.140625" style="114" customWidth="1"/>
    <col min="16106" max="16106" width="12.7109375" style="114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8.140625" style="114" bestFit="1" customWidth="1"/>
    <col min="16118" max="16118" width="12.7109375" style="114" customWidth="1"/>
    <col min="16119" max="16119" width="6.140625" style="114" customWidth="1"/>
    <col min="16120" max="16120" width="12.7109375" style="114" customWidth="1"/>
    <col min="16121" max="16125" width="0" style="114" hidden="1" customWidth="1"/>
    <col min="16126" max="16126" width="10.140625" style="114" customWidth="1"/>
    <col min="16127" max="16127" width="17" style="114" customWidth="1"/>
    <col min="16128" max="16128" width="11.28515625" style="114" bestFit="1" customWidth="1"/>
    <col min="16129" max="16129" width="8.7109375" style="114" bestFit="1" customWidth="1"/>
    <col min="16130" max="16130" width="6" style="114" customWidth="1"/>
    <col min="16131" max="16131" width="12.7109375" style="114" customWidth="1"/>
    <col min="16132" max="16132" width="7.28515625" style="114" bestFit="1" customWidth="1"/>
    <col min="16133" max="16133" width="12.7109375" style="114" customWidth="1"/>
    <col min="16134" max="16134" width="6" style="114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50" width="0" style="114" hidden="1" customWidth="1"/>
    <col min="16151" max="16151" width="9.7109375" style="114" customWidth="1"/>
    <col min="16152" max="16152" width="12.28515625" style="114" customWidth="1"/>
    <col min="16153" max="16153" width="14.7109375" style="114" customWidth="1"/>
    <col min="16154" max="16154" width="9.7109375" style="114" customWidth="1"/>
    <col min="16155" max="16384" width="9.140625" style="114"/>
  </cols>
  <sheetData>
    <row r="1" spans="1:53" ht="25.5" customHeight="1" x14ac:dyDescent="0.35">
      <c r="A1" s="110"/>
      <c r="B1" s="110"/>
      <c r="C1" s="110"/>
      <c r="D1" s="110"/>
      <c r="E1" s="765">
        <f>'Annual 2022l2023'!C3</f>
        <v>44690</v>
      </c>
      <c r="F1" s="765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3" x14ac:dyDescent="0.2">
      <c r="A2" s="111" t="s">
        <v>48</v>
      </c>
      <c r="D2" s="111">
        <v>30</v>
      </c>
    </row>
    <row r="3" spans="1:53" s="111" customFormat="1" x14ac:dyDescent="0.2"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</row>
    <row r="4" spans="1:53" s="118" customFormat="1" ht="42" customHeight="1" x14ac:dyDescent="0.2">
      <c r="A4" s="115"/>
      <c r="B4" s="776"/>
      <c r="C4" s="777"/>
      <c r="D4" s="778" t="s">
        <v>126</v>
      </c>
      <c r="E4" s="779"/>
      <c r="F4" s="779"/>
      <c r="G4" s="779"/>
      <c r="H4" s="779"/>
      <c r="I4" s="779"/>
      <c r="J4" s="779"/>
      <c r="K4" s="779"/>
      <c r="L4" s="779"/>
      <c r="M4" s="779"/>
      <c r="N4" s="779"/>
      <c r="O4" s="779"/>
      <c r="P4" s="779"/>
      <c r="Q4" s="779"/>
      <c r="R4" s="779"/>
      <c r="S4" s="779"/>
      <c r="T4" s="779"/>
      <c r="U4" s="779"/>
      <c r="V4" s="779"/>
      <c r="W4" s="779"/>
      <c r="X4" s="779"/>
      <c r="Y4" s="779"/>
      <c r="Z4" s="779"/>
      <c r="AA4" s="779"/>
      <c r="AB4" s="780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</row>
    <row r="5" spans="1:53" s="128" customFormat="1" ht="15.75" x14ac:dyDescent="0.25">
      <c r="A5" s="119" t="s">
        <v>49</v>
      </c>
      <c r="B5" s="120"/>
      <c r="C5" s="121"/>
      <c r="D5" s="781" t="s">
        <v>50</v>
      </c>
      <c r="E5" s="784"/>
      <c r="F5" s="782" t="s">
        <v>51</v>
      </c>
      <c r="G5" s="782"/>
      <c r="H5" s="773" t="s">
        <v>52</v>
      </c>
      <c r="I5" s="773"/>
      <c r="J5" s="783" t="s">
        <v>53</v>
      </c>
      <c r="K5" s="773"/>
      <c r="L5" s="783" t="s">
        <v>54</v>
      </c>
      <c r="M5" s="773"/>
      <c r="N5" s="783" t="s">
        <v>55</v>
      </c>
      <c r="O5" s="773"/>
      <c r="P5" s="783" t="s">
        <v>56</v>
      </c>
      <c r="Q5" s="773"/>
      <c r="R5" s="783" t="s">
        <v>57</v>
      </c>
      <c r="S5" s="773"/>
      <c r="T5" s="122"/>
      <c r="U5" s="774"/>
      <c r="V5" s="775"/>
      <c r="W5" s="774"/>
      <c r="X5" s="775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</row>
    <row r="6" spans="1:53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6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</row>
    <row r="7" spans="1:53" s="126" customFormat="1" ht="15.75" customHeight="1" x14ac:dyDescent="0.25">
      <c r="A7" s="207"/>
      <c r="B7" s="187" t="s">
        <v>67</v>
      </c>
      <c r="C7" s="188">
        <v>1</v>
      </c>
      <c r="D7" s="189">
        <v>0</v>
      </c>
      <c r="E7" s="190">
        <v>0</v>
      </c>
      <c r="F7" s="191">
        <v>17</v>
      </c>
      <c r="G7" s="190">
        <v>1432.04</v>
      </c>
      <c r="H7" s="191">
        <v>1</v>
      </c>
      <c r="I7" s="190">
        <v>1257</v>
      </c>
      <c r="J7" s="191">
        <v>0</v>
      </c>
      <c r="K7" s="192">
        <v>0</v>
      </c>
      <c r="L7" s="191">
        <v>8</v>
      </c>
      <c r="M7" s="192">
        <v>1187</v>
      </c>
      <c r="N7" s="191">
        <v>0</v>
      </c>
      <c r="O7" s="192">
        <v>0</v>
      </c>
      <c r="P7" s="191">
        <v>0</v>
      </c>
      <c r="Q7" s="192">
        <v>0</v>
      </c>
      <c r="R7" s="191">
        <v>1</v>
      </c>
      <c r="S7" s="192">
        <v>304.7</v>
      </c>
      <c r="T7" s="192"/>
      <c r="U7" s="191"/>
      <c r="V7" s="190"/>
      <c r="W7" s="191"/>
      <c r="X7" s="190"/>
      <c r="Y7" s="193">
        <f t="shared" ref="Y7:Y36" si="0">SUM(D7,F7,H7,J7,L7,U7,W7,N7,P7,R7)</f>
        <v>27</v>
      </c>
      <c r="Z7" s="194">
        <f t="shared" ref="Z7:Z36" si="1">((D7*E7)+(F7*G7)+(H7*I7)+(J7*K7)+(L7*M7)+(U7*V7)+(W7*X7)+(N7*O7)+(P7*Q7)+(R7*S7))</f>
        <v>35402.379999999997</v>
      </c>
      <c r="AA7" s="195">
        <f>IF(Z7=0,0,Z7/Y7)</f>
        <v>1311.1992592592592</v>
      </c>
      <c r="AB7" s="196">
        <f t="shared" ref="AB7:AB36" si="2">Y7/$AB$6</f>
        <v>0.33750000000000002</v>
      </c>
      <c r="AC7" s="355"/>
      <c r="AE7" s="143"/>
      <c r="AH7" s="302"/>
      <c r="AI7" s="298"/>
    </row>
    <row r="8" spans="1:53" s="126" customFormat="1" ht="15.95" customHeight="1" x14ac:dyDescent="0.25">
      <c r="A8" s="149"/>
      <c r="B8" s="136" t="s">
        <v>68</v>
      </c>
      <c r="C8" s="137">
        <v>2</v>
      </c>
      <c r="D8" s="138">
        <v>0</v>
      </c>
      <c r="E8" s="139">
        <v>0</v>
      </c>
      <c r="F8" s="140">
        <f>25+2</f>
        <v>27</v>
      </c>
      <c r="G8" s="139">
        <v>1679.05833333333</v>
      </c>
      <c r="H8" s="140">
        <v>2</v>
      </c>
      <c r="I8" s="139">
        <v>1257</v>
      </c>
      <c r="J8" s="140">
        <v>0</v>
      </c>
      <c r="K8" s="141">
        <v>0</v>
      </c>
      <c r="L8" s="140">
        <v>8</v>
      </c>
      <c r="M8" s="141">
        <v>1194.26</v>
      </c>
      <c r="N8" s="140">
        <v>0</v>
      </c>
      <c r="O8" s="342">
        <v>0</v>
      </c>
      <c r="P8" s="140">
        <v>0</v>
      </c>
      <c r="Q8" s="141">
        <v>0</v>
      </c>
      <c r="R8" s="140">
        <v>1</v>
      </c>
      <c r="S8" s="141">
        <v>332.17</v>
      </c>
      <c r="T8" s="141"/>
      <c r="U8" s="140"/>
      <c r="V8" s="139"/>
      <c r="W8" s="140"/>
      <c r="X8" s="139"/>
      <c r="Y8" s="142">
        <f t="shared" si="0"/>
        <v>38</v>
      </c>
      <c r="Z8" s="143">
        <f t="shared" si="1"/>
        <v>57734.82499999991</v>
      </c>
      <c r="AA8" s="144">
        <f t="shared" ref="AA8:AA33" si="3">IF(Z8=0,0,Z8/Y8)</f>
        <v>1519.3374999999976</v>
      </c>
      <c r="AB8" s="145">
        <f t="shared" si="2"/>
        <v>0.47499999999999998</v>
      </c>
      <c r="AC8" s="355"/>
      <c r="AE8" s="143"/>
      <c r="AH8" s="302"/>
      <c r="AI8" s="298"/>
    </row>
    <row r="9" spans="1:53" s="215" customFormat="1" ht="15.95" customHeight="1" x14ac:dyDescent="0.25">
      <c r="A9" s="213"/>
      <c r="B9" s="136" t="s">
        <v>69</v>
      </c>
      <c r="C9" s="137">
        <v>3</v>
      </c>
      <c r="D9" s="138">
        <v>0</v>
      </c>
      <c r="E9" s="139">
        <v>0</v>
      </c>
      <c r="F9" s="140">
        <f>36+2</f>
        <v>38</v>
      </c>
      <c r="G9" s="139">
        <v>1471.74</v>
      </c>
      <c r="H9" s="140">
        <v>2</v>
      </c>
      <c r="I9" s="139">
        <v>1257</v>
      </c>
      <c r="J9" s="140">
        <v>0</v>
      </c>
      <c r="K9" s="141">
        <v>0</v>
      </c>
      <c r="L9" s="140">
        <v>8</v>
      </c>
      <c r="M9" s="141">
        <v>1187</v>
      </c>
      <c r="N9" s="343">
        <v>0</v>
      </c>
      <c r="O9" s="342">
        <v>0</v>
      </c>
      <c r="P9" s="140">
        <v>0</v>
      </c>
      <c r="Q9" s="141">
        <v>0</v>
      </c>
      <c r="R9" s="140">
        <v>0</v>
      </c>
      <c r="S9" s="141">
        <v>0</v>
      </c>
      <c r="T9" s="141"/>
      <c r="U9" s="140"/>
      <c r="V9" s="139"/>
      <c r="W9" s="140"/>
      <c r="X9" s="139"/>
      <c r="Y9" s="142">
        <f t="shared" si="0"/>
        <v>48</v>
      </c>
      <c r="Z9" s="143">
        <f t="shared" si="1"/>
        <v>67936.12</v>
      </c>
      <c r="AA9" s="144">
        <f t="shared" si="3"/>
        <v>1415.3358333333333</v>
      </c>
      <c r="AB9" s="145">
        <f t="shared" si="2"/>
        <v>0.6</v>
      </c>
      <c r="AC9" s="355"/>
      <c r="AE9" s="143"/>
      <c r="AH9" s="302"/>
      <c r="AI9" s="298"/>
    </row>
    <row r="10" spans="1:53" s="126" customFormat="1" ht="15.95" customHeight="1" x14ac:dyDescent="0.25">
      <c r="A10" s="149"/>
      <c r="B10" s="150" t="s">
        <v>63</v>
      </c>
      <c r="C10" s="151">
        <v>4</v>
      </c>
      <c r="D10" s="152">
        <v>0</v>
      </c>
      <c r="E10" s="153">
        <v>0</v>
      </c>
      <c r="F10" s="154">
        <v>17</v>
      </c>
      <c r="G10" s="153">
        <v>1473</v>
      </c>
      <c r="H10" s="154">
        <v>0</v>
      </c>
      <c r="I10" s="153">
        <v>0</v>
      </c>
      <c r="J10" s="154">
        <v>0</v>
      </c>
      <c r="K10" s="155">
        <v>0</v>
      </c>
      <c r="L10" s="154">
        <v>8</v>
      </c>
      <c r="M10" s="155">
        <v>946.43</v>
      </c>
      <c r="N10" s="364">
        <v>0</v>
      </c>
      <c r="O10" s="365">
        <v>0</v>
      </c>
      <c r="P10" s="154">
        <v>0</v>
      </c>
      <c r="Q10" s="155">
        <v>0</v>
      </c>
      <c r="R10" s="154">
        <v>0</v>
      </c>
      <c r="S10" s="155">
        <v>0</v>
      </c>
      <c r="T10" s="155"/>
      <c r="U10" s="154"/>
      <c r="V10" s="153"/>
      <c r="W10" s="154"/>
      <c r="X10" s="153"/>
      <c r="Y10" s="156">
        <f t="shared" si="0"/>
        <v>25</v>
      </c>
      <c r="Z10" s="157">
        <f t="shared" si="1"/>
        <v>32612.44</v>
      </c>
      <c r="AA10" s="197">
        <f t="shared" si="3"/>
        <v>1304.4975999999999</v>
      </c>
      <c r="AB10" s="198">
        <f t="shared" si="2"/>
        <v>0.3125</v>
      </c>
      <c r="AC10" s="355"/>
      <c r="AE10" s="143"/>
      <c r="AH10" s="302"/>
      <c r="AI10" s="298"/>
    </row>
    <row r="11" spans="1:53" s="146" customFormat="1" ht="15.95" customHeight="1" x14ac:dyDescent="0.25">
      <c r="A11" s="149"/>
      <c r="B11" s="136" t="s">
        <v>64</v>
      </c>
      <c r="C11" s="137">
        <v>5</v>
      </c>
      <c r="D11" s="138">
        <v>0</v>
      </c>
      <c r="E11" s="139">
        <v>0</v>
      </c>
      <c r="F11" s="140">
        <v>18</v>
      </c>
      <c r="G11" s="139">
        <v>1496</v>
      </c>
      <c r="H11" s="140">
        <v>2</v>
      </c>
      <c r="I11" s="139">
        <v>1257</v>
      </c>
      <c r="J11" s="140">
        <v>0</v>
      </c>
      <c r="K11" s="141">
        <v>0</v>
      </c>
      <c r="L11" s="140">
        <v>5</v>
      </c>
      <c r="M11" s="141">
        <v>1194.26</v>
      </c>
      <c r="N11" s="343">
        <v>0</v>
      </c>
      <c r="O11" s="342">
        <v>0</v>
      </c>
      <c r="P11" s="140">
        <v>0</v>
      </c>
      <c r="Q11" s="141">
        <v>0</v>
      </c>
      <c r="R11" s="140">
        <v>0</v>
      </c>
      <c r="S11" s="141">
        <v>0</v>
      </c>
      <c r="T11" s="141"/>
      <c r="U11" s="140"/>
      <c r="V11" s="139"/>
      <c r="W11" s="140"/>
      <c r="X11" s="139"/>
      <c r="Y11" s="142">
        <f t="shared" si="0"/>
        <v>25</v>
      </c>
      <c r="Z11" s="143">
        <f t="shared" si="1"/>
        <v>35413.300000000003</v>
      </c>
      <c r="AA11" s="331">
        <f t="shared" si="3"/>
        <v>1416.5320000000002</v>
      </c>
      <c r="AB11" s="145">
        <f t="shared" si="2"/>
        <v>0.3125</v>
      </c>
      <c r="AC11" s="355"/>
      <c r="AD11" s="126"/>
      <c r="AE11" s="143"/>
      <c r="AF11" s="126"/>
      <c r="AG11" s="126"/>
      <c r="AH11" s="302"/>
      <c r="AI11" s="298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</row>
    <row r="12" spans="1:53" s="126" customFormat="1" ht="15.95" customHeight="1" x14ac:dyDescent="0.25">
      <c r="A12" s="149"/>
      <c r="B12" s="136" t="s">
        <v>65</v>
      </c>
      <c r="C12" s="137">
        <v>6</v>
      </c>
      <c r="D12" s="138">
        <v>0</v>
      </c>
      <c r="E12" s="139">
        <v>0</v>
      </c>
      <c r="F12" s="140">
        <v>18</v>
      </c>
      <c r="G12" s="139">
        <v>1401</v>
      </c>
      <c r="H12" s="140">
        <v>2</v>
      </c>
      <c r="I12" s="139">
        <v>1257</v>
      </c>
      <c r="J12" s="140">
        <v>0</v>
      </c>
      <c r="K12" s="141">
        <v>0</v>
      </c>
      <c r="L12" s="140">
        <v>6</v>
      </c>
      <c r="M12" s="141">
        <v>961.65</v>
      </c>
      <c r="N12" s="140">
        <v>0</v>
      </c>
      <c r="O12" s="141">
        <v>0</v>
      </c>
      <c r="P12" s="140">
        <v>3</v>
      </c>
      <c r="Q12" s="141">
        <v>1824.00923076923</v>
      </c>
      <c r="R12" s="140">
        <v>0</v>
      </c>
      <c r="S12" s="141">
        <v>0</v>
      </c>
      <c r="T12" s="141"/>
      <c r="U12" s="140"/>
      <c r="V12" s="139"/>
      <c r="W12" s="140"/>
      <c r="X12" s="139"/>
      <c r="Y12" s="142">
        <f t="shared" si="0"/>
        <v>29</v>
      </c>
      <c r="Z12" s="143">
        <f>((D12*E12)+(F12*G12)+(H12*I12)+(J12*K12)+(L12*M12)+(U12*V12)+(W12*X12)+(N12*O12)+(P12*Q12)+(R12*S12))</f>
        <v>38973.92769230769</v>
      </c>
      <c r="AA12" s="329">
        <f t="shared" si="3"/>
        <v>1343.9285411140584</v>
      </c>
      <c r="AB12" s="148">
        <f t="shared" si="2"/>
        <v>0.36249999999999999</v>
      </c>
      <c r="AC12" s="355"/>
      <c r="AE12" s="143"/>
      <c r="AH12" s="302"/>
      <c r="AI12" s="298"/>
    </row>
    <row r="13" spans="1:53" s="126" customFormat="1" ht="15.75" customHeight="1" x14ac:dyDescent="0.25">
      <c r="A13" s="149"/>
      <c r="B13" s="136" t="s">
        <v>66</v>
      </c>
      <c r="C13" s="137">
        <v>7</v>
      </c>
      <c r="D13" s="138">
        <v>0</v>
      </c>
      <c r="E13" s="139">
        <v>0</v>
      </c>
      <c r="F13" s="140">
        <f>17+2</f>
        <v>19</v>
      </c>
      <c r="G13" s="139">
        <v>1401</v>
      </c>
      <c r="H13" s="140">
        <v>2</v>
      </c>
      <c r="I13" s="139">
        <v>1257</v>
      </c>
      <c r="J13" s="140">
        <v>0</v>
      </c>
      <c r="K13" s="141">
        <v>0</v>
      </c>
      <c r="L13" s="140">
        <v>5</v>
      </c>
      <c r="M13" s="141">
        <v>989.13</v>
      </c>
      <c r="N13" s="140">
        <v>0</v>
      </c>
      <c r="O13" s="141">
        <v>0</v>
      </c>
      <c r="P13" s="140">
        <v>3</v>
      </c>
      <c r="Q13" s="141">
        <v>1824.00923076923</v>
      </c>
      <c r="R13" s="140">
        <v>0</v>
      </c>
      <c r="S13" s="141">
        <v>0</v>
      </c>
      <c r="T13" s="141"/>
      <c r="U13" s="140"/>
      <c r="V13" s="139"/>
      <c r="W13" s="140"/>
      <c r="X13" s="139"/>
      <c r="Y13" s="142">
        <f t="shared" si="0"/>
        <v>29</v>
      </c>
      <c r="Z13" s="143">
        <f>((D13*E13)+(F13*G13)+(H13*I13)+(J13*K13)+(L13*M13)+(U13*V13)+(W13*X13)+(N13*O13)+(P13*Q13)+(R13*S13))</f>
        <v>39550.67769230769</v>
      </c>
      <c r="AA13" s="147">
        <f t="shared" si="3"/>
        <v>1363.8164721485412</v>
      </c>
      <c r="AB13" s="148">
        <f t="shared" si="2"/>
        <v>0.36249999999999999</v>
      </c>
      <c r="AC13" s="355"/>
      <c r="AE13" s="143"/>
      <c r="AH13" s="302"/>
      <c r="AI13" s="298"/>
    </row>
    <row r="14" spans="1:53" s="126" customFormat="1" ht="15.95" customHeight="1" x14ac:dyDescent="0.25">
      <c r="A14" s="149"/>
      <c r="B14" s="136" t="s">
        <v>67</v>
      </c>
      <c r="C14" s="137">
        <v>8</v>
      </c>
      <c r="D14" s="138">
        <v>0</v>
      </c>
      <c r="E14" s="139">
        <v>0</v>
      </c>
      <c r="F14" s="140">
        <f>15+2</f>
        <v>17</v>
      </c>
      <c r="G14" s="139">
        <v>1358.8824999999999</v>
      </c>
      <c r="H14" s="140">
        <v>2</v>
      </c>
      <c r="I14" s="139">
        <v>1257</v>
      </c>
      <c r="J14" s="140">
        <v>0</v>
      </c>
      <c r="K14" s="141">
        <v>0</v>
      </c>
      <c r="L14" s="140">
        <v>8</v>
      </c>
      <c r="M14" s="141">
        <v>1188.17</v>
      </c>
      <c r="N14" s="140">
        <v>0</v>
      </c>
      <c r="O14" s="141">
        <v>0</v>
      </c>
      <c r="P14" s="140">
        <v>3</v>
      </c>
      <c r="Q14" s="141">
        <v>1824.00923076923</v>
      </c>
      <c r="R14" s="140">
        <v>0</v>
      </c>
      <c r="S14" s="141">
        <v>0</v>
      </c>
      <c r="T14" s="141"/>
      <c r="U14" s="140"/>
      <c r="V14" s="139"/>
      <c r="W14" s="140"/>
      <c r="X14" s="139"/>
      <c r="Y14" s="142">
        <f t="shared" si="0"/>
        <v>30</v>
      </c>
      <c r="Z14" s="143">
        <f t="shared" si="1"/>
        <v>40592.390192307692</v>
      </c>
      <c r="AA14" s="329">
        <f t="shared" si="3"/>
        <v>1353.079673076923</v>
      </c>
      <c r="AB14" s="148">
        <f t="shared" si="2"/>
        <v>0.375</v>
      </c>
      <c r="AC14" s="355"/>
      <c r="AE14" s="143"/>
      <c r="AH14" s="302"/>
      <c r="AI14" s="298"/>
    </row>
    <row r="15" spans="1:53" s="126" customFormat="1" ht="15.95" customHeight="1" x14ac:dyDescent="0.25">
      <c r="A15" s="149"/>
      <c r="B15" s="136" t="s">
        <v>68</v>
      </c>
      <c r="C15" s="137">
        <v>9</v>
      </c>
      <c r="D15" s="138">
        <v>0</v>
      </c>
      <c r="E15" s="139">
        <v>0</v>
      </c>
      <c r="F15" s="140">
        <v>25</v>
      </c>
      <c r="G15" s="139">
        <v>1230.93333333333</v>
      </c>
      <c r="H15" s="140">
        <v>1</v>
      </c>
      <c r="I15" s="139">
        <v>1257</v>
      </c>
      <c r="J15" s="140">
        <v>0</v>
      </c>
      <c r="K15" s="141">
        <v>0</v>
      </c>
      <c r="L15" s="140">
        <v>8</v>
      </c>
      <c r="M15" s="141">
        <v>1187</v>
      </c>
      <c r="N15" s="140">
        <v>0</v>
      </c>
      <c r="O15" s="141">
        <v>0</v>
      </c>
      <c r="P15" s="140">
        <v>0</v>
      </c>
      <c r="Q15" s="141">
        <v>0</v>
      </c>
      <c r="R15" s="140">
        <v>0</v>
      </c>
      <c r="S15" s="141">
        <v>0</v>
      </c>
      <c r="T15" s="141"/>
      <c r="U15" s="140"/>
      <c r="V15" s="139"/>
      <c r="W15" s="140"/>
      <c r="X15" s="139"/>
      <c r="Y15" s="142">
        <f t="shared" si="0"/>
        <v>34</v>
      </c>
      <c r="Z15" s="143">
        <f t="shared" si="1"/>
        <v>41526.333333333248</v>
      </c>
      <c r="AA15" s="147">
        <f>IF(Z15=0,0,Z15/Y15)</f>
        <v>1221.3627450980366</v>
      </c>
      <c r="AB15" s="148">
        <f t="shared" si="2"/>
        <v>0.42499999999999999</v>
      </c>
      <c r="AC15" s="355"/>
      <c r="AE15" s="143"/>
      <c r="AH15" s="302"/>
      <c r="AI15" s="298"/>
    </row>
    <row r="16" spans="1:53" s="126" customFormat="1" ht="15.95" customHeight="1" x14ac:dyDescent="0.25">
      <c r="A16" s="149"/>
      <c r="B16" s="136" t="s">
        <v>69</v>
      </c>
      <c r="C16" s="137">
        <v>10</v>
      </c>
      <c r="D16" s="138">
        <v>0</v>
      </c>
      <c r="E16" s="139">
        <v>0</v>
      </c>
      <c r="F16" s="140">
        <v>36</v>
      </c>
      <c r="G16" s="139">
        <v>1071.8399999999999</v>
      </c>
      <c r="H16" s="140">
        <v>2</v>
      </c>
      <c r="I16" s="139">
        <v>1257</v>
      </c>
      <c r="J16" s="140">
        <v>0</v>
      </c>
      <c r="K16" s="141">
        <v>0</v>
      </c>
      <c r="L16" s="140">
        <v>9</v>
      </c>
      <c r="M16" s="141">
        <v>1187</v>
      </c>
      <c r="N16" s="140">
        <v>0</v>
      </c>
      <c r="O16" s="141">
        <v>0</v>
      </c>
      <c r="P16" s="140">
        <v>0</v>
      </c>
      <c r="Q16" s="141">
        <v>0</v>
      </c>
      <c r="R16" s="140">
        <v>0</v>
      </c>
      <c r="S16" s="141">
        <v>0</v>
      </c>
      <c r="T16" s="141"/>
      <c r="U16" s="140"/>
      <c r="V16" s="139"/>
      <c r="W16" s="140"/>
      <c r="X16" s="139"/>
      <c r="Y16" s="142">
        <f t="shared" si="0"/>
        <v>47</v>
      </c>
      <c r="Z16" s="143">
        <f t="shared" si="1"/>
        <v>51783.24</v>
      </c>
      <c r="AA16" s="147">
        <f>IF(Z16=0,0,Z16/Y16)</f>
        <v>1101.7710638297872</v>
      </c>
      <c r="AB16" s="148">
        <f t="shared" si="2"/>
        <v>0.58750000000000002</v>
      </c>
      <c r="AC16" s="355"/>
      <c r="AE16" s="143"/>
      <c r="AH16" s="302"/>
      <c r="AI16" s="298"/>
    </row>
    <row r="17" spans="1:53" s="160" customFormat="1" ht="15.75" customHeight="1" x14ac:dyDescent="0.25">
      <c r="A17" s="149"/>
      <c r="B17" s="150" t="s">
        <v>63</v>
      </c>
      <c r="C17" s="151">
        <v>11</v>
      </c>
      <c r="D17" s="152">
        <v>0</v>
      </c>
      <c r="E17" s="153">
        <v>0</v>
      </c>
      <c r="F17" s="154">
        <f>17+2</f>
        <v>19</v>
      </c>
      <c r="G17" s="153">
        <v>1727.74</v>
      </c>
      <c r="H17" s="154">
        <v>0</v>
      </c>
      <c r="I17" s="153">
        <v>0</v>
      </c>
      <c r="J17" s="154">
        <v>0</v>
      </c>
      <c r="K17" s="155">
        <v>0</v>
      </c>
      <c r="L17" s="154">
        <v>8</v>
      </c>
      <c r="M17" s="155">
        <v>1187</v>
      </c>
      <c r="N17" s="154">
        <v>0</v>
      </c>
      <c r="O17" s="155">
        <v>0</v>
      </c>
      <c r="P17" s="154">
        <v>0</v>
      </c>
      <c r="Q17" s="155">
        <v>0</v>
      </c>
      <c r="R17" s="154">
        <v>0</v>
      </c>
      <c r="S17" s="155">
        <v>0</v>
      </c>
      <c r="T17" s="155"/>
      <c r="U17" s="154"/>
      <c r="V17" s="153"/>
      <c r="W17" s="154"/>
      <c r="X17" s="153"/>
      <c r="Y17" s="156">
        <f t="shared" si="0"/>
        <v>27</v>
      </c>
      <c r="Z17" s="157">
        <f t="shared" si="1"/>
        <v>42323.06</v>
      </c>
      <c r="AA17" s="158">
        <f t="shared" si="3"/>
        <v>1567.5207407407406</v>
      </c>
      <c r="AB17" s="159">
        <f t="shared" si="2"/>
        <v>0.33750000000000002</v>
      </c>
      <c r="AC17" s="355"/>
      <c r="AD17" s="126"/>
      <c r="AE17" s="143"/>
      <c r="AF17" s="126"/>
      <c r="AG17" s="126"/>
      <c r="AH17" s="302"/>
      <c r="AI17" s="298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</row>
    <row r="18" spans="1:53" s="126" customFormat="1" ht="15.75" customHeight="1" x14ac:dyDescent="0.25">
      <c r="A18" s="149"/>
      <c r="B18" s="136" t="s">
        <v>64</v>
      </c>
      <c r="C18" s="137">
        <v>12</v>
      </c>
      <c r="D18" s="138">
        <v>0</v>
      </c>
      <c r="E18" s="139">
        <v>0</v>
      </c>
      <c r="F18" s="140">
        <f>27+2</f>
        <v>29</v>
      </c>
      <c r="G18" s="139">
        <v>1371.19</v>
      </c>
      <c r="H18" s="140">
        <v>0</v>
      </c>
      <c r="I18" s="139">
        <v>0</v>
      </c>
      <c r="J18" s="140">
        <v>0</v>
      </c>
      <c r="K18" s="141">
        <v>0</v>
      </c>
      <c r="L18" s="140">
        <v>8</v>
      </c>
      <c r="M18" s="141">
        <v>946</v>
      </c>
      <c r="N18" s="140">
        <v>0</v>
      </c>
      <c r="O18" s="141">
        <v>0</v>
      </c>
      <c r="P18" s="591">
        <v>10</v>
      </c>
      <c r="Q18" s="592">
        <v>1734</v>
      </c>
      <c r="R18" s="140">
        <v>0</v>
      </c>
      <c r="S18" s="141">
        <v>0</v>
      </c>
      <c r="T18" s="141"/>
      <c r="U18" s="140"/>
      <c r="V18" s="139"/>
      <c r="W18" s="140"/>
      <c r="X18" s="139"/>
      <c r="Y18" s="142">
        <f t="shared" si="0"/>
        <v>47</v>
      </c>
      <c r="Z18" s="143">
        <f t="shared" si="1"/>
        <v>64672.51</v>
      </c>
      <c r="AA18" s="329">
        <f t="shared" si="3"/>
        <v>1376.0108510638299</v>
      </c>
      <c r="AB18" s="148">
        <f t="shared" si="2"/>
        <v>0.58750000000000002</v>
      </c>
      <c r="AC18" s="355"/>
      <c r="AE18" s="143"/>
      <c r="AH18" s="302"/>
      <c r="AI18" s="298"/>
    </row>
    <row r="19" spans="1:53" s="126" customFormat="1" ht="15.95" customHeight="1" x14ac:dyDescent="0.25">
      <c r="A19" s="149"/>
      <c r="B19" s="136" t="s">
        <v>65</v>
      </c>
      <c r="C19" s="137">
        <v>13</v>
      </c>
      <c r="D19" s="138">
        <v>0</v>
      </c>
      <c r="E19" s="139">
        <v>0</v>
      </c>
      <c r="F19" s="140">
        <v>22</v>
      </c>
      <c r="G19" s="139">
        <v>1318</v>
      </c>
      <c r="H19" s="140">
        <v>0</v>
      </c>
      <c r="I19" s="139">
        <v>0</v>
      </c>
      <c r="J19" s="140">
        <v>0</v>
      </c>
      <c r="K19" s="141">
        <v>0</v>
      </c>
      <c r="L19" s="140">
        <v>11</v>
      </c>
      <c r="M19" s="141">
        <v>1398.432</v>
      </c>
      <c r="N19" s="140">
        <v>0</v>
      </c>
      <c r="O19" s="141">
        <v>0</v>
      </c>
      <c r="P19" s="591">
        <v>10</v>
      </c>
      <c r="Q19" s="592">
        <v>1734</v>
      </c>
      <c r="R19" s="140">
        <v>0</v>
      </c>
      <c r="S19" s="141">
        <v>0</v>
      </c>
      <c r="T19" s="141"/>
      <c r="U19" s="140"/>
      <c r="V19" s="139"/>
      <c r="W19" s="140"/>
      <c r="X19" s="139"/>
      <c r="Y19" s="142">
        <f t="shared" si="0"/>
        <v>43</v>
      </c>
      <c r="Z19" s="143">
        <f t="shared" si="1"/>
        <v>61718.752</v>
      </c>
      <c r="AA19" s="329">
        <f t="shared" si="3"/>
        <v>1435.3198139534884</v>
      </c>
      <c r="AB19" s="148">
        <f t="shared" si="2"/>
        <v>0.53749999999999998</v>
      </c>
      <c r="AC19" s="355"/>
      <c r="AE19" s="143"/>
      <c r="AH19" s="302"/>
      <c r="AI19" s="298"/>
    </row>
    <row r="20" spans="1:53" s="126" customFormat="1" ht="15.95" customHeight="1" x14ac:dyDescent="0.25">
      <c r="A20" s="149"/>
      <c r="B20" s="136" t="s">
        <v>66</v>
      </c>
      <c r="C20" s="137">
        <v>14</v>
      </c>
      <c r="D20" s="138">
        <v>0</v>
      </c>
      <c r="E20" s="139">
        <v>0</v>
      </c>
      <c r="F20" s="140">
        <f>21+2</f>
        <v>23</v>
      </c>
      <c r="G20" s="139">
        <v>1388</v>
      </c>
      <c r="H20" s="140">
        <v>0</v>
      </c>
      <c r="I20" s="139">
        <v>0</v>
      </c>
      <c r="J20" s="140">
        <v>8</v>
      </c>
      <c r="K20" s="141">
        <v>1573.6405263157801</v>
      </c>
      <c r="L20" s="140">
        <v>10</v>
      </c>
      <c r="M20" s="141">
        <v>1365.33</v>
      </c>
      <c r="N20" s="140">
        <v>0</v>
      </c>
      <c r="O20" s="141">
        <v>0</v>
      </c>
      <c r="P20" s="140">
        <v>0</v>
      </c>
      <c r="Q20" s="141">
        <v>0</v>
      </c>
      <c r="R20" s="140">
        <v>0</v>
      </c>
      <c r="S20" s="141">
        <v>0</v>
      </c>
      <c r="T20" s="141"/>
      <c r="U20" s="140"/>
      <c r="V20" s="139"/>
      <c r="W20" s="140"/>
      <c r="X20" s="139"/>
      <c r="Y20" s="142">
        <f t="shared" si="0"/>
        <v>41</v>
      </c>
      <c r="Z20" s="143">
        <f t="shared" si="1"/>
        <v>58166.424210526238</v>
      </c>
      <c r="AA20" s="147">
        <f t="shared" si="3"/>
        <v>1418.6932734274692</v>
      </c>
      <c r="AB20" s="148">
        <f t="shared" si="2"/>
        <v>0.51249999999999996</v>
      </c>
      <c r="AC20" s="355"/>
      <c r="AE20" s="143"/>
      <c r="AH20" s="302"/>
      <c r="AI20" s="298"/>
    </row>
    <row r="21" spans="1:53" s="126" customFormat="1" ht="15.95" customHeight="1" x14ac:dyDescent="0.25">
      <c r="A21" s="149"/>
      <c r="B21" s="136" t="s">
        <v>67</v>
      </c>
      <c r="C21" s="137">
        <v>15</v>
      </c>
      <c r="D21" s="138">
        <v>0</v>
      </c>
      <c r="E21" s="139">
        <v>0</v>
      </c>
      <c r="F21" s="140">
        <f>18+2</f>
        <v>20</v>
      </c>
      <c r="G21" s="139">
        <v>1386.52</v>
      </c>
      <c r="H21" s="140">
        <v>0</v>
      </c>
      <c r="I21" s="139">
        <v>0</v>
      </c>
      <c r="J21" s="140">
        <v>8</v>
      </c>
      <c r="K21" s="141">
        <v>1573.6405263157801</v>
      </c>
      <c r="L21" s="140">
        <v>10</v>
      </c>
      <c r="M21" s="141">
        <v>1421.14</v>
      </c>
      <c r="N21" s="140">
        <v>0</v>
      </c>
      <c r="O21" s="141">
        <v>0</v>
      </c>
      <c r="P21" s="140">
        <v>0</v>
      </c>
      <c r="Q21" s="141">
        <v>0</v>
      </c>
      <c r="R21" s="140">
        <v>0</v>
      </c>
      <c r="S21" s="141">
        <v>0</v>
      </c>
      <c r="T21" s="141"/>
      <c r="U21" s="140"/>
      <c r="V21" s="139"/>
      <c r="W21" s="140"/>
      <c r="X21" s="139"/>
      <c r="Y21" s="142">
        <f t="shared" si="0"/>
        <v>38</v>
      </c>
      <c r="Z21" s="143">
        <f t="shared" si="1"/>
        <v>54530.924210526246</v>
      </c>
      <c r="AA21" s="329">
        <f t="shared" si="3"/>
        <v>1435.024321329638</v>
      </c>
      <c r="AB21" s="148">
        <f t="shared" si="2"/>
        <v>0.47499999999999998</v>
      </c>
      <c r="AC21" s="355"/>
      <c r="AE21" s="143"/>
      <c r="AH21" s="302"/>
      <c r="AI21" s="298"/>
    </row>
    <row r="22" spans="1:53" s="128" customFormat="1" ht="15.95" customHeight="1" x14ac:dyDescent="0.25">
      <c r="A22" s="149"/>
      <c r="B22" s="136" t="s">
        <v>68</v>
      </c>
      <c r="C22" s="137">
        <v>16</v>
      </c>
      <c r="D22" s="138">
        <v>0</v>
      </c>
      <c r="E22" s="139">
        <v>0</v>
      </c>
      <c r="F22" s="140">
        <f>28+3</f>
        <v>31</v>
      </c>
      <c r="G22" s="139">
        <v>1471.5650000000001</v>
      </c>
      <c r="H22" s="140">
        <v>1</v>
      </c>
      <c r="I22" s="139">
        <v>1257</v>
      </c>
      <c r="J22" s="140">
        <v>11</v>
      </c>
      <c r="K22" s="141">
        <v>1030.43</v>
      </c>
      <c r="L22" s="140">
        <v>10</v>
      </c>
      <c r="M22" s="141">
        <v>992.82666666666603</v>
      </c>
      <c r="N22" s="140">
        <v>0</v>
      </c>
      <c r="O22" s="141">
        <v>0</v>
      </c>
      <c r="P22" s="140">
        <v>0</v>
      </c>
      <c r="Q22" s="141">
        <v>0</v>
      </c>
      <c r="R22" s="140">
        <v>0</v>
      </c>
      <c r="S22" s="141">
        <v>0</v>
      </c>
      <c r="T22" s="141"/>
      <c r="U22" s="140"/>
      <c r="V22" s="139"/>
      <c r="W22" s="140"/>
      <c r="X22" s="139"/>
      <c r="Y22" s="142">
        <f t="shared" si="0"/>
        <v>53</v>
      </c>
      <c r="Z22" s="143">
        <f t="shared" si="1"/>
        <v>68138.511666666658</v>
      </c>
      <c r="AA22" s="147">
        <f t="shared" si="3"/>
        <v>1285.632295597484</v>
      </c>
      <c r="AB22" s="148">
        <f t="shared" si="2"/>
        <v>0.66249999999999998</v>
      </c>
      <c r="AC22" s="355"/>
      <c r="AD22" s="126"/>
      <c r="AE22" s="143"/>
      <c r="AF22" s="126"/>
      <c r="AG22" s="126"/>
      <c r="AH22" s="302"/>
      <c r="AI22" s="298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</row>
    <row r="23" spans="1:53" s="128" customFormat="1" ht="15.95" customHeight="1" x14ac:dyDescent="0.25">
      <c r="A23" s="209"/>
      <c r="B23" s="136" t="s">
        <v>69</v>
      </c>
      <c r="C23" s="137">
        <v>17</v>
      </c>
      <c r="D23" s="138">
        <v>0</v>
      </c>
      <c r="E23" s="139">
        <v>0</v>
      </c>
      <c r="F23" s="140">
        <f>32+3</f>
        <v>35</v>
      </c>
      <c r="G23" s="139">
        <v>1252.17</v>
      </c>
      <c r="H23" s="140">
        <v>2</v>
      </c>
      <c r="I23" s="139">
        <v>1257</v>
      </c>
      <c r="J23" s="299">
        <v>11</v>
      </c>
      <c r="K23" s="141">
        <v>1030.43</v>
      </c>
      <c r="L23" s="140">
        <v>13</v>
      </c>
      <c r="M23" s="141">
        <v>1216.9675</v>
      </c>
      <c r="N23" s="140">
        <v>0</v>
      </c>
      <c r="O23" s="141">
        <v>0</v>
      </c>
      <c r="P23" s="140">
        <v>0</v>
      </c>
      <c r="Q23" s="141">
        <v>0</v>
      </c>
      <c r="R23" s="140">
        <v>0</v>
      </c>
      <c r="S23" s="141">
        <v>0</v>
      </c>
      <c r="T23" s="141"/>
      <c r="U23" s="140"/>
      <c r="V23" s="139"/>
      <c r="W23" s="140"/>
      <c r="X23" s="139"/>
      <c r="Y23" s="142">
        <f t="shared" si="0"/>
        <v>61</v>
      </c>
      <c r="Z23" s="143">
        <f t="shared" si="1"/>
        <v>73495.257500000007</v>
      </c>
      <c r="AA23" s="147">
        <f t="shared" si="3"/>
        <v>1204.8402868852461</v>
      </c>
      <c r="AB23" s="148">
        <f t="shared" si="2"/>
        <v>0.76249999999999996</v>
      </c>
      <c r="AC23" s="355"/>
      <c r="AD23" s="126"/>
      <c r="AE23" s="143"/>
      <c r="AF23" s="126"/>
      <c r="AG23" s="126"/>
      <c r="AH23" s="302"/>
      <c r="AI23" s="298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</row>
    <row r="24" spans="1:53" s="126" customFormat="1" ht="15.95" customHeight="1" x14ac:dyDescent="0.25">
      <c r="A24" s="229"/>
      <c r="B24" s="150" t="s">
        <v>63</v>
      </c>
      <c r="C24" s="151">
        <v>18</v>
      </c>
      <c r="D24" s="152">
        <v>0</v>
      </c>
      <c r="E24" s="153">
        <v>0</v>
      </c>
      <c r="F24" s="154">
        <v>27</v>
      </c>
      <c r="G24" s="153">
        <v>1320.825</v>
      </c>
      <c r="H24" s="154">
        <v>0</v>
      </c>
      <c r="I24" s="153">
        <v>0</v>
      </c>
      <c r="J24" s="397">
        <v>11</v>
      </c>
      <c r="K24" s="155">
        <v>1030.43</v>
      </c>
      <c r="L24" s="154">
        <v>11</v>
      </c>
      <c r="M24" s="155">
        <v>1174.8150000000001</v>
      </c>
      <c r="N24" s="154">
        <v>0</v>
      </c>
      <c r="O24" s="155">
        <v>0</v>
      </c>
      <c r="P24" s="154">
        <v>0</v>
      </c>
      <c r="Q24" s="155">
        <v>0</v>
      </c>
      <c r="R24" s="154">
        <v>0</v>
      </c>
      <c r="S24" s="155">
        <v>0</v>
      </c>
      <c r="T24" s="155"/>
      <c r="U24" s="154"/>
      <c r="V24" s="153"/>
      <c r="W24" s="154"/>
      <c r="X24" s="153"/>
      <c r="Y24" s="156">
        <f t="shared" si="0"/>
        <v>49</v>
      </c>
      <c r="Z24" s="157">
        <f t="shared" si="1"/>
        <v>59919.97</v>
      </c>
      <c r="AA24" s="158">
        <f t="shared" si="3"/>
        <v>1222.856530612245</v>
      </c>
      <c r="AB24" s="159">
        <f t="shared" si="2"/>
        <v>0.61250000000000004</v>
      </c>
      <c r="AC24" s="355"/>
      <c r="AE24" s="143"/>
      <c r="AH24" s="302"/>
      <c r="AI24" s="298"/>
    </row>
    <row r="25" spans="1:53" s="146" customFormat="1" ht="15.95" customHeight="1" x14ac:dyDescent="0.25">
      <c r="A25" s="230"/>
      <c r="B25" s="136" t="s">
        <v>64</v>
      </c>
      <c r="C25" s="137">
        <v>19</v>
      </c>
      <c r="D25" s="138">
        <v>0</v>
      </c>
      <c r="E25" s="139">
        <v>0</v>
      </c>
      <c r="F25" s="140">
        <v>27</v>
      </c>
      <c r="G25" s="139">
        <v>1360.5</v>
      </c>
      <c r="H25" s="140">
        <v>0</v>
      </c>
      <c r="I25" s="139">
        <v>0</v>
      </c>
      <c r="J25" s="140">
        <v>11</v>
      </c>
      <c r="K25" s="141">
        <v>1030.43</v>
      </c>
      <c r="L25" s="140">
        <v>12</v>
      </c>
      <c r="M25" s="141">
        <v>963.37</v>
      </c>
      <c r="N25" s="140">
        <v>0</v>
      </c>
      <c r="O25" s="141">
        <v>0</v>
      </c>
      <c r="P25" s="591">
        <v>10</v>
      </c>
      <c r="Q25" s="592">
        <v>1734</v>
      </c>
      <c r="R25" s="140">
        <v>0</v>
      </c>
      <c r="S25" s="141">
        <v>0</v>
      </c>
      <c r="T25" s="141"/>
      <c r="U25" s="140"/>
      <c r="V25" s="139"/>
      <c r="W25" s="140"/>
      <c r="X25" s="139"/>
      <c r="Y25" s="142">
        <f t="shared" si="0"/>
        <v>60</v>
      </c>
      <c r="Z25" s="143">
        <f t="shared" si="1"/>
        <v>76968.670000000013</v>
      </c>
      <c r="AA25" s="329">
        <f t="shared" si="3"/>
        <v>1282.8111666666668</v>
      </c>
      <c r="AB25" s="148">
        <f t="shared" si="2"/>
        <v>0.75</v>
      </c>
      <c r="AC25" s="355"/>
      <c r="AD25" s="126"/>
      <c r="AE25" s="143"/>
      <c r="AF25" s="126"/>
      <c r="AG25" s="126"/>
      <c r="AH25" s="302"/>
      <c r="AI25" s="298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</row>
    <row r="26" spans="1:53" s="128" customFormat="1" ht="15.95" customHeight="1" x14ac:dyDescent="0.25">
      <c r="A26" s="229"/>
      <c r="B26" s="136" t="s">
        <v>65</v>
      </c>
      <c r="C26" s="137">
        <v>20</v>
      </c>
      <c r="D26" s="138">
        <v>0</v>
      </c>
      <c r="E26" s="139">
        <v>0</v>
      </c>
      <c r="F26" s="140">
        <v>27</v>
      </c>
      <c r="G26" s="139">
        <v>1202.2485714285699</v>
      </c>
      <c r="H26" s="140">
        <v>0</v>
      </c>
      <c r="I26" s="139">
        <v>0</v>
      </c>
      <c r="J26" s="140">
        <v>0</v>
      </c>
      <c r="K26" s="141">
        <v>0</v>
      </c>
      <c r="L26" s="140">
        <v>10</v>
      </c>
      <c r="M26" s="141">
        <v>958.70749999999998</v>
      </c>
      <c r="N26" s="140">
        <v>0</v>
      </c>
      <c r="O26" s="141">
        <v>0</v>
      </c>
      <c r="P26" s="591">
        <v>10</v>
      </c>
      <c r="Q26" s="592">
        <v>1734</v>
      </c>
      <c r="R26" s="140">
        <v>0</v>
      </c>
      <c r="S26" s="141">
        <v>0</v>
      </c>
      <c r="T26" s="141"/>
      <c r="U26" s="140"/>
      <c r="V26" s="139"/>
      <c r="W26" s="140"/>
      <c r="X26" s="139"/>
      <c r="Y26" s="142">
        <f t="shared" si="0"/>
        <v>47</v>
      </c>
      <c r="Z26" s="143">
        <f t="shared" si="1"/>
        <v>59387.786428571388</v>
      </c>
      <c r="AA26" s="329">
        <f t="shared" si="3"/>
        <v>1263.5699240121571</v>
      </c>
      <c r="AB26" s="148">
        <f t="shared" si="2"/>
        <v>0.58750000000000002</v>
      </c>
      <c r="AC26" s="355"/>
      <c r="AD26" s="126"/>
      <c r="AE26" s="143"/>
      <c r="AF26" s="126"/>
      <c r="AG26" s="126"/>
      <c r="AH26" s="302"/>
      <c r="AI26" s="298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</row>
    <row r="27" spans="1:53" s="128" customFormat="1" ht="15.95" customHeight="1" x14ac:dyDescent="0.25">
      <c r="A27" s="229"/>
      <c r="B27" s="136" t="s">
        <v>66</v>
      </c>
      <c r="C27" s="137">
        <v>21</v>
      </c>
      <c r="D27" s="138">
        <v>0</v>
      </c>
      <c r="E27" s="139">
        <v>0</v>
      </c>
      <c r="F27" s="140">
        <v>28</v>
      </c>
      <c r="G27" s="139">
        <v>1145.9933333333299</v>
      </c>
      <c r="H27" s="140">
        <v>0</v>
      </c>
      <c r="I27" s="139">
        <v>0</v>
      </c>
      <c r="J27" s="140">
        <v>0</v>
      </c>
      <c r="K27" s="141">
        <v>0</v>
      </c>
      <c r="L27" s="140">
        <v>8</v>
      </c>
      <c r="M27" s="141">
        <v>966.74</v>
      </c>
      <c r="N27" s="140">
        <v>0</v>
      </c>
      <c r="O27" s="141">
        <v>0</v>
      </c>
      <c r="P27" s="591">
        <v>10</v>
      </c>
      <c r="Q27" s="592">
        <v>1734</v>
      </c>
      <c r="R27" s="140">
        <v>0</v>
      </c>
      <c r="S27" s="141">
        <v>0</v>
      </c>
      <c r="T27" s="141"/>
      <c r="U27" s="140"/>
      <c r="V27" s="139"/>
      <c r="W27" s="140"/>
      <c r="X27" s="139"/>
      <c r="Y27" s="142">
        <f t="shared" si="0"/>
        <v>46</v>
      </c>
      <c r="Z27" s="143">
        <f t="shared" si="1"/>
        <v>57161.733333333235</v>
      </c>
      <c r="AA27" s="147">
        <f t="shared" si="3"/>
        <v>1242.6463768115921</v>
      </c>
      <c r="AB27" s="148">
        <f t="shared" si="2"/>
        <v>0.57499999999999996</v>
      </c>
      <c r="AC27" s="355"/>
      <c r="AD27" s="126"/>
      <c r="AE27" s="143"/>
      <c r="AF27" s="126"/>
      <c r="AG27" s="126"/>
      <c r="AH27" s="302"/>
      <c r="AI27" s="298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</row>
    <row r="28" spans="1:53" s="126" customFormat="1" ht="15.95" customHeight="1" x14ac:dyDescent="0.25">
      <c r="A28" s="168"/>
      <c r="B28" s="136" t="s">
        <v>67</v>
      </c>
      <c r="C28" s="137">
        <v>22</v>
      </c>
      <c r="D28" s="138">
        <v>0</v>
      </c>
      <c r="E28" s="139">
        <v>0</v>
      </c>
      <c r="F28" s="140">
        <v>25</v>
      </c>
      <c r="G28" s="139">
        <v>1146</v>
      </c>
      <c r="H28" s="140">
        <v>0</v>
      </c>
      <c r="I28" s="139">
        <v>0</v>
      </c>
      <c r="J28" s="140">
        <v>0</v>
      </c>
      <c r="K28" s="141">
        <v>0</v>
      </c>
      <c r="L28" s="140">
        <v>9</v>
      </c>
      <c r="M28" s="141">
        <v>957.11666666666599</v>
      </c>
      <c r="N28" s="140">
        <v>34</v>
      </c>
      <c r="O28" s="141">
        <v>1476</v>
      </c>
      <c r="P28" s="140">
        <v>0</v>
      </c>
      <c r="Q28" s="141">
        <v>0</v>
      </c>
      <c r="R28" s="140">
        <v>0</v>
      </c>
      <c r="S28" s="141">
        <v>0</v>
      </c>
      <c r="T28" s="141"/>
      <c r="U28" s="140"/>
      <c r="V28" s="139"/>
      <c r="W28" s="140"/>
      <c r="X28" s="139"/>
      <c r="Y28" s="142">
        <f t="shared" si="0"/>
        <v>68</v>
      </c>
      <c r="Z28" s="143">
        <f t="shared" si="1"/>
        <v>87448.049999999988</v>
      </c>
      <c r="AA28" s="329">
        <f t="shared" si="3"/>
        <v>1286.0007352941175</v>
      </c>
      <c r="AB28" s="148">
        <f t="shared" si="2"/>
        <v>0.85</v>
      </c>
      <c r="AC28" s="355"/>
      <c r="AE28" s="143"/>
      <c r="AH28" s="302"/>
      <c r="AI28" s="298"/>
    </row>
    <row r="29" spans="1:53" s="126" customFormat="1" ht="15.95" customHeight="1" x14ac:dyDescent="0.25">
      <c r="A29" s="168"/>
      <c r="B29" s="136" t="s">
        <v>68</v>
      </c>
      <c r="C29" s="137">
        <v>23</v>
      </c>
      <c r="D29" s="138">
        <v>0</v>
      </c>
      <c r="E29" s="139">
        <v>0</v>
      </c>
      <c r="F29" s="140">
        <v>25</v>
      </c>
      <c r="G29" s="139">
        <v>1139.3800000000001</v>
      </c>
      <c r="H29" s="140">
        <v>0</v>
      </c>
      <c r="I29" s="139">
        <v>0</v>
      </c>
      <c r="J29" s="140">
        <v>11</v>
      </c>
      <c r="K29" s="141">
        <v>1030.43</v>
      </c>
      <c r="L29" s="140">
        <v>8</v>
      </c>
      <c r="M29" s="141">
        <v>1349.07</v>
      </c>
      <c r="N29" s="140">
        <v>34</v>
      </c>
      <c r="O29" s="141">
        <v>1476</v>
      </c>
      <c r="P29" s="140">
        <v>0</v>
      </c>
      <c r="Q29" s="141">
        <v>0</v>
      </c>
      <c r="R29" s="140">
        <v>0</v>
      </c>
      <c r="S29" s="141">
        <v>0</v>
      </c>
      <c r="T29" s="141"/>
      <c r="U29" s="140"/>
      <c r="V29" s="139"/>
      <c r="W29" s="140"/>
      <c r="X29" s="139"/>
      <c r="Y29" s="142">
        <f t="shared" si="0"/>
        <v>78</v>
      </c>
      <c r="Z29" s="143">
        <f t="shared" si="1"/>
        <v>100795.79000000001</v>
      </c>
      <c r="AA29" s="147">
        <f t="shared" si="3"/>
        <v>1292.2537179487181</v>
      </c>
      <c r="AB29" s="148">
        <f t="shared" si="2"/>
        <v>0.97499999999999998</v>
      </c>
      <c r="AC29" s="355"/>
      <c r="AE29" s="143"/>
      <c r="AH29" s="302"/>
      <c r="AI29" s="298"/>
    </row>
    <row r="30" spans="1:53" s="126" customFormat="1" ht="16.5" customHeight="1" x14ac:dyDescent="0.25">
      <c r="A30" s="280" t="s">
        <v>73</v>
      </c>
      <c r="B30" s="281" t="s">
        <v>69</v>
      </c>
      <c r="C30" s="282">
        <v>24</v>
      </c>
      <c r="D30" s="283">
        <v>0</v>
      </c>
      <c r="E30" s="284">
        <v>0</v>
      </c>
      <c r="F30" s="285">
        <f>25-6</f>
        <v>19</v>
      </c>
      <c r="G30" s="284">
        <v>1199.32666666666</v>
      </c>
      <c r="H30" s="285">
        <v>0</v>
      </c>
      <c r="I30" s="284">
        <v>0</v>
      </c>
      <c r="J30" s="285">
        <v>11</v>
      </c>
      <c r="K30" s="344">
        <v>1030.43</v>
      </c>
      <c r="L30" s="285">
        <v>11</v>
      </c>
      <c r="M30" s="344">
        <v>1415.5920000000001</v>
      </c>
      <c r="N30" s="285">
        <v>34</v>
      </c>
      <c r="O30" s="344">
        <v>1476</v>
      </c>
      <c r="P30" s="285">
        <v>0</v>
      </c>
      <c r="Q30" s="344">
        <v>0</v>
      </c>
      <c r="R30" s="285">
        <v>0</v>
      </c>
      <c r="S30" s="344">
        <v>0</v>
      </c>
      <c r="T30" s="344"/>
      <c r="U30" s="285"/>
      <c r="V30" s="284"/>
      <c r="W30" s="285"/>
      <c r="X30" s="284"/>
      <c r="Y30" s="286">
        <f t="shared" si="0"/>
        <v>75</v>
      </c>
      <c r="Z30" s="345">
        <f t="shared" si="1"/>
        <v>99877.448666666547</v>
      </c>
      <c r="AA30" s="348">
        <f t="shared" si="3"/>
        <v>1331.699315555554</v>
      </c>
      <c r="AB30" s="287">
        <f t="shared" si="2"/>
        <v>0.9375</v>
      </c>
      <c r="AC30" s="355"/>
      <c r="AE30" s="143"/>
      <c r="AH30" s="302"/>
      <c r="AI30" s="298"/>
    </row>
    <row r="31" spans="1:53" s="169" customFormat="1" ht="15.95" customHeight="1" x14ac:dyDescent="0.25">
      <c r="A31" s="309"/>
      <c r="B31" s="150" t="s">
        <v>63</v>
      </c>
      <c r="C31" s="151">
        <v>25</v>
      </c>
      <c r="D31" s="152">
        <v>0</v>
      </c>
      <c r="E31" s="153">
        <v>0</v>
      </c>
      <c r="F31" s="154">
        <v>27</v>
      </c>
      <c r="G31" s="153">
        <v>1130.8325</v>
      </c>
      <c r="H31" s="154">
        <v>0</v>
      </c>
      <c r="I31" s="153">
        <v>0</v>
      </c>
      <c r="J31" s="154">
        <v>11</v>
      </c>
      <c r="K31" s="155">
        <v>1030.43</v>
      </c>
      <c r="L31" s="154">
        <v>8</v>
      </c>
      <c r="M31" s="155">
        <v>1285.8699999999999</v>
      </c>
      <c r="N31" s="154">
        <v>0</v>
      </c>
      <c r="O31" s="155">
        <v>0</v>
      </c>
      <c r="P31" s="154">
        <v>0</v>
      </c>
      <c r="Q31" s="155">
        <v>0</v>
      </c>
      <c r="R31" s="154">
        <v>0</v>
      </c>
      <c r="S31" s="155">
        <v>0</v>
      </c>
      <c r="T31" s="155"/>
      <c r="U31" s="154"/>
      <c r="V31" s="153"/>
      <c r="W31" s="154"/>
      <c r="X31" s="153"/>
      <c r="Y31" s="156">
        <f t="shared" si="0"/>
        <v>46</v>
      </c>
      <c r="Z31" s="157">
        <f t="shared" si="1"/>
        <v>52154.167500000003</v>
      </c>
      <c r="AA31" s="158">
        <f t="shared" si="3"/>
        <v>1133.7862500000001</v>
      </c>
      <c r="AB31" s="159">
        <f t="shared" si="2"/>
        <v>0.57499999999999996</v>
      </c>
      <c r="AC31" s="355"/>
      <c r="AD31" s="126"/>
      <c r="AE31" s="143"/>
      <c r="AF31" s="126"/>
      <c r="AG31" s="126"/>
      <c r="AH31" s="302"/>
      <c r="AI31" s="298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60"/>
    </row>
    <row r="32" spans="1:53" s="128" customFormat="1" ht="15.95" customHeight="1" x14ac:dyDescent="0.25">
      <c r="A32" s="309"/>
      <c r="B32" s="136" t="s">
        <v>64</v>
      </c>
      <c r="C32" s="137">
        <v>26</v>
      </c>
      <c r="D32" s="138">
        <v>0</v>
      </c>
      <c r="E32" s="139">
        <v>0</v>
      </c>
      <c r="F32" s="140">
        <v>30</v>
      </c>
      <c r="G32" s="139">
        <v>1242.4760000000001</v>
      </c>
      <c r="H32" s="140">
        <v>1</v>
      </c>
      <c r="I32" s="139">
        <v>1216.43</v>
      </c>
      <c r="J32" s="140">
        <v>11</v>
      </c>
      <c r="K32" s="141">
        <v>1030.43</v>
      </c>
      <c r="L32" s="140">
        <v>6</v>
      </c>
      <c r="M32" s="141">
        <v>1187</v>
      </c>
      <c r="N32" s="140">
        <v>0</v>
      </c>
      <c r="O32" s="141">
        <v>0</v>
      </c>
      <c r="P32" s="591">
        <v>10</v>
      </c>
      <c r="Q32" s="592">
        <v>1734</v>
      </c>
      <c r="R32" s="140">
        <v>0</v>
      </c>
      <c r="S32" s="141">
        <v>0</v>
      </c>
      <c r="T32" s="141"/>
      <c r="U32" s="140"/>
      <c r="V32" s="139"/>
      <c r="W32" s="140"/>
      <c r="X32" s="139"/>
      <c r="Y32" s="142">
        <f t="shared" si="0"/>
        <v>58</v>
      </c>
      <c r="Z32" s="143">
        <f t="shared" si="1"/>
        <v>74287.44</v>
      </c>
      <c r="AA32" s="329">
        <f t="shared" si="3"/>
        <v>1280.8179310344829</v>
      </c>
      <c r="AB32" s="148">
        <f t="shared" si="2"/>
        <v>0.72499999999999998</v>
      </c>
      <c r="AC32" s="355"/>
      <c r="AD32" s="126"/>
      <c r="AE32" s="143"/>
      <c r="AF32" s="126"/>
      <c r="AG32" s="126"/>
      <c r="AH32" s="302"/>
      <c r="AI32" s="298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</row>
    <row r="33" spans="1:54" s="128" customFormat="1" ht="15.95" customHeight="1" x14ac:dyDescent="0.25">
      <c r="A33" s="232"/>
      <c r="B33" s="136" t="s">
        <v>65</v>
      </c>
      <c r="C33" s="137">
        <v>27</v>
      </c>
      <c r="D33" s="138">
        <v>0</v>
      </c>
      <c r="E33" s="139">
        <v>0</v>
      </c>
      <c r="F33" s="140">
        <v>29</v>
      </c>
      <c r="G33" s="139">
        <v>1228.0274999999999</v>
      </c>
      <c r="H33" s="140">
        <v>1</v>
      </c>
      <c r="I33" s="139">
        <v>1243.9100000000001</v>
      </c>
      <c r="J33" s="140">
        <v>0</v>
      </c>
      <c r="K33" s="141">
        <v>0</v>
      </c>
      <c r="L33" s="140">
        <v>7</v>
      </c>
      <c r="M33" s="141">
        <v>1187</v>
      </c>
      <c r="N33" s="140">
        <v>0</v>
      </c>
      <c r="O33" s="141">
        <v>0</v>
      </c>
      <c r="P33" s="591">
        <v>10</v>
      </c>
      <c r="Q33" s="592">
        <v>1734</v>
      </c>
      <c r="R33" s="140">
        <v>0</v>
      </c>
      <c r="S33" s="141">
        <v>0</v>
      </c>
      <c r="T33" s="141"/>
      <c r="U33" s="140"/>
      <c r="V33" s="139"/>
      <c r="W33" s="140"/>
      <c r="X33" s="139"/>
      <c r="Y33" s="142">
        <f t="shared" si="0"/>
        <v>47</v>
      </c>
      <c r="Z33" s="143">
        <f t="shared" si="1"/>
        <v>62505.707500000004</v>
      </c>
      <c r="AA33" s="329">
        <f t="shared" si="3"/>
        <v>1329.9086702127661</v>
      </c>
      <c r="AB33" s="148">
        <f t="shared" si="2"/>
        <v>0.58750000000000002</v>
      </c>
      <c r="AC33" s="355"/>
      <c r="AD33" s="126"/>
      <c r="AE33" s="143"/>
      <c r="AF33" s="126"/>
      <c r="AG33" s="126"/>
      <c r="AH33" s="302"/>
      <c r="AI33" s="298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</row>
    <row r="34" spans="1:54" s="128" customFormat="1" ht="15.95" customHeight="1" x14ac:dyDescent="0.25">
      <c r="A34" s="396"/>
      <c r="B34" s="136" t="s">
        <v>66</v>
      </c>
      <c r="C34" s="137">
        <v>28</v>
      </c>
      <c r="D34" s="138">
        <v>0</v>
      </c>
      <c r="E34" s="139">
        <v>0</v>
      </c>
      <c r="F34" s="140">
        <v>28</v>
      </c>
      <c r="G34" s="139">
        <v>1164.5825</v>
      </c>
      <c r="H34" s="140">
        <v>0</v>
      </c>
      <c r="I34" s="139">
        <v>0</v>
      </c>
      <c r="J34" s="140">
        <v>0</v>
      </c>
      <c r="K34" s="141">
        <v>0</v>
      </c>
      <c r="L34" s="140">
        <v>7</v>
      </c>
      <c r="M34" s="141">
        <v>946.43</v>
      </c>
      <c r="N34" s="140">
        <v>0</v>
      </c>
      <c r="O34" s="141">
        <v>0</v>
      </c>
      <c r="P34" s="591">
        <v>10</v>
      </c>
      <c r="Q34" s="592">
        <v>1734</v>
      </c>
      <c r="R34" s="140">
        <v>0</v>
      </c>
      <c r="S34" s="141">
        <v>0</v>
      </c>
      <c r="T34" s="141"/>
      <c r="U34" s="140"/>
      <c r="V34" s="139"/>
      <c r="W34" s="140"/>
      <c r="X34" s="139"/>
      <c r="Y34" s="142">
        <f t="shared" si="0"/>
        <v>45</v>
      </c>
      <c r="Z34" s="143">
        <f t="shared" si="1"/>
        <v>56573.32</v>
      </c>
      <c r="AA34" s="147">
        <f>IF(Z34=0,0,Z34/Y34)</f>
        <v>1257.184888888889</v>
      </c>
      <c r="AB34" s="148">
        <f t="shared" si="2"/>
        <v>0.5625</v>
      </c>
      <c r="AC34" s="355"/>
      <c r="AD34" s="126"/>
      <c r="AE34" s="143"/>
      <c r="AF34" s="126"/>
      <c r="AG34" s="126"/>
      <c r="AH34" s="302"/>
      <c r="AI34" s="298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</row>
    <row r="35" spans="1:54" s="128" customFormat="1" ht="15.95" customHeight="1" x14ac:dyDescent="0.25">
      <c r="A35" s="225"/>
      <c r="B35" s="136" t="s">
        <v>67</v>
      </c>
      <c r="C35" s="137">
        <v>29</v>
      </c>
      <c r="D35" s="138">
        <v>0</v>
      </c>
      <c r="E35" s="139">
        <v>0</v>
      </c>
      <c r="F35" s="140">
        <v>27</v>
      </c>
      <c r="G35" s="139">
        <v>1059.03</v>
      </c>
      <c r="H35" s="140">
        <v>0</v>
      </c>
      <c r="I35" s="139">
        <v>0</v>
      </c>
      <c r="J35" s="140">
        <v>0</v>
      </c>
      <c r="K35" s="141">
        <v>0</v>
      </c>
      <c r="L35" s="140">
        <v>7</v>
      </c>
      <c r="M35" s="141">
        <v>1187</v>
      </c>
      <c r="N35" s="140">
        <v>0</v>
      </c>
      <c r="O35" s="141">
        <v>0</v>
      </c>
      <c r="P35" s="140">
        <v>0</v>
      </c>
      <c r="Q35" s="141">
        <v>0</v>
      </c>
      <c r="R35" s="140">
        <v>0</v>
      </c>
      <c r="S35" s="141">
        <v>0</v>
      </c>
      <c r="T35" s="141"/>
      <c r="U35" s="140"/>
      <c r="V35" s="139"/>
      <c r="W35" s="140"/>
      <c r="X35" s="139"/>
      <c r="Y35" s="142">
        <f t="shared" si="0"/>
        <v>34</v>
      </c>
      <c r="Z35" s="143">
        <f t="shared" si="1"/>
        <v>36902.81</v>
      </c>
      <c r="AA35" s="329">
        <f>IF(Z35=0,0,Z35/Y35)</f>
        <v>1085.3767647058824</v>
      </c>
      <c r="AB35" s="148">
        <f t="shared" si="2"/>
        <v>0.42499999999999999</v>
      </c>
      <c r="AC35" s="355"/>
      <c r="AD35" s="126"/>
      <c r="AE35" s="143"/>
      <c r="AF35" s="126"/>
      <c r="AG35" s="126"/>
      <c r="AH35" s="302"/>
      <c r="AI35" s="298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</row>
    <row r="36" spans="1:54" s="126" customFormat="1" ht="15.95" customHeight="1" thickBot="1" x14ac:dyDescent="0.3">
      <c r="A36" s="310"/>
      <c r="B36" s="136" t="s">
        <v>68</v>
      </c>
      <c r="C36" s="137">
        <v>30</v>
      </c>
      <c r="D36" s="138">
        <v>0</v>
      </c>
      <c r="E36" s="139">
        <v>0</v>
      </c>
      <c r="F36" s="140">
        <v>27</v>
      </c>
      <c r="G36" s="139">
        <v>1059</v>
      </c>
      <c r="H36" s="140">
        <v>0</v>
      </c>
      <c r="I36" s="139">
        <v>0</v>
      </c>
      <c r="J36" s="140">
        <v>11</v>
      </c>
      <c r="K36" s="141">
        <v>1044.63333333333</v>
      </c>
      <c r="L36" s="140">
        <v>3</v>
      </c>
      <c r="M36" s="141">
        <v>1187</v>
      </c>
      <c r="N36" s="140">
        <v>0</v>
      </c>
      <c r="O36" s="141">
        <v>0</v>
      </c>
      <c r="P36" s="140">
        <v>0</v>
      </c>
      <c r="Q36" s="141">
        <v>0</v>
      </c>
      <c r="R36" s="140">
        <v>0</v>
      </c>
      <c r="S36" s="141">
        <v>0</v>
      </c>
      <c r="T36" s="141"/>
      <c r="U36" s="140"/>
      <c r="V36" s="139"/>
      <c r="W36" s="140"/>
      <c r="X36" s="139"/>
      <c r="Y36" s="142">
        <f t="shared" si="0"/>
        <v>41</v>
      </c>
      <c r="Z36" s="143">
        <f t="shared" si="1"/>
        <v>43644.966666666631</v>
      </c>
      <c r="AA36" s="147">
        <f>IF(Z36=0,0,Z36/Y36)</f>
        <v>1064.5113821138202</v>
      </c>
      <c r="AB36" s="148">
        <f t="shared" si="2"/>
        <v>0.51249999999999996</v>
      </c>
      <c r="AC36" s="355"/>
      <c r="AE36" s="143"/>
      <c r="AH36" s="302"/>
      <c r="AI36" s="298"/>
    </row>
    <row r="37" spans="1:54" s="128" customFormat="1" ht="17.100000000000001" customHeight="1" thickTop="1" x14ac:dyDescent="0.25">
      <c r="A37" s="171" t="s">
        <v>70</v>
      </c>
      <c r="B37" s="234"/>
      <c r="C37" s="234"/>
      <c r="D37" s="235">
        <f>SUM(D7:D36)</f>
        <v>0</v>
      </c>
      <c r="E37" s="236">
        <f>IF(D37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)/D37)</f>
        <v>0</v>
      </c>
      <c r="F37" s="237">
        <f>SUM(F7:F36)</f>
        <v>757</v>
      </c>
      <c r="G37" s="236">
        <f>IF(F37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)/F37)</f>
        <v>1298.0701020632821</v>
      </c>
      <c r="H37" s="219">
        <f>SUM(H7:H36)</f>
        <v>21</v>
      </c>
      <c r="I37" s="236">
        <f>IF(H37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)/H37)</f>
        <v>1254.4447619047619</v>
      </c>
      <c r="J37" s="237">
        <f>SUM(J7:J36)</f>
        <v>115</v>
      </c>
      <c r="K37" s="236">
        <f>IF(J37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)/J37)</f>
        <v>1107.3656964149486</v>
      </c>
      <c r="L37" s="237">
        <f>SUM(L7:L36)</f>
        <v>250</v>
      </c>
      <c r="M37" s="236">
        <f>IF(L37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)/L37)</f>
        <v>1158.178072666667</v>
      </c>
      <c r="N37" s="237">
        <f>SUM(N7:N36)</f>
        <v>102</v>
      </c>
      <c r="O37" s="236">
        <f>IF(N37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)/N37)</f>
        <v>1476</v>
      </c>
      <c r="P37" s="237">
        <f>SUM(P7:P36)</f>
        <v>89</v>
      </c>
      <c r="Q37" s="236">
        <f>IF(P37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)/P37)</f>
        <v>1743.1020570440794</v>
      </c>
      <c r="R37" s="237">
        <f>SUM(R7:R36)</f>
        <v>2</v>
      </c>
      <c r="S37" s="236">
        <f>IF(R37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)/R37)</f>
        <v>318.435</v>
      </c>
      <c r="T37" s="236"/>
      <c r="U37" s="237"/>
      <c r="V37" s="236"/>
      <c r="W37" s="237"/>
      <c r="X37" s="236"/>
      <c r="Y37" s="237">
        <f>SUM(Y7:Y36)</f>
        <v>1336</v>
      </c>
      <c r="Z37" s="177">
        <f>SUM(Z7:Z36)</f>
        <v>1732198.9335932133</v>
      </c>
      <c r="AA37" s="219">
        <f>IF(Z37=0,0,Z37/Y37)</f>
        <v>1296.5560880188723</v>
      </c>
      <c r="AB37" s="238">
        <f>Y37/(AB6*D2)</f>
        <v>0.55666666666666664</v>
      </c>
      <c r="AC37" s="126"/>
      <c r="AD37" s="126"/>
      <c r="AE37" s="143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</row>
    <row r="38" spans="1:54" s="128" customFormat="1" ht="17.100000000000001" customHeight="1" thickBot="1" x14ac:dyDescent="0.3">
      <c r="A38" s="179" t="s">
        <v>71</v>
      </c>
      <c r="B38" s="240"/>
      <c r="C38" s="240"/>
      <c r="D38" s="785">
        <f>+E37*D37</f>
        <v>0</v>
      </c>
      <c r="E38" s="786"/>
      <c r="F38" s="787">
        <f>+G37*F37</f>
        <v>982639.06726190459</v>
      </c>
      <c r="G38" s="786"/>
      <c r="H38" s="787">
        <f>+I37*H37</f>
        <v>26343.34</v>
      </c>
      <c r="I38" s="786"/>
      <c r="J38" s="787">
        <f>+K37*J37</f>
        <v>127347.05508771908</v>
      </c>
      <c r="K38" s="786"/>
      <c r="L38" s="787">
        <f>+M37*L37</f>
        <v>289544.51816666673</v>
      </c>
      <c r="M38" s="786"/>
      <c r="N38" s="787">
        <f>+O37*N37</f>
        <v>150552</v>
      </c>
      <c r="O38" s="786"/>
      <c r="P38" s="787">
        <f>+Q37*P37</f>
        <v>155136.08307692307</v>
      </c>
      <c r="Q38" s="786"/>
      <c r="R38" s="787">
        <f>+S37*R37</f>
        <v>636.87</v>
      </c>
      <c r="S38" s="788"/>
      <c r="T38" s="181"/>
      <c r="U38" s="182"/>
      <c r="V38" s="181"/>
      <c r="W38" s="182"/>
      <c r="X38" s="181"/>
      <c r="Y38" s="241"/>
      <c r="Z38" s="242"/>
      <c r="AA38" s="242"/>
      <c r="AB38" s="243"/>
      <c r="AC38" s="126"/>
      <c r="AD38" s="126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</row>
    <row r="39" spans="1:54" s="111" customFormat="1" ht="16.5" thickTop="1" x14ac:dyDescent="0.25">
      <c r="F39" s="354"/>
      <c r="H39" s="245"/>
      <c r="I39" s="246"/>
      <c r="J39" s="245"/>
      <c r="K39" s="246"/>
      <c r="L39" s="245"/>
      <c r="M39" s="246"/>
      <c r="N39" s="245"/>
      <c r="O39" s="246"/>
      <c r="P39" s="354"/>
      <c r="Q39" s="246"/>
      <c r="AC39" s="112"/>
      <c r="AD39" s="112"/>
      <c r="AE39" s="126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4"/>
    </row>
    <row r="40" spans="1:54" s="111" customFormat="1" x14ac:dyDescent="0.2">
      <c r="F40" s="246"/>
      <c r="G40" s="226"/>
      <c r="H40" s="246"/>
      <c r="I40" s="247"/>
      <c r="J40" s="246"/>
      <c r="K40" s="247"/>
      <c r="L40" s="246"/>
      <c r="M40" s="247"/>
      <c r="N40" s="246"/>
      <c r="O40" s="247"/>
      <c r="P40" s="211"/>
      <c r="Q40" s="226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4"/>
    </row>
    <row r="41" spans="1:54" s="111" customFormat="1" x14ac:dyDescent="0.2">
      <c r="F41" s="386"/>
      <c r="G41" s="226"/>
      <c r="H41" s="246"/>
      <c r="I41" s="246"/>
      <c r="J41" s="246"/>
      <c r="K41" s="246"/>
      <c r="L41" s="246"/>
      <c r="M41" s="246"/>
      <c r="N41" s="246"/>
      <c r="O41" s="246"/>
      <c r="P41" s="246"/>
      <c r="Q41" s="226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4"/>
    </row>
    <row r="42" spans="1:54" s="111" customFormat="1" x14ac:dyDescent="0.2">
      <c r="Q42" s="226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4"/>
    </row>
    <row r="43" spans="1:54" s="111" customFormat="1" x14ac:dyDescent="0.2">
      <c r="G43" s="226"/>
      <c r="P43" s="211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4"/>
    </row>
    <row r="44" spans="1:54" s="111" customFormat="1" x14ac:dyDescent="0.2"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4"/>
    </row>
    <row r="45" spans="1:54" s="111" customFormat="1" x14ac:dyDescent="0.2"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4"/>
    </row>
    <row r="46" spans="1:54" s="111" customFormat="1" x14ac:dyDescent="0.2"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4"/>
    </row>
    <row r="47" spans="1:54" s="111" customFormat="1" x14ac:dyDescent="0.2"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4"/>
    </row>
    <row r="48" spans="1:54" s="111" customFormat="1" x14ac:dyDescent="0.2"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4"/>
    </row>
    <row r="49" spans="29:54" s="111" customFormat="1" x14ac:dyDescent="0.2"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4"/>
    </row>
    <row r="50" spans="29:54" s="111" customFormat="1" x14ac:dyDescent="0.2">
      <c r="AC50" s="112"/>
      <c r="AD50" s="112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4"/>
    </row>
    <row r="51" spans="29:54" s="111" customFormat="1" x14ac:dyDescent="0.2"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4"/>
    </row>
    <row r="52" spans="29:54" s="111" customFormat="1" x14ac:dyDescent="0.2">
      <c r="AC52" s="112"/>
      <c r="AD52" s="112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4"/>
    </row>
  </sheetData>
  <mergeCells count="21"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  <mergeCell ref="D38:E38"/>
    <mergeCell ref="R5:S5"/>
    <mergeCell ref="R38:S38"/>
    <mergeCell ref="F38:G38"/>
    <mergeCell ref="H38:I38"/>
    <mergeCell ref="J38:K38"/>
    <mergeCell ref="L38:M38"/>
    <mergeCell ref="N38:O38"/>
    <mergeCell ref="P38:Q38"/>
  </mergeCells>
  <phoneticPr fontId="74" type="noConversion"/>
  <dataValidations count="1">
    <dataValidation type="textLength" errorStyle="information" allowBlank="1" showInputMessage="1" showErrorMessage="1" error="XLBVal:2=0_x000d__x000a_" sqref="C27:C36 HX27:HX36 RT27:RT36 ABP27:ABP36 ALL27:ALL36 AVH27:AVH36 BFD27:BFD36 BOZ27:BOZ36 BYV27:BYV36 CIR27:CIR36 CSN27:CSN36 DCJ27:DCJ36 DMF27:DMF36 DWB27:DWB36 EFX27:EFX36 EPT27:EPT36 EZP27:EZP36 FJL27:FJL36 FTH27:FTH36 GDD27:GDD36 GMZ27:GMZ36 GWV27:GWV36 HGR27:HGR36 HQN27:HQN36 IAJ27:IAJ36 IKF27:IKF36 IUB27:IUB36 JDX27:JDX36 JNT27:JNT36 JXP27:JXP36 KHL27:KHL36 KRH27:KRH36 LBD27:LBD36 LKZ27:LKZ36 LUV27:LUV36 MER27:MER36 MON27:MON36 MYJ27:MYJ36 NIF27:NIF36 NSB27:NSB36 OBX27:OBX36 OLT27:OLT36 OVP27:OVP36 PFL27:PFL36 PPH27:PPH36 PZD27:PZD36 QIZ27:QIZ36 QSV27:QSV36 RCR27:RCR36 RMN27:RMN36 RWJ27:RWJ36 SGF27:SGF36 SQB27:SQB36 SZX27:SZX36 TJT27:TJT36 TTP27:TTP36 UDL27:UDL36 UNH27:UNH36 UXD27:UXD36 VGZ27:VGZ36 VQV27:VQV36 WAR27:WAR36 WKN27:WKN36 WUJ27:WUJ36 C65510:C65520 HX65510:HX65520 RT65510:RT65520 ABP65510:ABP65520 ALL65510:ALL65520 AVH65510:AVH65520 BFD65510:BFD65520 BOZ65510:BOZ65520 BYV65510:BYV65520 CIR65510:CIR65520 CSN65510:CSN65520 DCJ65510:DCJ65520 DMF65510:DMF65520 DWB65510:DWB65520 EFX65510:EFX65520 EPT65510:EPT65520 EZP65510:EZP65520 FJL65510:FJL65520 FTH65510:FTH65520 GDD65510:GDD65520 GMZ65510:GMZ65520 GWV65510:GWV65520 HGR65510:HGR65520 HQN65510:HQN65520 IAJ65510:IAJ65520 IKF65510:IKF65520 IUB65510:IUB65520 JDX65510:JDX65520 JNT65510:JNT65520 JXP65510:JXP65520 KHL65510:KHL65520 KRH65510:KRH65520 LBD65510:LBD65520 LKZ65510:LKZ65520 LUV65510:LUV65520 MER65510:MER65520 MON65510:MON65520 MYJ65510:MYJ65520 NIF65510:NIF65520 NSB65510:NSB65520 OBX65510:OBX65520 OLT65510:OLT65520 OVP65510:OVP65520 PFL65510:PFL65520 PPH65510:PPH65520 PZD65510:PZD65520 QIZ65510:QIZ65520 QSV65510:QSV65520 RCR65510:RCR65520 RMN65510:RMN65520 RWJ65510:RWJ65520 SGF65510:SGF65520 SQB65510:SQB65520 SZX65510:SZX65520 TJT65510:TJT65520 TTP65510:TTP65520 UDL65510:UDL65520 UNH65510:UNH65520 UXD65510:UXD65520 VGZ65510:VGZ65520 VQV65510:VQV65520 WAR65510:WAR65520 WKN65510:WKN65520 WUJ65510:WUJ65520 C131046:C131056 HX131046:HX131056 RT131046:RT131056 ABP131046:ABP131056 ALL131046:ALL131056 AVH131046:AVH131056 BFD131046:BFD131056 BOZ131046:BOZ131056 BYV131046:BYV131056 CIR131046:CIR131056 CSN131046:CSN131056 DCJ131046:DCJ131056 DMF131046:DMF131056 DWB131046:DWB131056 EFX131046:EFX131056 EPT131046:EPT131056 EZP131046:EZP131056 FJL131046:FJL131056 FTH131046:FTH131056 GDD131046:GDD131056 GMZ131046:GMZ131056 GWV131046:GWV131056 HGR131046:HGR131056 HQN131046:HQN131056 IAJ131046:IAJ131056 IKF131046:IKF131056 IUB131046:IUB131056 JDX131046:JDX131056 JNT131046:JNT131056 JXP131046:JXP131056 KHL131046:KHL131056 KRH131046:KRH131056 LBD131046:LBD131056 LKZ131046:LKZ131056 LUV131046:LUV131056 MER131046:MER131056 MON131046:MON131056 MYJ131046:MYJ131056 NIF131046:NIF131056 NSB131046:NSB131056 OBX131046:OBX131056 OLT131046:OLT131056 OVP131046:OVP131056 PFL131046:PFL131056 PPH131046:PPH131056 PZD131046:PZD131056 QIZ131046:QIZ131056 QSV131046:QSV131056 RCR131046:RCR131056 RMN131046:RMN131056 RWJ131046:RWJ131056 SGF131046:SGF131056 SQB131046:SQB131056 SZX131046:SZX131056 TJT131046:TJT131056 TTP131046:TTP131056 UDL131046:UDL131056 UNH131046:UNH131056 UXD131046:UXD131056 VGZ131046:VGZ131056 VQV131046:VQV131056 WAR131046:WAR131056 WKN131046:WKN131056 WUJ131046:WUJ131056 C196582:C196592 HX196582:HX196592 RT196582:RT196592 ABP196582:ABP196592 ALL196582:ALL196592 AVH196582:AVH196592 BFD196582:BFD196592 BOZ196582:BOZ196592 BYV196582:BYV196592 CIR196582:CIR196592 CSN196582:CSN196592 DCJ196582:DCJ196592 DMF196582:DMF196592 DWB196582:DWB196592 EFX196582:EFX196592 EPT196582:EPT196592 EZP196582:EZP196592 FJL196582:FJL196592 FTH196582:FTH196592 GDD196582:GDD196592 GMZ196582:GMZ196592 GWV196582:GWV196592 HGR196582:HGR196592 HQN196582:HQN196592 IAJ196582:IAJ196592 IKF196582:IKF196592 IUB196582:IUB196592 JDX196582:JDX196592 JNT196582:JNT196592 JXP196582:JXP196592 KHL196582:KHL196592 KRH196582:KRH196592 LBD196582:LBD196592 LKZ196582:LKZ196592 LUV196582:LUV196592 MER196582:MER196592 MON196582:MON196592 MYJ196582:MYJ196592 NIF196582:NIF196592 NSB196582:NSB196592 OBX196582:OBX196592 OLT196582:OLT196592 OVP196582:OVP196592 PFL196582:PFL196592 PPH196582:PPH196592 PZD196582:PZD196592 QIZ196582:QIZ196592 QSV196582:QSV196592 RCR196582:RCR196592 RMN196582:RMN196592 RWJ196582:RWJ196592 SGF196582:SGF196592 SQB196582:SQB196592 SZX196582:SZX196592 TJT196582:TJT196592 TTP196582:TTP196592 UDL196582:UDL196592 UNH196582:UNH196592 UXD196582:UXD196592 VGZ196582:VGZ196592 VQV196582:VQV196592 WAR196582:WAR196592 WKN196582:WKN196592 WUJ196582:WUJ196592 C262118:C262128 HX262118:HX262128 RT262118:RT262128 ABP262118:ABP262128 ALL262118:ALL262128 AVH262118:AVH262128 BFD262118:BFD262128 BOZ262118:BOZ262128 BYV262118:BYV262128 CIR262118:CIR262128 CSN262118:CSN262128 DCJ262118:DCJ262128 DMF262118:DMF262128 DWB262118:DWB262128 EFX262118:EFX262128 EPT262118:EPT262128 EZP262118:EZP262128 FJL262118:FJL262128 FTH262118:FTH262128 GDD262118:GDD262128 GMZ262118:GMZ262128 GWV262118:GWV262128 HGR262118:HGR262128 HQN262118:HQN262128 IAJ262118:IAJ262128 IKF262118:IKF262128 IUB262118:IUB262128 JDX262118:JDX262128 JNT262118:JNT262128 JXP262118:JXP262128 KHL262118:KHL262128 KRH262118:KRH262128 LBD262118:LBD262128 LKZ262118:LKZ262128 LUV262118:LUV262128 MER262118:MER262128 MON262118:MON262128 MYJ262118:MYJ262128 NIF262118:NIF262128 NSB262118:NSB262128 OBX262118:OBX262128 OLT262118:OLT262128 OVP262118:OVP262128 PFL262118:PFL262128 PPH262118:PPH262128 PZD262118:PZD262128 QIZ262118:QIZ262128 QSV262118:QSV262128 RCR262118:RCR262128 RMN262118:RMN262128 RWJ262118:RWJ262128 SGF262118:SGF262128 SQB262118:SQB262128 SZX262118:SZX262128 TJT262118:TJT262128 TTP262118:TTP262128 UDL262118:UDL262128 UNH262118:UNH262128 UXD262118:UXD262128 VGZ262118:VGZ262128 VQV262118:VQV262128 WAR262118:WAR262128 WKN262118:WKN262128 WUJ262118:WUJ262128 C327654:C327664 HX327654:HX327664 RT327654:RT327664 ABP327654:ABP327664 ALL327654:ALL327664 AVH327654:AVH327664 BFD327654:BFD327664 BOZ327654:BOZ327664 BYV327654:BYV327664 CIR327654:CIR327664 CSN327654:CSN327664 DCJ327654:DCJ327664 DMF327654:DMF327664 DWB327654:DWB327664 EFX327654:EFX327664 EPT327654:EPT327664 EZP327654:EZP327664 FJL327654:FJL327664 FTH327654:FTH327664 GDD327654:GDD327664 GMZ327654:GMZ327664 GWV327654:GWV327664 HGR327654:HGR327664 HQN327654:HQN327664 IAJ327654:IAJ327664 IKF327654:IKF327664 IUB327654:IUB327664 JDX327654:JDX327664 JNT327654:JNT327664 JXP327654:JXP327664 KHL327654:KHL327664 KRH327654:KRH327664 LBD327654:LBD327664 LKZ327654:LKZ327664 LUV327654:LUV327664 MER327654:MER327664 MON327654:MON327664 MYJ327654:MYJ327664 NIF327654:NIF327664 NSB327654:NSB327664 OBX327654:OBX327664 OLT327654:OLT327664 OVP327654:OVP327664 PFL327654:PFL327664 PPH327654:PPH327664 PZD327654:PZD327664 QIZ327654:QIZ327664 QSV327654:QSV327664 RCR327654:RCR327664 RMN327654:RMN327664 RWJ327654:RWJ327664 SGF327654:SGF327664 SQB327654:SQB327664 SZX327654:SZX327664 TJT327654:TJT327664 TTP327654:TTP327664 UDL327654:UDL327664 UNH327654:UNH327664 UXD327654:UXD327664 VGZ327654:VGZ327664 VQV327654:VQV327664 WAR327654:WAR327664 WKN327654:WKN327664 WUJ327654:WUJ327664 C393190:C393200 HX393190:HX393200 RT393190:RT393200 ABP393190:ABP393200 ALL393190:ALL393200 AVH393190:AVH393200 BFD393190:BFD393200 BOZ393190:BOZ393200 BYV393190:BYV393200 CIR393190:CIR393200 CSN393190:CSN393200 DCJ393190:DCJ393200 DMF393190:DMF393200 DWB393190:DWB393200 EFX393190:EFX393200 EPT393190:EPT393200 EZP393190:EZP393200 FJL393190:FJL393200 FTH393190:FTH393200 GDD393190:GDD393200 GMZ393190:GMZ393200 GWV393190:GWV393200 HGR393190:HGR393200 HQN393190:HQN393200 IAJ393190:IAJ393200 IKF393190:IKF393200 IUB393190:IUB393200 JDX393190:JDX393200 JNT393190:JNT393200 JXP393190:JXP393200 KHL393190:KHL393200 KRH393190:KRH393200 LBD393190:LBD393200 LKZ393190:LKZ393200 LUV393190:LUV393200 MER393190:MER393200 MON393190:MON393200 MYJ393190:MYJ393200 NIF393190:NIF393200 NSB393190:NSB393200 OBX393190:OBX393200 OLT393190:OLT393200 OVP393190:OVP393200 PFL393190:PFL393200 PPH393190:PPH393200 PZD393190:PZD393200 QIZ393190:QIZ393200 QSV393190:QSV393200 RCR393190:RCR393200 RMN393190:RMN393200 RWJ393190:RWJ393200 SGF393190:SGF393200 SQB393190:SQB393200 SZX393190:SZX393200 TJT393190:TJT393200 TTP393190:TTP393200 UDL393190:UDL393200 UNH393190:UNH393200 UXD393190:UXD393200 VGZ393190:VGZ393200 VQV393190:VQV393200 WAR393190:WAR393200 WKN393190:WKN393200 WUJ393190:WUJ393200 C458726:C458736 HX458726:HX458736 RT458726:RT458736 ABP458726:ABP458736 ALL458726:ALL458736 AVH458726:AVH458736 BFD458726:BFD458736 BOZ458726:BOZ458736 BYV458726:BYV458736 CIR458726:CIR458736 CSN458726:CSN458736 DCJ458726:DCJ458736 DMF458726:DMF458736 DWB458726:DWB458736 EFX458726:EFX458736 EPT458726:EPT458736 EZP458726:EZP458736 FJL458726:FJL458736 FTH458726:FTH458736 GDD458726:GDD458736 GMZ458726:GMZ458736 GWV458726:GWV458736 HGR458726:HGR458736 HQN458726:HQN458736 IAJ458726:IAJ458736 IKF458726:IKF458736 IUB458726:IUB458736 JDX458726:JDX458736 JNT458726:JNT458736 JXP458726:JXP458736 KHL458726:KHL458736 KRH458726:KRH458736 LBD458726:LBD458736 LKZ458726:LKZ458736 LUV458726:LUV458736 MER458726:MER458736 MON458726:MON458736 MYJ458726:MYJ458736 NIF458726:NIF458736 NSB458726:NSB458736 OBX458726:OBX458736 OLT458726:OLT458736 OVP458726:OVP458736 PFL458726:PFL458736 PPH458726:PPH458736 PZD458726:PZD458736 QIZ458726:QIZ458736 QSV458726:QSV458736 RCR458726:RCR458736 RMN458726:RMN458736 RWJ458726:RWJ458736 SGF458726:SGF458736 SQB458726:SQB458736 SZX458726:SZX458736 TJT458726:TJT458736 TTP458726:TTP458736 UDL458726:UDL458736 UNH458726:UNH458736 UXD458726:UXD458736 VGZ458726:VGZ458736 VQV458726:VQV458736 WAR458726:WAR458736 WKN458726:WKN458736 WUJ458726:WUJ458736 C524262:C524272 HX524262:HX524272 RT524262:RT524272 ABP524262:ABP524272 ALL524262:ALL524272 AVH524262:AVH524272 BFD524262:BFD524272 BOZ524262:BOZ524272 BYV524262:BYV524272 CIR524262:CIR524272 CSN524262:CSN524272 DCJ524262:DCJ524272 DMF524262:DMF524272 DWB524262:DWB524272 EFX524262:EFX524272 EPT524262:EPT524272 EZP524262:EZP524272 FJL524262:FJL524272 FTH524262:FTH524272 GDD524262:GDD524272 GMZ524262:GMZ524272 GWV524262:GWV524272 HGR524262:HGR524272 HQN524262:HQN524272 IAJ524262:IAJ524272 IKF524262:IKF524272 IUB524262:IUB524272 JDX524262:JDX524272 JNT524262:JNT524272 JXP524262:JXP524272 KHL524262:KHL524272 KRH524262:KRH524272 LBD524262:LBD524272 LKZ524262:LKZ524272 LUV524262:LUV524272 MER524262:MER524272 MON524262:MON524272 MYJ524262:MYJ524272 NIF524262:NIF524272 NSB524262:NSB524272 OBX524262:OBX524272 OLT524262:OLT524272 OVP524262:OVP524272 PFL524262:PFL524272 PPH524262:PPH524272 PZD524262:PZD524272 QIZ524262:QIZ524272 QSV524262:QSV524272 RCR524262:RCR524272 RMN524262:RMN524272 RWJ524262:RWJ524272 SGF524262:SGF524272 SQB524262:SQB524272 SZX524262:SZX524272 TJT524262:TJT524272 TTP524262:TTP524272 UDL524262:UDL524272 UNH524262:UNH524272 UXD524262:UXD524272 VGZ524262:VGZ524272 VQV524262:VQV524272 WAR524262:WAR524272 WKN524262:WKN524272 WUJ524262:WUJ524272 C589798:C589808 HX589798:HX589808 RT589798:RT589808 ABP589798:ABP589808 ALL589798:ALL589808 AVH589798:AVH589808 BFD589798:BFD589808 BOZ589798:BOZ589808 BYV589798:BYV589808 CIR589798:CIR589808 CSN589798:CSN589808 DCJ589798:DCJ589808 DMF589798:DMF589808 DWB589798:DWB589808 EFX589798:EFX589808 EPT589798:EPT589808 EZP589798:EZP589808 FJL589798:FJL589808 FTH589798:FTH589808 GDD589798:GDD589808 GMZ589798:GMZ589808 GWV589798:GWV589808 HGR589798:HGR589808 HQN589798:HQN589808 IAJ589798:IAJ589808 IKF589798:IKF589808 IUB589798:IUB589808 JDX589798:JDX589808 JNT589798:JNT589808 JXP589798:JXP589808 KHL589798:KHL589808 KRH589798:KRH589808 LBD589798:LBD589808 LKZ589798:LKZ589808 LUV589798:LUV589808 MER589798:MER589808 MON589798:MON589808 MYJ589798:MYJ589808 NIF589798:NIF589808 NSB589798:NSB589808 OBX589798:OBX589808 OLT589798:OLT589808 OVP589798:OVP589808 PFL589798:PFL589808 PPH589798:PPH589808 PZD589798:PZD589808 QIZ589798:QIZ589808 QSV589798:QSV589808 RCR589798:RCR589808 RMN589798:RMN589808 RWJ589798:RWJ589808 SGF589798:SGF589808 SQB589798:SQB589808 SZX589798:SZX589808 TJT589798:TJT589808 TTP589798:TTP589808 UDL589798:UDL589808 UNH589798:UNH589808 UXD589798:UXD589808 VGZ589798:VGZ589808 VQV589798:VQV589808 WAR589798:WAR589808 WKN589798:WKN589808 WUJ589798:WUJ589808 C655334:C655344 HX655334:HX655344 RT655334:RT655344 ABP655334:ABP655344 ALL655334:ALL655344 AVH655334:AVH655344 BFD655334:BFD655344 BOZ655334:BOZ655344 BYV655334:BYV655344 CIR655334:CIR655344 CSN655334:CSN655344 DCJ655334:DCJ655344 DMF655334:DMF655344 DWB655334:DWB655344 EFX655334:EFX655344 EPT655334:EPT655344 EZP655334:EZP655344 FJL655334:FJL655344 FTH655334:FTH655344 GDD655334:GDD655344 GMZ655334:GMZ655344 GWV655334:GWV655344 HGR655334:HGR655344 HQN655334:HQN655344 IAJ655334:IAJ655344 IKF655334:IKF655344 IUB655334:IUB655344 JDX655334:JDX655344 JNT655334:JNT655344 JXP655334:JXP655344 KHL655334:KHL655344 KRH655334:KRH655344 LBD655334:LBD655344 LKZ655334:LKZ655344 LUV655334:LUV655344 MER655334:MER655344 MON655334:MON655344 MYJ655334:MYJ655344 NIF655334:NIF655344 NSB655334:NSB655344 OBX655334:OBX655344 OLT655334:OLT655344 OVP655334:OVP655344 PFL655334:PFL655344 PPH655334:PPH655344 PZD655334:PZD655344 QIZ655334:QIZ655344 QSV655334:QSV655344 RCR655334:RCR655344 RMN655334:RMN655344 RWJ655334:RWJ655344 SGF655334:SGF655344 SQB655334:SQB655344 SZX655334:SZX655344 TJT655334:TJT655344 TTP655334:TTP655344 UDL655334:UDL655344 UNH655334:UNH655344 UXD655334:UXD655344 VGZ655334:VGZ655344 VQV655334:VQV655344 WAR655334:WAR655344 WKN655334:WKN655344 WUJ655334:WUJ655344 C720870:C720880 HX720870:HX720880 RT720870:RT720880 ABP720870:ABP720880 ALL720870:ALL720880 AVH720870:AVH720880 BFD720870:BFD720880 BOZ720870:BOZ720880 BYV720870:BYV720880 CIR720870:CIR720880 CSN720870:CSN720880 DCJ720870:DCJ720880 DMF720870:DMF720880 DWB720870:DWB720880 EFX720870:EFX720880 EPT720870:EPT720880 EZP720870:EZP720880 FJL720870:FJL720880 FTH720870:FTH720880 GDD720870:GDD720880 GMZ720870:GMZ720880 GWV720870:GWV720880 HGR720870:HGR720880 HQN720870:HQN720880 IAJ720870:IAJ720880 IKF720870:IKF720880 IUB720870:IUB720880 JDX720870:JDX720880 JNT720870:JNT720880 JXP720870:JXP720880 KHL720870:KHL720880 KRH720870:KRH720880 LBD720870:LBD720880 LKZ720870:LKZ720880 LUV720870:LUV720880 MER720870:MER720880 MON720870:MON720880 MYJ720870:MYJ720880 NIF720870:NIF720880 NSB720870:NSB720880 OBX720870:OBX720880 OLT720870:OLT720880 OVP720870:OVP720880 PFL720870:PFL720880 PPH720870:PPH720880 PZD720870:PZD720880 QIZ720870:QIZ720880 QSV720870:QSV720880 RCR720870:RCR720880 RMN720870:RMN720880 RWJ720870:RWJ720880 SGF720870:SGF720880 SQB720870:SQB720880 SZX720870:SZX720880 TJT720870:TJT720880 TTP720870:TTP720880 UDL720870:UDL720880 UNH720870:UNH720880 UXD720870:UXD720880 VGZ720870:VGZ720880 VQV720870:VQV720880 WAR720870:WAR720880 WKN720870:WKN720880 WUJ720870:WUJ720880 C786406:C786416 HX786406:HX786416 RT786406:RT786416 ABP786406:ABP786416 ALL786406:ALL786416 AVH786406:AVH786416 BFD786406:BFD786416 BOZ786406:BOZ786416 BYV786406:BYV786416 CIR786406:CIR786416 CSN786406:CSN786416 DCJ786406:DCJ786416 DMF786406:DMF786416 DWB786406:DWB786416 EFX786406:EFX786416 EPT786406:EPT786416 EZP786406:EZP786416 FJL786406:FJL786416 FTH786406:FTH786416 GDD786406:GDD786416 GMZ786406:GMZ786416 GWV786406:GWV786416 HGR786406:HGR786416 HQN786406:HQN786416 IAJ786406:IAJ786416 IKF786406:IKF786416 IUB786406:IUB786416 JDX786406:JDX786416 JNT786406:JNT786416 JXP786406:JXP786416 KHL786406:KHL786416 KRH786406:KRH786416 LBD786406:LBD786416 LKZ786406:LKZ786416 LUV786406:LUV786416 MER786406:MER786416 MON786406:MON786416 MYJ786406:MYJ786416 NIF786406:NIF786416 NSB786406:NSB786416 OBX786406:OBX786416 OLT786406:OLT786416 OVP786406:OVP786416 PFL786406:PFL786416 PPH786406:PPH786416 PZD786406:PZD786416 QIZ786406:QIZ786416 QSV786406:QSV786416 RCR786406:RCR786416 RMN786406:RMN786416 RWJ786406:RWJ786416 SGF786406:SGF786416 SQB786406:SQB786416 SZX786406:SZX786416 TJT786406:TJT786416 TTP786406:TTP786416 UDL786406:UDL786416 UNH786406:UNH786416 UXD786406:UXD786416 VGZ786406:VGZ786416 VQV786406:VQV786416 WAR786406:WAR786416 WKN786406:WKN786416 WUJ786406:WUJ786416 C851942:C851952 HX851942:HX851952 RT851942:RT851952 ABP851942:ABP851952 ALL851942:ALL851952 AVH851942:AVH851952 BFD851942:BFD851952 BOZ851942:BOZ851952 BYV851942:BYV851952 CIR851942:CIR851952 CSN851942:CSN851952 DCJ851942:DCJ851952 DMF851942:DMF851952 DWB851942:DWB851952 EFX851942:EFX851952 EPT851942:EPT851952 EZP851942:EZP851952 FJL851942:FJL851952 FTH851942:FTH851952 GDD851942:GDD851952 GMZ851942:GMZ851952 GWV851942:GWV851952 HGR851942:HGR851952 HQN851942:HQN851952 IAJ851942:IAJ851952 IKF851942:IKF851952 IUB851942:IUB851952 JDX851942:JDX851952 JNT851942:JNT851952 JXP851942:JXP851952 KHL851942:KHL851952 KRH851942:KRH851952 LBD851942:LBD851952 LKZ851942:LKZ851952 LUV851942:LUV851952 MER851942:MER851952 MON851942:MON851952 MYJ851942:MYJ851952 NIF851942:NIF851952 NSB851942:NSB851952 OBX851942:OBX851952 OLT851942:OLT851952 OVP851942:OVP851952 PFL851942:PFL851952 PPH851942:PPH851952 PZD851942:PZD851952 QIZ851942:QIZ851952 QSV851942:QSV851952 RCR851942:RCR851952 RMN851942:RMN851952 RWJ851942:RWJ851952 SGF851942:SGF851952 SQB851942:SQB851952 SZX851942:SZX851952 TJT851942:TJT851952 TTP851942:TTP851952 UDL851942:UDL851952 UNH851942:UNH851952 UXD851942:UXD851952 VGZ851942:VGZ851952 VQV851942:VQV851952 WAR851942:WAR851952 WKN851942:WKN851952 WUJ851942:WUJ851952 C917478:C917488 HX917478:HX917488 RT917478:RT917488 ABP917478:ABP917488 ALL917478:ALL917488 AVH917478:AVH917488 BFD917478:BFD917488 BOZ917478:BOZ917488 BYV917478:BYV917488 CIR917478:CIR917488 CSN917478:CSN917488 DCJ917478:DCJ917488 DMF917478:DMF917488 DWB917478:DWB917488 EFX917478:EFX917488 EPT917478:EPT917488 EZP917478:EZP917488 FJL917478:FJL917488 FTH917478:FTH917488 GDD917478:GDD917488 GMZ917478:GMZ917488 GWV917478:GWV917488 HGR917478:HGR917488 HQN917478:HQN917488 IAJ917478:IAJ917488 IKF917478:IKF917488 IUB917478:IUB917488 JDX917478:JDX917488 JNT917478:JNT917488 JXP917478:JXP917488 KHL917478:KHL917488 KRH917478:KRH917488 LBD917478:LBD917488 LKZ917478:LKZ917488 LUV917478:LUV917488 MER917478:MER917488 MON917478:MON917488 MYJ917478:MYJ917488 NIF917478:NIF917488 NSB917478:NSB917488 OBX917478:OBX917488 OLT917478:OLT917488 OVP917478:OVP917488 PFL917478:PFL917488 PPH917478:PPH917488 PZD917478:PZD917488 QIZ917478:QIZ917488 QSV917478:QSV917488 RCR917478:RCR917488 RMN917478:RMN917488 RWJ917478:RWJ917488 SGF917478:SGF917488 SQB917478:SQB917488 SZX917478:SZX917488 TJT917478:TJT917488 TTP917478:TTP917488 UDL917478:UDL917488 UNH917478:UNH917488 UXD917478:UXD917488 VGZ917478:VGZ917488 VQV917478:VQV917488 WAR917478:WAR917488 WKN917478:WKN917488 WUJ917478:WUJ917488 C983014:C983024 HX983014:HX983024 RT983014:RT983024 ABP983014:ABP983024 ALL983014:ALL983024 AVH983014:AVH983024 BFD983014:BFD983024 BOZ983014:BOZ983024 BYV983014:BYV983024 CIR983014:CIR983024 CSN983014:CSN983024 DCJ983014:DCJ983024 DMF983014:DMF983024 DWB983014:DWB983024 EFX983014:EFX983024 EPT983014:EPT983024 EZP983014:EZP983024 FJL983014:FJL983024 FTH983014:FTH983024 GDD983014:GDD983024 GMZ983014:GMZ983024 GWV983014:GWV983024 HGR983014:HGR983024 HQN983014:HQN983024 IAJ983014:IAJ983024 IKF983014:IKF983024 IUB983014:IUB983024 JDX983014:JDX983024 JNT983014:JNT983024 JXP983014:JXP983024 KHL983014:KHL983024 KRH983014:KRH983024 LBD983014:LBD983024 LKZ983014:LKZ983024 LUV983014:LUV983024 MER983014:MER983024 MON983014:MON983024 MYJ983014:MYJ983024 NIF983014:NIF983024 NSB983014:NSB983024 OBX983014:OBX983024 OLT983014:OLT983024 OVP983014:OVP983024 PFL983014:PFL983024 PPH983014:PPH983024 PZD983014:PZD983024 QIZ983014:QIZ983024 QSV983014:QSV983024 RCR983014:RCR983024 RMN983014:RMN983024 RWJ983014:RWJ983024 SGF983014:SGF983024 SQB983014:SQB983024 SZX983014:SZX983024 TJT983014:TJT983024 TTP983014:TTP983024 UDL983014:UDL983024 UNH983014:UNH983024 UXD983014:UXD983024 VGZ983014:VGZ983024 VQV983014:VQV983024 WAR983014:WAR983024 WKN983014:WKN983024 WUJ983014:WUJ983024" xr:uid="{00000000-0002-0000-06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0" orientation="landscape" horizontalDpi="300" verticalDpi="30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9">
    <pageSetUpPr fitToPage="1"/>
  </sheetPr>
  <dimension ref="B1:U36"/>
  <sheetViews>
    <sheetView view="pageBreakPreview" zoomScale="50" zoomScaleNormal="50" zoomScaleSheetLayoutView="50" workbookViewId="0">
      <pane xSplit="2" ySplit="6" topLeftCell="C7" activePane="bottomRight" state="frozen"/>
      <selection activeCell="C4" sqref="C4"/>
      <selection pane="topRight" activeCell="C4" sqref="C4"/>
      <selection pane="bottomLeft" activeCell="C4" sqref="C4"/>
      <selection pane="bottomRight" activeCell="K5" sqref="K5:N5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5.855468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9.140625" style="5"/>
    <col min="20" max="20" width="12.85546875" style="5" bestFit="1" customWidth="1"/>
    <col min="21" max="21" width="11.7109375" style="5" bestFit="1" customWidth="1"/>
    <col min="22" max="16384" width="9.140625" style="5"/>
  </cols>
  <sheetData>
    <row r="1" spans="2:21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1" s="1" customFormat="1" ht="26.25" x14ac:dyDescent="0.4">
      <c r="B2" s="759" t="s">
        <v>127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1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1" ht="33" customHeight="1" outlineLevel="1" x14ac:dyDescent="0.35">
      <c r="B4" s="6" t="s">
        <v>1</v>
      </c>
      <c r="C4" s="7">
        <f>155*30</f>
        <v>4650</v>
      </c>
      <c r="D4" s="8"/>
      <c r="E4" s="9"/>
      <c r="F4" s="10"/>
      <c r="G4" s="7">
        <f>80*30</f>
        <v>2400</v>
      </c>
      <c r="H4" s="11"/>
      <c r="I4" s="11"/>
      <c r="J4" s="11"/>
      <c r="K4" s="7">
        <f>80*30</f>
        <v>2400</v>
      </c>
      <c r="L4" s="12"/>
      <c r="M4" s="12"/>
      <c r="N4" s="12"/>
      <c r="O4" s="12"/>
      <c r="P4" s="12"/>
      <c r="Q4" s="13"/>
    </row>
    <row r="5" spans="2:21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21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1" s="94" customFormat="1" ht="33" customHeight="1" outlineLevel="1" x14ac:dyDescent="0.3">
      <c r="B7" s="89" t="s">
        <v>37</v>
      </c>
      <c r="C7" s="90">
        <v>0</v>
      </c>
      <c r="D7" s="91">
        <f t="shared" ref="D7:D16" si="0">+IF(C$24=0,0,C7/C$24)</f>
        <v>0</v>
      </c>
      <c r="E7" s="92">
        <f>IF(C7=0,0,F7/C7)</f>
        <v>0</v>
      </c>
      <c r="F7" s="93">
        <v>0</v>
      </c>
      <c r="G7" s="90">
        <v>38</v>
      </c>
      <c r="H7" s="91">
        <f t="shared" ref="H7:H16" si="1">+IF(G$24=0,0,G7/G$24)</f>
        <v>2.5797691785471828E-2</v>
      </c>
      <c r="I7" s="92">
        <f>IF(G7=0,0,J7/G7)</f>
        <v>1166.3684210526317</v>
      </c>
      <c r="J7" s="93">
        <v>44322</v>
      </c>
      <c r="K7" s="90">
        <f>'DSeptember 2022'!D37</f>
        <v>0</v>
      </c>
      <c r="L7" s="91">
        <f>+IF(K$24=0,0,K7/K$24)</f>
        <v>0</v>
      </c>
      <c r="M7" s="92">
        <f>IF(K7=0,0,N7/K7)</f>
        <v>0</v>
      </c>
      <c r="N7" s="93">
        <f>'DSeptember 2022'!D38</f>
        <v>0</v>
      </c>
      <c r="O7" s="90">
        <f t="shared" ref="O7:O24" si="2">K7-G7</f>
        <v>-38</v>
      </c>
      <c r="P7" s="92">
        <f t="shared" ref="P7:P24" si="3">M7-I7</f>
        <v>-1166.3684210526317</v>
      </c>
      <c r="Q7" s="93">
        <f t="shared" ref="Q7:Q24" si="4">N7-J7</f>
        <v>-44322</v>
      </c>
      <c r="T7" s="210">
        <f>P7/I7</f>
        <v>-1</v>
      </c>
    </row>
    <row r="8" spans="2:21" s="94" customFormat="1" ht="33" customHeight="1" outlineLevel="1" x14ac:dyDescent="0.3">
      <c r="B8" s="89" t="s">
        <v>38</v>
      </c>
      <c r="C8" s="90">
        <v>155</v>
      </c>
      <c r="D8" s="91">
        <f t="shared" si="0"/>
        <v>0.35632183908045978</v>
      </c>
      <c r="E8" s="92">
        <f>IF(C8=0,0,F8/C8)</f>
        <v>1042.7458064516129</v>
      </c>
      <c r="F8" s="93">
        <v>161625.60000000001</v>
      </c>
      <c r="G8" s="90">
        <v>856</v>
      </c>
      <c r="H8" s="91">
        <f t="shared" si="1"/>
        <v>0.58112695179904961</v>
      </c>
      <c r="I8" s="92">
        <f>IF(G8=0,0,J8/G8)</f>
        <v>1056.872663551402</v>
      </c>
      <c r="J8" s="93">
        <v>904683</v>
      </c>
      <c r="K8" s="90">
        <f>'DSeptember 2022'!F37</f>
        <v>757</v>
      </c>
      <c r="L8" s="91">
        <f t="shared" ref="L8:L16" si="5">+IF(K$24=0,0,K8/K$24)</f>
        <v>0.56661676646706582</v>
      </c>
      <c r="M8" s="92">
        <f>IF(K8=0,0,N8/K8)</f>
        <v>1298.0701020632821</v>
      </c>
      <c r="N8" s="93">
        <f>'DSeptember 2022'!F38</f>
        <v>982639.06726190459</v>
      </c>
      <c r="O8" s="90">
        <f t="shared" si="2"/>
        <v>-99</v>
      </c>
      <c r="P8" s="92">
        <f t="shared" si="3"/>
        <v>241.19743851188014</v>
      </c>
      <c r="Q8" s="93">
        <f t="shared" si="4"/>
        <v>77956.067261904594</v>
      </c>
      <c r="T8" s="210">
        <f t="shared" ref="T8:T19" si="6">P8/I8</f>
        <v>0.22821806905420947</v>
      </c>
    </row>
    <row r="9" spans="2:21" s="94" customFormat="1" ht="20.25" outlineLevel="1" x14ac:dyDescent="0.3">
      <c r="B9" s="89" t="s">
        <v>44</v>
      </c>
      <c r="C9" s="90">
        <v>18</v>
      </c>
      <c r="D9" s="91">
        <f t="shared" si="0"/>
        <v>4.1379310344827586E-2</v>
      </c>
      <c r="E9" s="92">
        <f>IF(C9=0,0,F9/C9)</f>
        <v>1040.1933333333334</v>
      </c>
      <c r="F9" s="93">
        <v>18723.48</v>
      </c>
      <c r="G9" s="90">
        <v>54</v>
      </c>
      <c r="H9" s="91">
        <f t="shared" si="1"/>
        <v>3.6659877800407331E-2</v>
      </c>
      <c r="I9" s="92">
        <f>IF(G9=0,0,J9/G9)</f>
        <v>1107.648148148148</v>
      </c>
      <c r="J9" s="93">
        <v>59813</v>
      </c>
      <c r="K9" s="90">
        <f>'DSeptember 2022'!H37</f>
        <v>21</v>
      </c>
      <c r="L9" s="91">
        <f t="shared" si="5"/>
        <v>1.5718562874251496E-2</v>
      </c>
      <c r="M9" s="92">
        <f>IF(K9=0,0,N9/K9)</f>
        <v>1254.4447619047619</v>
      </c>
      <c r="N9" s="93">
        <f>'DSeptember 2022'!H38</f>
        <v>26343.34</v>
      </c>
      <c r="O9" s="90">
        <f t="shared" si="2"/>
        <v>-33</v>
      </c>
      <c r="P9" s="92">
        <f t="shared" si="3"/>
        <v>146.79661375661385</v>
      </c>
      <c r="Q9" s="93">
        <f t="shared" si="4"/>
        <v>-33469.660000000003</v>
      </c>
      <c r="T9" s="210">
        <f t="shared" si="6"/>
        <v>0.13253000422746139</v>
      </c>
    </row>
    <row r="10" spans="2:21" ht="33" customHeight="1" x14ac:dyDescent="0.35">
      <c r="B10" s="20" t="s">
        <v>36</v>
      </c>
      <c r="C10" s="55">
        <f>SUM(C7:C9)</f>
        <v>173</v>
      </c>
      <c r="D10" s="21">
        <f t="shared" si="0"/>
        <v>0.39770114942528734</v>
      </c>
      <c r="E10" s="58">
        <f>IF(C10=0,0,F10/C10)</f>
        <v>1042.4802312138729</v>
      </c>
      <c r="F10" s="59">
        <f>SUM(F7:F9)</f>
        <v>180349.08000000002</v>
      </c>
      <c r="G10" s="55">
        <f>SUM(G7:G9)</f>
        <v>948</v>
      </c>
      <c r="H10" s="21">
        <f t="shared" si="1"/>
        <v>0.64358452138492872</v>
      </c>
      <c r="I10" s="58">
        <f>IF(G10=0,0,J10/G10)</f>
        <v>1064.1540084388187</v>
      </c>
      <c r="J10" s="59">
        <f>SUM(J7:J9)</f>
        <v>1008818</v>
      </c>
      <c r="K10" s="55">
        <f>SUM(K7:K9)</f>
        <v>778</v>
      </c>
      <c r="L10" s="21">
        <f t="shared" si="5"/>
        <v>0.58233532934131738</v>
      </c>
      <c r="M10" s="58">
        <f>IF(K10=0,0,N10/K10)</f>
        <v>1296.892554321214</v>
      </c>
      <c r="N10" s="59">
        <f>SUM(N7:N9)</f>
        <v>1008982.4072619046</v>
      </c>
      <c r="O10" s="55">
        <f t="shared" si="2"/>
        <v>-170</v>
      </c>
      <c r="P10" s="58">
        <f t="shared" si="3"/>
        <v>232.73854588239533</v>
      </c>
      <c r="Q10" s="59">
        <f t="shared" si="4"/>
        <v>164.40726190456189</v>
      </c>
      <c r="T10" s="210">
        <f t="shared" si="6"/>
        <v>0.21870757807306249</v>
      </c>
    </row>
    <row r="11" spans="2:21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ref="E11:E16" si="7">IF(C11=0,0,F11/C11)</f>
        <v>0</v>
      </c>
      <c r="F11" s="93">
        <v>0</v>
      </c>
      <c r="G11" s="90">
        <v>38</v>
      </c>
      <c r="H11" s="91">
        <f t="shared" si="1"/>
        <v>2.5797691785471828E-2</v>
      </c>
      <c r="I11" s="92">
        <f t="shared" ref="I11:I16" si="8">IF(G11=0,0,J11/G11)</f>
        <v>1768.421052631579</v>
      </c>
      <c r="J11" s="93">
        <v>67200</v>
      </c>
      <c r="K11" s="90">
        <f>'DSeptember 2022'!J37</f>
        <v>115</v>
      </c>
      <c r="L11" s="91">
        <f t="shared" si="5"/>
        <v>8.6077844311377244E-2</v>
      </c>
      <c r="M11" s="92">
        <f t="shared" ref="M11:M16" si="9">IF(K11=0,0,N11/K11)</f>
        <v>1107.3656964149486</v>
      </c>
      <c r="N11" s="93">
        <f>'DSeptember 2022'!J38</f>
        <v>127347.05508771908</v>
      </c>
      <c r="O11" s="90">
        <f t="shared" si="2"/>
        <v>77</v>
      </c>
      <c r="P11" s="92">
        <f t="shared" si="3"/>
        <v>-661.05535621663034</v>
      </c>
      <c r="Q11" s="93">
        <f t="shared" si="4"/>
        <v>60147.055087719084</v>
      </c>
      <c r="T11" s="210">
        <f t="shared" si="6"/>
        <v>-0.37381106452726121</v>
      </c>
    </row>
    <row r="12" spans="2:21" s="94" customFormat="1" ht="33" customHeight="1" x14ac:dyDescent="0.3">
      <c r="B12" s="89" t="s">
        <v>41</v>
      </c>
      <c r="C12" s="90">
        <v>0</v>
      </c>
      <c r="D12" s="91">
        <f t="shared" si="0"/>
        <v>0</v>
      </c>
      <c r="E12" s="92">
        <f t="shared" si="7"/>
        <v>0</v>
      </c>
      <c r="F12" s="93">
        <v>0</v>
      </c>
      <c r="G12" s="90">
        <v>78</v>
      </c>
      <c r="H12" s="91">
        <f t="shared" si="1"/>
        <v>5.2953156822810592E-2</v>
      </c>
      <c r="I12" s="377">
        <f t="shared" si="8"/>
        <v>733.16666666666663</v>
      </c>
      <c r="J12" s="93">
        <v>57187</v>
      </c>
      <c r="K12" s="90">
        <f>'DSeptember 2022'!L37</f>
        <v>250</v>
      </c>
      <c r="L12" s="91">
        <f t="shared" si="5"/>
        <v>0.18712574850299402</v>
      </c>
      <c r="M12" s="92">
        <f t="shared" si="9"/>
        <v>1158.178072666667</v>
      </c>
      <c r="N12" s="93">
        <f>'DSeptember 2022'!L38</f>
        <v>289544.51816666673</v>
      </c>
      <c r="O12" s="90">
        <f t="shared" si="2"/>
        <v>172</v>
      </c>
      <c r="P12" s="92">
        <f t="shared" si="3"/>
        <v>425.01140600000042</v>
      </c>
      <c r="Q12" s="93">
        <f t="shared" si="4"/>
        <v>232357.51816666673</v>
      </c>
      <c r="T12" s="210">
        <f t="shared" si="6"/>
        <v>0.57969275653557684</v>
      </c>
    </row>
    <row r="13" spans="2:21" ht="33" customHeight="1" x14ac:dyDescent="0.35">
      <c r="B13" s="20" t="s">
        <v>39</v>
      </c>
      <c r="C13" s="55">
        <f>SUM(C11:C12)</f>
        <v>0</v>
      </c>
      <c r="D13" s="21">
        <f t="shared" si="0"/>
        <v>0</v>
      </c>
      <c r="E13" s="58">
        <f t="shared" si="7"/>
        <v>0</v>
      </c>
      <c r="F13" s="59">
        <f>SUM(F11:F12)</f>
        <v>0</v>
      </c>
      <c r="G13" s="55">
        <f>SUM(G11:G12)</f>
        <v>116</v>
      </c>
      <c r="H13" s="21">
        <f t="shared" si="1"/>
        <v>7.8750848608282423E-2</v>
      </c>
      <c r="I13" s="58">
        <f t="shared" si="8"/>
        <v>1072.3017241379309</v>
      </c>
      <c r="J13" s="59">
        <f>SUM(J11:J12)</f>
        <v>124387</v>
      </c>
      <c r="K13" s="55">
        <f>SUM(K11:K12)</f>
        <v>365</v>
      </c>
      <c r="L13" s="21">
        <f t="shared" si="5"/>
        <v>0.27320359281437123</v>
      </c>
      <c r="M13" s="58">
        <f t="shared" si="9"/>
        <v>1142.1686938476325</v>
      </c>
      <c r="N13" s="59">
        <f>SUM(N11:N12)</f>
        <v>416891.57325438585</v>
      </c>
      <c r="O13" s="55">
        <f t="shared" si="2"/>
        <v>249</v>
      </c>
      <c r="P13" s="58">
        <f t="shared" si="3"/>
        <v>69.866969709701607</v>
      </c>
      <c r="Q13" s="59">
        <f t="shared" si="4"/>
        <v>292504.57325438585</v>
      </c>
      <c r="T13" s="210">
        <f t="shared" si="6"/>
        <v>6.5156073273938492E-2</v>
      </c>
      <c r="U13" s="223">
        <f>O13/G13</f>
        <v>2.146551724137931</v>
      </c>
    </row>
    <row r="14" spans="2:21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7"/>
        <v>0</v>
      </c>
      <c r="F14" s="95">
        <v>0</v>
      </c>
      <c r="G14" s="90">
        <v>130</v>
      </c>
      <c r="H14" s="91">
        <f t="shared" si="1"/>
        <v>8.8255261371350979E-2</v>
      </c>
      <c r="I14" s="92">
        <f t="shared" si="8"/>
        <v>2369.3692307692309</v>
      </c>
      <c r="J14" s="95">
        <v>308018</v>
      </c>
      <c r="K14" s="90">
        <f>'DSeptember 2022'!N37</f>
        <v>102</v>
      </c>
      <c r="L14" s="91">
        <f t="shared" si="5"/>
        <v>7.6347305389221562E-2</v>
      </c>
      <c r="M14" s="92">
        <f t="shared" si="9"/>
        <v>1476</v>
      </c>
      <c r="N14" s="95">
        <f>'DSeptember 2022'!N38</f>
        <v>150552</v>
      </c>
      <c r="O14" s="90">
        <f t="shared" si="2"/>
        <v>-28</v>
      </c>
      <c r="P14" s="92">
        <f t="shared" si="3"/>
        <v>-893.36923076923085</v>
      </c>
      <c r="Q14" s="96">
        <f t="shared" si="4"/>
        <v>-157466</v>
      </c>
      <c r="T14" s="210">
        <f t="shared" si="6"/>
        <v>-0.37704939321727954</v>
      </c>
    </row>
    <row r="15" spans="2:21" s="94" customFormat="1" ht="33" customHeight="1" x14ac:dyDescent="0.3">
      <c r="B15" s="89" t="s">
        <v>43</v>
      </c>
      <c r="C15" s="90">
        <v>259</v>
      </c>
      <c r="D15" s="91">
        <f t="shared" si="0"/>
        <v>0.59540229885057472</v>
      </c>
      <c r="E15" s="92">
        <f t="shared" si="7"/>
        <v>1152.1978378378378</v>
      </c>
      <c r="F15" s="95">
        <v>298419.24</v>
      </c>
      <c r="G15" s="90">
        <v>267</v>
      </c>
      <c r="H15" s="91">
        <f t="shared" si="1"/>
        <v>0.18126272912423624</v>
      </c>
      <c r="I15" s="377">
        <f t="shared" si="8"/>
        <v>1556.0749063670412</v>
      </c>
      <c r="J15" s="95">
        <v>415472</v>
      </c>
      <c r="K15" s="90">
        <f>'DSeptember 2022'!P37</f>
        <v>89</v>
      </c>
      <c r="L15" s="91">
        <f t="shared" si="5"/>
        <v>6.6616766467065866E-2</v>
      </c>
      <c r="M15" s="92">
        <f t="shared" si="9"/>
        <v>1743.1020570440794</v>
      </c>
      <c r="N15" s="95">
        <f>'DSeptember 2022'!P38</f>
        <v>155136.08307692307</v>
      </c>
      <c r="O15" s="90">
        <f t="shared" si="2"/>
        <v>-178</v>
      </c>
      <c r="P15" s="92">
        <f t="shared" si="3"/>
        <v>187.02715067703821</v>
      </c>
      <c r="Q15" s="96">
        <f t="shared" si="4"/>
        <v>-260335.91692307693</v>
      </c>
      <c r="T15" s="210">
        <f t="shared" si="6"/>
        <v>0.12019161154246062</v>
      </c>
    </row>
    <row r="16" spans="2:21" ht="33" customHeight="1" x14ac:dyDescent="0.35">
      <c r="B16" s="20" t="s">
        <v>42</v>
      </c>
      <c r="C16" s="55">
        <f>SUM(C14:C15)</f>
        <v>259</v>
      </c>
      <c r="D16" s="21">
        <f t="shared" si="0"/>
        <v>0.59540229885057472</v>
      </c>
      <c r="E16" s="58">
        <f t="shared" si="7"/>
        <v>1152.1978378378378</v>
      </c>
      <c r="F16" s="87">
        <f>SUM(F14:F15)</f>
        <v>298419.24</v>
      </c>
      <c r="G16" s="55">
        <f>SUM(G14:G15)</f>
        <v>397</v>
      </c>
      <c r="H16" s="21">
        <f t="shared" si="1"/>
        <v>0.26951799049558722</v>
      </c>
      <c r="I16" s="58">
        <f t="shared" si="8"/>
        <v>1822.3929471032745</v>
      </c>
      <c r="J16" s="87">
        <f>SUM(J14:J15)</f>
        <v>723490</v>
      </c>
      <c r="K16" s="55">
        <f>SUM(K14:K15)</f>
        <v>191</v>
      </c>
      <c r="L16" s="21">
        <f t="shared" si="5"/>
        <v>0.14296407185628743</v>
      </c>
      <c r="M16" s="58">
        <f t="shared" si="9"/>
        <v>1600.4611679420054</v>
      </c>
      <c r="N16" s="87">
        <f>SUM(N14:N15)</f>
        <v>305688.08307692304</v>
      </c>
      <c r="O16" s="55">
        <f t="shared" si="2"/>
        <v>-206</v>
      </c>
      <c r="P16" s="58">
        <f t="shared" si="3"/>
        <v>-221.93177916126911</v>
      </c>
      <c r="Q16" s="88">
        <f t="shared" si="4"/>
        <v>-417801.91692307696</v>
      </c>
      <c r="T16" s="210">
        <f t="shared" si="6"/>
        <v>-0.12178042036106074</v>
      </c>
    </row>
    <row r="17" spans="2:20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T17" s="210" t="e">
        <f t="shared" si="6"/>
        <v>#DIV/0!</v>
      </c>
    </row>
    <row r="18" spans="2:20" ht="33" hidden="1" customHeight="1" x14ac:dyDescent="0.35">
      <c r="B18" s="22" t="s">
        <v>13</v>
      </c>
      <c r="C18" s="56">
        <f>C8+C9+C11+C12</f>
        <v>173</v>
      </c>
      <c r="D18" s="23">
        <f>+IF(C$24=0,0,C18/C$24)</f>
        <v>0.39770114942528734</v>
      </c>
      <c r="E18" s="60">
        <f>IF(C18=0,0,F18/C18)</f>
        <v>1042.4802312138729</v>
      </c>
      <c r="F18" s="61">
        <f>F8+F9+F11+F12</f>
        <v>180349.08000000002</v>
      </c>
      <c r="G18" s="56">
        <f>G8+G9+G11+G12</f>
        <v>1026</v>
      </c>
      <c r="H18" s="23">
        <f>+IF(G$24=0,0,G18/G$24)</f>
        <v>0.69653767820773926</v>
      </c>
      <c r="I18" s="60">
        <f>IF(G18=0,0,J18/G18)</f>
        <v>1061.2894736842106</v>
      </c>
      <c r="J18" s="61">
        <f>J8+J9+J11+J12</f>
        <v>1088883</v>
      </c>
      <c r="K18" s="56">
        <f>K8+K9+K11+K12</f>
        <v>1143</v>
      </c>
      <c r="L18" s="23">
        <f>+IF(K$24=0,0,K18/K$24)</f>
        <v>0.85553892215568861</v>
      </c>
      <c r="M18" s="60">
        <f>IF(K18=0,0,N18/K18)</f>
        <v>1247.4837974770694</v>
      </c>
      <c r="N18" s="61">
        <f>N8+N9+N11+N12</f>
        <v>1425873.9805162903</v>
      </c>
      <c r="O18" s="56">
        <f t="shared" si="2"/>
        <v>117</v>
      </c>
      <c r="P18" s="60">
        <f t="shared" si="3"/>
        <v>186.19432379285877</v>
      </c>
      <c r="Q18" s="66">
        <f t="shared" si="4"/>
        <v>336990.98051629029</v>
      </c>
      <c r="T18" s="210">
        <f t="shared" si="6"/>
        <v>0.17544160043960011</v>
      </c>
    </row>
    <row r="19" spans="2:20" ht="33" hidden="1" customHeight="1" x14ac:dyDescent="0.35">
      <c r="B19" s="22" t="s">
        <v>45</v>
      </c>
      <c r="C19" s="105">
        <f>C7+C14+C15</f>
        <v>259</v>
      </c>
      <c r="D19" s="106">
        <f>+IF(C$24=0,0,C19/C$24)</f>
        <v>0.59540229885057472</v>
      </c>
      <c r="E19" s="107">
        <f>IF(C19=0,0,F19/C19)</f>
        <v>1152.1978378378378</v>
      </c>
      <c r="F19" s="108">
        <f>F7+F14+F15</f>
        <v>298419.24</v>
      </c>
      <c r="G19" s="105">
        <f>G7+G14+G15</f>
        <v>435</v>
      </c>
      <c r="H19" s="106">
        <f>+IF(G$24=0,0,G19/G$24)</f>
        <v>0.29531568228105909</v>
      </c>
      <c r="I19" s="107">
        <f>IF(G19=0,0,J19/G19)</f>
        <v>1765.0850574712645</v>
      </c>
      <c r="J19" s="108">
        <f>J7+J14+J15</f>
        <v>767812</v>
      </c>
      <c r="K19" s="105">
        <f>K7+K14+K15</f>
        <v>191</v>
      </c>
      <c r="L19" s="106">
        <f>+IF(K$24=0,0,K19/K$24)</f>
        <v>0.14296407185628743</v>
      </c>
      <c r="M19" s="107">
        <f>IF(K19=0,0,N19/K19)</f>
        <v>1600.4611679420054</v>
      </c>
      <c r="N19" s="108">
        <f>N7+N14+N15</f>
        <v>305688.08307692304</v>
      </c>
      <c r="O19" s="56">
        <f t="shared" si="2"/>
        <v>-244</v>
      </c>
      <c r="P19" s="60">
        <f t="shared" si="3"/>
        <v>-164.62388952925903</v>
      </c>
      <c r="Q19" s="66">
        <f t="shared" si="4"/>
        <v>-462123.91692307696</v>
      </c>
      <c r="T19" s="210">
        <f t="shared" si="6"/>
        <v>-9.3266830871655659E-2</v>
      </c>
    </row>
    <row r="20" spans="2:20" ht="33" customHeight="1" x14ac:dyDescent="0.35">
      <c r="B20" s="28" t="s">
        <v>16</v>
      </c>
      <c r="C20" s="56">
        <f>C18+C19</f>
        <v>432</v>
      </c>
      <c r="D20" s="23">
        <f>+IF(C$24=0,0,C20/C$24)</f>
        <v>0.99310344827586206</v>
      </c>
      <c r="E20" s="60">
        <f>IF(C20=0,0,F20/C20)</f>
        <v>1108.26</v>
      </c>
      <c r="F20" s="64">
        <f>F18+F19</f>
        <v>478768.32</v>
      </c>
      <c r="G20" s="56">
        <f>G18+G19</f>
        <v>1461</v>
      </c>
      <c r="H20" s="23">
        <f>+IF(G$24=0,0,G20/G$24)</f>
        <v>0.99185336048879835</v>
      </c>
      <c r="I20" s="60">
        <f>IF(G20=0,0,J20/G20)</f>
        <v>1270.8384668035592</v>
      </c>
      <c r="J20" s="64">
        <f>J18+J19</f>
        <v>1856695</v>
      </c>
      <c r="K20" s="56">
        <f>K18+K19</f>
        <v>1334</v>
      </c>
      <c r="L20" s="23">
        <f>+IF(K$24=0,0,K20/K$24)</f>
        <v>0.99850299401197606</v>
      </c>
      <c r="M20" s="60">
        <f>IF(K20=0,0,N20/K20)</f>
        <v>1298.0225364266967</v>
      </c>
      <c r="N20" s="64">
        <f>N18+N19</f>
        <v>1731562.0635932134</v>
      </c>
      <c r="O20" s="56">
        <f t="shared" si="2"/>
        <v>-127</v>
      </c>
      <c r="P20" s="60">
        <f t="shared" si="3"/>
        <v>27.184069623137475</v>
      </c>
      <c r="Q20" s="66">
        <f t="shared" si="4"/>
        <v>-125132.93640678655</v>
      </c>
    </row>
    <row r="21" spans="2:20" ht="33" customHeight="1" x14ac:dyDescent="0.35">
      <c r="B21" s="29" t="s">
        <v>17</v>
      </c>
      <c r="C21" s="24">
        <f>IF(C4=0,C20,C20/$C$4)</f>
        <v>9.290322580645162E-2</v>
      </c>
      <c r="D21" s="30"/>
      <c r="E21" s="35"/>
      <c r="F21" s="36"/>
      <c r="G21" s="24">
        <f>IF(G4=0,G20,G20/$C$4)</f>
        <v>0.31419354838709679</v>
      </c>
      <c r="H21" s="30"/>
      <c r="I21" s="35"/>
      <c r="J21" s="36"/>
      <c r="K21" s="24">
        <f>IF(K4=0,K20,K20/$C$4)</f>
        <v>0.28688172043010751</v>
      </c>
      <c r="L21" s="30"/>
      <c r="M21" s="35"/>
      <c r="N21" s="36"/>
      <c r="O21" s="54">
        <f t="shared" si="2"/>
        <v>-2.7311827956989276E-2</v>
      </c>
      <c r="P21" s="30">
        <f t="shared" si="3"/>
        <v>0</v>
      </c>
      <c r="Q21" s="31">
        <f t="shared" si="4"/>
        <v>0</v>
      </c>
    </row>
    <row r="22" spans="2:20" ht="33" customHeight="1" x14ac:dyDescent="0.35">
      <c r="B22" s="25" t="s">
        <v>18</v>
      </c>
      <c r="C22" s="57">
        <v>3</v>
      </c>
      <c r="D22" s="26">
        <f>+IF(C$24=0,0,C22/C$24)</f>
        <v>6.8965517241379309E-3</v>
      </c>
      <c r="E22" s="65">
        <f>IF(C22=0,0,F22/C22)</f>
        <v>-5426.59</v>
      </c>
      <c r="F22" s="63">
        <v>-16279.77</v>
      </c>
      <c r="G22" s="57">
        <v>12</v>
      </c>
      <c r="H22" s="26">
        <f>+IF(G$24=0,0,G22/G$24)</f>
        <v>8.1466395112016286E-3</v>
      </c>
      <c r="I22" s="65">
        <f>IF(G22=0,0,J22/G22)</f>
        <v>0</v>
      </c>
      <c r="J22" s="63">
        <v>0</v>
      </c>
      <c r="K22" s="57">
        <f>'DSeptember 2022'!R37</f>
        <v>2</v>
      </c>
      <c r="L22" s="26">
        <f>+IF(K$24=0,0,K22/K$24)</f>
        <v>1.4970059880239522E-3</v>
      </c>
      <c r="M22" s="65">
        <f>IF(K22=0,0,N22/K22)</f>
        <v>0</v>
      </c>
      <c r="N22" s="63">
        <v>0</v>
      </c>
      <c r="O22" s="57">
        <f t="shared" si="2"/>
        <v>-10</v>
      </c>
      <c r="P22" s="62">
        <f t="shared" si="3"/>
        <v>0</v>
      </c>
      <c r="Q22" s="63">
        <f t="shared" si="4"/>
        <v>0</v>
      </c>
    </row>
    <row r="23" spans="2:20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</row>
    <row r="24" spans="2:20" ht="33" customHeight="1" x14ac:dyDescent="0.35">
      <c r="B24" s="22" t="s">
        <v>20</v>
      </c>
      <c r="C24" s="56">
        <f>C10+C13+C16+C22+C23</f>
        <v>435</v>
      </c>
      <c r="D24" s="23">
        <f>+IF(C$24=0,0,C24/C$24)</f>
        <v>1</v>
      </c>
      <c r="E24" s="60">
        <f>IF(C24=0,0,F24/C24)</f>
        <v>1063.1920689655171</v>
      </c>
      <c r="F24" s="64">
        <f>F10+F13+F16+F22+F23</f>
        <v>462488.55</v>
      </c>
      <c r="G24" s="56">
        <f>G10+G13+G16+G22+G23</f>
        <v>1473</v>
      </c>
      <c r="H24" s="23">
        <f>+IF(G$24=0,0,G24/G$24)</f>
        <v>1</v>
      </c>
      <c r="I24" s="60">
        <f>IF(G24=0,0,J24/G24)</f>
        <v>1260.4854039375425</v>
      </c>
      <c r="J24" s="415">
        <f>J10+J13+J16+J22+J23</f>
        <v>1856695</v>
      </c>
      <c r="K24" s="56">
        <f>K10+K13+K16+K22+K23</f>
        <v>1336</v>
      </c>
      <c r="L24" s="23">
        <f>+IF(K$24=0,0,K24/K$24)</f>
        <v>1</v>
      </c>
      <c r="M24" s="60">
        <f>IF(K24=0,0,N24/K24)</f>
        <v>1296.0793889170759</v>
      </c>
      <c r="N24" s="64">
        <f>N10+N13+N16+N22+N23</f>
        <v>1731562.0635932134</v>
      </c>
      <c r="O24" s="56">
        <f t="shared" si="2"/>
        <v>-137</v>
      </c>
      <c r="P24" s="60">
        <f t="shared" si="3"/>
        <v>35.593984979533388</v>
      </c>
      <c r="Q24" s="64">
        <f t="shared" si="4"/>
        <v>-125132.93640678655</v>
      </c>
    </row>
    <row r="25" spans="2:20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2.823831586493887E-2</v>
      </c>
      <c r="Q25" s="38">
        <f>IF(J24=0,(N24-J24),(N24-J24)/J24)</f>
        <v>-6.7395526140150402E-2</v>
      </c>
    </row>
    <row r="26" spans="2:20" ht="33" customHeight="1" x14ac:dyDescent="0.35">
      <c r="B26" s="40" t="s">
        <v>21</v>
      </c>
      <c r="C26" s="41">
        <f>IF(C4=0,C24,C24/C4)</f>
        <v>9.3548387096774197E-2</v>
      </c>
      <c r="D26" s="30"/>
      <c r="E26" s="30"/>
      <c r="F26" s="31"/>
      <c r="G26" s="41">
        <f>IF(G4=0,G24,G24/G4)</f>
        <v>0.61375000000000002</v>
      </c>
      <c r="H26" s="30"/>
      <c r="I26" s="30"/>
      <c r="J26" s="31"/>
      <c r="K26" s="41">
        <f>IF(K4=0,K24,K24/K4)</f>
        <v>0.55666666666666664</v>
      </c>
      <c r="L26" s="30"/>
      <c r="M26" s="30"/>
      <c r="N26" s="31"/>
      <c r="O26" s="41">
        <f>K26-G26</f>
        <v>-5.7083333333333375E-2</v>
      </c>
      <c r="P26" s="30"/>
      <c r="Q26" s="31"/>
    </row>
    <row r="27" spans="2:20" ht="33" customHeight="1" x14ac:dyDescent="0.35">
      <c r="B27" s="42" t="s">
        <v>22</v>
      </c>
      <c r="C27" s="43">
        <f>IF(C4=0,0,F$24/C$4)</f>
        <v>99.459903225806443</v>
      </c>
      <c r="D27" s="44"/>
      <c r="E27" s="45"/>
      <c r="F27" s="46"/>
      <c r="G27" s="43">
        <f>IF(G4=0,0,J$24/G$4)</f>
        <v>773.6229166666667</v>
      </c>
      <c r="H27" s="44"/>
      <c r="I27" s="45"/>
      <c r="J27" s="46"/>
      <c r="K27" s="43">
        <f>IF(K4=0,0,N$24/K$4)</f>
        <v>721.48419316383888</v>
      </c>
      <c r="L27" s="44"/>
      <c r="M27" s="45"/>
      <c r="N27" s="46"/>
      <c r="O27" s="43">
        <f>K27-G27</f>
        <v>-52.138723502827816</v>
      </c>
      <c r="P27" s="45"/>
      <c r="Q27" s="46"/>
    </row>
    <row r="28" spans="2:20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0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20" x14ac:dyDescent="0.35">
      <c r="B30" s="358"/>
      <c r="Q30" s="86"/>
    </row>
    <row r="31" spans="2:20" x14ac:dyDescent="0.35">
      <c r="B31" s="358"/>
      <c r="Q31" s="86"/>
    </row>
    <row r="32" spans="2:20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21">
    <tabColor theme="0" tint="-0.34998626667073579"/>
    <pageSetUpPr fitToPage="1"/>
  </sheetPr>
  <dimension ref="B1:X38"/>
  <sheetViews>
    <sheetView view="pageBreakPreview" zoomScale="50" zoomScaleNormal="50" zoomScaleSheetLayoutView="50" workbookViewId="0">
      <pane xSplit="2" ySplit="6" topLeftCell="C7" activePane="bottomRight" state="frozen"/>
      <selection activeCell="C4" sqref="C4"/>
      <selection pane="topRight" activeCell="C4" sqref="C4"/>
      <selection pane="bottomLeft" activeCell="C4" sqref="C4"/>
      <selection pane="bottomRight" activeCell="K4" sqref="K4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17.71093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9.2851562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2.140625" style="5" bestFit="1" customWidth="1"/>
    <col min="20" max="20" width="9.140625" style="5"/>
    <col min="21" max="21" width="14.5703125" style="5" bestFit="1" customWidth="1"/>
    <col min="22" max="22" width="9.140625" style="5"/>
    <col min="23" max="23" width="14.5703125" style="5" bestFit="1" customWidth="1"/>
    <col min="24" max="16384" width="9.140625" style="5"/>
  </cols>
  <sheetData>
    <row r="1" spans="2:24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4" s="1" customFormat="1" ht="26.25" x14ac:dyDescent="0.4">
      <c r="B2" s="759" t="s">
        <v>107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4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4" ht="33" customHeight="1" outlineLevel="1" x14ac:dyDescent="0.35">
      <c r="B4" s="6" t="s">
        <v>1</v>
      </c>
      <c r="C4" s="7">
        <f>'July 2022'!C4+' August 2022'!C4+'September 2022'!C4</f>
        <v>14260</v>
      </c>
      <c r="D4" s="8"/>
      <c r="E4" s="9"/>
      <c r="F4" s="10"/>
      <c r="G4" s="7">
        <f>'July 2022'!G4+' August 2022'!G4+'September 2022'!G4</f>
        <v>7360</v>
      </c>
      <c r="H4" s="11"/>
      <c r="I4" s="11"/>
      <c r="J4" s="11"/>
      <c r="K4" s="7">
        <f>'July 2022'!K4+' August 2022'!K4+'September 2022'!K4</f>
        <v>7360</v>
      </c>
      <c r="L4" s="12"/>
      <c r="M4" s="12"/>
      <c r="N4" s="12"/>
      <c r="O4" s="12"/>
      <c r="P4" s="12"/>
      <c r="Q4" s="13"/>
    </row>
    <row r="5" spans="2:24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24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4" s="94" customFormat="1" ht="33" customHeight="1" outlineLevel="1" x14ac:dyDescent="0.3">
      <c r="B7" s="89" t="s">
        <v>37</v>
      </c>
      <c r="C7" s="90">
        <f>'July 2022'!C7+' August 2022'!C7+'September 2022'!C7</f>
        <v>0</v>
      </c>
      <c r="D7" s="91">
        <f t="shared" ref="D7:D20" si="0">+IF(C$24=0,0,C7/C$24)</f>
        <v>0</v>
      </c>
      <c r="E7" s="92">
        <f>IF(C7=0,0,F7/C7)</f>
        <v>0</v>
      </c>
      <c r="F7" s="93">
        <f>'July 2022'!F7+' August 2022'!F7+'September 2022'!F7</f>
        <v>0</v>
      </c>
      <c r="G7" s="90">
        <f>'July 2022'!G7+' August 2022'!G7+'September 2022'!G7</f>
        <v>59</v>
      </c>
      <c r="H7" s="91">
        <f t="shared" ref="H7:H16" si="1">+IF(G$24=0,0,G7/G$24)</f>
        <v>2.1361332367849383E-2</v>
      </c>
      <c r="I7" s="92">
        <f>IF(G7=0,0,J7/G7)</f>
        <v>998.67796610169489</v>
      </c>
      <c r="J7" s="93">
        <f>'July 2022'!J7+' August 2022'!J7+'September 2022'!J7</f>
        <v>58922</v>
      </c>
      <c r="K7" s="90">
        <f>'July 2022'!K7+' August 2022'!K7+'September 2022'!K7</f>
        <v>0</v>
      </c>
      <c r="L7" s="91">
        <f>+IF(K$24=0,0,K7/K$24)</f>
        <v>0</v>
      </c>
      <c r="M7" s="92">
        <f>IF(K7=0,0,N7/K7)</f>
        <v>0</v>
      </c>
      <c r="N7" s="93">
        <f>'July 2022'!N7+' August 2022'!N7+'September 2022'!N7</f>
        <v>0</v>
      </c>
      <c r="O7" s="90">
        <f t="shared" ref="O7:O24" si="2">K7-G7</f>
        <v>-59</v>
      </c>
      <c r="P7" s="92">
        <f t="shared" ref="P7:P24" si="3">M7-I7</f>
        <v>-998.67796610169489</v>
      </c>
      <c r="Q7" s="93">
        <f t="shared" ref="Q7:Q24" si="4">N7-J7</f>
        <v>-58922</v>
      </c>
      <c r="S7" s="210"/>
    </row>
    <row r="8" spans="2:24" s="94" customFormat="1" ht="33" customHeight="1" outlineLevel="1" x14ac:dyDescent="0.3">
      <c r="B8" s="89" t="s">
        <v>38</v>
      </c>
      <c r="C8" s="90">
        <f>'July 2022'!C8+' August 2022'!C8+'September 2022'!C8</f>
        <v>507</v>
      </c>
      <c r="D8" s="91">
        <f t="shared" si="0"/>
        <v>0.55837004405286339</v>
      </c>
      <c r="E8" s="92">
        <f t="shared" ref="E8:E24" si="5">IF(C8=0,0,F8/C8)</f>
        <v>990.84848126232748</v>
      </c>
      <c r="F8" s="93">
        <f>'July 2022'!F8+' August 2022'!F8+'September 2022'!F8</f>
        <v>502360.18000000005</v>
      </c>
      <c r="G8" s="90">
        <f>'July 2022'!G8+' August 2022'!G8+'September 2022'!G8</f>
        <v>1796</v>
      </c>
      <c r="H8" s="91">
        <f t="shared" si="1"/>
        <v>0.65025343953656767</v>
      </c>
      <c r="I8" s="92">
        <f>IF(G8=0,0,J8/G8)</f>
        <v>1018.2544543429844</v>
      </c>
      <c r="J8" s="93">
        <f>'July 2022'!J8+' August 2022'!J8+'September 2022'!J8</f>
        <v>1828785</v>
      </c>
      <c r="K8" s="90">
        <f>'July 2022'!K8+' August 2022'!K8+'September 2022'!K8</f>
        <v>2085</v>
      </c>
      <c r="L8" s="91">
        <f t="shared" ref="L8:L16" si="6">+IF(K$24=0,0,K8/K$24)</f>
        <v>0.59725007161271837</v>
      </c>
      <c r="M8" s="92">
        <f>IF(K8=0,0,N8/K8)</f>
        <v>1263.654458775836</v>
      </c>
      <c r="N8" s="93">
        <f>'July 2022'!N8+' August 2022'!N8+'September 2022'!N8</f>
        <v>2634719.5465476182</v>
      </c>
      <c r="O8" s="90">
        <f t="shared" si="2"/>
        <v>289</v>
      </c>
      <c r="P8" s="92">
        <f t="shared" si="3"/>
        <v>245.40000443285157</v>
      </c>
      <c r="Q8" s="93">
        <f t="shared" si="4"/>
        <v>805934.54654761823</v>
      </c>
      <c r="S8" s="210"/>
    </row>
    <row r="9" spans="2:24" s="94" customFormat="1" ht="20.25" outlineLevel="1" x14ac:dyDescent="0.3">
      <c r="B9" s="89" t="s">
        <v>44</v>
      </c>
      <c r="C9" s="90">
        <f>'July 2022'!C9+' August 2022'!C9+'September 2022'!C9</f>
        <v>69</v>
      </c>
      <c r="D9" s="91">
        <f t="shared" si="0"/>
        <v>7.5991189427312769E-2</v>
      </c>
      <c r="E9" s="92">
        <f>IF(C9=0,0,F9/C9)</f>
        <v>967.07130434782607</v>
      </c>
      <c r="F9" s="93">
        <f>'July 2022'!F9+' August 2022'!F9+'September 2022'!F9</f>
        <v>66727.92</v>
      </c>
      <c r="G9" s="90">
        <f>'July 2022'!G9+' August 2022'!G9+'September 2022'!G9</f>
        <v>106</v>
      </c>
      <c r="H9" s="91">
        <f t="shared" si="1"/>
        <v>3.8377986965966691E-2</v>
      </c>
      <c r="I9" s="92">
        <f>IF(G9=0,0,J9/G9)</f>
        <v>1115.4056603773586</v>
      </c>
      <c r="J9" s="93">
        <f>'July 2022'!J9+' August 2022'!J9+'September 2022'!J9</f>
        <v>118233</v>
      </c>
      <c r="K9" s="90">
        <f>'July 2022'!K9+' August 2022'!K9+'September 2022'!K9</f>
        <v>56</v>
      </c>
      <c r="L9" s="91">
        <f t="shared" si="6"/>
        <v>1.6041248925809225E-2</v>
      </c>
      <c r="M9" s="92">
        <f>IF(K9=0,0,N9/K9)</f>
        <v>1206.4748214285714</v>
      </c>
      <c r="N9" s="93">
        <f>'July 2022'!N9+' August 2022'!N9+'September 2022'!N9</f>
        <v>67562.59</v>
      </c>
      <c r="O9" s="90">
        <f t="shared" si="2"/>
        <v>-50</v>
      </c>
      <c r="P9" s="92">
        <f t="shared" si="3"/>
        <v>91.069161051212859</v>
      </c>
      <c r="Q9" s="93">
        <f t="shared" si="4"/>
        <v>-50670.41</v>
      </c>
      <c r="S9" s="210"/>
    </row>
    <row r="10" spans="2:24" ht="33" customHeight="1" x14ac:dyDescent="0.35">
      <c r="B10" s="20" t="s">
        <v>36</v>
      </c>
      <c r="C10" s="55">
        <f>SUM(C7:C9)</f>
        <v>576</v>
      </c>
      <c r="D10" s="21">
        <f t="shared" si="0"/>
        <v>0.63436123348017626</v>
      </c>
      <c r="E10" s="58">
        <f>IF(C10=0,0,F10/C10)</f>
        <v>988.00017361111122</v>
      </c>
      <c r="F10" s="59">
        <f>SUM(F7:F9)</f>
        <v>569088.10000000009</v>
      </c>
      <c r="G10" s="55">
        <f>SUM(G7:G9)</f>
        <v>1961</v>
      </c>
      <c r="H10" s="21">
        <f t="shared" si="1"/>
        <v>0.70999275887038382</v>
      </c>
      <c r="I10" s="58">
        <f>IF(G10=0,0,J10/G10)</f>
        <v>1022.9168791432942</v>
      </c>
      <c r="J10" s="59">
        <f>SUM(J7:J9)</f>
        <v>2005940</v>
      </c>
      <c r="K10" s="55">
        <f>SUM(K7:K9)</f>
        <v>2141</v>
      </c>
      <c r="L10" s="21">
        <f t="shared" si="6"/>
        <v>0.61329132053852764</v>
      </c>
      <c r="M10" s="58">
        <f>IF(K10=0,0,N10/K10)</f>
        <v>1262.1588680745531</v>
      </c>
      <c r="N10" s="59">
        <f>SUM(N7:N9)</f>
        <v>2702282.1365476181</v>
      </c>
      <c r="O10" s="55">
        <f t="shared" si="2"/>
        <v>180</v>
      </c>
      <c r="P10" s="58">
        <f t="shared" si="3"/>
        <v>239.2419889312589</v>
      </c>
      <c r="Q10" s="59">
        <f t="shared" si="4"/>
        <v>696342.13654761808</v>
      </c>
      <c r="S10" s="210"/>
      <c r="U10" s="223"/>
      <c r="W10" s="223"/>
      <c r="X10" s="223"/>
    </row>
    <row r="11" spans="2:24" s="94" customFormat="1" ht="33" customHeight="1" x14ac:dyDescent="0.35">
      <c r="B11" s="89" t="s">
        <v>40</v>
      </c>
      <c r="C11" s="90">
        <f>'July 2022'!C11+' August 2022'!C11+'September 2022'!C11</f>
        <v>0</v>
      </c>
      <c r="D11" s="91">
        <f t="shared" si="0"/>
        <v>0</v>
      </c>
      <c r="E11" s="92">
        <f t="shared" si="5"/>
        <v>0</v>
      </c>
      <c r="F11" s="93">
        <f>'July 2022'!F11+' August 2022'!F11+'September 2022'!F11</f>
        <v>0</v>
      </c>
      <c r="G11" s="90">
        <f>'July 2022'!G11+' August 2022'!G11+'September 2022'!G11</f>
        <v>44</v>
      </c>
      <c r="H11" s="91">
        <f t="shared" si="1"/>
        <v>1.5930485155684286E-2</v>
      </c>
      <c r="I11" s="92">
        <f t="shared" ref="I11:I16" si="7">IF(G11=0,0,J11/G11)</f>
        <v>1677.8636363636363</v>
      </c>
      <c r="J11" s="93">
        <f>'July 2022'!J11+' August 2022'!J11+'September 2022'!J11</f>
        <v>73826</v>
      </c>
      <c r="K11" s="90">
        <f>'July 2022'!K11+' August 2022'!K11+'September 2022'!K11</f>
        <v>252</v>
      </c>
      <c r="L11" s="91">
        <f t="shared" si="6"/>
        <v>7.2185620166141509E-2</v>
      </c>
      <c r="M11" s="92">
        <f t="shared" ref="M11:M16" si="8">IF(K11=0,0,N11/K11)</f>
        <v>976.30556986602221</v>
      </c>
      <c r="N11" s="93">
        <f>'July 2022'!N11+' August 2022'!N11+'September 2022'!N11</f>
        <v>246029.00360623759</v>
      </c>
      <c r="O11" s="90">
        <f t="shared" si="2"/>
        <v>208</v>
      </c>
      <c r="P11" s="92">
        <f t="shared" si="3"/>
        <v>-701.55806649761405</v>
      </c>
      <c r="Q11" s="93">
        <f t="shared" si="4"/>
        <v>172203.00360623759</v>
      </c>
      <c r="S11" s="210"/>
      <c r="U11" s="223"/>
      <c r="V11" s="5"/>
      <c r="W11" s="223"/>
    </row>
    <row r="12" spans="2:24" s="94" customFormat="1" ht="33" customHeight="1" x14ac:dyDescent="0.35">
      <c r="B12" s="89" t="s">
        <v>41</v>
      </c>
      <c r="C12" s="90">
        <f>'July 2022'!C12+' August 2022'!C12+'September 2022'!C12</f>
        <v>4</v>
      </c>
      <c r="D12" s="91">
        <f t="shared" si="0"/>
        <v>4.4052863436123352E-3</v>
      </c>
      <c r="E12" s="92">
        <f t="shared" si="5"/>
        <v>1567.3924999999999</v>
      </c>
      <c r="F12" s="93">
        <f>'July 2022'!F12+' August 2022'!F12+'September 2022'!F12</f>
        <v>6269.57</v>
      </c>
      <c r="G12" s="90">
        <f>'July 2022'!G12+' August 2022'!G12+'September 2022'!G12</f>
        <v>129</v>
      </c>
      <c r="H12" s="91">
        <f t="shared" si="1"/>
        <v>4.670528602461984E-2</v>
      </c>
      <c r="I12" s="92">
        <f t="shared" si="7"/>
        <v>780.11627906976742</v>
      </c>
      <c r="J12" s="93">
        <f>'July 2022'!J12+' August 2022'!J12+'September 2022'!J12</f>
        <v>100635</v>
      </c>
      <c r="K12" s="90">
        <f>'July 2022'!K12+' August 2022'!K12+'September 2022'!K12</f>
        <v>450</v>
      </c>
      <c r="L12" s="91">
        <f t="shared" si="6"/>
        <v>0.12890289315382411</v>
      </c>
      <c r="M12" s="92">
        <f t="shared" si="8"/>
        <v>1081.3500774074068</v>
      </c>
      <c r="N12" s="93">
        <f>'July 2022'!N12+' August 2022'!N12+'September 2022'!N12</f>
        <v>486607.53483333311</v>
      </c>
      <c r="O12" s="90">
        <f t="shared" si="2"/>
        <v>321</v>
      </c>
      <c r="P12" s="92">
        <f t="shared" si="3"/>
        <v>301.23379833763943</v>
      </c>
      <c r="Q12" s="93">
        <f t="shared" si="4"/>
        <v>385972.53483333311</v>
      </c>
      <c r="S12" s="210"/>
      <c r="U12" s="223"/>
      <c r="V12" s="5"/>
      <c r="W12" s="223"/>
    </row>
    <row r="13" spans="2:24" ht="33" customHeight="1" x14ac:dyDescent="0.35">
      <c r="B13" s="20" t="s">
        <v>39</v>
      </c>
      <c r="C13" s="55">
        <f>SUM(C11:C12)</f>
        <v>4</v>
      </c>
      <c r="D13" s="21">
        <f t="shared" si="0"/>
        <v>4.4052863436123352E-3</v>
      </c>
      <c r="E13" s="58">
        <f t="shared" si="5"/>
        <v>1567.3924999999999</v>
      </c>
      <c r="F13" s="59">
        <f>SUM(F11:F12)</f>
        <v>6269.57</v>
      </c>
      <c r="G13" s="55">
        <f>SUM(G11:G12)</f>
        <v>173</v>
      </c>
      <c r="H13" s="21">
        <f t="shared" si="1"/>
        <v>6.2635771180304126E-2</v>
      </c>
      <c r="I13" s="58">
        <f t="shared" si="7"/>
        <v>1008.4450867052024</v>
      </c>
      <c r="J13" s="59">
        <f>SUM(J11:J12)</f>
        <v>174461</v>
      </c>
      <c r="K13" s="55">
        <f>SUM(K11:K12)</f>
        <v>702</v>
      </c>
      <c r="L13" s="21">
        <f t="shared" si="6"/>
        <v>0.20108851331996563</v>
      </c>
      <c r="M13" s="58">
        <f t="shared" si="8"/>
        <v>1043.6417926489612</v>
      </c>
      <c r="N13" s="59">
        <f>SUM(N11:N12)</f>
        <v>732636.53843957069</v>
      </c>
      <c r="O13" s="55">
        <f t="shared" si="2"/>
        <v>529</v>
      </c>
      <c r="P13" s="58">
        <f t="shared" si="3"/>
        <v>35.196705943758843</v>
      </c>
      <c r="Q13" s="59">
        <f t="shared" si="4"/>
        <v>558175.53843957069</v>
      </c>
      <c r="S13" s="210"/>
      <c r="U13" s="223"/>
      <c r="W13" s="223"/>
      <c r="X13" s="223"/>
    </row>
    <row r="14" spans="2:24" s="94" customFormat="1" ht="33" customHeight="1" x14ac:dyDescent="0.35">
      <c r="B14" s="89" t="s">
        <v>47</v>
      </c>
      <c r="C14" s="90">
        <f>'July 2022'!C14+' August 2022'!C14+'September 2022'!C14</f>
        <v>0</v>
      </c>
      <c r="D14" s="91">
        <f t="shared" si="0"/>
        <v>0</v>
      </c>
      <c r="E14" s="92">
        <f t="shared" si="5"/>
        <v>0</v>
      </c>
      <c r="F14" s="95">
        <f>'July 2022'!F14+' August 2022'!F14+'September 2022'!F14</f>
        <v>0</v>
      </c>
      <c r="G14" s="90">
        <f>'July 2022'!G14+' August 2022'!G14+'September 2022'!G14</f>
        <v>201</v>
      </c>
      <c r="H14" s="91">
        <f t="shared" si="1"/>
        <v>7.277335264301231E-2</v>
      </c>
      <c r="I14" s="92">
        <f t="shared" si="7"/>
        <v>2003.8308457711444</v>
      </c>
      <c r="J14" s="95">
        <f>'July 2022'!J14+' August 2022'!J14+'September 2022'!J14</f>
        <v>402770</v>
      </c>
      <c r="K14" s="90">
        <f>'July 2022'!K14+' August 2022'!K14+'September 2022'!K14</f>
        <v>382</v>
      </c>
      <c r="L14" s="91">
        <f t="shared" si="6"/>
        <v>0.10942423374391291</v>
      </c>
      <c r="M14" s="92">
        <f t="shared" si="8"/>
        <v>1949.5418848167508</v>
      </c>
      <c r="N14" s="95">
        <f>'July 2022'!N14+' August 2022'!N14+'September 2022'!N14</f>
        <v>744724.99999999884</v>
      </c>
      <c r="O14" s="90">
        <f t="shared" si="2"/>
        <v>181</v>
      </c>
      <c r="P14" s="92">
        <f t="shared" si="3"/>
        <v>-54.288960954393588</v>
      </c>
      <c r="Q14" s="96">
        <f t="shared" si="4"/>
        <v>341954.99999999884</v>
      </c>
      <c r="S14" s="210"/>
      <c r="U14" s="223"/>
      <c r="V14" s="5"/>
      <c r="W14" s="223"/>
    </row>
    <row r="15" spans="2:24" s="94" customFormat="1" ht="33" customHeight="1" x14ac:dyDescent="0.35">
      <c r="B15" s="89" t="s">
        <v>43</v>
      </c>
      <c r="C15" s="90">
        <f>'July 2022'!C15+' August 2022'!C15+'September 2022'!C15</f>
        <v>298</v>
      </c>
      <c r="D15" s="91">
        <f t="shared" si="0"/>
        <v>0.32819383259911894</v>
      </c>
      <c r="E15" s="92">
        <f t="shared" si="5"/>
        <v>1198.5965100671142</v>
      </c>
      <c r="F15" s="95">
        <f>'July 2022'!F15+' August 2022'!F15+'September 2022'!F15</f>
        <v>357181.76</v>
      </c>
      <c r="G15" s="90">
        <f>'July 2022'!G15+' August 2022'!G15+'September 2022'!G15</f>
        <v>403</v>
      </c>
      <c r="H15" s="91">
        <f t="shared" si="1"/>
        <v>0.14590876176683562</v>
      </c>
      <c r="I15" s="92">
        <f t="shared" si="7"/>
        <v>1493.6476426799009</v>
      </c>
      <c r="J15" s="95">
        <f>'July 2022'!J15+' August 2022'!J15+'September 2022'!J15</f>
        <v>601940</v>
      </c>
      <c r="K15" s="90">
        <f>'July 2022'!K15+' August 2022'!K15+'September 2022'!K15</f>
        <v>231</v>
      </c>
      <c r="L15" s="91">
        <f t="shared" si="6"/>
        <v>6.6170151818963047E-2</v>
      </c>
      <c r="M15" s="92">
        <f t="shared" si="8"/>
        <v>1574.9855111555107</v>
      </c>
      <c r="N15" s="95">
        <f>'July 2022'!N15+' August 2022'!N15+'September 2022'!N15</f>
        <v>363821.65307692299</v>
      </c>
      <c r="O15" s="90">
        <f t="shared" si="2"/>
        <v>-172</v>
      </c>
      <c r="P15" s="92">
        <f t="shared" si="3"/>
        <v>81.337868475609866</v>
      </c>
      <c r="Q15" s="96">
        <f t="shared" si="4"/>
        <v>-238118.34692307701</v>
      </c>
      <c r="S15" s="210"/>
      <c r="U15" s="223"/>
      <c r="V15" s="5"/>
      <c r="W15" s="223"/>
    </row>
    <row r="16" spans="2:24" ht="33" customHeight="1" x14ac:dyDescent="0.35">
      <c r="B16" s="20" t="s">
        <v>42</v>
      </c>
      <c r="C16" s="55">
        <f>SUM(C14:C15)</f>
        <v>298</v>
      </c>
      <c r="D16" s="21">
        <f t="shared" si="0"/>
        <v>0.32819383259911894</v>
      </c>
      <c r="E16" s="58">
        <f t="shared" si="5"/>
        <v>1198.5965100671142</v>
      </c>
      <c r="F16" s="87">
        <f>SUM(F14:F15)</f>
        <v>357181.76</v>
      </c>
      <c r="G16" s="55">
        <f>SUM(G14:G15)</f>
        <v>604</v>
      </c>
      <c r="H16" s="21">
        <f t="shared" si="1"/>
        <v>0.21868211440984794</v>
      </c>
      <c r="I16" s="58">
        <f t="shared" si="7"/>
        <v>1663.4271523178809</v>
      </c>
      <c r="J16" s="87">
        <f>SUM(J14:J15)</f>
        <v>1004710</v>
      </c>
      <c r="K16" s="55">
        <f>SUM(K14:K15)</f>
        <v>613</v>
      </c>
      <c r="L16" s="21">
        <f t="shared" si="6"/>
        <v>0.17559438556287596</v>
      </c>
      <c r="M16" s="58">
        <f t="shared" si="8"/>
        <v>1808.3958451499541</v>
      </c>
      <c r="N16" s="87">
        <f>SUM(N14:N15)</f>
        <v>1108546.6530769218</v>
      </c>
      <c r="O16" s="55">
        <f t="shared" si="2"/>
        <v>9</v>
      </c>
      <c r="P16" s="58">
        <f t="shared" si="3"/>
        <v>144.9686928320732</v>
      </c>
      <c r="Q16" s="88">
        <f t="shared" si="4"/>
        <v>103836.65307692182</v>
      </c>
      <c r="S16" s="210"/>
      <c r="U16" s="223"/>
      <c r="W16" s="223"/>
      <c r="X16" s="223"/>
    </row>
    <row r="17" spans="2:24" ht="33" hidden="1" customHeight="1" x14ac:dyDescent="0.35">
      <c r="B17" s="20" t="s">
        <v>46</v>
      </c>
      <c r="C17" s="55">
        <v>0</v>
      </c>
      <c r="D17" s="21">
        <f t="shared" si="0"/>
        <v>0</v>
      </c>
      <c r="E17" s="58">
        <f t="shared" si="5"/>
        <v>0</v>
      </c>
      <c r="F17" s="87">
        <v>0</v>
      </c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S17" s="210"/>
      <c r="U17" s="223"/>
      <c r="W17" s="223"/>
    </row>
    <row r="18" spans="2:24" ht="33" hidden="1" customHeight="1" x14ac:dyDescent="0.35">
      <c r="B18" s="22" t="s">
        <v>13</v>
      </c>
      <c r="C18" s="56">
        <f>C8+C9+C11+C12+C17</f>
        <v>580</v>
      </c>
      <c r="D18" s="23">
        <f t="shared" si="0"/>
        <v>0.63876651982378851</v>
      </c>
      <c r="E18" s="60">
        <f>IF(C18=0,0,F18/C18)</f>
        <v>991.99598275862081</v>
      </c>
      <c r="F18" s="61">
        <f>F8+F9+F11+F12+F17</f>
        <v>575357.67000000004</v>
      </c>
      <c r="G18" s="56">
        <f>G8+G9+G11+G12</f>
        <v>2075</v>
      </c>
      <c r="H18" s="23">
        <f>+IF(G$24=0,0,G18/G$24)</f>
        <v>0.75126719768283856</v>
      </c>
      <c r="I18" s="60">
        <f>IF(G18=0,0,J18/G18)</f>
        <v>1022.3995180722892</v>
      </c>
      <c r="J18" s="61">
        <f>J8+J9+J11+J12</f>
        <v>2121479</v>
      </c>
      <c r="K18" s="56">
        <f>K8+K9+K11+K12</f>
        <v>2843</v>
      </c>
      <c r="L18" s="23">
        <f>+IF(K$24=0,0,K18/K$24)</f>
        <v>0.81437983385849322</v>
      </c>
      <c r="M18" s="60">
        <f>IF(K18=0,0,N18/K18)</f>
        <v>1208.2021368227888</v>
      </c>
      <c r="N18" s="61">
        <f>N8+N9+N11+N12</f>
        <v>3434918.6749871885</v>
      </c>
      <c r="O18" s="56">
        <f t="shared" si="2"/>
        <v>768</v>
      </c>
      <c r="P18" s="60">
        <f t="shared" si="3"/>
        <v>185.80261875049962</v>
      </c>
      <c r="Q18" s="66">
        <f t="shared" si="4"/>
        <v>1313439.6749871885</v>
      </c>
      <c r="S18" s="210"/>
      <c r="U18" s="223"/>
      <c r="W18" s="223"/>
    </row>
    <row r="19" spans="2:24" ht="33" hidden="1" customHeight="1" x14ac:dyDescent="0.35">
      <c r="B19" s="22" t="s">
        <v>45</v>
      </c>
      <c r="C19" s="56">
        <f>C7+C14+C15</f>
        <v>298</v>
      </c>
      <c r="D19" s="23">
        <f t="shared" si="0"/>
        <v>0.32819383259911894</v>
      </c>
      <c r="E19" s="60">
        <f>IF(C19=0,0,F19/C19)</f>
        <v>1198.5965100671142</v>
      </c>
      <c r="F19" s="61">
        <f>F7+F14+F15</f>
        <v>357181.76</v>
      </c>
      <c r="G19" s="105">
        <f>G7+G14+G15</f>
        <v>663</v>
      </c>
      <c r="H19" s="106">
        <f>+IF(G$24=0,0,G19/G$24)</f>
        <v>0.24004344677769732</v>
      </c>
      <c r="I19" s="107">
        <f>IF(G19=0,0,J19/G19)</f>
        <v>1604.2714932126696</v>
      </c>
      <c r="J19" s="108">
        <f>J7+J14+J15</f>
        <v>1063632</v>
      </c>
      <c r="K19" s="105">
        <f>K7+K14+K15</f>
        <v>613</v>
      </c>
      <c r="L19" s="106">
        <f>+IF(K$24=0,0,K19/K$24)</f>
        <v>0.17559438556287596</v>
      </c>
      <c r="M19" s="107">
        <f>IF(K19=0,0,N19/K19)</f>
        <v>1808.3958451499541</v>
      </c>
      <c r="N19" s="108">
        <f>N7+N14+N15</f>
        <v>1108546.6530769218</v>
      </c>
      <c r="O19" s="56">
        <f t="shared" si="2"/>
        <v>-50</v>
      </c>
      <c r="P19" s="60">
        <f t="shared" si="3"/>
        <v>204.12435193728447</v>
      </c>
      <c r="Q19" s="66">
        <f t="shared" si="4"/>
        <v>44914.653076921823</v>
      </c>
      <c r="S19" s="210"/>
      <c r="U19" s="223"/>
      <c r="W19" s="223"/>
    </row>
    <row r="20" spans="2:24" ht="33" customHeight="1" x14ac:dyDescent="0.35">
      <c r="B20" s="28" t="s">
        <v>16</v>
      </c>
      <c r="C20" s="56">
        <f>C18+C19</f>
        <v>878</v>
      </c>
      <c r="D20" s="23">
        <f t="shared" si="0"/>
        <v>0.96696035242290745</v>
      </c>
      <c r="E20" s="60">
        <f t="shared" si="5"/>
        <v>1062.1178018223236</v>
      </c>
      <c r="F20" s="64">
        <f>F18+F19</f>
        <v>932539.43</v>
      </c>
      <c r="G20" s="56">
        <f>G18+G19</f>
        <v>2738</v>
      </c>
      <c r="H20" s="23">
        <f>+IF(G$24=0,0,G20/G$24)</f>
        <v>0.99131064446053585</v>
      </c>
      <c r="I20" s="60">
        <f>IF(G20=0,0,J20/G20)</f>
        <v>1163.2983929875822</v>
      </c>
      <c r="J20" s="64">
        <f>J18+J19</f>
        <v>3185111</v>
      </c>
      <c r="K20" s="56">
        <f>K18+K19</f>
        <v>3456</v>
      </c>
      <c r="L20" s="23">
        <f>+IF(K$24=0,0,K20/K$24)</f>
        <v>0.98997421942136921</v>
      </c>
      <c r="M20" s="60">
        <f>IF(K20=0,0,N20/K20)</f>
        <v>1314.6601065000318</v>
      </c>
      <c r="N20" s="64">
        <f>N18+N19</f>
        <v>4543465.3280641101</v>
      </c>
      <c r="O20" s="56">
        <f t="shared" si="2"/>
        <v>718</v>
      </c>
      <c r="P20" s="60">
        <f t="shared" si="3"/>
        <v>151.36171351244957</v>
      </c>
      <c r="Q20" s="66">
        <f t="shared" si="4"/>
        <v>1358354.3280641101</v>
      </c>
      <c r="S20" s="210"/>
    </row>
    <row r="21" spans="2:24" ht="33" customHeight="1" x14ac:dyDescent="0.35">
      <c r="B21" s="29" t="s">
        <v>17</v>
      </c>
      <c r="C21" s="24">
        <f>IF(C4=0,C20,C20/$C$4)</f>
        <v>6.1570827489481068E-2</v>
      </c>
      <c r="D21" s="30"/>
      <c r="E21" s="35"/>
      <c r="F21" s="36"/>
      <c r="G21" s="24">
        <f>IF(G4=0,G20,G20/$C$4)</f>
        <v>0.19200561009817671</v>
      </c>
      <c r="H21" s="30"/>
      <c r="I21" s="35"/>
      <c r="J21" s="36"/>
      <c r="K21" s="24">
        <f>IF(K4=0,K20,K20/$C$4)</f>
        <v>0.24235624123422159</v>
      </c>
      <c r="L21" s="30"/>
      <c r="M21" s="35"/>
      <c r="N21" s="36"/>
      <c r="O21" s="54">
        <f t="shared" si="2"/>
        <v>5.0350631136044877E-2</v>
      </c>
      <c r="P21" s="30"/>
      <c r="Q21" s="31"/>
      <c r="S21" s="210"/>
    </row>
    <row r="22" spans="2:24" ht="33" customHeight="1" x14ac:dyDescent="0.35">
      <c r="B22" s="25" t="s">
        <v>18</v>
      </c>
      <c r="C22" s="57">
        <f>'July 2022'!C22+' August 2022'!C22+'September 2022'!C22</f>
        <v>30</v>
      </c>
      <c r="D22" s="26">
        <f>+IF(C$24=0,0,C22/C$24)</f>
        <v>3.3039647577092511E-2</v>
      </c>
      <c r="E22" s="65">
        <f t="shared" si="5"/>
        <v>-632.45600000000002</v>
      </c>
      <c r="F22" s="63">
        <f>'July 2022'!F22+' August 2022'!F22+'September 2022'!F22</f>
        <v>-18973.68</v>
      </c>
      <c r="G22" s="57">
        <f>'July 2022'!G22+' August 2022'!G22+'September 2022'!G22</f>
        <v>24</v>
      </c>
      <c r="H22" s="26">
        <f>+IF(G$24=0,0,G22/G$24)</f>
        <v>8.6893555394641567E-3</v>
      </c>
      <c r="I22" s="65">
        <f>IF(G22=0,0,J22/G22)</f>
        <v>-67.333333333333329</v>
      </c>
      <c r="J22" s="63">
        <f>'July 2022'!J22+' August 2022'!J22+'September 2022'!J22</f>
        <v>-1616</v>
      </c>
      <c r="K22" s="57">
        <f>'July 2022'!K22+' August 2022'!K22+'September 2022'!K22</f>
        <v>35</v>
      </c>
      <c r="L22" s="26">
        <f>+IF(K$24=0,0,K22/K$24)</f>
        <v>1.0025780578630765E-2</v>
      </c>
      <c r="M22" s="65">
        <f>IF(K22=0,0,N22/K22)</f>
        <v>0</v>
      </c>
      <c r="N22" s="63">
        <f>'July 2022'!N22+' August 2022'!N22+'September 2022'!N22</f>
        <v>0</v>
      </c>
      <c r="O22" s="57">
        <f t="shared" si="2"/>
        <v>11</v>
      </c>
      <c r="P22" s="62">
        <f t="shared" si="3"/>
        <v>67.333333333333329</v>
      </c>
      <c r="Q22" s="63">
        <f t="shared" si="4"/>
        <v>1616</v>
      </c>
      <c r="S22" s="210"/>
    </row>
    <row r="23" spans="2:24" ht="33" customHeight="1" x14ac:dyDescent="0.35">
      <c r="B23" s="25" t="s">
        <v>28</v>
      </c>
      <c r="C23" s="57">
        <f>'July 2022'!C23+' August 2022'!C23+'September 2022'!C23</f>
        <v>0</v>
      </c>
      <c r="D23" s="26">
        <f>+IF(C$24=0,0,C23/C$24)</f>
        <v>0</v>
      </c>
      <c r="E23" s="62">
        <f t="shared" si="5"/>
        <v>0</v>
      </c>
      <c r="F23" s="63">
        <f>'July 2022'!F23+' August 2022'!F23+'September 2022'!F23</f>
        <v>0</v>
      </c>
      <c r="G23" s="57">
        <f>'July 2022'!G23+' August 2022'!G23+'September 2022'!G23</f>
        <v>0</v>
      </c>
      <c r="H23" s="26">
        <f>+IF(G$24=0,0,G23/G$24)</f>
        <v>0</v>
      </c>
      <c r="I23" s="62">
        <f>IF(G23=0,0,J23/G23)</f>
        <v>0</v>
      </c>
      <c r="J23" s="63">
        <f>'July 2022'!J23+' August 2022'!J23+'September 2022'!J23</f>
        <v>0</v>
      </c>
      <c r="K23" s="57">
        <f>'July 2022'!K23+' August 2022'!K23+'September 2022'!K23</f>
        <v>0</v>
      </c>
      <c r="L23" s="26">
        <f>+IF(K$24=0,0,K23/K$24)</f>
        <v>0</v>
      </c>
      <c r="M23" s="62">
        <f>IF(K23=0,0,N23/K23)</f>
        <v>0</v>
      </c>
      <c r="N23" s="63">
        <f>'July 2022'!N23+' August 2022'!N23+'September 2022'!N23</f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  <c r="S23" s="210"/>
    </row>
    <row r="24" spans="2:24" ht="33" customHeight="1" x14ac:dyDescent="0.35">
      <c r="B24" s="22" t="s">
        <v>20</v>
      </c>
      <c r="C24" s="56">
        <f>C10+C13+C16+C22+C23+C17</f>
        <v>908</v>
      </c>
      <c r="D24" s="23">
        <f>+IF(C$24=0,0,C24/C$24)</f>
        <v>1</v>
      </c>
      <c r="E24" s="60">
        <f t="shared" si="5"/>
        <v>1006.1296806167401</v>
      </c>
      <c r="F24" s="64">
        <f>F10+F13+F16+F22+F23+F17</f>
        <v>913565.75</v>
      </c>
      <c r="G24" s="56">
        <f>G10+G13+G16+G22+G23</f>
        <v>2762</v>
      </c>
      <c r="H24" s="23">
        <f>+IF(G$24=0,0,G24/G$24)</f>
        <v>1</v>
      </c>
      <c r="I24" s="60">
        <f>IF(G24=0,0,J24/G24)</f>
        <v>1152.6049963794351</v>
      </c>
      <c r="J24" s="64">
        <f>J10+J13+J16+J22+J23</f>
        <v>3183495</v>
      </c>
      <c r="K24" s="56">
        <f>K10+K13+K16+K22+K23</f>
        <v>3491</v>
      </c>
      <c r="L24" s="23">
        <f>+IF(K$24=0,0,K24/K$24)</f>
        <v>1</v>
      </c>
      <c r="M24" s="60">
        <f>IF(K24=0,0,N24/K24)</f>
        <v>1301.4796127367831</v>
      </c>
      <c r="N24" s="64">
        <f>N10+N13+N16+N22+N23</f>
        <v>4543465.3280641101</v>
      </c>
      <c r="O24" s="56">
        <f t="shared" si="2"/>
        <v>729</v>
      </c>
      <c r="P24" s="60">
        <f t="shared" si="3"/>
        <v>148.87461635734803</v>
      </c>
      <c r="Q24" s="64">
        <f t="shared" si="4"/>
        <v>1359970.3280641101</v>
      </c>
      <c r="S24" s="210"/>
      <c r="U24" s="223"/>
      <c r="V24" s="327"/>
      <c r="W24" s="223"/>
      <c r="X24" s="223"/>
    </row>
    <row r="25" spans="2:24" ht="33" customHeight="1" x14ac:dyDescent="0.35">
      <c r="B25" s="32"/>
      <c r="C25" s="33"/>
      <c r="D25" s="109"/>
      <c r="E25" s="35"/>
      <c r="F25" s="36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0.12916360489933087</v>
      </c>
      <c r="Q25" s="38">
        <f>IF(J24=0,(N24-J24),(N24-J24)/J24)</f>
        <v>0.4271941146645778</v>
      </c>
    </row>
    <row r="26" spans="2:24" ht="33" customHeight="1" x14ac:dyDescent="0.35">
      <c r="B26" s="40" t="s">
        <v>21</v>
      </c>
      <c r="C26" s="41">
        <f>IF(C4=0,C24,C24/C4)</f>
        <v>6.3674614305750346E-2</v>
      </c>
      <c r="D26" s="30"/>
      <c r="E26" s="30"/>
      <c r="F26" s="31"/>
      <c r="G26" s="41">
        <f>IF(G4=0,G24,G24/G4)</f>
        <v>0.37527173913043477</v>
      </c>
      <c r="H26" s="30"/>
      <c r="I26" s="30"/>
      <c r="J26" s="31"/>
      <c r="K26" s="41">
        <f>IF(K4=0,K24,K24/K4)</f>
        <v>0.47432065217391306</v>
      </c>
      <c r="L26" s="30"/>
      <c r="M26" s="30"/>
      <c r="N26" s="31"/>
      <c r="O26" s="41">
        <f>K26-G26</f>
        <v>9.9048913043478293E-2</v>
      </c>
      <c r="P26" s="30"/>
      <c r="Q26" s="31"/>
    </row>
    <row r="27" spans="2:24" ht="33" customHeight="1" x14ac:dyDescent="0.35">
      <c r="B27" s="42" t="s">
        <v>22</v>
      </c>
      <c r="C27" s="43">
        <f>IF(C4=0,0,F$24/C$4)</f>
        <v>64.064919354838707</v>
      </c>
      <c r="D27" s="44"/>
      <c r="E27" s="45"/>
      <c r="F27" s="46"/>
      <c r="G27" s="43">
        <f>IF(G4=0,0,J$24/G$4)</f>
        <v>432.54008152173913</v>
      </c>
      <c r="H27" s="44"/>
      <c r="I27" s="45"/>
      <c r="J27" s="46"/>
      <c r="K27" s="43">
        <f>IF(K4=0,0,N$24/K$4)</f>
        <v>617.31865870436275</v>
      </c>
      <c r="L27" s="44"/>
      <c r="M27" s="45"/>
      <c r="N27" s="46"/>
      <c r="O27" s="43">
        <f>K27-G27</f>
        <v>184.77857718262362</v>
      </c>
      <c r="P27" s="45"/>
      <c r="Q27" s="46"/>
    </row>
    <row r="28" spans="2:24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4" x14ac:dyDescent="0.35">
      <c r="B29" s="789" t="s">
        <v>23</v>
      </c>
      <c r="C29" s="790"/>
      <c r="D29" s="790"/>
      <c r="E29" s="790"/>
      <c r="F29" s="790"/>
      <c r="G29" s="790"/>
      <c r="H29" s="790"/>
      <c r="I29" s="790"/>
      <c r="J29" s="790"/>
      <c r="K29" s="790"/>
      <c r="L29" s="790"/>
      <c r="M29" s="790"/>
      <c r="N29" s="790"/>
      <c r="O29" s="790"/>
      <c r="P29" s="790"/>
      <c r="Q29" s="791"/>
    </row>
    <row r="30" spans="2:24" x14ac:dyDescent="0.35">
      <c r="B30" s="85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9"/>
    </row>
    <row r="31" spans="2:24" x14ac:dyDescent="0.35">
      <c r="B31" s="85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9"/>
    </row>
    <row r="32" spans="2:24" x14ac:dyDescent="0.35">
      <c r="B32" s="85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9"/>
    </row>
    <row r="33" spans="2:17" x14ac:dyDescent="0.35">
      <c r="B33" s="85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9"/>
    </row>
    <row r="34" spans="2:17" x14ac:dyDescent="0.35">
      <c r="B34" s="47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9"/>
    </row>
    <row r="35" spans="2:17" x14ac:dyDescent="0.35">
      <c r="B35" s="47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9"/>
    </row>
    <row r="36" spans="2:17" x14ac:dyDescent="0.35">
      <c r="B36" s="50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2"/>
    </row>
    <row r="37" spans="2:17" x14ac:dyDescent="0.35">
      <c r="Q37" s="86"/>
    </row>
    <row r="38" spans="2:17" x14ac:dyDescent="0.35">
      <c r="Q38" s="86"/>
    </row>
  </sheetData>
  <sheetProtection formatCells="0" formatColumns="0" formatRows="0" insertColumns="0" insertRows="0" deleteColumns="0" deleteRows="0" selectLockedCells="1" selectUnlockedCells="1"/>
  <mergeCells count="7">
    <mergeCell ref="B29:Q29"/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2" orientation="landscape" errors="blank" horizontalDpi="300" verticalDpi="300" r:id="rId1"/>
  <headerFooter>
    <oddFooter>Page &amp;P of 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33"/>
  <dimension ref="A1:BD53"/>
  <sheetViews>
    <sheetView view="pageBreakPreview" zoomScale="60" zoomScaleNormal="100" workbookViewId="0">
      <selection activeCell="M36" sqref="M36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8.28515625" style="111" bestFit="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8.7109375" style="111" bestFit="1" customWidth="1"/>
    <col min="29" max="30" width="9.140625" style="112"/>
    <col min="31" max="31" width="8.85546875" style="112"/>
    <col min="32" max="32" width="9.85546875" style="112" bestFit="1" customWidth="1"/>
    <col min="33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65">
        <f>'Annual 2022l2023'!C3</f>
        <v>44690</v>
      </c>
      <c r="F1" s="765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31</v>
      </c>
      <c r="E2" s="111" t="s">
        <v>236</v>
      </c>
    </row>
    <row r="3" spans="1:55" s="111" customFormat="1" x14ac:dyDescent="0.2"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76"/>
      <c r="C4" s="777"/>
      <c r="D4" s="778" t="s">
        <v>129</v>
      </c>
      <c r="E4" s="779"/>
      <c r="F4" s="779"/>
      <c r="G4" s="779"/>
      <c r="H4" s="779"/>
      <c r="I4" s="779"/>
      <c r="J4" s="779"/>
      <c r="K4" s="779"/>
      <c r="L4" s="779"/>
      <c r="M4" s="779"/>
      <c r="N4" s="779"/>
      <c r="O4" s="779"/>
      <c r="P4" s="779"/>
      <c r="Q4" s="779"/>
      <c r="R4" s="779"/>
      <c r="S4" s="779"/>
      <c r="T4" s="779"/>
      <c r="U4" s="779"/>
      <c r="V4" s="779"/>
      <c r="W4" s="779"/>
      <c r="X4" s="779"/>
      <c r="Y4" s="779"/>
      <c r="Z4" s="779"/>
      <c r="AA4" s="779"/>
      <c r="AB4" s="780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81" t="s">
        <v>50</v>
      </c>
      <c r="E5" s="784"/>
      <c r="F5" s="782" t="s">
        <v>51</v>
      </c>
      <c r="G5" s="782"/>
      <c r="H5" s="773" t="s">
        <v>52</v>
      </c>
      <c r="I5" s="773"/>
      <c r="J5" s="783" t="s">
        <v>53</v>
      </c>
      <c r="K5" s="773"/>
      <c r="L5" s="783" t="s">
        <v>54</v>
      </c>
      <c r="M5" s="773"/>
      <c r="N5" s="783" t="s">
        <v>55</v>
      </c>
      <c r="O5" s="773"/>
      <c r="P5" s="783" t="s">
        <v>56</v>
      </c>
      <c r="Q5" s="773"/>
      <c r="R5" s="783" t="s">
        <v>57</v>
      </c>
      <c r="S5" s="773"/>
      <c r="T5" s="122"/>
      <c r="U5" s="774"/>
      <c r="V5" s="775"/>
      <c r="W5" s="774"/>
      <c r="X5" s="775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6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126" customFormat="1" ht="15.75" customHeight="1" x14ac:dyDescent="0.25">
      <c r="A7" s="421"/>
      <c r="B7" s="630" t="s">
        <v>69</v>
      </c>
      <c r="C7" s="631">
        <v>1</v>
      </c>
      <c r="D7" s="632">
        <v>0</v>
      </c>
      <c r="E7" s="633">
        <v>0</v>
      </c>
      <c r="F7" s="634">
        <v>22</v>
      </c>
      <c r="G7" s="633">
        <v>1825</v>
      </c>
      <c r="H7" s="634">
        <v>1</v>
      </c>
      <c r="I7" s="633">
        <v>1838</v>
      </c>
      <c r="J7" s="634">
        <v>11</v>
      </c>
      <c r="K7" s="635">
        <v>1357.68266666666</v>
      </c>
      <c r="L7" s="634">
        <v>0</v>
      </c>
      <c r="M7" s="635">
        <v>0</v>
      </c>
      <c r="N7" s="634">
        <v>0</v>
      </c>
      <c r="O7" s="635">
        <v>0</v>
      </c>
      <c r="P7" s="634">
        <v>37</v>
      </c>
      <c r="Q7" s="635">
        <v>2213.04</v>
      </c>
      <c r="R7" s="634">
        <v>0</v>
      </c>
      <c r="S7" s="635">
        <v>0</v>
      </c>
      <c r="T7" s="635">
        <v>0</v>
      </c>
      <c r="U7" s="634">
        <v>0</v>
      </c>
      <c r="V7" s="633">
        <v>0</v>
      </c>
      <c r="W7" s="634">
        <v>0</v>
      </c>
      <c r="X7" s="633">
        <v>0</v>
      </c>
      <c r="Y7" s="636">
        <f t="shared" ref="Y7:Y37" si="0">SUM(D7,F7,H7,J7,L7,U7,W7,N7,P7,R7)</f>
        <v>71</v>
      </c>
      <c r="Z7" s="637">
        <f t="shared" ref="Z7:Z37" si="1">((D7*E7)+(F7*G7)+(H7*I7)+(J7*K7)+(L7*M7)+(U7*V7)+(W7*X7)+(N7*O7)+(P7*Q7)+(R7*S7))</f>
        <v>138804.98933333327</v>
      </c>
      <c r="AA7" s="638">
        <f>IF(Z7=0,0,Z7/Y7)</f>
        <v>1954.9998497652573</v>
      </c>
      <c r="AB7" s="639">
        <f t="shared" ref="AB7:AB37" si="2">Y7/$AB$6</f>
        <v>0.88749999999999996</v>
      </c>
      <c r="AC7" s="143"/>
      <c r="AE7" s="143"/>
      <c r="AG7" s="143"/>
    </row>
    <row r="8" spans="1:55" s="126" customFormat="1" ht="15.95" customHeight="1" x14ac:dyDescent="0.25">
      <c r="A8" s="417"/>
      <c r="B8" s="606" t="s">
        <v>63</v>
      </c>
      <c r="C8" s="607">
        <v>2</v>
      </c>
      <c r="D8" s="608">
        <v>0</v>
      </c>
      <c r="E8" s="609">
        <v>0</v>
      </c>
      <c r="F8" s="610">
        <v>8</v>
      </c>
      <c r="G8" s="609">
        <v>1920.35</v>
      </c>
      <c r="H8" s="610">
        <v>1</v>
      </c>
      <c r="I8" s="609">
        <v>1866</v>
      </c>
      <c r="J8" s="610">
        <v>10</v>
      </c>
      <c r="K8" s="611">
        <v>1343.48</v>
      </c>
      <c r="L8" s="610">
        <v>0</v>
      </c>
      <c r="M8" s="611">
        <v>0</v>
      </c>
      <c r="N8" s="610">
        <v>0</v>
      </c>
      <c r="O8" s="611">
        <v>0</v>
      </c>
      <c r="P8" s="610">
        <v>57</v>
      </c>
      <c r="Q8" s="611">
        <v>1583.5617543859601</v>
      </c>
      <c r="R8" s="610">
        <v>0</v>
      </c>
      <c r="S8" s="611">
        <v>0</v>
      </c>
      <c r="T8" s="611"/>
      <c r="U8" s="610"/>
      <c r="V8" s="609"/>
      <c r="W8" s="610"/>
      <c r="X8" s="609"/>
      <c r="Y8" s="612">
        <f t="shared" si="0"/>
        <v>76</v>
      </c>
      <c r="Z8" s="613">
        <f t="shared" si="1"/>
        <v>120926.61999999973</v>
      </c>
      <c r="AA8" s="614">
        <f t="shared" ref="AA8:AA33" si="3">IF(Z8=0,0,Z8/Y8)</f>
        <v>1591.1397368421017</v>
      </c>
      <c r="AB8" s="615">
        <f t="shared" si="2"/>
        <v>0.95</v>
      </c>
      <c r="AC8" s="143"/>
      <c r="AE8" s="143"/>
      <c r="AG8" s="143"/>
    </row>
    <row r="9" spans="1:55" s="126" customFormat="1" ht="15.95" customHeight="1" x14ac:dyDescent="0.25">
      <c r="A9" s="289" t="s">
        <v>162</v>
      </c>
      <c r="B9" s="616" t="s">
        <v>64</v>
      </c>
      <c r="C9" s="617">
        <v>3</v>
      </c>
      <c r="D9" s="618">
        <v>0</v>
      </c>
      <c r="E9" s="619">
        <v>0</v>
      </c>
      <c r="F9" s="620">
        <v>8</v>
      </c>
      <c r="G9" s="619">
        <v>1920.35</v>
      </c>
      <c r="H9" s="620">
        <v>1</v>
      </c>
      <c r="I9" s="619">
        <v>1938</v>
      </c>
      <c r="J9" s="620">
        <v>10</v>
      </c>
      <c r="K9" s="621">
        <v>1343.48</v>
      </c>
      <c r="L9" s="620">
        <v>0</v>
      </c>
      <c r="M9" s="621">
        <v>0</v>
      </c>
      <c r="N9" s="620">
        <v>0</v>
      </c>
      <c r="O9" s="621">
        <v>0</v>
      </c>
      <c r="P9" s="620">
        <v>57</v>
      </c>
      <c r="Q9" s="621">
        <v>1583.5617543859601</v>
      </c>
      <c r="R9" s="620">
        <v>0</v>
      </c>
      <c r="S9" s="621">
        <v>0</v>
      </c>
      <c r="T9" s="621"/>
      <c r="U9" s="620"/>
      <c r="V9" s="619"/>
      <c r="W9" s="620"/>
      <c r="X9" s="619"/>
      <c r="Y9" s="622">
        <f t="shared" si="0"/>
        <v>76</v>
      </c>
      <c r="Z9" s="623">
        <f t="shared" si="1"/>
        <v>120998.61999999973</v>
      </c>
      <c r="AA9" s="624">
        <f t="shared" si="3"/>
        <v>1592.0871052631544</v>
      </c>
      <c r="AB9" s="625">
        <f t="shared" si="2"/>
        <v>0.95</v>
      </c>
      <c r="AC9" s="143"/>
      <c r="AE9" s="143"/>
      <c r="AG9" s="143"/>
    </row>
    <row r="10" spans="1:55" s="126" customFormat="1" ht="15.95" customHeight="1" x14ac:dyDescent="0.25">
      <c r="A10" s="289"/>
      <c r="B10" s="136" t="s">
        <v>65</v>
      </c>
      <c r="C10" s="137">
        <v>4</v>
      </c>
      <c r="D10" s="138">
        <v>0</v>
      </c>
      <c r="E10" s="139">
        <v>0</v>
      </c>
      <c r="F10" s="140">
        <v>19</v>
      </c>
      <c r="G10" s="139">
        <v>1920.35</v>
      </c>
      <c r="H10" s="140">
        <v>2</v>
      </c>
      <c r="I10" s="139">
        <v>1938</v>
      </c>
      <c r="J10" s="140">
        <v>0</v>
      </c>
      <c r="K10" s="141">
        <v>0</v>
      </c>
      <c r="L10" s="140">
        <v>5</v>
      </c>
      <c r="M10" s="141">
        <v>1274</v>
      </c>
      <c r="N10" s="140">
        <v>0</v>
      </c>
      <c r="O10" s="141">
        <v>0</v>
      </c>
      <c r="P10" s="140">
        <v>20</v>
      </c>
      <c r="Q10" s="141">
        <v>419.02699999999999</v>
      </c>
      <c r="R10" s="140">
        <v>0</v>
      </c>
      <c r="S10" s="141">
        <v>0</v>
      </c>
      <c r="T10" s="141"/>
      <c r="U10" s="140"/>
      <c r="V10" s="139"/>
      <c r="W10" s="140"/>
      <c r="X10" s="139"/>
      <c r="Y10" s="142">
        <f t="shared" si="0"/>
        <v>46</v>
      </c>
      <c r="Z10" s="143">
        <f t="shared" si="1"/>
        <v>55113.19</v>
      </c>
      <c r="AA10" s="331">
        <f t="shared" si="3"/>
        <v>1198.1128260869566</v>
      </c>
      <c r="AB10" s="145">
        <f t="shared" si="2"/>
        <v>0.57499999999999996</v>
      </c>
      <c r="AC10" s="143"/>
      <c r="AE10" s="143"/>
      <c r="AG10" s="143"/>
    </row>
    <row r="11" spans="1:55" s="146" customFormat="1" ht="15.75" customHeight="1" x14ac:dyDescent="0.25">
      <c r="A11" s="289"/>
      <c r="B11" s="126" t="s">
        <v>66</v>
      </c>
      <c r="C11" s="137">
        <v>5</v>
      </c>
      <c r="D11" s="138">
        <v>0</v>
      </c>
      <c r="E11" s="139">
        <v>0</v>
      </c>
      <c r="F11" s="140">
        <v>22</v>
      </c>
      <c r="G11" s="139">
        <v>1825</v>
      </c>
      <c r="H11" s="140">
        <v>2</v>
      </c>
      <c r="I11" s="139">
        <v>1477</v>
      </c>
      <c r="J11" s="140">
        <v>0</v>
      </c>
      <c r="K11" s="141">
        <v>0</v>
      </c>
      <c r="L11" s="140">
        <v>12</v>
      </c>
      <c r="M11" s="141">
        <v>1818</v>
      </c>
      <c r="N11" s="140">
        <v>0</v>
      </c>
      <c r="O11" s="141">
        <v>0</v>
      </c>
      <c r="P11" s="140">
        <v>20</v>
      </c>
      <c r="Q11" s="141">
        <v>419.02699999999999</v>
      </c>
      <c r="R11" s="140">
        <v>0</v>
      </c>
      <c r="S11" s="141">
        <v>0</v>
      </c>
      <c r="T11" s="141"/>
      <c r="U11" s="140"/>
      <c r="V11" s="139"/>
      <c r="W11" s="140"/>
      <c r="X11" s="139"/>
      <c r="Y11" s="142">
        <f t="shared" si="0"/>
        <v>56</v>
      </c>
      <c r="Z11" s="143">
        <f t="shared" si="1"/>
        <v>73300.539999999994</v>
      </c>
      <c r="AA11" s="144">
        <f t="shared" si="3"/>
        <v>1308.9382142857141</v>
      </c>
      <c r="AB11" s="145">
        <f t="shared" si="2"/>
        <v>0.7</v>
      </c>
      <c r="AC11" s="143"/>
      <c r="AD11" s="126"/>
      <c r="AE11" s="143"/>
      <c r="AF11" s="126"/>
      <c r="AG11" s="143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  <c r="BB11" s="126"/>
    </row>
    <row r="12" spans="1:55" s="126" customFormat="1" ht="15.95" customHeight="1" x14ac:dyDescent="0.25">
      <c r="A12" s="289"/>
      <c r="B12" s="136" t="s">
        <v>67</v>
      </c>
      <c r="C12" s="137">
        <v>6</v>
      </c>
      <c r="D12" s="138">
        <v>0</v>
      </c>
      <c r="E12" s="139">
        <v>0</v>
      </c>
      <c r="F12" s="140">
        <v>19</v>
      </c>
      <c r="G12" s="139">
        <v>1825</v>
      </c>
      <c r="H12" s="140">
        <v>2</v>
      </c>
      <c r="I12" s="139">
        <v>1477.3</v>
      </c>
      <c r="J12" s="140">
        <v>0</v>
      </c>
      <c r="K12" s="141">
        <v>0</v>
      </c>
      <c r="L12" s="140">
        <v>11</v>
      </c>
      <c r="M12" s="141">
        <v>1818</v>
      </c>
      <c r="N12" s="140">
        <v>0</v>
      </c>
      <c r="O12" s="141">
        <v>0</v>
      </c>
      <c r="P12" s="140">
        <v>20</v>
      </c>
      <c r="Q12" s="141">
        <v>419.02699999999999</v>
      </c>
      <c r="R12" s="140">
        <v>0</v>
      </c>
      <c r="S12" s="141">
        <v>0</v>
      </c>
      <c r="T12" s="141"/>
      <c r="U12" s="140"/>
      <c r="V12" s="139"/>
      <c r="W12" s="140"/>
      <c r="X12" s="139"/>
      <c r="Y12" s="142">
        <f t="shared" si="0"/>
        <v>52</v>
      </c>
      <c r="Z12" s="143">
        <f>((D12*E12)+(F12*G12)+(H12*I12)+(J12*K12)+(L12*M12)+(U12*V12)+(W12*X12)+(N12*O12)+(P12*Q12)+(R12*S12))</f>
        <v>66008.14</v>
      </c>
      <c r="AA12" s="329">
        <f t="shared" si="3"/>
        <v>1269.3873076923078</v>
      </c>
      <c r="AB12" s="148">
        <f t="shared" si="2"/>
        <v>0.65</v>
      </c>
      <c r="AC12" s="143"/>
      <c r="AE12" s="143"/>
      <c r="AG12" s="143"/>
    </row>
    <row r="13" spans="1:55" s="126" customFormat="1" ht="15.75" customHeight="1" x14ac:dyDescent="0.25">
      <c r="A13" s="289"/>
      <c r="B13" s="136" t="s">
        <v>68</v>
      </c>
      <c r="C13" s="137">
        <v>7</v>
      </c>
      <c r="D13" s="138">
        <v>0</v>
      </c>
      <c r="E13" s="139">
        <v>0</v>
      </c>
      <c r="F13" s="140">
        <v>25</v>
      </c>
      <c r="G13" s="139">
        <v>1914</v>
      </c>
      <c r="H13" s="140">
        <v>2</v>
      </c>
      <c r="I13" s="139">
        <v>1504.78</v>
      </c>
      <c r="J13" s="140">
        <v>11</v>
      </c>
      <c r="K13" s="141">
        <v>1343.48</v>
      </c>
      <c r="L13" s="140">
        <v>12</v>
      </c>
      <c r="M13" s="141">
        <v>1538.59</v>
      </c>
      <c r="N13" s="140">
        <v>0</v>
      </c>
      <c r="O13" s="141">
        <v>0</v>
      </c>
      <c r="P13" s="140">
        <v>20</v>
      </c>
      <c r="Q13" s="141">
        <v>419.02699999999999</v>
      </c>
      <c r="R13" s="140">
        <v>0</v>
      </c>
      <c r="S13" s="141">
        <v>0</v>
      </c>
      <c r="T13" s="141"/>
      <c r="U13" s="140"/>
      <c r="V13" s="139"/>
      <c r="W13" s="140"/>
      <c r="X13" s="139"/>
      <c r="Y13" s="142">
        <f t="shared" si="0"/>
        <v>70</v>
      </c>
      <c r="Z13" s="143">
        <f>((D13*E13)+(F13*G13)+(H13*I13)+(J13*K13)+(L13*M13)+(U13*V13)+(W13*X13)+(N13*O13)+(P13*Q13)+(R13*S13))</f>
        <v>92481.459999999992</v>
      </c>
      <c r="AA13" s="147">
        <f t="shared" si="3"/>
        <v>1321.1637142857141</v>
      </c>
      <c r="AB13" s="148">
        <f t="shared" si="2"/>
        <v>0.875</v>
      </c>
      <c r="AC13" s="143"/>
      <c r="AE13" s="143"/>
      <c r="AG13" s="143"/>
    </row>
    <row r="14" spans="1:55" s="126" customFormat="1" ht="15.95" customHeight="1" x14ac:dyDescent="0.25">
      <c r="A14" s="289"/>
      <c r="B14" s="616" t="s">
        <v>69</v>
      </c>
      <c r="C14" s="617">
        <v>8</v>
      </c>
      <c r="D14" s="618">
        <v>0</v>
      </c>
      <c r="E14" s="619">
        <v>0</v>
      </c>
      <c r="F14" s="620">
        <v>32</v>
      </c>
      <c r="G14" s="619">
        <v>1914</v>
      </c>
      <c r="H14" s="620">
        <v>0</v>
      </c>
      <c r="I14" s="619">
        <v>0</v>
      </c>
      <c r="J14" s="620">
        <v>11</v>
      </c>
      <c r="K14" s="621">
        <v>1343.48</v>
      </c>
      <c r="L14" s="620">
        <v>15</v>
      </c>
      <c r="M14" s="621">
        <v>1566.0650000000001</v>
      </c>
      <c r="N14" s="620">
        <v>0</v>
      </c>
      <c r="O14" s="621">
        <v>0</v>
      </c>
      <c r="P14" s="620">
        <v>20</v>
      </c>
      <c r="Q14" s="621">
        <v>419.02699999999999</v>
      </c>
      <c r="R14" s="620">
        <v>0</v>
      </c>
      <c r="S14" s="621">
        <v>0</v>
      </c>
      <c r="T14" s="621"/>
      <c r="U14" s="620"/>
      <c r="V14" s="619"/>
      <c r="W14" s="620"/>
      <c r="X14" s="619"/>
      <c r="Y14" s="622">
        <f t="shared" si="0"/>
        <v>78</v>
      </c>
      <c r="Z14" s="623">
        <f t="shared" si="1"/>
        <v>107897.795</v>
      </c>
      <c r="AA14" s="626">
        <f t="shared" si="3"/>
        <v>1383.3050641025641</v>
      </c>
      <c r="AB14" s="627">
        <f t="shared" si="2"/>
        <v>0.97499999999999998</v>
      </c>
      <c r="AC14" s="143"/>
      <c r="AE14" s="143"/>
      <c r="AG14" s="143"/>
    </row>
    <row r="15" spans="1:55" s="126" customFormat="1" ht="15.95" customHeight="1" x14ac:dyDescent="0.25">
      <c r="A15" s="289"/>
      <c r="B15" s="150" t="s">
        <v>63</v>
      </c>
      <c r="C15" s="151">
        <v>9</v>
      </c>
      <c r="D15" s="152">
        <v>0</v>
      </c>
      <c r="E15" s="153">
        <v>0</v>
      </c>
      <c r="F15" s="154">
        <v>24</v>
      </c>
      <c r="G15" s="153">
        <v>1362.33</v>
      </c>
      <c r="H15" s="154">
        <v>0</v>
      </c>
      <c r="I15" s="153">
        <v>0</v>
      </c>
      <c r="J15" s="154">
        <v>11</v>
      </c>
      <c r="K15" s="155">
        <v>1343.48</v>
      </c>
      <c r="L15" s="154">
        <v>18</v>
      </c>
      <c r="M15" s="155">
        <v>1530</v>
      </c>
      <c r="N15" s="154">
        <v>0</v>
      </c>
      <c r="O15" s="155">
        <v>0</v>
      </c>
      <c r="P15" s="154">
        <v>0</v>
      </c>
      <c r="Q15" s="155">
        <v>0</v>
      </c>
      <c r="R15" s="154">
        <v>0</v>
      </c>
      <c r="S15" s="155">
        <v>0</v>
      </c>
      <c r="T15" s="155"/>
      <c r="U15" s="154"/>
      <c r="V15" s="153"/>
      <c r="W15" s="154"/>
      <c r="X15" s="153"/>
      <c r="Y15" s="156">
        <f t="shared" si="0"/>
        <v>53</v>
      </c>
      <c r="Z15" s="157">
        <f t="shared" si="1"/>
        <v>75014.2</v>
      </c>
      <c r="AA15" s="158">
        <f>IF(Z15=0,0,Z15/Y15)</f>
        <v>1415.3622641509432</v>
      </c>
      <c r="AB15" s="159">
        <f t="shared" si="2"/>
        <v>0.66249999999999998</v>
      </c>
      <c r="AC15" s="143"/>
      <c r="AE15" s="143"/>
      <c r="AG15" s="143"/>
    </row>
    <row r="16" spans="1:55" s="126" customFormat="1" ht="15.95" customHeight="1" x14ac:dyDescent="0.25">
      <c r="A16" s="289"/>
      <c r="B16" s="136" t="s">
        <v>64</v>
      </c>
      <c r="C16" s="137">
        <v>10</v>
      </c>
      <c r="D16" s="138">
        <v>0</v>
      </c>
      <c r="E16" s="139">
        <v>0</v>
      </c>
      <c r="F16" s="140">
        <v>16</v>
      </c>
      <c r="G16" s="139">
        <v>1825</v>
      </c>
      <c r="H16" s="140">
        <v>0</v>
      </c>
      <c r="I16" s="139">
        <v>0</v>
      </c>
      <c r="J16" s="140">
        <v>11</v>
      </c>
      <c r="K16" s="141">
        <v>1343.48</v>
      </c>
      <c r="L16" s="140">
        <v>16</v>
      </c>
      <c r="M16" s="141">
        <v>1647.7149999999999</v>
      </c>
      <c r="N16" s="140">
        <v>0</v>
      </c>
      <c r="O16" s="141">
        <v>0</v>
      </c>
      <c r="P16" s="591">
        <v>15</v>
      </c>
      <c r="Q16" s="592">
        <v>1824</v>
      </c>
      <c r="R16" s="140">
        <v>0</v>
      </c>
      <c r="S16" s="141">
        <v>0</v>
      </c>
      <c r="T16" s="141"/>
      <c r="U16" s="140"/>
      <c r="V16" s="139"/>
      <c r="W16" s="140"/>
      <c r="X16" s="139"/>
      <c r="Y16" s="142">
        <f t="shared" si="0"/>
        <v>58</v>
      </c>
      <c r="Z16" s="143">
        <f t="shared" si="1"/>
        <v>97701.72</v>
      </c>
      <c r="AA16" s="329">
        <f>IF(Z16=0,0,Z16/Y16)</f>
        <v>1684.5124137931034</v>
      </c>
      <c r="AB16" s="148">
        <f t="shared" si="2"/>
        <v>0.72499999999999998</v>
      </c>
      <c r="AC16" s="143"/>
      <c r="AE16" s="143"/>
      <c r="AG16" s="143"/>
    </row>
    <row r="17" spans="1:55" s="160" customFormat="1" ht="15.75" customHeight="1" x14ac:dyDescent="0.25">
      <c r="A17" s="230"/>
      <c r="B17" s="136" t="s">
        <v>65</v>
      </c>
      <c r="C17" s="137">
        <v>11</v>
      </c>
      <c r="D17" s="138">
        <v>0</v>
      </c>
      <c r="E17" s="139">
        <v>0</v>
      </c>
      <c r="F17" s="140">
        <v>20</v>
      </c>
      <c r="G17" s="139">
        <v>1825</v>
      </c>
      <c r="H17" s="140">
        <v>1</v>
      </c>
      <c r="I17" s="139">
        <v>1477.3</v>
      </c>
      <c r="J17" s="602">
        <v>0</v>
      </c>
      <c r="K17" s="603">
        <v>1826.09</v>
      </c>
      <c r="L17" s="140">
        <v>16</v>
      </c>
      <c r="M17" s="141">
        <v>1212</v>
      </c>
      <c r="N17" s="140">
        <v>0</v>
      </c>
      <c r="O17" s="141">
        <v>0</v>
      </c>
      <c r="P17" s="591">
        <v>15</v>
      </c>
      <c r="Q17" s="592">
        <v>1824</v>
      </c>
      <c r="R17" s="140">
        <v>0</v>
      </c>
      <c r="S17" s="141">
        <v>0</v>
      </c>
      <c r="T17" s="141"/>
      <c r="U17" s="140"/>
      <c r="V17" s="139"/>
      <c r="W17" s="140"/>
      <c r="X17" s="139"/>
      <c r="Y17" s="142">
        <f t="shared" si="0"/>
        <v>52</v>
      </c>
      <c r="Z17" s="143">
        <f t="shared" si="1"/>
        <v>84729.3</v>
      </c>
      <c r="AA17" s="329">
        <f t="shared" si="3"/>
        <v>1629.4096153846153</v>
      </c>
      <c r="AB17" s="148">
        <f t="shared" si="2"/>
        <v>0.65</v>
      </c>
      <c r="AC17" s="143"/>
      <c r="AD17" s="126"/>
      <c r="AE17" s="143"/>
      <c r="AF17" s="126"/>
      <c r="AG17" s="143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  <c r="BA17" s="126"/>
      <c r="BB17" s="126"/>
    </row>
    <row r="18" spans="1:55" s="126" customFormat="1" ht="15.75" customHeight="1" x14ac:dyDescent="0.25">
      <c r="A18" s="225"/>
      <c r="B18" s="126" t="s">
        <v>66</v>
      </c>
      <c r="C18" s="137">
        <v>12</v>
      </c>
      <c r="D18" s="138">
        <v>0</v>
      </c>
      <c r="E18" s="139">
        <v>0</v>
      </c>
      <c r="F18" s="140">
        <v>19</v>
      </c>
      <c r="G18" s="139">
        <v>1823</v>
      </c>
      <c r="H18" s="140">
        <v>1</v>
      </c>
      <c r="I18" s="139">
        <v>1504.78</v>
      </c>
      <c r="J18" s="602">
        <v>0</v>
      </c>
      <c r="K18" s="603">
        <v>1826.09</v>
      </c>
      <c r="L18" s="140">
        <v>16</v>
      </c>
      <c r="M18" s="141">
        <v>1212.46</v>
      </c>
      <c r="N18" s="140">
        <v>0</v>
      </c>
      <c r="O18" s="141">
        <v>0</v>
      </c>
      <c r="P18" s="140">
        <v>0</v>
      </c>
      <c r="Q18" s="141">
        <v>0</v>
      </c>
      <c r="R18" s="140">
        <v>0</v>
      </c>
      <c r="S18" s="141">
        <v>0</v>
      </c>
      <c r="T18" s="141"/>
      <c r="U18" s="140"/>
      <c r="V18" s="139"/>
      <c r="W18" s="140"/>
      <c r="X18" s="139"/>
      <c r="Y18" s="142">
        <f t="shared" si="0"/>
        <v>36</v>
      </c>
      <c r="Z18" s="143">
        <f t="shared" si="1"/>
        <v>55541.14</v>
      </c>
      <c r="AA18" s="147">
        <f t="shared" si="3"/>
        <v>1542.8094444444444</v>
      </c>
      <c r="AB18" s="148">
        <f t="shared" si="2"/>
        <v>0.45</v>
      </c>
      <c r="AC18" s="143"/>
      <c r="AE18" s="143"/>
      <c r="AG18" s="143"/>
    </row>
    <row r="19" spans="1:55" s="126" customFormat="1" ht="15.95" customHeight="1" x14ac:dyDescent="0.25">
      <c r="A19" s="225"/>
      <c r="B19" s="136" t="s">
        <v>67</v>
      </c>
      <c r="C19" s="137">
        <v>13</v>
      </c>
      <c r="D19" s="138">
        <v>0</v>
      </c>
      <c r="E19" s="139">
        <v>0</v>
      </c>
      <c r="F19" s="140">
        <v>16</v>
      </c>
      <c r="G19" s="139">
        <v>1865</v>
      </c>
      <c r="H19" s="140">
        <v>1</v>
      </c>
      <c r="I19" s="139">
        <v>1477</v>
      </c>
      <c r="J19" s="140">
        <v>0</v>
      </c>
      <c r="K19" s="141">
        <v>0</v>
      </c>
      <c r="L19" s="140">
        <v>16</v>
      </c>
      <c r="M19" s="141">
        <v>1274</v>
      </c>
      <c r="N19" s="140">
        <v>0</v>
      </c>
      <c r="O19" s="141">
        <v>0</v>
      </c>
      <c r="P19" s="140">
        <v>0</v>
      </c>
      <c r="Q19" s="141">
        <v>0</v>
      </c>
      <c r="R19" s="140">
        <v>0</v>
      </c>
      <c r="S19" s="141">
        <v>0</v>
      </c>
      <c r="T19" s="141"/>
      <c r="U19" s="140"/>
      <c r="V19" s="139"/>
      <c r="W19" s="140"/>
      <c r="X19" s="139"/>
      <c r="Y19" s="142">
        <f t="shared" si="0"/>
        <v>33</v>
      </c>
      <c r="Z19" s="143">
        <f t="shared" si="1"/>
        <v>51701</v>
      </c>
      <c r="AA19" s="329">
        <f t="shared" si="3"/>
        <v>1566.6969696969697</v>
      </c>
      <c r="AB19" s="148">
        <f t="shared" si="2"/>
        <v>0.41249999999999998</v>
      </c>
      <c r="AC19" s="143"/>
      <c r="AE19" s="143"/>
      <c r="AG19" s="143"/>
    </row>
    <row r="20" spans="1:55" s="126" customFormat="1" ht="15.95" customHeight="1" x14ac:dyDescent="0.25">
      <c r="A20" s="225"/>
      <c r="B20" s="136" t="s">
        <v>68</v>
      </c>
      <c r="C20" s="137">
        <v>14</v>
      </c>
      <c r="D20" s="138">
        <v>0</v>
      </c>
      <c r="E20" s="139">
        <v>0</v>
      </c>
      <c r="F20" s="140">
        <v>31</v>
      </c>
      <c r="G20" s="139">
        <v>1825</v>
      </c>
      <c r="H20" s="140">
        <v>1</v>
      </c>
      <c r="I20" s="139">
        <v>1477</v>
      </c>
      <c r="J20" s="140">
        <v>11</v>
      </c>
      <c r="K20" s="141">
        <v>1343.48</v>
      </c>
      <c r="L20" s="140">
        <v>14</v>
      </c>
      <c r="M20" s="141">
        <v>1625</v>
      </c>
      <c r="N20" s="140">
        <v>0</v>
      </c>
      <c r="O20" s="141">
        <v>0</v>
      </c>
      <c r="P20" s="140">
        <v>0</v>
      </c>
      <c r="Q20" s="141">
        <v>0</v>
      </c>
      <c r="R20" s="140">
        <v>0</v>
      </c>
      <c r="S20" s="141">
        <v>0</v>
      </c>
      <c r="T20" s="141"/>
      <c r="U20" s="140"/>
      <c r="V20" s="139"/>
      <c r="W20" s="140"/>
      <c r="X20" s="139"/>
      <c r="Y20" s="142">
        <f t="shared" si="0"/>
        <v>57</v>
      </c>
      <c r="Z20" s="143">
        <f t="shared" si="1"/>
        <v>95580.28</v>
      </c>
      <c r="AA20" s="147">
        <f t="shared" si="3"/>
        <v>1676.8470175438597</v>
      </c>
      <c r="AB20" s="148">
        <f t="shared" si="2"/>
        <v>0.71250000000000002</v>
      </c>
      <c r="AC20" s="143"/>
      <c r="AE20" s="143"/>
      <c r="AF20" s="143"/>
      <c r="AG20" s="143"/>
    </row>
    <row r="21" spans="1:55" s="126" customFormat="1" ht="15.95" customHeight="1" x14ac:dyDescent="0.25">
      <c r="A21" s="225"/>
      <c r="B21" s="136" t="s">
        <v>69</v>
      </c>
      <c r="C21" s="137">
        <v>15</v>
      </c>
      <c r="D21" s="138">
        <v>0</v>
      </c>
      <c r="E21" s="139">
        <v>0</v>
      </c>
      <c r="F21" s="140">
        <v>38</v>
      </c>
      <c r="G21" s="139">
        <v>1725</v>
      </c>
      <c r="H21" s="140">
        <v>1</v>
      </c>
      <c r="I21" s="139">
        <v>1938.17</v>
      </c>
      <c r="J21" s="140">
        <v>11</v>
      </c>
      <c r="K21" s="141">
        <v>1343.48</v>
      </c>
      <c r="L21" s="140">
        <v>17</v>
      </c>
      <c r="M21" s="141">
        <v>1274</v>
      </c>
      <c r="N21" s="140">
        <v>0</v>
      </c>
      <c r="O21" s="141">
        <v>0</v>
      </c>
      <c r="P21" s="140">
        <v>0</v>
      </c>
      <c r="Q21" s="141">
        <v>0</v>
      </c>
      <c r="R21" s="140">
        <v>0</v>
      </c>
      <c r="S21" s="141">
        <v>0</v>
      </c>
      <c r="T21" s="141"/>
      <c r="U21" s="140"/>
      <c r="V21" s="139"/>
      <c r="W21" s="140"/>
      <c r="X21" s="139"/>
      <c r="Y21" s="142">
        <f t="shared" si="0"/>
        <v>67</v>
      </c>
      <c r="Z21" s="143">
        <f t="shared" si="1"/>
        <v>103924.45</v>
      </c>
      <c r="AA21" s="147">
        <f t="shared" si="3"/>
        <v>1551.1111940298506</v>
      </c>
      <c r="AB21" s="148">
        <f t="shared" si="2"/>
        <v>0.83750000000000002</v>
      </c>
      <c r="AC21" s="143"/>
      <c r="AE21" s="143"/>
      <c r="AF21" s="143"/>
      <c r="AG21" s="143"/>
    </row>
    <row r="22" spans="1:55" s="128" customFormat="1" ht="15.95" customHeight="1" x14ac:dyDescent="0.25">
      <c r="A22" s="230"/>
      <c r="B22" s="150" t="s">
        <v>63</v>
      </c>
      <c r="C22" s="151">
        <v>16</v>
      </c>
      <c r="D22" s="152">
        <v>0</v>
      </c>
      <c r="E22" s="153">
        <v>0</v>
      </c>
      <c r="F22" s="154">
        <f>17+2</f>
        <v>19</v>
      </c>
      <c r="G22" s="153">
        <v>1825</v>
      </c>
      <c r="H22" s="154">
        <v>1</v>
      </c>
      <c r="I22" s="153">
        <v>1965.65</v>
      </c>
      <c r="J22" s="154">
        <v>11</v>
      </c>
      <c r="K22" s="155">
        <v>1343.48</v>
      </c>
      <c r="L22" s="154">
        <v>12</v>
      </c>
      <c r="M22" s="155">
        <v>1275</v>
      </c>
      <c r="N22" s="154">
        <v>0</v>
      </c>
      <c r="O22" s="155">
        <v>0</v>
      </c>
      <c r="P22" s="154">
        <v>0</v>
      </c>
      <c r="Q22" s="155">
        <v>0</v>
      </c>
      <c r="R22" s="154">
        <v>0</v>
      </c>
      <c r="S22" s="155">
        <v>0</v>
      </c>
      <c r="T22" s="155"/>
      <c r="U22" s="154"/>
      <c r="V22" s="153"/>
      <c r="W22" s="154"/>
      <c r="X22" s="153"/>
      <c r="Y22" s="156">
        <f t="shared" si="0"/>
        <v>43</v>
      </c>
      <c r="Z22" s="157">
        <f t="shared" si="1"/>
        <v>66718.929999999993</v>
      </c>
      <c r="AA22" s="158">
        <f t="shared" si="3"/>
        <v>1551.6030232558137</v>
      </c>
      <c r="AB22" s="159">
        <f t="shared" si="2"/>
        <v>0.53749999999999998</v>
      </c>
      <c r="AC22" s="143"/>
      <c r="AD22" s="143"/>
      <c r="AE22" s="143"/>
      <c r="AF22" s="143"/>
      <c r="AG22" s="143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</row>
    <row r="23" spans="1:55" s="128" customFormat="1" ht="15.95" customHeight="1" x14ac:dyDescent="0.25">
      <c r="A23" s="231"/>
      <c r="B23" s="136" t="s">
        <v>64</v>
      </c>
      <c r="C23" s="137">
        <v>17</v>
      </c>
      <c r="D23" s="138">
        <v>0</v>
      </c>
      <c r="E23" s="139">
        <v>0</v>
      </c>
      <c r="F23" s="140">
        <v>25</v>
      </c>
      <c r="G23" s="139">
        <v>1857</v>
      </c>
      <c r="H23" s="140">
        <v>0</v>
      </c>
      <c r="I23" s="139">
        <v>0</v>
      </c>
      <c r="J23" s="140">
        <v>11</v>
      </c>
      <c r="K23" s="141">
        <v>1343.48</v>
      </c>
      <c r="L23" s="140">
        <v>17</v>
      </c>
      <c r="M23" s="141">
        <v>1552</v>
      </c>
      <c r="N23" s="140">
        <v>0</v>
      </c>
      <c r="O23" s="141">
        <v>0</v>
      </c>
      <c r="P23" s="591">
        <v>15</v>
      </c>
      <c r="Q23" s="592">
        <v>1824</v>
      </c>
      <c r="R23" s="140">
        <v>0</v>
      </c>
      <c r="S23" s="141">
        <v>0</v>
      </c>
      <c r="T23" s="141"/>
      <c r="U23" s="140"/>
      <c r="V23" s="139"/>
      <c r="W23" s="140"/>
      <c r="X23" s="139"/>
      <c r="Y23" s="142">
        <f t="shared" si="0"/>
        <v>68</v>
      </c>
      <c r="Z23" s="143">
        <f t="shared" si="1"/>
        <v>114947.28</v>
      </c>
      <c r="AA23" s="329">
        <f t="shared" si="3"/>
        <v>1690.4011764705883</v>
      </c>
      <c r="AB23" s="148">
        <f t="shared" si="2"/>
        <v>0.85</v>
      </c>
      <c r="AC23" s="143"/>
      <c r="AD23" s="126"/>
      <c r="AE23" s="143"/>
      <c r="AF23" s="126"/>
      <c r="AG23" s="143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</row>
    <row r="24" spans="1:55" s="126" customFormat="1" ht="15.95" customHeight="1" x14ac:dyDescent="0.25">
      <c r="A24" s="231"/>
      <c r="B24" s="136" t="s">
        <v>65</v>
      </c>
      <c r="C24" s="137">
        <v>18</v>
      </c>
      <c r="D24" s="138">
        <v>0</v>
      </c>
      <c r="E24" s="139">
        <v>0</v>
      </c>
      <c r="F24" s="140">
        <v>27</v>
      </c>
      <c r="G24" s="139">
        <v>1768</v>
      </c>
      <c r="H24" s="140">
        <v>1</v>
      </c>
      <c r="I24" s="139">
        <v>1938.17</v>
      </c>
      <c r="J24" s="140">
        <v>0</v>
      </c>
      <c r="K24" s="141">
        <v>0</v>
      </c>
      <c r="L24" s="140">
        <v>24</v>
      </c>
      <c r="M24" s="141">
        <v>1505</v>
      </c>
      <c r="N24" s="140">
        <v>0</v>
      </c>
      <c r="O24" s="141">
        <v>0</v>
      </c>
      <c r="P24" s="591">
        <v>15</v>
      </c>
      <c r="Q24" s="592">
        <v>1824</v>
      </c>
      <c r="R24" s="140">
        <v>0</v>
      </c>
      <c r="S24" s="141">
        <v>0</v>
      </c>
      <c r="T24" s="141"/>
      <c r="U24" s="140"/>
      <c r="V24" s="139"/>
      <c r="W24" s="140"/>
      <c r="X24" s="139"/>
      <c r="Y24" s="142">
        <f t="shared" si="0"/>
        <v>67</v>
      </c>
      <c r="Z24" s="143">
        <f t="shared" si="1"/>
        <v>113154.17</v>
      </c>
      <c r="AA24" s="329">
        <f t="shared" si="3"/>
        <v>1688.868208955224</v>
      </c>
      <c r="AB24" s="148">
        <f t="shared" si="2"/>
        <v>0.83750000000000002</v>
      </c>
      <c r="AC24" s="143"/>
      <c r="AE24" s="143"/>
      <c r="AG24" s="143"/>
    </row>
    <row r="25" spans="1:55" s="146" customFormat="1" ht="15.75" customHeight="1" x14ac:dyDescent="0.25">
      <c r="A25" s="231"/>
      <c r="B25" s="126" t="s">
        <v>66</v>
      </c>
      <c r="C25" s="137">
        <v>19</v>
      </c>
      <c r="D25" s="138">
        <v>0</v>
      </c>
      <c r="E25" s="139">
        <v>0</v>
      </c>
      <c r="F25" s="140">
        <v>27</v>
      </c>
      <c r="G25" s="139">
        <v>1768</v>
      </c>
      <c r="H25" s="140">
        <v>1</v>
      </c>
      <c r="I25" s="139">
        <v>1965.65</v>
      </c>
      <c r="J25" s="140">
        <v>0</v>
      </c>
      <c r="K25" s="141">
        <v>0</v>
      </c>
      <c r="L25" s="140">
        <v>21</v>
      </c>
      <c r="M25" s="141">
        <v>1404</v>
      </c>
      <c r="N25" s="140">
        <v>0</v>
      </c>
      <c r="O25" s="141">
        <v>0</v>
      </c>
      <c r="P25" s="140">
        <v>0</v>
      </c>
      <c r="Q25" s="141">
        <v>0</v>
      </c>
      <c r="R25" s="140">
        <v>0</v>
      </c>
      <c r="S25" s="141">
        <v>0</v>
      </c>
      <c r="T25" s="141"/>
      <c r="U25" s="140"/>
      <c r="V25" s="139"/>
      <c r="W25" s="140"/>
      <c r="X25" s="139"/>
      <c r="Y25" s="142">
        <f t="shared" si="0"/>
        <v>49</v>
      </c>
      <c r="Z25" s="143">
        <f t="shared" si="1"/>
        <v>79185.649999999994</v>
      </c>
      <c r="AA25" s="147">
        <f t="shared" si="3"/>
        <v>1616.0336734693876</v>
      </c>
      <c r="AB25" s="148">
        <f t="shared" si="2"/>
        <v>0.61250000000000004</v>
      </c>
      <c r="AC25" s="143"/>
      <c r="AD25" s="126"/>
      <c r="AE25" s="143"/>
      <c r="AF25" s="126"/>
      <c r="AG25" s="143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</row>
    <row r="26" spans="1:55" s="128" customFormat="1" ht="15.95" customHeight="1" x14ac:dyDescent="0.25">
      <c r="A26" s="792"/>
      <c r="B26" s="136" t="s">
        <v>67</v>
      </c>
      <c r="C26" s="161">
        <v>20</v>
      </c>
      <c r="D26" s="138">
        <v>0</v>
      </c>
      <c r="E26" s="139">
        <v>0</v>
      </c>
      <c r="F26" s="140">
        <v>25</v>
      </c>
      <c r="G26" s="139">
        <v>1825</v>
      </c>
      <c r="H26" s="140">
        <v>1</v>
      </c>
      <c r="I26" s="139">
        <v>1966</v>
      </c>
      <c r="J26" s="140">
        <v>0</v>
      </c>
      <c r="K26" s="141">
        <v>0</v>
      </c>
      <c r="L26" s="140">
        <v>20</v>
      </c>
      <c r="M26" s="141">
        <v>1404</v>
      </c>
      <c r="N26" s="140">
        <v>0</v>
      </c>
      <c r="O26" s="141">
        <v>0</v>
      </c>
      <c r="P26" s="140">
        <v>0</v>
      </c>
      <c r="Q26" s="141">
        <v>0</v>
      </c>
      <c r="R26" s="140">
        <v>0</v>
      </c>
      <c r="S26" s="141">
        <v>0</v>
      </c>
      <c r="T26" s="141"/>
      <c r="U26" s="140"/>
      <c r="V26" s="139"/>
      <c r="W26" s="140"/>
      <c r="X26" s="139"/>
      <c r="Y26" s="142">
        <f t="shared" si="0"/>
        <v>46</v>
      </c>
      <c r="Z26" s="143">
        <f t="shared" si="1"/>
        <v>75671</v>
      </c>
      <c r="AA26" s="329">
        <f t="shared" si="3"/>
        <v>1645.0217391304348</v>
      </c>
      <c r="AB26" s="148">
        <f t="shared" si="2"/>
        <v>0.57499999999999996</v>
      </c>
      <c r="AC26" s="143"/>
      <c r="AD26" s="126"/>
      <c r="AE26" s="143"/>
      <c r="AF26" s="126"/>
      <c r="AG26" s="143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</row>
    <row r="27" spans="1:55" s="128" customFormat="1" ht="15.95" customHeight="1" x14ac:dyDescent="0.25">
      <c r="A27" s="792"/>
      <c r="B27" s="136" t="s">
        <v>68</v>
      </c>
      <c r="C27" s="161">
        <v>21</v>
      </c>
      <c r="D27" s="138">
        <v>0</v>
      </c>
      <c r="E27" s="139">
        <v>0</v>
      </c>
      <c r="F27" s="140">
        <v>29</v>
      </c>
      <c r="G27" s="139">
        <v>1725</v>
      </c>
      <c r="H27" s="140">
        <v>1</v>
      </c>
      <c r="I27" s="139">
        <v>1966</v>
      </c>
      <c r="J27" s="140">
        <v>11</v>
      </c>
      <c r="K27" s="141">
        <v>1343.48</v>
      </c>
      <c r="L27" s="140">
        <v>11</v>
      </c>
      <c r="M27" s="141">
        <v>1274.7</v>
      </c>
      <c r="N27" s="140">
        <v>0</v>
      </c>
      <c r="O27" s="141">
        <v>0</v>
      </c>
      <c r="P27" s="140">
        <v>0</v>
      </c>
      <c r="Q27" s="141">
        <v>0</v>
      </c>
      <c r="R27" s="140">
        <v>0</v>
      </c>
      <c r="S27" s="141">
        <v>0</v>
      </c>
      <c r="T27" s="141"/>
      <c r="U27" s="140"/>
      <c r="V27" s="139"/>
      <c r="W27" s="140"/>
      <c r="X27" s="139"/>
      <c r="Y27" s="142">
        <f t="shared" si="0"/>
        <v>52</v>
      </c>
      <c r="Z27" s="143">
        <f t="shared" si="1"/>
        <v>80790.98</v>
      </c>
      <c r="AA27" s="147">
        <f t="shared" si="3"/>
        <v>1553.6726923076922</v>
      </c>
      <c r="AB27" s="148">
        <f t="shared" si="2"/>
        <v>0.65</v>
      </c>
      <c r="AC27" s="143"/>
      <c r="AD27" s="126"/>
      <c r="AE27" s="143"/>
      <c r="AF27" s="126"/>
      <c r="AG27" s="143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229"/>
      <c r="B28" s="616" t="s">
        <v>69</v>
      </c>
      <c r="C28" s="617">
        <v>22</v>
      </c>
      <c r="D28" s="618">
        <v>0</v>
      </c>
      <c r="E28" s="619">
        <v>0</v>
      </c>
      <c r="F28" s="620">
        <v>32</v>
      </c>
      <c r="G28" s="619">
        <v>1893</v>
      </c>
      <c r="H28" s="620">
        <v>1</v>
      </c>
      <c r="I28" s="619">
        <v>1982.96</v>
      </c>
      <c r="J28" s="620">
        <v>22</v>
      </c>
      <c r="K28" s="621">
        <v>1654.2814285714201</v>
      </c>
      <c r="L28" s="620">
        <v>5</v>
      </c>
      <c r="M28" s="621">
        <v>1509</v>
      </c>
      <c r="N28" s="620">
        <v>0</v>
      </c>
      <c r="O28" s="621">
        <v>0</v>
      </c>
      <c r="P28" s="620">
        <v>0</v>
      </c>
      <c r="Q28" s="621">
        <v>0</v>
      </c>
      <c r="R28" s="620">
        <v>0</v>
      </c>
      <c r="S28" s="621">
        <v>0</v>
      </c>
      <c r="T28" s="621"/>
      <c r="U28" s="620"/>
      <c r="V28" s="619"/>
      <c r="W28" s="620"/>
      <c r="X28" s="619"/>
      <c r="Y28" s="622">
        <f t="shared" si="0"/>
        <v>60</v>
      </c>
      <c r="Z28" s="623">
        <f t="shared" si="1"/>
        <v>106498.15142857123</v>
      </c>
      <c r="AA28" s="626">
        <f t="shared" si="3"/>
        <v>1774.9691904761871</v>
      </c>
      <c r="AB28" s="627">
        <f t="shared" si="2"/>
        <v>0.75</v>
      </c>
      <c r="AC28" s="143"/>
      <c r="AE28" s="143"/>
      <c r="AG28" s="143"/>
    </row>
    <row r="29" spans="1:55" s="126" customFormat="1" ht="15.95" customHeight="1" x14ac:dyDescent="0.25">
      <c r="A29" s="229"/>
      <c r="B29" s="606" t="s">
        <v>63</v>
      </c>
      <c r="C29" s="607">
        <v>23</v>
      </c>
      <c r="D29" s="608">
        <v>0</v>
      </c>
      <c r="E29" s="609">
        <v>0</v>
      </c>
      <c r="F29" s="610">
        <v>25</v>
      </c>
      <c r="G29" s="609">
        <v>1825</v>
      </c>
      <c r="H29" s="610">
        <v>0</v>
      </c>
      <c r="I29" s="609">
        <v>0</v>
      </c>
      <c r="J29" s="610">
        <v>22</v>
      </c>
      <c r="K29" s="611">
        <v>1760.3002173913001</v>
      </c>
      <c r="L29" s="610">
        <v>5</v>
      </c>
      <c r="M29" s="611">
        <v>1403.614</v>
      </c>
      <c r="N29" s="610">
        <v>0</v>
      </c>
      <c r="O29" s="611">
        <v>0</v>
      </c>
      <c r="P29" s="610">
        <v>0</v>
      </c>
      <c r="Q29" s="611">
        <v>0</v>
      </c>
      <c r="R29" s="610">
        <v>0</v>
      </c>
      <c r="S29" s="611">
        <v>0</v>
      </c>
      <c r="T29" s="611"/>
      <c r="U29" s="610"/>
      <c r="V29" s="609"/>
      <c r="W29" s="610"/>
      <c r="X29" s="609"/>
      <c r="Y29" s="612">
        <f t="shared" si="0"/>
        <v>52</v>
      </c>
      <c r="Z29" s="613">
        <f t="shared" si="1"/>
        <v>91369.674782608607</v>
      </c>
      <c r="AA29" s="628">
        <f t="shared" si="3"/>
        <v>1757.1091304347808</v>
      </c>
      <c r="AB29" s="629">
        <f t="shared" si="2"/>
        <v>0.65</v>
      </c>
      <c r="AC29" s="143"/>
      <c r="AE29" s="143"/>
      <c r="AG29" s="143"/>
    </row>
    <row r="30" spans="1:55" s="126" customFormat="1" ht="16.5" customHeight="1" x14ac:dyDescent="0.25">
      <c r="A30" s="229"/>
      <c r="B30" s="136" t="s">
        <v>64</v>
      </c>
      <c r="C30" s="137">
        <v>24</v>
      </c>
      <c r="D30" s="138">
        <v>0</v>
      </c>
      <c r="E30" s="139">
        <v>0</v>
      </c>
      <c r="F30" s="140">
        <v>24</v>
      </c>
      <c r="G30" s="139">
        <v>1902.605</v>
      </c>
      <c r="H30" s="140">
        <v>0</v>
      </c>
      <c r="I30" s="139">
        <v>0</v>
      </c>
      <c r="J30" s="140">
        <v>12</v>
      </c>
      <c r="K30" s="141">
        <v>1689.13333333333</v>
      </c>
      <c r="L30" s="140">
        <v>12</v>
      </c>
      <c r="M30" s="141">
        <v>1419.345</v>
      </c>
      <c r="N30" s="140">
        <v>0</v>
      </c>
      <c r="O30" s="141">
        <v>0</v>
      </c>
      <c r="P30" s="591">
        <v>10</v>
      </c>
      <c r="Q30" s="592">
        <v>1824</v>
      </c>
      <c r="R30" s="140">
        <v>0</v>
      </c>
      <c r="S30" s="141">
        <v>0</v>
      </c>
      <c r="T30" s="141"/>
      <c r="U30" s="140"/>
      <c r="V30" s="139"/>
      <c r="W30" s="140"/>
      <c r="X30" s="139"/>
      <c r="Y30" s="142">
        <f t="shared" si="0"/>
        <v>58</v>
      </c>
      <c r="Z30" s="143">
        <f t="shared" si="1"/>
        <v>101204.25999999997</v>
      </c>
      <c r="AA30" s="329">
        <f t="shared" si="3"/>
        <v>1744.901034482758</v>
      </c>
      <c r="AB30" s="148">
        <f t="shared" si="2"/>
        <v>0.72499999999999998</v>
      </c>
      <c r="AC30" s="143"/>
      <c r="AE30" s="143"/>
      <c r="AG30" s="143"/>
    </row>
    <row r="31" spans="1:55" s="169" customFormat="1" ht="15.95" customHeight="1" x14ac:dyDescent="0.25">
      <c r="A31" s="229"/>
      <c r="B31" s="136" t="s">
        <v>65</v>
      </c>
      <c r="C31" s="161">
        <v>25</v>
      </c>
      <c r="D31" s="138">
        <v>0</v>
      </c>
      <c r="E31" s="139">
        <v>0</v>
      </c>
      <c r="F31" s="140">
        <v>28</v>
      </c>
      <c r="G31" s="139">
        <v>1825</v>
      </c>
      <c r="H31" s="140">
        <v>0</v>
      </c>
      <c r="I31" s="139">
        <v>0</v>
      </c>
      <c r="J31" s="140">
        <v>0</v>
      </c>
      <c r="K31" s="141">
        <v>0</v>
      </c>
      <c r="L31" s="140">
        <v>12</v>
      </c>
      <c r="M31" s="141">
        <v>1527</v>
      </c>
      <c r="N31" s="140">
        <v>0</v>
      </c>
      <c r="O31" s="141">
        <v>0</v>
      </c>
      <c r="P31" s="591">
        <v>10</v>
      </c>
      <c r="Q31" s="592">
        <v>1824</v>
      </c>
      <c r="R31" s="140">
        <v>0</v>
      </c>
      <c r="S31" s="141">
        <v>0</v>
      </c>
      <c r="T31" s="141"/>
      <c r="U31" s="140"/>
      <c r="V31" s="139"/>
      <c r="W31" s="140"/>
      <c r="X31" s="139"/>
      <c r="Y31" s="142">
        <f t="shared" si="0"/>
        <v>50</v>
      </c>
      <c r="Z31" s="143">
        <f t="shared" si="1"/>
        <v>87664</v>
      </c>
      <c r="AA31" s="329">
        <f t="shared" si="3"/>
        <v>1753.28</v>
      </c>
      <c r="AB31" s="148">
        <f t="shared" si="2"/>
        <v>0.625</v>
      </c>
      <c r="AC31" s="143"/>
      <c r="AD31" s="126"/>
      <c r="AE31" s="143"/>
      <c r="AF31" s="126"/>
      <c r="AG31" s="143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60"/>
    </row>
    <row r="32" spans="1:55" s="128" customFormat="1" ht="15.95" customHeight="1" x14ac:dyDescent="0.25">
      <c r="A32" s="229"/>
      <c r="B32" s="126" t="s">
        <v>66</v>
      </c>
      <c r="C32" s="161">
        <v>26</v>
      </c>
      <c r="D32" s="138">
        <v>0</v>
      </c>
      <c r="E32" s="139">
        <v>0</v>
      </c>
      <c r="F32" s="140">
        <v>26</v>
      </c>
      <c r="G32" s="139">
        <v>1775.64333333333</v>
      </c>
      <c r="H32" s="140">
        <v>0</v>
      </c>
      <c r="I32" s="139">
        <v>0</v>
      </c>
      <c r="J32" s="140">
        <v>12</v>
      </c>
      <c r="K32" s="141">
        <v>1804.0425</v>
      </c>
      <c r="L32" s="140">
        <v>12</v>
      </c>
      <c r="M32" s="141">
        <v>1509.04</v>
      </c>
      <c r="N32" s="140">
        <v>0</v>
      </c>
      <c r="O32" s="141">
        <v>0</v>
      </c>
      <c r="P32" s="140">
        <v>0</v>
      </c>
      <c r="Q32" s="141">
        <v>0</v>
      </c>
      <c r="R32" s="140">
        <v>0</v>
      </c>
      <c r="S32" s="141">
        <v>0</v>
      </c>
      <c r="T32" s="141"/>
      <c r="U32" s="140"/>
      <c r="V32" s="139"/>
      <c r="W32" s="140"/>
      <c r="X32" s="139"/>
      <c r="Y32" s="142">
        <f t="shared" si="0"/>
        <v>50</v>
      </c>
      <c r="Z32" s="143">
        <f t="shared" si="1"/>
        <v>85923.716666666573</v>
      </c>
      <c r="AA32" s="147">
        <f t="shared" si="3"/>
        <v>1718.4743333333315</v>
      </c>
      <c r="AB32" s="148">
        <f t="shared" si="2"/>
        <v>0.625</v>
      </c>
      <c r="AC32" s="143"/>
      <c r="AD32" s="126"/>
      <c r="AE32" s="143"/>
      <c r="AF32" s="126"/>
      <c r="AG32" s="143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  <c r="BC32" s="126"/>
    </row>
    <row r="33" spans="1:56" s="128" customFormat="1" ht="15.95" customHeight="1" x14ac:dyDescent="0.25">
      <c r="A33" s="229"/>
      <c r="B33" s="136" t="s">
        <v>67</v>
      </c>
      <c r="C33" s="137">
        <v>27</v>
      </c>
      <c r="D33" s="138">
        <v>0</v>
      </c>
      <c r="E33" s="139">
        <v>0</v>
      </c>
      <c r="F33" s="140">
        <v>23</v>
      </c>
      <c r="G33" s="139">
        <v>1854</v>
      </c>
      <c r="H33" s="140">
        <v>0</v>
      </c>
      <c r="I33" s="139">
        <v>0</v>
      </c>
      <c r="J33" s="140">
        <v>12</v>
      </c>
      <c r="K33" s="141">
        <v>1804.0425</v>
      </c>
      <c r="L33" s="140">
        <v>12</v>
      </c>
      <c r="M33" s="141">
        <v>1480.40333333333</v>
      </c>
      <c r="N33" s="140">
        <v>0</v>
      </c>
      <c r="O33" s="141">
        <v>0</v>
      </c>
      <c r="P33" s="140">
        <v>0</v>
      </c>
      <c r="Q33" s="141">
        <v>0</v>
      </c>
      <c r="R33" s="140">
        <v>0</v>
      </c>
      <c r="S33" s="141">
        <v>0</v>
      </c>
      <c r="T33" s="141"/>
      <c r="U33" s="140"/>
      <c r="V33" s="139"/>
      <c r="W33" s="140"/>
      <c r="X33" s="139"/>
      <c r="Y33" s="142">
        <f t="shared" si="0"/>
        <v>47</v>
      </c>
      <c r="Z33" s="143">
        <f t="shared" si="1"/>
        <v>82055.349999999962</v>
      </c>
      <c r="AA33" s="329">
        <f t="shared" si="3"/>
        <v>1745.858510638297</v>
      </c>
      <c r="AB33" s="148">
        <f t="shared" si="2"/>
        <v>0.58750000000000002</v>
      </c>
      <c r="AC33" s="143"/>
      <c r="AD33" s="126"/>
      <c r="AE33" s="143"/>
      <c r="AF33" s="126"/>
      <c r="AG33" s="143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</row>
    <row r="34" spans="1:56" s="128" customFormat="1" ht="15.95" customHeight="1" x14ac:dyDescent="0.25">
      <c r="A34" s="170"/>
      <c r="B34" s="136" t="s">
        <v>68</v>
      </c>
      <c r="C34" s="161">
        <v>28</v>
      </c>
      <c r="D34" s="138">
        <v>0</v>
      </c>
      <c r="E34" s="139">
        <v>0</v>
      </c>
      <c r="F34" s="140">
        <v>30</v>
      </c>
      <c r="G34" s="139">
        <v>1854</v>
      </c>
      <c r="H34" s="140">
        <v>0</v>
      </c>
      <c r="I34" s="139">
        <v>0</v>
      </c>
      <c r="J34" s="140">
        <v>11</v>
      </c>
      <c r="K34" s="141">
        <v>1343.48</v>
      </c>
      <c r="L34" s="140">
        <v>12</v>
      </c>
      <c r="M34" s="141">
        <v>1395.65</v>
      </c>
      <c r="N34" s="140">
        <v>0</v>
      </c>
      <c r="O34" s="141">
        <v>0</v>
      </c>
      <c r="P34" s="140">
        <v>0</v>
      </c>
      <c r="Q34" s="141">
        <v>0</v>
      </c>
      <c r="R34" s="140">
        <v>0</v>
      </c>
      <c r="S34" s="141">
        <v>0</v>
      </c>
      <c r="T34" s="141"/>
      <c r="U34" s="140"/>
      <c r="V34" s="139"/>
      <c r="W34" s="140"/>
      <c r="X34" s="139"/>
      <c r="Y34" s="142">
        <f t="shared" si="0"/>
        <v>53</v>
      </c>
      <c r="Z34" s="143">
        <f t="shared" si="1"/>
        <v>87146.08</v>
      </c>
      <c r="AA34" s="147">
        <f>IF(Z34=0,0,Z34/Y34)</f>
        <v>1644.2656603773585</v>
      </c>
      <c r="AB34" s="148">
        <f t="shared" si="2"/>
        <v>0.66249999999999998</v>
      </c>
      <c r="AC34" s="143"/>
      <c r="AD34" s="126"/>
      <c r="AE34" s="143"/>
      <c r="AF34" s="126"/>
      <c r="AG34" s="143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5.95" customHeight="1" x14ac:dyDescent="0.25">
      <c r="A35" s="225"/>
      <c r="B35" s="136" t="s">
        <v>69</v>
      </c>
      <c r="C35" s="161">
        <v>29</v>
      </c>
      <c r="D35" s="138">
        <v>0</v>
      </c>
      <c r="E35" s="139">
        <v>0</v>
      </c>
      <c r="F35" s="140">
        <v>32</v>
      </c>
      <c r="G35" s="139">
        <v>1854</v>
      </c>
      <c r="H35" s="140">
        <v>0</v>
      </c>
      <c r="I35" s="139">
        <v>0</v>
      </c>
      <c r="J35" s="140">
        <v>11</v>
      </c>
      <c r="K35" s="141">
        <v>1343.48</v>
      </c>
      <c r="L35" s="140">
        <v>13</v>
      </c>
      <c r="M35" s="141">
        <v>1425</v>
      </c>
      <c r="N35" s="140">
        <v>0</v>
      </c>
      <c r="O35" s="141">
        <v>0</v>
      </c>
      <c r="P35" s="140">
        <v>0</v>
      </c>
      <c r="Q35" s="141">
        <v>0</v>
      </c>
      <c r="R35" s="140">
        <v>0</v>
      </c>
      <c r="S35" s="141">
        <v>0</v>
      </c>
      <c r="T35" s="141"/>
      <c r="U35" s="140"/>
      <c r="V35" s="139"/>
      <c r="W35" s="140"/>
      <c r="X35" s="139"/>
      <c r="Y35" s="142">
        <f t="shared" si="0"/>
        <v>56</v>
      </c>
      <c r="Z35" s="143">
        <f t="shared" si="1"/>
        <v>92631.28</v>
      </c>
      <c r="AA35" s="147">
        <f>IF(Z35=0,0,Z35/Y35)</f>
        <v>1654.1299999999999</v>
      </c>
      <c r="AB35" s="148">
        <f t="shared" si="2"/>
        <v>0.7</v>
      </c>
      <c r="AC35" s="143"/>
      <c r="AD35" s="126"/>
      <c r="AE35" s="143"/>
      <c r="AF35" s="126"/>
      <c r="AG35" s="143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6" customFormat="1" ht="15.95" customHeight="1" x14ac:dyDescent="0.25">
      <c r="A36" s="225"/>
      <c r="B36" s="150" t="s">
        <v>63</v>
      </c>
      <c r="C36" s="151">
        <v>30</v>
      </c>
      <c r="D36" s="152">
        <v>0</v>
      </c>
      <c r="E36" s="153">
        <v>0</v>
      </c>
      <c r="F36" s="154">
        <v>27</v>
      </c>
      <c r="G36" s="153">
        <v>1803</v>
      </c>
      <c r="H36" s="154">
        <v>1</v>
      </c>
      <c r="I36" s="153">
        <v>1477</v>
      </c>
      <c r="J36" s="154">
        <v>11</v>
      </c>
      <c r="K36" s="155">
        <v>1343.48</v>
      </c>
      <c r="L36" s="154">
        <v>15</v>
      </c>
      <c r="M36" s="155">
        <v>1405.058</v>
      </c>
      <c r="N36" s="154">
        <v>0</v>
      </c>
      <c r="O36" s="155">
        <v>0</v>
      </c>
      <c r="P36" s="154">
        <v>0</v>
      </c>
      <c r="Q36" s="155">
        <v>0</v>
      </c>
      <c r="R36" s="154">
        <v>0</v>
      </c>
      <c r="S36" s="155">
        <v>0</v>
      </c>
      <c r="T36" s="155"/>
      <c r="U36" s="154"/>
      <c r="V36" s="153"/>
      <c r="W36" s="154"/>
      <c r="X36" s="153"/>
      <c r="Y36" s="156">
        <f t="shared" si="0"/>
        <v>54</v>
      </c>
      <c r="Z36" s="157">
        <f t="shared" si="1"/>
        <v>86012.15</v>
      </c>
      <c r="AA36" s="158">
        <f>IF(Z36=0,0,Z36/Y36)</f>
        <v>1592.8175925925925</v>
      </c>
      <c r="AB36" s="159">
        <f t="shared" si="2"/>
        <v>0.67500000000000004</v>
      </c>
      <c r="AC36" s="143"/>
      <c r="AE36" s="143"/>
      <c r="AG36" s="143"/>
    </row>
    <row r="37" spans="1:56" s="128" customFormat="1" ht="16.5" thickBot="1" x14ac:dyDescent="0.3">
      <c r="A37" s="225"/>
      <c r="B37" s="136" t="s">
        <v>64</v>
      </c>
      <c r="C37" s="137">
        <v>31</v>
      </c>
      <c r="D37" s="138">
        <v>0</v>
      </c>
      <c r="E37" s="139">
        <v>0</v>
      </c>
      <c r="F37" s="140">
        <v>27</v>
      </c>
      <c r="G37" s="139">
        <v>1803.085</v>
      </c>
      <c r="H37" s="140">
        <v>0</v>
      </c>
      <c r="I37" s="139">
        <v>0</v>
      </c>
      <c r="J37" s="140">
        <v>11</v>
      </c>
      <c r="K37" s="141">
        <v>1343.48</v>
      </c>
      <c r="L37" s="140">
        <v>13</v>
      </c>
      <c r="M37" s="141">
        <v>1395.65</v>
      </c>
      <c r="N37" s="140">
        <v>0</v>
      </c>
      <c r="O37" s="141">
        <v>0</v>
      </c>
      <c r="P37" s="140">
        <v>0</v>
      </c>
      <c r="Q37" s="141">
        <v>0</v>
      </c>
      <c r="R37" s="140">
        <v>0</v>
      </c>
      <c r="S37" s="141">
        <v>0</v>
      </c>
      <c r="T37" s="141"/>
      <c r="U37" s="140"/>
      <c r="V37" s="139"/>
      <c r="W37" s="140"/>
      <c r="X37" s="139"/>
      <c r="Y37" s="142">
        <f t="shared" si="0"/>
        <v>51</v>
      </c>
      <c r="Z37" s="143">
        <f t="shared" si="1"/>
        <v>81605.024999999994</v>
      </c>
      <c r="AA37" s="147">
        <f>IF(Z37=0,0,Z37/Y37)</f>
        <v>1600.0985294117645</v>
      </c>
      <c r="AB37" s="148">
        <f t="shared" si="2"/>
        <v>0.63749999999999996</v>
      </c>
      <c r="AC37" s="143"/>
      <c r="AD37" s="126"/>
      <c r="AE37" s="143"/>
      <c r="AF37" s="126"/>
      <c r="AG37" s="143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</row>
    <row r="38" spans="1:56" s="128" customFormat="1" ht="17.100000000000001" customHeight="1" thickTop="1" x14ac:dyDescent="0.25">
      <c r="A38" s="171" t="s">
        <v>70</v>
      </c>
      <c r="B38" s="172"/>
      <c r="C38" s="172"/>
      <c r="D38" s="173">
        <f>SUM(D7:D37)</f>
        <v>0</v>
      </c>
      <c r="E38" s="174">
        <f>IF(D38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+(D37*E37))/D38)</f>
        <v>0</v>
      </c>
      <c r="F38" s="175">
        <f>SUM(F7:F37)</f>
        <v>745</v>
      </c>
      <c r="G38" s="174">
        <f>IF(F38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+(F37*G37))/F38)</f>
        <v>1815.5566599552569</v>
      </c>
      <c r="H38" s="175">
        <f>SUM(H7:H37)</f>
        <v>23</v>
      </c>
      <c r="I38" s="174">
        <f>IF(H38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+(H37*I37))/H38)</f>
        <v>1720.5147826086954</v>
      </c>
      <c r="J38" s="175">
        <f>SUM(J7:J37)</f>
        <v>254</v>
      </c>
      <c r="K38" s="174">
        <f>IF(J38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+(J37*K37))/J38)</f>
        <v>1466.9652186791859</v>
      </c>
      <c r="L38" s="175">
        <f>SUM(L7:L37)</f>
        <v>384</v>
      </c>
      <c r="M38" s="174">
        <f>IF(L38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+(L37*M37))/L38)</f>
        <v>1451.3000130208331</v>
      </c>
      <c r="N38" s="175">
        <f>SUM(N7:N37)</f>
        <v>0</v>
      </c>
      <c r="O38" s="174">
        <f>IF(N38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+(N37*O37))/N38)</f>
        <v>0</v>
      </c>
      <c r="P38" s="175">
        <f>SUM(P7:P37)</f>
        <v>331</v>
      </c>
      <c r="Q38" s="174">
        <f>IF(P38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+(P37*Q37))/P38)</f>
        <v>1360.2151661631399</v>
      </c>
      <c r="R38" s="175">
        <f>SUM(R7:R37)</f>
        <v>0</v>
      </c>
      <c r="S38" s="174">
        <f>IF(R38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+(R37*S37))/R38)</f>
        <v>0</v>
      </c>
      <c r="T38" s="174"/>
      <c r="U38" s="175"/>
      <c r="V38" s="174"/>
      <c r="W38" s="175"/>
      <c r="X38" s="174"/>
      <c r="Y38" s="175">
        <f>SUM(Y7:Y37)</f>
        <v>1737</v>
      </c>
      <c r="Z38" s="219">
        <f>SUM(Z7:Z37)</f>
        <v>2772301.1422111788</v>
      </c>
      <c r="AA38" s="176">
        <f>IF(Z38=0,0,Z38/Y38)</f>
        <v>1596.0282914284276</v>
      </c>
      <c r="AB38" s="178">
        <f>Y38/(AB6*D2)</f>
        <v>0.70040322580645165</v>
      </c>
      <c r="AC38" s="126"/>
      <c r="AD38" s="126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28" customFormat="1" ht="17.100000000000001" customHeight="1" thickBot="1" x14ac:dyDescent="0.3">
      <c r="A39" s="179" t="s">
        <v>71</v>
      </c>
      <c r="B39" s="180"/>
      <c r="C39" s="180"/>
      <c r="D39" s="771">
        <f>+E38*D38</f>
        <v>0</v>
      </c>
      <c r="E39" s="767"/>
      <c r="F39" s="787">
        <f>+G38*F38</f>
        <v>1352589.7116666664</v>
      </c>
      <c r="G39" s="786"/>
      <c r="H39" s="787">
        <f>+I38*H38</f>
        <v>39571.839999999997</v>
      </c>
      <c r="I39" s="786"/>
      <c r="J39" s="766">
        <f>+K38*J38</f>
        <v>372609.16554451321</v>
      </c>
      <c r="K39" s="767"/>
      <c r="L39" s="766">
        <f>+M38*L38</f>
        <v>557299.20499999996</v>
      </c>
      <c r="M39" s="767"/>
      <c r="N39" s="766">
        <f>+O38*N38</f>
        <v>0</v>
      </c>
      <c r="O39" s="767"/>
      <c r="P39" s="766">
        <f>+Q38*P38</f>
        <v>450231.21999999927</v>
      </c>
      <c r="Q39" s="767"/>
      <c r="R39" s="766">
        <f>+S38*R38</f>
        <v>0</v>
      </c>
      <c r="S39" s="768"/>
      <c r="T39" s="181"/>
      <c r="U39" s="182"/>
      <c r="V39" s="181"/>
      <c r="W39" s="182"/>
      <c r="X39" s="181"/>
      <c r="Y39" s="183"/>
      <c r="Z39" s="184"/>
      <c r="AA39" s="184"/>
      <c r="AB39" s="185"/>
      <c r="AC39" s="126"/>
      <c r="AD39" s="126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  <c r="BC39" s="126"/>
    </row>
    <row r="40" spans="1:56" s="111" customFormat="1" ht="13.5" thickTop="1" x14ac:dyDescent="0.2">
      <c r="F40" s="211"/>
      <c r="J40" s="211"/>
      <c r="K40" s="211"/>
      <c r="P40" s="211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G41" s="226"/>
      <c r="K41" s="226"/>
      <c r="Q41" s="226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G42" s="226"/>
      <c r="Q42" s="226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Q43" s="226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44" s="384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45" s="384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47" s="385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2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9:56" s="111" customFormat="1" x14ac:dyDescent="0.2"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9:56" s="111" customFormat="1" x14ac:dyDescent="0.2">
      <c r="AC52" s="112"/>
      <c r="AD52" s="112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  <row r="53" spans="29:56" s="111" customFormat="1" x14ac:dyDescent="0.2">
      <c r="AC53" s="112"/>
      <c r="AD53" s="112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4"/>
    </row>
  </sheetData>
  <mergeCells count="22"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  <mergeCell ref="R5:S5"/>
    <mergeCell ref="A26:A27"/>
    <mergeCell ref="R39:S39"/>
    <mergeCell ref="F39:G39"/>
    <mergeCell ref="H39:I39"/>
    <mergeCell ref="J39:K39"/>
    <mergeCell ref="L39:M39"/>
    <mergeCell ref="N39:O39"/>
    <mergeCell ref="P39:Q39"/>
    <mergeCell ref="D39:E39"/>
  </mergeCells>
  <phoneticPr fontId="74" type="noConversion"/>
  <dataValidations disablePrompts="1" count="1">
    <dataValidation type="textLength" errorStyle="information" allowBlank="1" showInputMessage="1" showErrorMessage="1" error="XLBVal:2=0_x000d__x000a_" sqref="C27:C37 HZ27:HZ37 RV27:RV37 ABR27:ABR37 ALN27:ALN37 AVJ27:AVJ37 BFF27:BFF37 BPB27:BPB37 BYX27:BYX37 CIT27:CIT37 CSP27:CSP37 DCL27:DCL37 DMH27:DMH37 DWD27:DWD37 EFZ27:EFZ37 EPV27:EPV37 EZR27:EZR37 FJN27:FJN37 FTJ27:FTJ37 GDF27:GDF37 GNB27:GNB37 GWX27:GWX37 HGT27:HGT37 HQP27:HQP37 IAL27:IAL37 IKH27:IKH37 IUD27:IUD37 JDZ27:JDZ37 JNV27:JNV37 JXR27:JXR37 KHN27:KHN37 KRJ27:KRJ37 LBF27:LBF37 LLB27:LLB37 LUX27:LUX37 MET27:MET37 MOP27:MOP37 MYL27:MYL37 NIH27:NIH37 NSD27:NSD37 OBZ27:OBZ37 OLV27:OLV37 OVR27:OVR37 PFN27:PFN37 PPJ27:PPJ37 PZF27:PZF37 QJB27:QJB37 QSX27:QSX37 RCT27:RCT37 RMP27:RMP37 RWL27:RWL37 SGH27:SGH37 SQD27:SQD37 SZZ27:SZZ37 TJV27:TJV37 TTR27:TTR37 UDN27:UDN37 UNJ27:UNJ37 UXF27:UXF37 VHB27:VHB37 VQX27:VQX37 WAT27:WAT37 WKP27:WKP37 WUL27:WUL37 C65511:C65521 HZ65511:HZ65521 RV65511:RV65521 ABR65511:ABR65521 ALN65511:ALN65521 AVJ65511:AVJ65521 BFF65511:BFF65521 BPB65511:BPB65521 BYX65511:BYX65521 CIT65511:CIT65521 CSP65511:CSP65521 DCL65511:DCL65521 DMH65511:DMH65521 DWD65511:DWD65521 EFZ65511:EFZ65521 EPV65511:EPV65521 EZR65511:EZR65521 FJN65511:FJN65521 FTJ65511:FTJ65521 GDF65511:GDF65521 GNB65511:GNB65521 GWX65511:GWX65521 HGT65511:HGT65521 HQP65511:HQP65521 IAL65511:IAL65521 IKH65511:IKH65521 IUD65511:IUD65521 JDZ65511:JDZ65521 JNV65511:JNV65521 JXR65511:JXR65521 KHN65511:KHN65521 KRJ65511:KRJ65521 LBF65511:LBF65521 LLB65511:LLB65521 LUX65511:LUX65521 MET65511:MET65521 MOP65511:MOP65521 MYL65511:MYL65521 NIH65511:NIH65521 NSD65511:NSD65521 OBZ65511:OBZ65521 OLV65511:OLV65521 OVR65511:OVR65521 PFN65511:PFN65521 PPJ65511:PPJ65521 PZF65511:PZF65521 QJB65511:QJB65521 QSX65511:QSX65521 RCT65511:RCT65521 RMP65511:RMP65521 RWL65511:RWL65521 SGH65511:SGH65521 SQD65511:SQD65521 SZZ65511:SZZ65521 TJV65511:TJV65521 TTR65511:TTR65521 UDN65511:UDN65521 UNJ65511:UNJ65521 UXF65511:UXF65521 VHB65511:VHB65521 VQX65511:VQX65521 WAT65511:WAT65521 WKP65511:WKP65521 WUL65511:WUL65521 C131047:C131057 HZ131047:HZ131057 RV131047:RV131057 ABR131047:ABR131057 ALN131047:ALN131057 AVJ131047:AVJ131057 BFF131047:BFF131057 BPB131047:BPB131057 BYX131047:BYX131057 CIT131047:CIT131057 CSP131047:CSP131057 DCL131047:DCL131057 DMH131047:DMH131057 DWD131047:DWD131057 EFZ131047:EFZ131057 EPV131047:EPV131057 EZR131047:EZR131057 FJN131047:FJN131057 FTJ131047:FTJ131057 GDF131047:GDF131057 GNB131047:GNB131057 GWX131047:GWX131057 HGT131047:HGT131057 HQP131047:HQP131057 IAL131047:IAL131057 IKH131047:IKH131057 IUD131047:IUD131057 JDZ131047:JDZ131057 JNV131047:JNV131057 JXR131047:JXR131057 KHN131047:KHN131057 KRJ131047:KRJ131057 LBF131047:LBF131057 LLB131047:LLB131057 LUX131047:LUX131057 MET131047:MET131057 MOP131047:MOP131057 MYL131047:MYL131057 NIH131047:NIH131057 NSD131047:NSD131057 OBZ131047:OBZ131057 OLV131047:OLV131057 OVR131047:OVR131057 PFN131047:PFN131057 PPJ131047:PPJ131057 PZF131047:PZF131057 QJB131047:QJB131057 QSX131047:QSX131057 RCT131047:RCT131057 RMP131047:RMP131057 RWL131047:RWL131057 SGH131047:SGH131057 SQD131047:SQD131057 SZZ131047:SZZ131057 TJV131047:TJV131057 TTR131047:TTR131057 UDN131047:UDN131057 UNJ131047:UNJ131057 UXF131047:UXF131057 VHB131047:VHB131057 VQX131047:VQX131057 WAT131047:WAT131057 WKP131047:WKP131057 WUL131047:WUL131057 C196583:C196593 HZ196583:HZ196593 RV196583:RV196593 ABR196583:ABR196593 ALN196583:ALN196593 AVJ196583:AVJ196593 BFF196583:BFF196593 BPB196583:BPB196593 BYX196583:BYX196593 CIT196583:CIT196593 CSP196583:CSP196593 DCL196583:DCL196593 DMH196583:DMH196593 DWD196583:DWD196593 EFZ196583:EFZ196593 EPV196583:EPV196593 EZR196583:EZR196593 FJN196583:FJN196593 FTJ196583:FTJ196593 GDF196583:GDF196593 GNB196583:GNB196593 GWX196583:GWX196593 HGT196583:HGT196593 HQP196583:HQP196593 IAL196583:IAL196593 IKH196583:IKH196593 IUD196583:IUD196593 JDZ196583:JDZ196593 JNV196583:JNV196593 JXR196583:JXR196593 KHN196583:KHN196593 KRJ196583:KRJ196593 LBF196583:LBF196593 LLB196583:LLB196593 LUX196583:LUX196593 MET196583:MET196593 MOP196583:MOP196593 MYL196583:MYL196593 NIH196583:NIH196593 NSD196583:NSD196593 OBZ196583:OBZ196593 OLV196583:OLV196593 OVR196583:OVR196593 PFN196583:PFN196593 PPJ196583:PPJ196593 PZF196583:PZF196593 QJB196583:QJB196593 QSX196583:QSX196593 RCT196583:RCT196593 RMP196583:RMP196593 RWL196583:RWL196593 SGH196583:SGH196593 SQD196583:SQD196593 SZZ196583:SZZ196593 TJV196583:TJV196593 TTR196583:TTR196593 UDN196583:UDN196593 UNJ196583:UNJ196593 UXF196583:UXF196593 VHB196583:VHB196593 VQX196583:VQX196593 WAT196583:WAT196593 WKP196583:WKP196593 WUL196583:WUL196593 C262119:C262129 HZ262119:HZ262129 RV262119:RV262129 ABR262119:ABR262129 ALN262119:ALN262129 AVJ262119:AVJ262129 BFF262119:BFF262129 BPB262119:BPB262129 BYX262119:BYX262129 CIT262119:CIT262129 CSP262119:CSP262129 DCL262119:DCL262129 DMH262119:DMH262129 DWD262119:DWD262129 EFZ262119:EFZ262129 EPV262119:EPV262129 EZR262119:EZR262129 FJN262119:FJN262129 FTJ262119:FTJ262129 GDF262119:GDF262129 GNB262119:GNB262129 GWX262119:GWX262129 HGT262119:HGT262129 HQP262119:HQP262129 IAL262119:IAL262129 IKH262119:IKH262129 IUD262119:IUD262129 JDZ262119:JDZ262129 JNV262119:JNV262129 JXR262119:JXR262129 KHN262119:KHN262129 KRJ262119:KRJ262129 LBF262119:LBF262129 LLB262119:LLB262129 LUX262119:LUX262129 MET262119:MET262129 MOP262119:MOP262129 MYL262119:MYL262129 NIH262119:NIH262129 NSD262119:NSD262129 OBZ262119:OBZ262129 OLV262119:OLV262129 OVR262119:OVR262129 PFN262119:PFN262129 PPJ262119:PPJ262129 PZF262119:PZF262129 QJB262119:QJB262129 QSX262119:QSX262129 RCT262119:RCT262129 RMP262119:RMP262129 RWL262119:RWL262129 SGH262119:SGH262129 SQD262119:SQD262129 SZZ262119:SZZ262129 TJV262119:TJV262129 TTR262119:TTR262129 UDN262119:UDN262129 UNJ262119:UNJ262129 UXF262119:UXF262129 VHB262119:VHB262129 VQX262119:VQX262129 WAT262119:WAT262129 WKP262119:WKP262129 WUL262119:WUL262129 C327655:C327665 HZ327655:HZ327665 RV327655:RV327665 ABR327655:ABR327665 ALN327655:ALN327665 AVJ327655:AVJ327665 BFF327655:BFF327665 BPB327655:BPB327665 BYX327655:BYX327665 CIT327655:CIT327665 CSP327655:CSP327665 DCL327655:DCL327665 DMH327655:DMH327665 DWD327655:DWD327665 EFZ327655:EFZ327665 EPV327655:EPV327665 EZR327655:EZR327665 FJN327655:FJN327665 FTJ327655:FTJ327665 GDF327655:GDF327665 GNB327655:GNB327665 GWX327655:GWX327665 HGT327655:HGT327665 HQP327655:HQP327665 IAL327655:IAL327665 IKH327655:IKH327665 IUD327655:IUD327665 JDZ327655:JDZ327665 JNV327655:JNV327665 JXR327655:JXR327665 KHN327655:KHN327665 KRJ327655:KRJ327665 LBF327655:LBF327665 LLB327655:LLB327665 LUX327655:LUX327665 MET327655:MET327665 MOP327655:MOP327665 MYL327655:MYL327665 NIH327655:NIH327665 NSD327655:NSD327665 OBZ327655:OBZ327665 OLV327655:OLV327665 OVR327655:OVR327665 PFN327655:PFN327665 PPJ327655:PPJ327665 PZF327655:PZF327665 QJB327655:QJB327665 QSX327655:QSX327665 RCT327655:RCT327665 RMP327655:RMP327665 RWL327655:RWL327665 SGH327655:SGH327665 SQD327655:SQD327665 SZZ327655:SZZ327665 TJV327655:TJV327665 TTR327655:TTR327665 UDN327655:UDN327665 UNJ327655:UNJ327665 UXF327655:UXF327665 VHB327655:VHB327665 VQX327655:VQX327665 WAT327655:WAT327665 WKP327655:WKP327665 WUL327655:WUL327665 C393191:C393201 HZ393191:HZ393201 RV393191:RV393201 ABR393191:ABR393201 ALN393191:ALN393201 AVJ393191:AVJ393201 BFF393191:BFF393201 BPB393191:BPB393201 BYX393191:BYX393201 CIT393191:CIT393201 CSP393191:CSP393201 DCL393191:DCL393201 DMH393191:DMH393201 DWD393191:DWD393201 EFZ393191:EFZ393201 EPV393191:EPV393201 EZR393191:EZR393201 FJN393191:FJN393201 FTJ393191:FTJ393201 GDF393191:GDF393201 GNB393191:GNB393201 GWX393191:GWX393201 HGT393191:HGT393201 HQP393191:HQP393201 IAL393191:IAL393201 IKH393191:IKH393201 IUD393191:IUD393201 JDZ393191:JDZ393201 JNV393191:JNV393201 JXR393191:JXR393201 KHN393191:KHN393201 KRJ393191:KRJ393201 LBF393191:LBF393201 LLB393191:LLB393201 LUX393191:LUX393201 MET393191:MET393201 MOP393191:MOP393201 MYL393191:MYL393201 NIH393191:NIH393201 NSD393191:NSD393201 OBZ393191:OBZ393201 OLV393191:OLV393201 OVR393191:OVR393201 PFN393191:PFN393201 PPJ393191:PPJ393201 PZF393191:PZF393201 QJB393191:QJB393201 QSX393191:QSX393201 RCT393191:RCT393201 RMP393191:RMP393201 RWL393191:RWL393201 SGH393191:SGH393201 SQD393191:SQD393201 SZZ393191:SZZ393201 TJV393191:TJV393201 TTR393191:TTR393201 UDN393191:UDN393201 UNJ393191:UNJ393201 UXF393191:UXF393201 VHB393191:VHB393201 VQX393191:VQX393201 WAT393191:WAT393201 WKP393191:WKP393201 WUL393191:WUL393201 C458727:C458737 HZ458727:HZ458737 RV458727:RV458737 ABR458727:ABR458737 ALN458727:ALN458737 AVJ458727:AVJ458737 BFF458727:BFF458737 BPB458727:BPB458737 BYX458727:BYX458737 CIT458727:CIT458737 CSP458727:CSP458737 DCL458727:DCL458737 DMH458727:DMH458737 DWD458727:DWD458737 EFZ458727:EFZ458737 EPV458727:EPV458737 EZR458727:EZR458737 FJN458727:FJN458737 FTJ458727:FTJ458737 GDF458727:GDF458737 GNB458727:GNB458737 GWX458727:GWX458737 HGT458727:HGT458737 HQP458727:HQP458737 IAL458727:IAL458737 IKH458727:IKH458737 IUD458727:IUD458737 JDZ458727:JDZ458737 JNV458727:JNV458737 JXR458727:JXR458737 KHN458727:KHN458737 KRJ458727:KRJ458737 LBF458727:LBF458737 LLB458727:LLB458737 LUX458727:LUX458737 MET458727:MET458737 MOP458727:MOP458737 MYL458727:MYL458737 NIH458727:NIH458737 NSD458727:NSD458737 OBZ458727:OBZ458737 OLV458727:OLV458737 OVR458727:OVR458737 PFN458727:PFN458737 PPJ458727:PPJ458737 PZF458727:PZF458737 QJB458727:QJB458737 QSX458727:QSX458737 RCT458727:RCT458737 RMP458727:RMP458737 RWL458727:RWL458737 SGH458727:SGH458737 SQD458727:SQD458737 SZZ458727:SZZ458737 TJV458727:TJV458737 TTR458727:TTR458737 UDN458727:UDN458737 UNJ458727:UNJ458737 UXF458727:UXF458737 VHB458727:VHB458737 VQX458727:VQX458737 WAT458727:WAT458737 WKP458727:WKP458737 WUL458727:WUL458737 C524263:C524273 HZ524263:HZ524273 RV524263:RV524273 ABR524263:ABR524273 ALN524263:ALN524273 AVJ524263:AVJ524273 BFF524263:BFF524273 BPB524263:BPB524273 BYX524263:BYX524273 CIT524263:CIT524273 CSP524263:CSP524273 DCL524263:DCL524273 DMH524263:DMH524273 DWD524263:DWD524273 EFZ524263:EFZ524273 EPV524263:EPV524273 EZR524263:EZR524273 FJN524263:FJN524273 FTJ524263:FTJ524273 GDF524263:GDF524273 GNB524263:GNB524273 GWX524263:GWX524273 HGT524263:HGT524273 HQP524263:HQP524273 IAL524263:IAL524273 IKH524263:IKH524273 IUD524263:IUD524273 JDZ524263:JDZ524273 JNV524263:JNV524273 JXR524263:JXR524273 KHN524263:KHN524273 KRJ524263:KRJ524273 LBF524263:LBF524273 LLB524263:LLB524273 LUX524263:LUX524273 MET524263:MET524273 MOP524263:MOP524273 MYL524263:MYL524273 NIH524263:NIH524273 NSD524263:NSD524273 OBZ524263:OBZ524273 OLV524263:OLV524273 OVR524263:OVR524273 PFN524263:PFN524273 PPJ524263:PPJ524273 PZF524263:PZF524273 QJB524263:QJB524273 QSX524263:QSX524273 RCT524263:RCT524273 RMP524263:RMP524273 RWL524263:RWL524273 SGH524263:SGH524273 SQD524263:SQD524273 SZZ524263:SZZ524273 TJV524263:TJV524273 TTR524263:TTR524273 UDN524263:UDN524273 UNJ524263:UNJ524273 UXF524263:UXF524273 VHB524263:VHB524273 VQX524263:VQX524273 WAT524263:WAT524273 WKP524263:WKP524273 WUL524263:WUL524273 C589799:C589809 HZ589799:HZ589809 RV589799:RV589809 ABR589799:ABR589809 ALN589799:ALN589809 AVJ589799:AVJ589809 BFF589799:BFF589809 BPB589799:BPB589809 BYX589799:BYX589809 CIT589799:CIT589809 CSP589799:CSP589809 DCL589799:DCL589809 DMH589799:DMH589809 DWD589799:DWD589809 EFZ589799:EFZ589809 EPV589799:EPV589809 EZR589799:EZR589809 FJN589799:FJN589809 FTJ589799:FTJ589809 GDF589799:GDF589809 GNB589799:GNB589809 GWX589799:GWX589809 HGT589799:HGT589809 HQP589799:HQP589809 IAL589799:IAL589809 IKH589799:IKH589809 IUD589799:IUD589809 JDZ589799:JDZ589809 JNV589799:JNV589809 JXR589799:JXR589809 KHN589799:KHN589809 KRJ589799:KRJ589809 LBF589799:LBF589809 LLB589799:LLB589809 LUX589799:LUX589809 MET589799:MET589809 MOP589799:MOP589809 MYL589799:MYL589809 NIH589799:NIH589809 NSD589799:NSD589809 OBZ589799:OBZ589809 OLV589799:OLV589809 OVR589799:OVR589809 PFN589799:PFN589809 PPJ589799:PPJ589809 PZF589799:PZF589809 QJB589799:QJB589809 QSX589799:QSX589809 RCT589799:RCT589809 RMP589799:RMP589809 RWL589799:RWL589809 SGH589799:SGH589809 SQD589799:SQD589809 SZZ589799:SZZ589809 TJV589799:TJV589809 TTR589799:TTR589809 UDN589799:UDN589809 UNJ589799:UNJ589809 UXF589799:UXF589809 VHB589799:VHB589809 VQX589799:VQX589809 WAT589799:WAT589809 WKP589799:WKP589809 WUL589799:WUL589809 C655335:C655345 HZ655335:HZ655345 RV655335:RV655345 ABR655335:ABR655345 ALN655335:ALN655345 AVJ655335:AVJ655345 BFF655335:BFF655345 BPB655335:BPB655345 BYX655335:BYX655345 CIT655335:CIT655345 CSP655335:CSP655345 DCL655335:DCL655345 DMH655335:DMH655345 DWD655335:DWD655345 EFZ655335:EFZ655345 EPV655335:EPV655345 EZR655335:EZR655345 FJN655335:FJN655345 FTJ655335:FTJ655345 GDF655335:GDF655345 GNB655335:GNB655345 GWX655335:GWX655345 HGT655335:HGT655345 HQP655335:HQP655345 IAL655335:IAL655345 IKH655335:IKH655345 IUD655335:IUD655345 JDZ655335:JDZ655345 JNV655335:JNV655345 JXR655335:JXR655345 KHN655335:KHN655345 KRJ655335:KRJ655345 LBF655335:LBF655345 LLB655335:LLB655345 LUX655335:LUX655345 MET655335:MET655345 MOP655335:MOP655345 MYL655335:MYL655345 NIH655335:NIH655345 NSD655335:NSD655345 OBZ655335:OBZ655345 OLV655335:OLV655345 OVR655335:OVR655345 PFN655335:PFN655345 PPJ655335:PPJ655345 PZF655335:PZF655345 QJB655335:QJB655345 QSX655335:QSX655345 RCT655335:RCT655345 RMP655335:RMP655345 RWL655335:RWL655345 SGH655335:SGH655345 SQD655335:SQD655345 SZZ655335:SZZ655345 TJV655335:TJV655345 TTR655335:TTR655345 UDN655335:UDN655345 UNJ655335:UNJ655345 UXF655335:UXF655345 VHB655335:VHB655345 VQX655335:VQX655345 WAT655335:WAT655345 WKP655335:WKP655345 WUL655335:WUL655345 C720871:C720881 HZ720871:HZ720881 RV720871:RV720881 ABR720871:ABR720881 ALN720871:ALN720881 AVJ720871:AVJ720881 BFF720871:BFF720881 BPB720871:BPB720881 BYX720871:BYX720881 CIT720871:CIT720881 CSP720871:CSP720881 DCL720871:DCL720881 DMH720871:DMH720881 DWD720871:DWD720881 EFZ720871:EFZ720881 EPV720871:EPV720881 EZR720871:EZR720881 FJN720871:FJN720881 FTJ720871:FTJ720881 GDF720871:GDF720881 GNB720871:GNB720881 GWX720871:GWX720881 HGT720871:HGT720881 HQP720871:HQP720881 IAL720871:IAL720881 IKH720871:IKH720881 IUD720871:IUD720881 JDZ720871:JDZ720881 JNV720871:JNV720881 JXR720871:JXR720881 KHN720871:KHN720881 KRJ720871:KRJ720881 LBF720871:LBF720881 LLB720871:LLB720881 LUX720871:LUX720881 MET720871:MET720881 MOP720871:MOP720881 MYL720871:MYL720881 NIH720871:NIH720881 NSD720871:NSD720881 OBZ720871:OBZ720881 OLV720871:OLV720881 OVR720871:OVR720881 PFN720871:PFN720881 PPJ720871:PPJ720881 PZF720871:PZF720881 QJB720871:QJB720881 QSX720871:QSX720881 RCT720871:RCT720881 RMP720871:RMP720881 RWL720871:RWL720881 SGH720871:SGH720881 SQD720871:SQD720881 SZZ720871:SZZ720881 TJV720871:TJV720881 TTR720871:TTR720881 UDN720871:UDN720881 UNJ720871:UNJ720881 UXF720871:UXF720881 VHB720871:VHB720881 VQX720871:VQX720881 WAT720871:WAT720881 WKP720871:WKP720881 WUL720871:WUL720881 C786407:C786417 HZ786407:HZ786417 RV786407:RV786417 ABR786407:ABR786417 ALN786407:ALN786417 AVJ786407:AVJ786417 BFF786407:BFF786417 BPB786407:BPB786417 BYX786407:BYX786417 CIT786407:CIT786417 CSP786407:CSP786417 DCL786407:DCL786417 DMH786407:DMH786417 DWD786407:DWD786417 EFZ786407:EFZ786417 EPV786407:EPV786417 EZR786407:EZR786417 FJN786407:FJN786417 FTJ786407:FTJ786417 GDF786407:GDF786417 GNB786407:GNB786417 GWX786407:GWX786417 HGT786407:HGT786417 HQP786407:HQP786417 IAL786407:IAL786417 IKH786407:IKH786417 IUD786407:IUD786417 JDZ786407:JDZ786417 JNV786407:JNV786417 JXR786407:JXR786417 KHN786407:KHN786417 KRJ786407:KRJ786417 LBF786407:LBF786417 LLB786407:LLB786417 LUX786407:LUX786417 MET786407:MET786417 MOP786407:MOP786417 MYL786407:MYL786417 NIH786407:NIH786417 NSD786407:NSD786417 OBZ786407:OBZ786417 OLV786407:OLV786417 OVR786407:OVR786417 PFN786407:PFN786417 PPJ786407:PPJ786417 PZF786407:PZF786417 QJB786407:QJB786417 QSX786407:QSX786417 RCT786407:RCT786417 RMP786407:RMP786417 RWL786407:RWL786417 SGH786407:SGH786417 SQD786407:SQD786417 SZZ786407:SZZ786417 TJV786407:TJV786417 TTR786407:TTR786417 UDN786407:UDN786417 UNJ786407:UNJ786417 UXF786407:UXF786417 VHB786407:VHB786417 VQX786407:VQX786417 WAT786407:WAT786417 WKP786407:WKP786417 WUL786407:WUL786417 C851943:C851953 HZ851943:HZ851953 RV851943:RV851953 ABR851943:ABR851953 ALN851943:ALN851953 AVJ851943:AVJ851953 BFF851943:BFF851953 BPB851943:BPB851953 BYX851943:BYX851953 CIT851943:CIT851953 CSP851943:CSP851953 DCL851943:DCL851953 DMH851943:DMH851953 DWD851943:DWD851953 EFZ851943:EFZ851953 EPV851943:EPV851953 EZR851943:EZR851953 FJN851943:FJN851953 FTJ851943:FTJ851953 GDF851943:GDF851953 GNB851943:GNB851953 GWX851943:GWX851953 HGT851943:HGT851953 HQP851943:HQP851953 IAL851943:IAL851953 IKH851943:IKH851953 IUD851943:IUD851953 JDZ851943:JDZ851953 JNV851943:JNV851953 JXR851943:JXR851953 KHN851943:KHN851953 KRJ851943:KRJ851953 LBF851943:LBF851953 LLB851943:LLB851953 LUX851943:LUX851953 MET851943:MET851953 MOP851943:MOP851953 MYL851943:MYL851953 NIH851943:NIH851953 NSD851943:NSD851953 OBZ851943:OBZ851953 OLV851943:OLV851953 OVR851943:OVR851953 PFN851943:PFN851953 PPJ851943:PPJ851953 PZF851943:PZF851953 QJB851943:QJB851953 QSX851943:QSX851953 RCT851943:RCT851953 RMP851943:RMP851953 RWL851943:RWL851953 SGH851943:SGH851953 SQD851943:SQD851953 SZZ851943:SZZ851953 TJV851943:TJV851953 TTR851943:TTR851953 UDN851943:UDN851953 UNJ851943:UNJ851953 UXF851943:UXF851953 VHB851943:VHB851953 VQX851943:VQX851953 WAT851943:WAT851953 WKP851943:WKP851953 WUL851943:WUL851953 C917479:C917489 HZ917479:HZ917489 RV917479:RV917489 ABR917479:ABR917489 ALN917479:ALN917489 AVJ917479:AVJ917489 BFF917479:BFF917489 BPB917479:BPB917489 BYX917479:BYX917489 CIT917479:CIT917489 CSP917479:CSP917489 DCL917479:DCL917489 DMH917479:DMH917489 DWD917479:DWD917489 EFZ917479:EFZ917489 EPV917479:EPV917489 EZR917479:EZR917489 FJN917479:FJN917489 FTJ917479:FTJ917489 GDF917479:GDF917489 GNB917479:GNB917489 GWX917479:GWX917489 HGT917479:HGT917489 HQP917479:HQP917489 IAL917479:IAL917489 IKH917479:IKH917489 IUD917479:IUD917489 JDZ917479:JDZ917489 JNV917479:JNV917489 JXR917479:JXR917489 KHN917479:KHN917489 KRJ917479:KRJ917489 LBF917479:LBF917489 LLB917479:LLB917489 LUX917479:LUX917489 MET917479:MET917489 MOP917479:MOP917489 MYL917479:MYL917489 NIH917479:NIH917489 NSD917479:NSD917489 OBZ917479:OBZ917489 OLV917479:OLV917489 OVR917479:OVR917489 PFN917479:PFN917489 PPJ917479:PPJ917489 PZF917479:PZF917489 QJB917479:QJB917489 QSX917479:QSX917489 RCT917479:RCT917489 RMP917479:RMP917489 RWL917479:RWL917489 SGH917479:SGH917489 SQD917479:SQD917489 SZZ917479:SZZ917489 TJV917479:TJV917489 TTR917479:TTR917489 UDN917479:UDN917489 UNJ917479:UNJ917489 UXF917479:UXF917489 VHB917479:VHB917489 VQX917479:VQX917489 WAT917479:WAT917489 WKP917479:WKP917489 WUL917479:WUL917489 C983015:C983025 HZ983015:HZ983025 RV983015:RV983025 ABR983015:ABR983025 ALN983015:ALN983025 AVJ983015:AVJ983025 BFF983015:BFF983025 BPB983015:BPB983025 BYX983015:BYX983025 CIT983015:CIT983025 CSP983015:CSP983025 DCL983015:DCL983025 DMH983015:DMH983025 DWD983015:DWD983025 EFZ983015:EFZ983025 EPV983015:EPV983025 EZR983015:EZR983025 FJN983015:FJN983025 FTJ983015:FTJ983025 GDF983015:GDF983025 GNB983015:GNB983025 GWX983015:GWX983025 HGT983015:HGT983025 HQP983015:HQP983025 IAL983015:IAL983025 IKH983015:IKH983025 IUD983015:IUD983025 JDZ983015:JDZ983025 JNV983015:JNV983025 JXR983015:JXR983025 KHN983015:KHN983025 KRJ983015:KRJ983025 LBF983015:LBF983025 LLB983015:LLB983025 LUX983015:LUX983025 MET983015:MET983025 MOP983015:MOP983025 MYL983015:MYL983025 NIH983015:NIH983025 NSD983015:NSD983025 OBZ983015:OBZ983025 OLV983015:OLV983025 OVR983015:OVR983025 PFN983015:PFN983025 PPJ983015:PPJ983025 PZF983015:PZF983025 QJB983015:QJB983025 QSX983015:QSX983025 RCT983015:RCT983025 RMP983015:RMP983025 RWL983015:RWL983025 SGH983015:SGH983025 SQD983015:SQD983025 SZZ983015:SZZ983025 TJV983015:TJV983025 TTR983015:TTR983025 UDN983015:UDN983025 UNJ983015:UNJ983025 UXF983015:UXF983025 VHB983015:VHB983025 VQX983015:VQX983025 WAT983015:WAT983025 WKP983015:WKP983025 WUL983015:WUL983025" xr:uid="{00000000-0002-0000-09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0" orientation="landscape" horizontalDpi="300" verticalDpi="300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3">
    <pageSetUpPr fitToPage="1"/>
  </sheetPr>
  <dimension ref="B1:S36"/>
  <sheetViews>
    <sheetView view="pageBreakPreview" zoomScale="50" zoomScaleNormal="50" zoomScaleSheetLayoutView="50" workbookViewId="0">
      <pane xSplit="2" ySplit="6" topLeftCell="C7" activePane="bottomRight" state="frozen"/>
      <selection activeCell="E37" sqref="E37"/>
      <selection pane="topRight" activeCell="E37" sqref="E37"/>
      <selection pane="bottomLeft" activeCell="E37" sqref="E37"/>
      <selection pane="bottomRight" activeCell="K5" sqref="K5:N5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5.855468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1" width="15.7109375" style="5" customWidth="1" outlineLevel="1"/>
    <col min="12" max="12" width="19.5703125" style="5" bestFit="1" customWidth="1" outlineLevel="1"/>
    <col min="13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3.28515625" style="5" bestFit="1" customWidth="1"/>
    <col min="20" max="25" width="9.140625" style="5"/>
    <col min="26" max="26" width="11.42578125" style="5" bestFit="1" customWidth="1"/>
    <col min="27" max="27" width="10.28515625" style="5" bestFit="1" customWidth="1"/>
    <col min="28" max="16384" width="9.140625" style="5"/>
  </cols>
  <sheetData>
    <row r="1" spans="2:19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19" s="1" customFormat="1" ht="26.25" x14ac:dyDescent="0.4">
      <c r="B2" s="759" t="s">
        <v>130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19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19" ht="33" customHeight="1" outlineLevel="1" x14ac:dyDescent="0.35">
      <c r="B4" s="6" t="s">
        <v>1</v>
      </c>
      <c r="C4" s="7">
        <f>155*31</f>
        <v>4805</v>
      </c>
      <c r="D4" s="8"/>
      <c r="E4" s="9"/>
      <c r="F4" s="10"/>
      <c r="G4" s="7">
        <f>80*31</f>
        <v>2480</v>
      </c>
      <c r="H4" s="11"/>
      <c r="I4" s="11"/>
      <c r="J4" s="11"/>
      <c r="K4" s="7">
        <f>80*31</f>
        <v>2480</v>
      </c>
      <c r="L4" s="12"/>
      <c r="M4" s="12"/>
      <c r="N4" s="12"/>
      <c r="O4" s="12"/>
      <c r="P4" s="12"/>
      <c r="Q4" s="13"/>
    </row>
    <row r="5" spans="2:19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128</v>
      </c>
      <c r="P5" s="763"/>
      <c r="Q5" s="764"/>
    </row>
    <row r="6" spans="2:19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19" s="94" customFormat="1" ht="33" customHeight="1" outlineLevel="1" x14ac:dyDescent="0.3">
      <c r="B7" s="89" t="s">
        <v>37</v>
      </c>
      <c r="C7" s="90">
        <v>0</v>
      </c>
      <c r="D7" s="91">
        <f t="shared" ref="D7:D16" si="0">+IF(C$24=0,0,C7/C$24)</f>
        <v>0</v>
      </c>
      <c r="E7" s="92">
        <f>IF(C7=0,0,F7/C7)</f>
        <v>0</v>
      </c>
      <c r="F7" s="93">
        <v>0</v>
      </c>
      <c r="G7" s="90">
        <v>11</v>
      </c>
      <c r="H7" s="91">
        <f t="shared" ref="H7:H16" si="1">+IF(G$24=0,0,G7/G$24)</f>
        <v>8.7163232963549924E-3</v>
      </c>
      <c r="I7" s="92">
        <f>IF(G7=0,0,J7/G7)</f>
        <v>1370</v>
      </c>
      <c r="J7" s="93">
        <v>15070</v>
      </c>
      <c r="K7" s="90">
        <f>'DOctober 2022'!D38</f>
        <v>0</v>
      </c>
      <c r="L7" s="91">
        <f>+IF(K$24=0,0,K7/K$24)</f>
        <v>0</v>
      </c>
      <c r="M7" s="92">
        <f>IF(K7=0,0,N7/K7)</f>
        <v>0</v>
      </c>
      <c r="N7" s="93">
        <f>'DOctober 2022'!D39</f>
        <v>0</v>
      </c>
      <c r="O7" s="90">
        <f t="shared" ref="O7:O24" si="2">K7-G7</f>
        <v>-11</v>
      </c>
      <c r="P7" s="92">
        <f t="shared" ref="P7:P24" si="3">M7-I7</f>
        <v>-1370</v>
      </c>
      <c r="Q7" s="93">
        <f t="shared" ref="Q7:Q24" si="4">N7-J7</f>
        <v>-15070</v>
      </c>
      <c r="S7" s="210"/>
    </row>
    <row r="8" spans="2:19" s="94" customFormat="1" ht="33" customHeight="1" outlineLevel="1" x14ac:dyDescent="0.3">
      <c r="B8" s="89" t="s">
        <v>38</v>
      </c>
      <c r="C8" s="90">
        <v>0</v>
      </c>
      <c r="D8" s="91">
        <f t="shared" si="0"/>
        <v>0</v>
      </c>
      <c r="E8" s="92">
        <f>IF(C8=0,0,F8/C8)</f>
        <v>0</v>
      </c>
      <c r="F8" s="93">
        <v>0</v>
      </c>
      <c r="G8" s="90">
        <v>803</v>
      </c>
      <c r="H8" s="91">
        <f t="shared" si="1"/>
        <v>0.63629160063391443</v>
      </c>
      <c r="I8" s="92">
        <f>IF(G8=0,0,J8/G8)</f>
        <v>1471.0485678704856</v>
      </c>
      <c r="J8" s="93">
        <v>1181252</v>
      </c>
      <c r="K8" s="90">
        <f>'DOctober 2022'!F38</f>
        <v>745</v>
      </c>
      <c r="L8" s="91">
        <f t="shared" ref="L8:L16" si="5">+IF(K$24=0,0,K8/K$24)</f>
        <v>0.42890040299366722</v>
      </c>
      <c r="M8" s="92">
        <f>IF(K8=0,0,N8/K8)</f>
        <v>1815.5566599552569</v>
      </c>
      <c r="N8" s="93">
        <f>'DOctober 2022'!F39</f>
        <v>1352589.7116666664</v>
      </c>
      <c r="O8" s="90">
        <f t="shared" si="2"/>
        <v>-58</v>
      </c>
      <c r="P8" s="92">
        <f t="shared" si="3"/>
        <v>344.50809208477131</v>
      </c>
      <c r="Q8" s="93">
        <f t="shared" si="4"/>
        <v>171337.71166666644</v>
      </c>
      <c r="S8" s="210">
        <f>P8/I8</f>
        <v>0.23419219433623933</v>
      </c>
    </row>
    <row r="9" spans="2:19" s="94" customFormat="1" ht="20.25" outlineLevel="1" x14ac:dyDescent="0.3">
      <c r="B9" s="89" t="s">
        <v>44</v>
      </c>
      <c r="C9" s="90">
        <v>0</v>
      </c>
      <c r="D9" s="91">
        <f t="shared" si="0"/>
        <v>0</v>
      </c>
      <c r="E9" s="92">
        <f>IF(C9=0,0,F9/C9)</f>
        <v>0</v>
      </c>
      <c r="F9" s="93">
        <v>0</v>
      </c>
      <c r="G9" s="90">
        <v>64</v>
      </c>
      <c r="H9" s="91">
        <f t="shared" si="1"/>
        <v>5.0713153724247229E-2</v>
      </c>
      <c r="I9" s="92">
        <f>IF(G9=0,0,J9/G9)</f>
        <v>1375.609375</v>
      </c>
      <c r="J9" s="93">
        <v>88039</v>
      </c>
      <c r="K9" s="90">
        <f>'DOctober 2022'!H38</f>
        <v>23</v>
      </c>
      <c r="L9" s="91">
        <f t="shared" si="5"/>
        <v>1.3241220495106506E-2</v>
      </c>
      <c r="M9" s="92">
        <f>IF(K9=0,0,N9/K9)</f>
        <v>1720.5147826086954</v>
      </c>
      <c r="N9" s="93">
        <f>'DOctober 2022'!H39</f>
        <v>39571.839999999997</v>
      </c>
      <c r="O9" s="90">
        <f t="shared" si="2"/>
        <v>-41</v>
      </c>
      <c r="P9" s="92">
        <f t="shared" si="3"/>
        <v>344.90540760869544</v>
      </c>
      <c r="Q9" s="93">
        <f t="shared" si="4"/>
        <v>-48467.16</v>
      </c>
      <c r="S9" s="210"/>
    </row>
    <row r="10" spans="2:19" ht="33" customHeight="1" x14ac:dyDescent="0.35">
      <c r="B10" s="20" t="s">
        <v>36</v>
      </c>
      <c r="C10" s="55">
        <f>SUM(C7:C9)</f>
        <v>0</v>
      </c>
      <c r="D10" s="21">
        <f t="shared" si="0"/>
        <v>0</v>
      </c>
      <c r="E10" s="58">
        <f>IF(C10=0,0,F10/C10)</f>
        <v>0</v>
      </c>
      <c r="F10" s="59">
        <f>SUM(F7:F9)</f>
        <v>0</v>
      </c>
      <c r="G10" s="55">
        <f>SUM(G7:G9)</f>
        <v>878</v>
      </c>
      <c r="H10" s="21">
        <f t="shared" si="1"/>
        <v>0.69572107765451663</v>
      </c>
      <c r="I10" s="58">
        <f>IF(G10=0,0,J10/G10)</f>
        <v>1462.8257403189066</v>
      </c>
      <c r="J10" s="59">
        <f>SUM(J7:J9)</f>
        <v>1284361</v>
      </c>
      <c r="K10" s="55">
        <f>SUM(K7:K9)</f>
        <v>768</v>
      </c>
      <c r="L10" s="21">
        <f t="shared" si="5"/>
        <v>0.44214162348877373</v>
      </c>
      <c r="M10" s="58">
        <f>IF(K10=0,0,N10/K10)</f>
        <v>1812.7103537326386</v>
      </c>
      <c r="N10" s="59">
        <f>SUM(N7:N9)</f>
        <v>1392161.5516666665</v>
      </c>
      <c r="O10" s="55">
        <f t="shared" si="2"/>
        <v>-110</v>
      </c>
      <c r="P10" s="58">
        <f t="shared" si="3"/>
        <v>349.88461341373204</v>
      </c>
      <c r="Q10" s="59">
        <f t="shared" si="4"/>
        <v>107800.55166666652</v>
      </c>
      <c r="S10" s="210"/>
    </row>
    <row r="11" spans="2:19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ref="E11:E16" si="6">IF(C11=0,0,F11/C11)</f>
        <v>0</v>
      </c>
      <c r="F11" s="93">
        <v>0</v>
      </c>
      <c r="G11" s="90">
        <v>10</v>
      </c>
      <c r="H11" s="91">
        <f t="shared" si="1"/>
        <v>7.9239302694136295E-3</v>
      </c>
      <c r="I11" s="92">
        <f t="shared" ref="I11:I16" si="7">IF(G11=0,0,J11/G11)</f>
        <v>1022.4</v>
      </c>
      <c r="J11" s="93">
        <v>10224</v>
      </c>
      <c r="K11" s="90">
        <f>'DOctober 2022'!J38</f>
        <v>254</v>
      </c>
      <c r="L11" s="91">
        <f t="shared" si="5"/>
        <v>0.14622913068508925</v>
      </c>
      <c r="M11" s="92">
        <f t="shared" ref="M11:M16" si="8">IF(K11=0,0,N11/K11)</f>
        <v>1466.9652186791859</v>
      </c>
      <c r="N11" s="93">
        <f>'DOctober 2022'!J39</f>
        <v>372609.16554451321</v>
      </c>
      <c r="O11" s="90">
        <f t="shared" si="2"/>
        <v>244</v>
      </c>
      <c r="P11" s="92">
        <f t="shared" si="3"/>
        <v>444.56521867918593</v>
      </c>
      <c r="Q11" s="93">
        <f t="shared" si="4"/>
        <v>362385.16554451321</v>
      </c>
      <c r="S11" s="210"/>
    </row>
    <row r="12" spans="2:19" s="94" customFormat="1" ht="33" customHeight="1" x14ac:dyDescent="0.3">
      <c r="B12" s="89" t="s">
        <v>41</v>
      </c>
      <c r="C12" s="90">
        <v>0</v>
      </c>
      <c r="D12" s="91">
        <f t="shared" si="0"/>
        <v>0</v>
      </c>
      <c r="E12" s="92">
        <f t="shared" si="6"/>
        <v>0</v>
      </c>
      <c r="F12" s="93">
        <v>0</v>
      </c>
      <c r="G12" s="90">
        <v>63</v>
      </c>
      <c r="H12" s="91">
        <f t="shared" si="1"/>
        <v>4.992076069730586E-2</v>
      </c>
      <c r="I12" s="92">
        <f t="shared" si="7"/>
        <v>1352</v>
      </c>
      <c r="J12" s="93">
        <v>85176</v>
      </c>
      <c r="K12" s="90">
        <f>'DOctober 2022'!L38</f>
        <v>384</v>
      </c>
      <c r="L12" s="91">
        <f t="shared" si="5"/>
        <v>0.22107081174438686</v>
      </c>
      <c r="M12" s="92">
        <f t="shared" si="8"/>
        <v>1451.3000130208331</v>
      </c>
      <c r="N12" s="93">
        <f>'DOctober 2022'!L39</f>
        <v>557299.20499999996</v>
      </c>
      <c r="O12" s="90">
        <f t="shared" si="2"/>
        <v>321</v>
      </c>
      <c r="P12" s="92">
        <f t="shared" si="3"/>
        <v>99.300013020833148</v>
      </c>
      <c r="Q12" s="93">
        <f t="shared" si="4"/>
        <v>472123.20499999996</v>
      </c>
      <c r="S12" s="210"/>
    </row>
    <row r="13" spans="2:19" ht="33" customHeight="1" x14ac:dyDescent="0.35">
      <c r="B13" s="20" t="s">
        <v>39</v>
      </c>
      <c r="C13" s="55">
        <f>SUM(C11:C12)</f>
        <v>0</v>
      </c>
      <c r="D13" s="21">
        <f t="shared" si="0"/>
        <v>0</v>
      </c>
      <c r="E13" s="58">
        <f t="shared" si="6"/>
        <v>0</v>
      </c>
      <c r="F13" s="59">
        <f>SUM(F11:F12)</f>
        <v>0</v>
      </c>
      <c r="G13" s="55">
        <f>SUM(G11:G12)</f>
        <v>73</v>
      </c>
      <c r="H13" s="21">
        <f t="shared" si="1"/>
        <v>5.7844690966719493E-2</v>
      </c>
      <c r="I13" s="58">
        <f t="shared" si="7"/>
        <v>1306.8493150684931</v>
      </c>
      <c r="J13" s="59">
        <f>SUM(J11:J12)</f>
        <v>95400</v>
      </c>
      <c r="K13" s="55">
        <f>SUM(K11:K12)</f>
        <v>638</v>
      </c>
      <c r="L13" s="21">
        <f t="shared" si="5"/>
        <v>0.36729994242947611</v>
      </c>
      <c r="M13" s="58">
        <f t="shared" si="8"/>
        <v>1457.5366309475128</v>
      </c>
      <c r="N13" s="59">
        <f>SUM(N11:N12)</f>
        <v>929908.37054451322</v>
      </c>
      <c r="O13" s="55">
        <f t="shared" si="2"/>
        <v>565</v>
      </c>
      <c r="P13" s="58">
        <f t="shared" si="3"/>
        <v>150.68731587901971</v>
      </c>
      <c r="Q13" s="59">
        <f t="shared" si="4"/>
        <v>834508.37054451322</v>
      </c>
      <c r="S13" s="210"/>
    </row>
    <row r="14" spans="2:19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6"/>
        <v>0</v>
      </c>
      <c r="F14" s="95">
        <v>0</v>
      </c>
      <c r="G14" s="90">
        <v>0</v>
      </c>
      <c r="H14" s="91">
        <f t="shared" si="1"/>
        <v>0</v>
      </c>
      <c r="I14" s="92">
        <f t="shared" si="7"/>
        <v>0</v>
      </c>
      <c r="J14" s="95">
        <v>0</v>
      </c>
      <c r="K14" s="90">
        <f>'DOctober 2022'!N38</f>
        <v>0</v>
      </c>
      <c r="L14" s="91">
        <f t="shared" si="5"/>
        <v>0</v>
      </c>
      <c r="M14" s="92">
        <f t="shared" si="8"/>
        <v>0</v>
      </c>
      <c r="N14" s="95">
        <f>'DOctober 2022'!N39</f>
        <v>0</v>
      </c>
      <c r="O14" s="90">
        <f t="shared" si="2"/>
        <v>0</v>
      </c>
      <c r="P14" s="92">
        <f t="shared" si="3"/>
        <v>0</v>
      </c>
      <c r="Q14" s="96">
        <f t="shared" si="4"/>
        <v>0</v>
      </c>
      <c r="S14" s="210"/>
    </row>
    <row r="15" spans="2:19" s="94" customFormat="1" ht="33" customHeight="1" x14ac:dyDescent="0.3">
      <c r="B15" s="89" t="s">
        <v>43</v>
      </c>
      <c r="C15" s="90">
        <v>2166</v>
      </c>
      <c r="D15" s="91">
        <f t="shared" si="0"/>
        <v>1</v>
      </c>
      <c r="E15" s="92">
        <f t="shared" si="6"/>
        <v>1176.9498707294551</v>
      </c>
      <c r="F15" s="95">
        <v>2549273.42</v>
      </c>
      <c r="G15" s="90">
        <v>281</v>
      </c>
      <c r="H15" s="91">
        <f t="shared" si="1"/>
        <v>0.22266244057052298</v>
      </c>
      <c r="I15" s="92">
        <f t="shared" si="7"/>
        <v>1410.2633451957295</v>
      </c>
      <c r="J15" s="95">
        <v>396284</v>
      </c>
      <c r="K15" s="90">
        <f>'DOctober 2022'!P38</f>
        <v>331</v>
      </c>
      <c r="L15" s="91">
        <f t="shared" si="5"/>
        <v>0.19055843408175013</v>
      </c>
      <c r="M15" s="92">
        <f t="shared" si="8"/>
        <v>1360.2151661631399</v>
      </c>
      <c r="N15" s="95">
        <f>'DOctober 2022'!P39</f>
        <v>450231.21999999927</v>
      </c>
      <c r="O15" s="90">
        <f t="shared" si="2"/>
        <v>50</v>
      </c>
      <c r="P15" s="92">
        <f t="shared" si="3"/>
        <v>-50.048179032589587</v>
      </c>
      <c r="Q15" s="96">
        <f t="shared" si="4"/>
        <v>53947.219999999274</v>
      </c>
      <c r="S15" s="210"/>
    </row>
    <row r="16" spans="2:19" ht="33" customHeight="1" x14ac:dyDescent="0.35">
      <c r="B16" s="20" t="s">
        <v>42</v>
      </c>
      <c r="C16" s="55">
        <f>SUM(C14:C15)</f>
        <v>2166</v>
      </c>
      <c r="D16" s="21">
        <f t="shared" si="0"/>
        <v>1</v>
      </c>
      <c r="E16" s="58">
        <f t="shared" si="6"/>
        <v>1176.9498707294551</v>
      </c>
      <c r="F16" s="87">
        <f>SUM(F14:F15)</f>
        <v>2549273.42</v>
      </c>
      <c r="G16" s="55">
        <f>SUM(G14:G15)</f>
        <v>281</v>
      </c>
      <c r="H16" s="21">
        <f t="shared" si="1"/>
        <v>0.22266244057052298</v>
      </c>
      <c r="I16" s="58">
        <f t="shared" si="7"/>
        <v>1410.2633451957295</v>
      </c>
      <c r="J16" s="87">
        <f>SUM(J14:J15)</f>
        <v>396284</v>
      </c>
      <c r="K16" s="55">
        <f>SUM(K14:K15)</f>
        <v>331</v>
      </c>
      <c r="L16" s="21">
        <f t="shared" si="5"/>
        <v>0.19055843408175013</v>
      </c>
      <c r="M16" s="58">
        <f t="shared" si="8"/>
        <v>1360.2151661631399</v>
      </c>
      <c r="N16" s="87">
        <f>SUM(N14:N15)</f>
        <v>450231.21999999927</v>
      </c>
      <c r="O16" s="55">
        <f t="shared" si="2"/>
        <v>50</v>
      </c>
      <c r="P16" s="58">
        <f t="shared" si="3"/>
        <v>-50.048179032589587</v>
      </c>
      <c r="Q16" s="88">
        <f t="shared" si="4"/>
        <v>53947.219999999274</v>
      </c>
      <c r="S16" s="210"/>
    </row>
    <row r="17" spans="2:18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</row>
    <row r="18" spans="2:18" ht="33" hidden="1" customHeight="1" x14ac:dyDescent="0.35">
      <c r="B18" s="22" t="s">
        <v>13</v>
      </c>
      <c r="C18" s="56">
        <f>C8+C9+C11+C12</f>
        <v>0</v>
      </c>
      <c r="D18" s="23">
        <f>+IF(C$24=0,0,C18/C$24)</f>
        <v>0</v>
      </c>
      <c r="E18" s="60">
        <f>IF(C18=0,0,F18/C18)</f>
        <v>0</v>
      </c>
      <c r="F18" s="61">
        <f>F8+F9+F11+F12</f>
        <v>0</v>
      </c>
      <c r="G18" s="56">
        <f>G8+G9+G11+G12</f>
        <v>940</v>
      </c>
      <c r="H18" s="23">
        <f>+IF(G$24=0,0,G18/G$24)</f>
        <v>0.74484944532488118</v>
      </c>
      <c r="I18" s="60">
        <f>IF(G18=0,0,J18/G18)</f>
        <v>1451.7989361702128</v>
      </c>
      <c r="J18" s="61">
        <f>J8+J9+J11+J12</f>
        <v>1364691</v>
      </c>
      <c r="K18" s="56">
        <f>K8+K9+K11+K12</f>
        <v>1406</v>
      </c>
      <c r="L18" s="23">
        <f>+IF(K$24=0,0,K18/K$24)</f>
        <v>0.80944156591824989</v>
      </c>
      <c r="M18" s="60">
        <f>IF(K18=0,0,N18/K18)</f>
        <v>1651.5433301644237</v>
      </c>
      <c r="N18" s="61">
        <f>N8+N9+N11+N12</f>
        <v>2322069.9222111795</v>
      </c>
      <c r="O18" s="56">
        <f t="shared" si="2"/>
        <v>466</v>
      </c>
      <c r="P18" s="60">
        <f t="shared" si="3"/>
        <v>199.7443939942109</v>
      </c>
      <c r="Q18" s="66">
        <f t="shared" si="4"/>
        <v>957378.92221117951</v>
      </c>
    </row>
    <row r="19" spans="2:18" ht="33" hidden="1" customHeight="1" x14ac:dyDescent="0.35">
      <c r="B19" s="22" t="s">
        <v>45</v>
      </c>
      <c r="C19" s="105">
        <f>C7+C14+C15</f>
        <v>2166</v>
      </c>
      <c r="D19" s="106">
        <f>+IF(C$24=0,0,C19/C$24)</f>
        <v>1</v>
      </c>
      <c r="E19" s="107">
        <f>IF(C19=0,0,F19/C19)</f>
        <v>1176.9498707294551</v>
      </c>
      <c r="F19" s="108">
        <f>F7+F14+F15</f>
        <v>2549273.42</v>
      </c>
      <c r="G19" s="105">
        <f>G7+G14+G15</f>
        <v>292</v>
      </c>
      <c r="H19" s="106">
        <f>+IF(G$24=0,0,G19/G$24)</f>
        <v>0.23137876386687797</v>
      </c>
      <c r="I19" s="107">
        <f>IF(G19=0,0,J19/G19)</f>
        <v>1408.7465753424658</v>
      </c>
      <c r="J19" s="108">
        <f>J7+J14+J15</f>
        <v>411354</v>
      </c>
      <c r="K19" s="105">
        <f>K7+K14+K15</f>
        <v>331</v>
      </c>
      <c r="L19" s="106">
        <f>+IF(K$24=0,0,K19/K$24)</f>
        <v>0.19055843408175013</v>
      </c>
      <c r="M19" s="107">
        <f>IF(K19=0,0,N19/K19)</f>
        <v>1360.2151661631399</v>
      </c>
      <c r="N19" s="108">
        <f>N7+N14+N15</f>
        <v>450231.21999999927</v>
      </c>
      <c r="O19" s="56">
        <f t="shared" si="2"/>
        <v>39</v>
      </c>
      <c r="P19" s="60">
        <f t="shared" si="3"/>
        <v>-48.531409179325919</v>
      </c>
      <c r="Q19" s="66">
        <f t="shared" si="4"/>
        <v>38877.219999999274</v>
      </c>
    </row>
    <row r="20" spans="2:18" ht="33" customHeight="1" x14ac:dyDescent="0.35">
      <c r="B20" s="28" t="s">
        <v>16</v>
      </c>
      <c r="C20" s="56">
        <f>C18+C19</f>
        <v>2166</v>
      </c>
      <c r="D20" s="23">
        <f>+IF(C$24=0,0,C20/C$24)</f>
        <v>1</v>
      </c>
      <c r="E20" s="60">
        <f>IF(C20=0,0,F20/C20)</f>
        <v>1176.9498707294551</v>
      </c>
      <c r="F20" s="64">
        <f>F18+F19</f>
        <v>2549273.42</v>
      </c>
      <c r="G20" s="56">
        <f>G18+G19</f>
        <v>1232</v>
      </c>
      <c r="H20" s="23">
        <f>+IF(G$24=0,0,G20/G$24)</f>
        <v>0.97622820919175912</v>
      </c>
      <c r="I20" s="60">
        <f>IF(G20=0,0,J20/G20)</f>
        <v>1441.5949675324675</v>
      </c>
      <c r="J20" s="64">
        <f>J18+J19</f>
        <v>1776045</v>
      </c>
      <c r="K20" s="56">
        <f>K18+K19</f>
        <v>1737</v>
      </c>
      <c r="L20" s="23">
        <f>+IF(K$24=0,0,K20/K$24)</f>
        <v>1</v>
      </c>
      <c r="M20" s="60">
        <f>IF(K20=0,0,N20/K20)</f>
        <v>1596.0282914284276</v>
      </c>
      <c r="N20" s="64">
        <f>N18+N19</f>
        <v>2772301.1422111788</v>
      </c>
      <c r="O20" s="56">
        <f t="shared" si="2"/>
        <v>505</v>
      </c>
      <c r="P20" s="60">
        <f t="shared" si="3"/>
        <v>154.43332389596003</v>
      </c>
      <c r="Q20" s="66">
        <f t="shared" si="4"/>
        <v>996256.14221117878</v>
      </c>
    </row>
    <row r="21" spans="2:18" ht="33" customHeight="1" x14ac:dyDescent="0.35">
      <c r="B21" s="29" t="s">
        <v>17</v>
      </c>
      <c r="C21" s="24">
        <f>IF(C4=0,C20,C20/$C$4)</f>
        <v>0.45078043704474507</v>
      </c>
      <c r="D21" s="30"/>
      <c r="E21" s="35"/>
      <c r="F21" s="36"/>
      <c r="G21" s="24">
        <f>IF(G4=0,G20,G20/$C$4)</f>
        <v>0.25639958376690947</v>
      </c>
      <c r="H21" s="30"/>
      <c r="I21" s="35"/>
      <c r="J21" s="36"/>
      <c r="K21" s="24">
        <f>IF(K4=0,K20,K20/$C$4)</f>
        <v>0.36149843912591051</v>
      </c>
      <c r="L21" s="30"/>
      <c r="M21" s="35"/>
      <c r="N21" s="36"/>
      <c r="O21" s="54">
        <f t="shared" si="2"/>
        <v>0.10509885535900104</v>
      </c>
      <c r="P21" s="30">
        <f t="shared" si="3"/>
        <v>0</v>
      </c>
      <c r="Q21" s="31">
        <f t="shared" si="4"/>
        <v>0</v>
      </c>
    </row>
    <row r="22" spans="2:18" ht="33" customHeight="1" x14ac:dyDescent="0.35">
      <c r="B22" s="25" t="s">
        <v>18</v>
      </c>
      <c r="C22" s="57">
        <v>0</v>
      </c>
      <c r="D22" s="26">
        <f>+IF(C$24=0,0,C22/C$24)</f>
        <v>0</v>
      </c>
      <c r="E22" s="65">
        <f>IF(C22=0,0,F22/C22)</f>
        <v>0</v>
      </c>
      <c r="F22" s="63">
        <v>0</v>
      </c>
      <c r="G22" s="57">
        <v>30</v>
      </c>
      <c r="H22" s="26">
        <f>+IF(G$24=0,0,G22/G$24)</f>
        <v>2.3771790808240888E-2</v>
      </c>
      <c r="I22" s="65">
        <f>IF(G22=0,0,J22/G22)</f>
        <v>0</v>
      </c>
      <c r="J22" s="63">
        <v>0</v>
      </c>
      <c r="K22" s="57">
        <f>'DOctober 2022'!R38</f>
        <v>0</v>
      </c>
      <c r="L22" s="26">
        <f>+IF(K$24=0,0,K22/K$24)</f>
        <v>0</v>
      </c>
      <c r="M22" s="65">
        <f>IF(K22=0,0,N22/K22)</f>
        <v>0</v>
      </c>
      <c r="N22" s="63">
        <v>0</v>
      </c>
      <c r="O22" s="57">
        <f t="shared" si="2"/>
        <v>-30</v>
      </c>
      <c r="P22" s="62">
        <f t="shared" si="3"/>
        <v>0</v>
      </c>
      <c r="Q22" s="63">
        <f t="shared" si="4"/>
        <v>0</v>
      </c>
    </row>
    <row r="23" spans="2:18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</row>
    <row r="24" spans="2:18" ht="33" customHeight="1" x14ac:dyDescent="0.35">
      <c r="B24" s="22" t="s">
        <v>20</v>
      </c>
      <c r="C24" s="56">
        <f>C10+C13+C16+C22+C23</f>
        <v>2166</v>
      </c>
      <c r="D24" s="23">
        <f>+IF(C$24=0,0,C24/C$24)</f>
        <v>1</v>
      </c>
      <c r="E24" s="60">
        <f>IF(C24=0,0,F24/C24)</f>
        <v>1176.9498707294551</v>
      </c>
      <c r="F24" s="64">
        <f>F10+F13+F16+F22+F23</f>
        <v>2549273.42</v>
      </c>
      <c r="G24" s="56">
        <f>G10+G13+G16+G22+G23</f>
        <v>1262</v>
      </c>
      <c r="H24" s="23">
        <f>+IF(G$24=0,0,G24/G$24)</f>
        <v>1</v>
      </c>
      <c r="I24" s="60">
        <f>IF(G24=0,0,J24/G24)</f>
        <v>1407.3256735340728</v>
      </c>
      <c r="J24" s="415">
        <f>J10+J13+J16+J22+J23</f>
        <v>1776045</v>
      </c>
      <c r="K24" s="56">
        <f>K10+K13+K16+K22+K23</f>
        <v>1737</v>
      </c>
      <c r="L24" s="23">
        <f>+IF(K$24=0,0,K24/K$24)</f>
        <v>1</v>
      </c>
      <c r="M24" s="60">
        <f>IF(K24=0,0,N24/K24)</f>
        <v>1596.0282914284276</v>
      </c>
      <c r="N24" s="64">
        <f>N10+N13+N16+N22+N23</f>
        <v>2772301.1422111788</v>
      </c>
      <c r="O24" s="56">
        <f t="shared" si="2"/>
        <v>475</v>
      </c>
      <c r="P24" s="60">
        <f t="shared" si="3"/>
        <v>188.70261789435472</v>
      </c>
      <c r="Q24" s="64">
        <f t="shared" si="4"/>
        <v>996256.14221117878</v>
      </c>
    </row>
    <row r="25" spans="2:18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0.13408596278961155</v>
      </c>
      <c r="Q25" s="38">
        <f>IF(J24=0,(N24-J24),(N24-J24)/J24)</f>
        <v>0.56094082200123241</v>
      </c>
    </row>
    <row r="26" spans="2:18" ht="33" customHeight="1" x14ac:dyDescent="0.35">
      <c r="B26" s="40" t="s">
        <v>21</v>
      </c>
      <c r="C26" s="41">
        <f>IF(C4=0,C24,C24/C4)</f>
        <v>0.45078043704474507</v>
      </c>
      <c r="D26" s="30"/>
      <c r="E26" s="30"/>
      <c r="F26" s="31"/>
      <c r="G26" s="41">
        <f>IF(G4=0,G24,G24/G4)</f>
        <v>0.50887096774193552</v>
      </c>
      <c r="H26" s="30"/>
      <c r="I26" s="30"/>
      <c r="J26" s="31"/>
      <c r="K26" s="41">
        <f>IF(K4=0,K24,K24/K4)</f>
        <v>0.70040322580645165</v>
      </c>
      <c r="L26" s="30"/>
      <c r="M26" s="30"/>
      <c r="N26" s="31"/>
      <c r="O26" s="41">
        <f>K26-G26</f>
        <v>0.19153225806451613</v>
      </c>
      <c r="P26" s="30"/>
      <c r="Q26" s="31"/>
    </row>
    <row r="27" spans="2:18" ht="33" customHeight="1" x14ac:dyDescent="0.35">
      <c r="B27" s="42" t="s">
        <v>22</v>
      </c>
      <c r="C27" s="43">
        <f>IF(C4=0,0,F$24/C$4)</f>
        <v>530.54597710717997</v>
      </c>
      <c r="D27" s="44"/>
      <c r="E27" s="45"/>
      <c r="F27" s="46"/>
      <c r="G27" s="43">
        <f>IF(G4=0,0,J$24/G$4)</f>
        <v>716.14717741935488</v>
      </c>
      <c r="H27" s="44"/>
      <c r="I27" s="45"/>
      <c r="J27" s="46"/>
      <c r="K27" s="43">
        <f>IF(K4=0,0,N$24/K$4)</f>
        <v>1117.8633637948301</v>
      </c>
      <c r="L27" s="44"/>
      <c r="M27" s="45"/>
      <c r="N27" s="46"/>
      <c r="O27" s="43">
        <f>K27-G27</f>
        <v>401.71618637547522</v>
      </c>
      <c r="P27" s="45"/>
      <c r="Q27" s="46"/>
    </row>
    <row r="28" spans="2:18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18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18" x14ac:dyDescent="0.35">
      <c r="B30" s="358"/>
      <c r="Q30" s="86"/>
    </row>
    <row r="31" spans="2:18" x14ac:dyDescent="0.35">
      <c r="B31" s="358"/>
      <c r="Q31" s="86"/>
    </row>
    <row r="32" spans="2:18" s="378" customFormat="1" x14ac:dyDescent="0.35">
      <c r="B32" s="358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86"/>
      <c r="R32" s="5"/>
    </row>
    <row r="33" spans="2:18" s="378" customFormat="1" x14ac:dyDescent="0.35">
      <c r="B33" s="358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86"/>
      <c r="R33" s="5"/>
    </row>
    <row r="34" spans="2:18" s="378" customFormat="1" x14ac:dyDescent="0.35">
      <c r="B34" s="358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86"/>
      <c r="R34" s="5"/>
    </row>
    <row r="35" spans="2:18" s="378" customFormat="1" x14ac:dyDescent="0.35">
      <c r="B35" s="358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86"/>
      <c r="R35" s="5"/>
    </row>
    <row r="36" spans="2:18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34"/>
  <dimension ref="A1:BD52"/>
  <sheetViews>
    <sheetView view="pageBreakPreview" topLeftCell="A7" zoomScale="60" zoomScaleNormal="100" workbookViewId="0">
      <selection activeCell="O23" sqref="O23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9.7109375" style="111" bestFit="1" customWidth="1"/>
    <col min="29" max="29" width="9.140625" style="112"/>
    <col min="30" max="30" width="9.140625" style="113"/>
    <col min="31" max="31" width="8.85546875" style="112"/>
    <col min="32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65">
        <f>'Annual 2022l2023'!C3</f>
        <v>44690</v>
      </c>
      <c r="F1" s="765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30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76"/>
      <c r="C4" s="777"/>
      <c r="D4" s="778" t="s">
        <v>131</v>
      </c>
      <c r="E4" s="779"/>
      <c r="F4" s="779"/>
      <c r="G4" s="779"/>
      <c r="H4" s="779"/>
      <c r="I4" s="779"/>
      <c r="J4" s="779"/>
      <c r="K4" s="779"/>
      <c r="L4" s="779"/>
      <c r="M4" s="779"/>
      <c r="N4" s="779"/>
      <c r="O4" s="779"/>
      <c r="P4" s="779"/>
      <c r="Q4" s="779"/>
      <c r="R4" s="779"/>
      <c r="S4" s="779"/>
      <c r="T4" s="779"/>
      <c r="U4" s="779"/>
      <c r="V4" s="779"/>
      <c r="W4" s="779"/>
      <c r="X4" s="779"/>
      <c r="Y4" s="779"/>
      <c r="Z4" s="779"/>
      <c r="AA4" s="779"/>
      <c r="AB4" s="780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81" t="s">
        <v>50</v>
      </c>
      <c r="E5" s="784"/>
      <c r="F5" s="782" t="s">
        <v>51</v>
      </c>
      <c r="G5" s="782"/>
      <c r="H5" s="773" t="s">
        <v>52</v>
      </c>
      <c r="I5" s="773"/>
      <c r="J5" s="783" t="s">
        <v>53</v>
      </c>
      <c r="K5" s="773"/>
      <c r="L5" s="783" t="s">
        <v>54</v>
      </c>
      <c r="M5" s="773"/>
      <c r="N5" s="783" t="s">
        <v>55</v>
      </c>
      <c r="O5" s="773"/>
      <c r="P5" s="783" t="s">
        <v>56</v>
      </c>
      <c r="Q5" s="773"/>
      <c r="R5" s="783" t="s">
        <v>57</v>
      </c>
      <c r="S5" s="773"/>
      <c r="T5" s="122"/>
      <c r="U5" s="774"/>
      <c r="V5" s="775"/>
      <c r="W5" s="774"/>
      <c r="X5" s="775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126" customFormat="1" ht="15.75" customHeight="1" x14ac:dyDescent="0.25">
      <c r="A7" s="793"/>
      <c r="B7" s="187" t="s">
        <v>65</v>
      </c>
      <c r="C7" s="188">
        <v>1</v>
      </c>
      <c r="D7" s="189">
        <v>0</v>
      </c>
      <c r="E7" s="190">
        <v>0</v>
      </c>
      <c r="F7" s="191">
        <v>19</v>
      </c>
      <c r="G7" s="190">
        <v>1800.45</v>
      </c>
      <c r="H7" s="191">
        <v>0</v>
      </c>
      <c r="I7" s="190">
        <v>0</v>
      </c>
      <c r="J7" s="191">
        <v>16</v>
      </c>
      <c r="K7" s="192">
        <v>1778</v>
      </c>
      <c r="L7" s="191">
        <v>13</v>
      </c>
      <c r="M7" s="192">
        <v>1352.0425</v>
      </c>
      <c r="N7" s="191">
        <v>0</v>
      </c>
      <c r="O7" s="192">
        <v>0</v>
      </c>
      <c r="P7" s="654">
        <v>15</v>
      </c>
      <c r="Q7" s="655">
        <v>1824</v>
      </c>
      <c r="R7" s="191">
        <v>2</v>
      </c>
      <c r="S7" s="192">
        <v>0</v>
      </c>
      <c r="T7" s="192"/>
      <c r="U7" s="191"/>
      <c r="V7" s="190"/>
      <c r="W7" s="191"/>
      <c r="X7" s="190"/>
      <c r="Y7" s="193">
        <f t="shared" ref="Y7:Y36" si="0">SUM(D7,F7,H7,J7,L7,U7,W7,N7,P7,R7)</f>
        <v>65</v>
      </c>
      <c r="Z7" s="194">
        <f t="shared" ref="Z7:Z36" si="1">((D7*E7)+(F7*G7)+(H7*I7)+(J7*K7)+(L7*M7)+(U7*V7)+(W7*X7)+(N7*O7)+(P7*Q7)+(R7*S7))</f>
        <v>107593.10250000001</v>
      </c>
      <c r="AA7" s="195">
        <f>IF(Z7=0,0,Z7/Y7)</f>
        <v>1655.2785000000001</v>
      </c>
      <c r="AB7" s="196">
        <f t="shared" ref="AB7:AB36" si="2">Y7/$AB$6</f>
        <v>0.8125</v>
      </c>
      <c r="AC7" s="143"/>
      <c r="AD7" s="127"/>
      <c r="AE7" s="143"/>
    </row>
    <row r="8" spans="1:55" s="126" customFormat="1" ht="15.95" customHeight="1" x14ac:dyDescent="0.25">
      <c r="A8" s="770"/>
      <c r="B8" s="136" t="s">
        <v>66</v>
      </c>
      <c r="C8" s="137">
        <v>2</v>
      </c>
      <c r="D8" s="138">
        <v>0</v>
      </c>
      <c r="E8" s="139">
        <v>0</v>
      </c>
      <c r="F8" s="140">
        <v>21</v>
      </c>
      <c r="G8" s="139">
        <v>2198.7283333333298</v>
      </c>
      <c r="H8" s="140">
        <v>2</v>
      </c>
      <c r="I8" s="139">
        <v>1938</v>
      </c>
      <c r="J8" s="140">
        <v>16</v>
      </c>
      <c r="K8" s="141">
        <v>1778</v>
      </c>
      <c r="L8" s="140">
        <v>13</v>
      </c>
      <c r="M8" s="141">
        <v>1395.65</v>
      </c>
      <c r="N8" s="140">
        <v>0</v>
      </c>
      <c r="O8" s="141">
        <v>0</v>
      </c>
      <c r="P8" s="591">
        <v>15</v>
      </c>
      <c r="Q8" s="592">
        <v>1825</v>
      </c>
      <c r="R8" s="140">
        <v>2</v>
      </c>
      <c r="S8" s="141">
        <v>0</v>
      </c>
      <c r="T8" s="141"/>
      <c r="U8" s="140"/>
      <c r="V8" s="139"/>
      <c r="W8" s="140"/>
      <c r="X8" s="139"/>
      <c r="Y8" s="142">
        <f t="shared" si="0"/>
        <v>69</v>
      </c>
      <c r="Z8" s="143">
        <f t="shared" si="1"/>
        <v>124015.74499999992</v>
      </c>
      <c r="AA8" s="144">
        <f t="shared" ref="AA8:AA33" si="3">IF(Z8=0,0,Z8/Y8)</f>
        <v>1797.3296376811584</v>
      </c>
      <c r="AB8" s="145">
        <f t="shared" si="2"/>
        <v>0.86250000000000004</v>
      </c>
      <c r="AC8" s="143"/>
      <c r="AD8" s="127"/>
      <c r="AE8" s="143"/>
    </row>
    <row r="9" spans="1:55" s="126" customFormat="1" ht="15.95" customHeight="1" x14ac:dyDescent="0.25">
      <c r="A9" s="770"/>
      <c r="B9" s="136" t="s">
        <v>67</v>
      </c>
      <c r="C9" s="137">
        <v>3</v>
      </c>
      <c r="D9" s="138">
        <v>0</v>
      </c>
      <c r="E9" s="139">
        <v>0</v>
      </c>
      <c r="F9" s="140">
        <v>23</v>
      </c>
      <c r="G9" s="139">
        <v>2109.0544444444399</v>
      </c>
      <c r="H9" s="140">
        <v>2</v>
      </c>
      <c r="I9" s="139">
        <v>1966</v>
      </c>
      <c r="J9" s="140">
        <v>16</v>
      </c>
      <c r="K9" s="141">
        <v>1778</v>
      </c>
      <c r="L9" s="140">
        <v>13</v>
      </c>
      <c r="M9" s="141">
        <v>1584.78</v>
      </c>
      <c r="N9" s="140">
        <v>0</v>
      </c>
      <c r="O9" s="141">
        <v>0</v>
      </c>
      <c r="P9" s="352">
        <v>0</v>
      </c>
      <c r="Q9" s="353">
        <v>0</v>
      </c>
      <c r="R9" s="140">
        <v>2</v>
      </c>
      <c r="S9" s="141">
        <v>0</v>
      </c>
      <c r="T9" s="141"/>
      <c r="U9" s="140"/>
      <c r="V9" s="139"/>
      <c r="W9" s="140"/>
      <c r="X9" s="139"/>
      <c r="Y9" s="142">
        <f t="shared" si="0"/>
        <v>56</v>
      </c>
      <c r="Z9" s="143">
        <f t="shared" si="1"/>
        <v>101490.39222222212</v>
      </c>
      <c r="AA9" s="331">
        <f t="shared" si="3"/>
        <v>1812.3284325396805</v>
      </c>
      <c r="AB9" s="145">
        <f t="shared" si="2"/>
        <v>0.7</v>
      </c>
      <c r="AC9" s="143"/>
      <c r="AD9" s="127"/>
      <c r="AE9" s="143"/>
    </row>
    <row r="10" spans="1:55" s="126" customFormat="1" ht="15.95" customHeight="1" x14ac:dyDescent="0.25">
      <c r="A10" s="794"/>
      <c r="B10" s="616" t="s">
        <v>68</v>
      </c>
      <c r="C10" s="617">
        <v>4</v>
      </c>
      <c r="D10" s="618">
        <v>0</v>
      </c>
      <c r="E10" s="619">
        <v>0</v>
      </c>
      <c r="F10" s="620">
        <v>25</v>
      </c>
      <c r="G10" s="619">
        <v>2455.3133333333299</v>
      </c>
      <c r="H10" s="620">
        <v>1</v>
      </c>
      <c r="I10" s="619">
        <v>1966</v>
      </c>
      <c r="J10" s="620">
        <v>36</v>
      </c>
      <c r="K10" s="621">
        <v>1778</v>
      </c>
      <c r="L10" s="620">
        <v>8</v>
      </c>
      <c r="M10" s="621">
        <v>1584.78</v>
      </c>
      <c r="N10" s="620">
        <v>0</v>
      </c>
      <c r="O10" s="621">
        <v>0</v>
      </c>
      <c r="P10" s="620">
        <v>0</v>
      </c>
      <c r="Q10" s="621">
        <v>0</v>
      </c>
      <c r="R10" s="620">
        <v>0</v>
      </c>
      <c r="S10" s="621">
        <v>0</v>
      </c>
      <c r="T10" s="621"/>
      <c r="U10" s="620"/>
      <c r="V10" s="619"/>
      <c r="W10" s="620"/>
      <c r="X10" s="619"/>
      <c r="Y10" s="622">
        <f t="shared" si="0"/>
        <v>70</v>
      </c>
      <c r="Z10" s="623">
        <f t="shared" si="1"/>
        <v>140035.07333333325</v>
      </c>
      <c r="AA10" s="640">
        <f t="shared" si="3"/>
        <v>2000.5010476190464</v>
      </c>
      <c r="AB10" s="625">
        <f t="shared" si="2"/>
        <v>0.875</v>
      </c>
      <c r="AC10" s="143"/>
      <c r="AD10" s="127"/>
      <c r="AE10" s="143"/>
    </row>
    <row r="11" spans="1:55" s="146" customFormat="1" ht="15.95" customHeight="1" x14ac:dyDescent="0.25">
      <c r="A11" s="794"/>
      <c r="B11" s="616" t="s">
        <v>69</v>
      </c>
      <c r="C11" s="617">
        <v>5</v>
      </c>
      <c r="D11" s="618">
        <v>0</v>
      </c>
      <c r="E11" s="619">
        <v>0</v>
      </c>
      <c r="F11" s="620">
        <v>28</v>
      </c>
      <c r="G11" s="619">
        <v>2333.3939999999998</v>
      </c>
      <c r="H11" s="620">
        <v>0</v>
      </c>
      <c r="I11" s="619">
        <v>0</v>
      </c>
      <c r="J11" s="620">
        <v>20</v>
      </c>
      <c r="K11" s="621">
        <v>1351.37037037037</v>
      </c>
      <c r="L11" s="620">
        <v>8</v>
      </c>
      <c r="M11" s="621">
        <v>1656</v>
      </c>
      <c r="N11" s="620">
        <v>0</v>
      </c>
      <c r="O11" s="621">
        <v>0</v>
      </c>
      <c r="P11" s="620">
        <v>0</v>
      </c>
      <c r="Q11" s="621">
        <v>0</v>
      </c>
      <c r="R11" s="620">
        <v>0</v>
      </c>
      <c r="S11" s="621">
        <v>0</v>
      </c>
      <c r="T11" s="621"/>
      <c r="U11" s="620"/>
      <c r="V11" s="619"/>
      <c r="W11" s="620"/>
      <c r="X11" s="619"/>
      <c r="Y11" s="622">
        <f t="shared" si="0"/>
        <v>56</v>
      </c>
      <c r="Z11" s="623">
        <f t="shared" si="1"/>
        <v>105610.43940740739</v>
      </c>
      <c r="AA11" s="640">
        <f t="shared" si="3"/>
        <v>1885.9007037037034</v>
      </c>
      <c r="AB11" s="625">
        <f t="shared" si="2"/>
        <v>0.7</v>
      </c>
      <c r="AC11" s="143"/>
      <c r="AD11" s="127"/>
      <c r="AE11" s="143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  <c r="BB11" s="126"/>
    </row>
    <row r="12" spans="1:55" s="126" customFormat="1" ht="15.95" customHeight="1" x14ac:dyDescent="0.25">
      <c r="A12" s="794"/>
      <c r="B12" s="150" t="s">
        <v>63</v>
      </c>
      <c r="C12" s="151">
        <v>6</v>
      </c>
      <c r="D12" s="152">
        <v>0</v>
      </c>
      <c r="E12" s="153">
        <v>0</v>
      </c>
      <c r="F12" s="154">
        <v>22</v>
      </c>
      <c r="G12" s="153">
        <v>3047.83</v>
      </c>
      <c r="H12" s="154">
        <v>0</v>
      </c>
      <c r="I12" s="153">
        <v>0</v>
      </c>
      <c r="J12" s="154">
        <v>10</v>
      </c>
      <c r="K12" s="155">
        <v>1343.48</v>
      </c>
      <c r="L12" s="154">
        <v>13</v>
      </c>
      <c r="M12" s="155">
        <v>1683.48</v>
      </c>
      <c r="N12" s="154">
        <v>0</v>
      </c>
      <c r="O12" s="155">
        <v>0</v>
      </c>
      <c r="P12" s="154">
        <v>0</v>
      </c>
      <c r="Q12" s="155">
        <v>0</v>
      </c>
      <c r="R12" s="154">
        <v>2</v>
      </c>
      <c r="S12" s="155">
        <v>0</v>
      </c>
      <c r="T12" s="155"/>
      <c r="U12" s="154"/>
      <c r="V12" s="153"/>
      <c r="W12" s="154"/>
      <c r="X12" s="153"/>
      <c r="Y12" s="156">
        <f t="shared" si="0"/>
        <v>47</v>
      </c>
      <c r="Z12" s="157">
        <f>((D12*E12)+(F12*G12)+(H12*I12)+(J12*K12)+(L12*M12)+(U12*V12)+(W12*X12)+(N12*O12)+(P12*Q12)+(R12*S12))</f>
        <v>102372.3</v>
      </c>
      <c r="AA12" s="158">
        <f t="shared" si="3"/>
        <v>2178.1340425531916</v>
      </c>
      <c r="AB12" s="159">
        <f t="shared" si="2"/>
        <v>0.58750000000000002</v>
      </c>
      <c r="AC12" s="143"/>
      <c r="AD12" s="127"/>
      <c r="AE12" s="143"/>
    </row>
    <row r="13" spans="1:55" s="126" customFormat="1" ht="15.75" customHeight="1" x14ac:dyDescent="0.25">
      <c r="A13" s="794"/>
      <c r="B13" s="616" t="s">
        <v>64</v>
      </c>
      <c r="C13" s="617">
        <v>7</v>
      </c>
      <c r="D13" s="618">
        <v>0</v>
      </c>
      <c r="E13" s="619">
        <v>0</v>
      </c>
      <c r="F13" s="620">
        <v>27</v>
      </c>
      <c r="G13" s="619">
        <v>3047.83</v>
      </c>
      <c r="H13" s="620">
        <v>0</v>
      </c>
      <c r="I13" s="619">
        <v>0</v>
      </c>
      <c r="J13" s="620">
        <v>16</v>
      </c>
      <c r="K13" s="621">
        <v>1527.33142857142</v>
      </c>
      <c r="L13" s="620">
        <v>13</v>
      </c>
      <c r="M13" s="621">
        <v>2189.3780769230698</v>
      </c>
      <c r="N13" s="620">
        <v>0</v>
      </c>
      <c r="O13" s="621">
        <v>0</v>
      </c>
      <c r="P13" s="620">
        <v>0</v>
      </c>
      <c r="Q13" s="621">
        <v>0</v>
      </c>
      <c r="R13" s="620">
        <v>0</v>
      </c>
      <c r="S13" s="621">
        <v>0</v>
      </c>
      <c r="T13" s="621"/>
      <c r="U13" s="620"/>
      <c r="V13" s="619"/>
      <c r="W13" s="620"/>
      <c r="X13" s="619"/>
      <c r="Y13" s="622">
        <f t="shared" si="0"/>
        <v>56</v>
      </c>
      <c r="Z13" s="623">
        <f>((D13*E13)+(F13*G13)+(H13*I13)+(J13*K13)+(L13*M13)+(U13*V13)+(W13*X13)+(N13*O13)+(P13*Q13)+(R13*S13))</f>
        <v>135190.62785714265</v>
      </c>
      <c r="AA13" s="641">
        <f t="shared" si="3"/>
        <v>2414.1183545918329</v>
      </c>
      <c r="AB13" s="627">
        <f t="shared" si="2"/>
        <v>0.7</v>
      </c>
      <c r="AC13" s="143"/>
      <c r="AD13" s="127"/>
      <c r="AE13" s="143"/>
    </row>
    <row r="14" spans="1:55" s="126" customFormat="1" ht="15.95" customHeight="1" x14ac:dyDescent="0.25">
      <c r="A14" s="225"/>
      <c r="B14" s="136" t="s">
        <v>65</v>
      </c>
      <c r="C14" s="137">
        <v>8</v>
      </c>
      <c r="D14" s="138">
        <v>0</v>
      </c>
      <c r="E14" s="139">
        <v>0</v>
      </c>
      <c r="F14" s="140">
        <v>27</v>
      </c>
      <c r="G14" s="139">
        <v>3047.83</v>
      </c>
      <c r="H14" s="140">
        <v>2</v>
      </c>
      <c r="I14" s="139">
        <v>1505</v>
      </c>
      <c r="J14" s="140">
        <v>6</v>
      </c>
      <c r="K14" s="141">
        <v>1826.09</v>
      </c>
      <c r="L14" s="140">
        <v>13</v>
      </c>
      <c r="M14" s="141">
        <v>2190.4349999999999</v>
      </c>
      <c r="N14" s="140">
        <v>0</v>
      </c>
      <c r="O14" s="141">
        <v>0</v>
      </c>
      <c r="P14" s="591">
        <v>15</v>
      </c>
      <c r="Q14" s="592">
        <v>1824</v>
      </c>
      <c r="R14" s="140">
        <v>1</v>
      </c>
      <c r="S14" s="141">
        <v>0</v>
      </c>
      <c r="T14" s="141"/>
      <c r="U14" s="140"/>
      <c r="V14" s="139"/>
      <c r="W14" s="140"/>
      <c r="X14" s="139"/>
      <c r="Y14" s="142">
        <f t="shared" si="0"/>
        <v>64</v>
      </c>
      <c r="Z14" s="143">
        <f t="shared" si="1"/>
        <v>152093.60499999998</v>
      </c>
      <c r="AA14" s="329">
        <f t="shared" si="3"/>
        <v>2376.4625781249997</v>
      </c>
      <c r="AB14" s="148">
        <f t="shared" si="2"/>
        <v>0.8</v>
      </c>
      <c r="AC14" s="143"/>
      <c r="AD14" s="127"/>
      <c r="AE14" s="143"/>
    </row>
    <row r="15" spans="1:55" s="126" customFormat="1" ht="15.95" customHeight="1" x14ac:dyDescent="0.25">
      <c r="A15" s="794"/>
      <c r="B15" s="136" t="s">
        <v>66</v>
      </c>
      <c r="C15" s="137">
        <v>9</v>
      </c>
      <c r="D15" s="138">
        <v>0</v>
      </c>
      <c r="E15" s="139">
        <v>0</v>
      </c>
      <c r="F15" s="140">
        <v>31</v>
      </c>
      <c r="G15" s="139">
        <v>2168.17</v>
      </c>
      <c r="H15" s="140">
        <v>2</v>
      </c>
      <c r="I15" s="139">
        <v>1505</v>
      </c>
      <c r="J15" s="140">
        <v>0</v>
      </c>
      <c r="K15" s="141">
        <v>0</v>
      </c>
      <c r="L15" s="140">
        <v>14</v>
      </c>
      <c r="M15" s="141">
        <v>2179.7123076922999</v>
      </c>
      <c r="N15" s="140">
        <v>0</v>
      </c>
      <c r="O15" s="141">
        <v>0</v>
      </c>
      <c r="P15" s="591">
        <v>15</v>
      </c>
      <c r="Q15" s="592">
        <v>1825</v>
      </c>
      <c r="R15" s="140">
        <v>1</v>
      </c>
      <c r="S15" s="141">
        <v>0</v>
      </c>
      <c r="T15" s="141"/>
      <c r="U15" s="140"/>
      <c r="V15" s="139"/>
      <c r="W15" s="140"/>
      <c r="X15" s="139"/>
      <c r="Y15" s="142">
        <f t="shared" si="0"/>
        <v>63</v>
      </c>
      <c r="Z15" s="143">
        <f t="shared" si="1"/>
        <v>128114.2423076922</v>
      </c>
      <c r="AA15" s="147">
        <f>IF(Z15=0,0,Z15/Y15)</f>
        <v>2033.5594017093999</v>
      </c>
      <c r="AB15" s="148">
        <f t="shared" si="2"/>
        <v>0.78749999999999998</v>
      </c>
      <c r="AC15" s="143"/>
      <c r="AD15" s="127"/>
      <c r="AE15" s="143"/>
    </row>
    <row r="16" spans="1:55" s="126" customFormat="1" ht="15.95" customHeight="1" x14ac:dyDescent="0.25">
      <c r="A16" s="794"/>
      <c r="B16" s="136" t="s">
        <v>67</v>
      </c>
      <c r="C16" s="137">
        <v>10</v>
      </c>
      <c r="D16" s="138">
        <v>0</v>
      </c>
      <c r="E16" s="139">
        <v>0</v>
      </c>
      <c r="F16" s="140">
        <v>31</v>
      </c>
      <c r="G16" s="139">
        <v>2109.5700000000002</v>
      </c>
      <c r="H16" s="140">
        <v>2</v>
      </c>
      <c r="I16" s="139">
        <v>1505</v>
      </c>
      <c r="J16" s="140">
        <v>20</v>
      </c>
      <c r="K16" s="141">
        <v>1963.83</v>
      </c>
      <c r="L16" s="140">
        <v>14</v>
      </c>
      <c r="M16" s="141">
        <v>1395.65</v>
      </c>
      <c r="N16" s="140">
        <v>0</v>
      </c>
      <c r="O16" s="141">
        <v>0</v>
      </c>
      <c r="P16" s="140">
        <v>0</v>
      </c>
      <c r="Q16" s="141">
        <v>0</v>
      </c>
      <c r="R16" s="140">
        <v>1</v>
      </c>
      <c r="S16" s="141">
        <v>0</v>
      </c>
      <c r="T16" s="141"/>
      <c r="U16" s="140"/>
      <c r="V16" s="139"/>
      <c r="W16" s="140"/>
      <c r="X16" s="139"/>
      <c r="Y16" s="142">
        <f t="shared" si="0"/>
        <v>68</v>
      </c>
      <c r="Z16" s="143">
        <f t="shared" si="1"/>
        <v>127222.37000000002</v>
      </c>
      <c r="AA16" s="329">
        <f>IF(Z16=0,0,Z16/Y16)</f>
        <v>1870.9172058823533</v>
      </c>
      <c r="AB16" s="148">
        <f t="shared" si="2"/>
        <v>0.85</v>
      </c>
      <c r="AC16" s="143"/>
      <c r="AD16" s="127"/>
      <c r="AE16" s="143"/>
    </row>
    <row r="17" spans="1:55" s="160" customFormat="1" ht="15.75" customHeight="1" x14ac:dyDescent="0.25">
      <c r="A17" s="225"/>
      <c r="B17" s="616" t="s">
        <v>68</v>
      </c>
      <c r="C17" s="617">
        <v>11</v>
      </c>
      <c r="D17" s="618">
        <v>0</v>
      </c>
      <c r="E17" s="619">
        <v>0</v>
      </c>
      <c r="F17" s="620">
        <v>21</v>
      </c>
      <c r="G17" s="619">
        <v>1800</v>
      </c>
      <c r="H17" s="620">
        <v>0</v>
      </c>
      <c r="I17" s="619">
        <v>0</v>
      </c>
      <c r="J17" s="620">
        <v>41</v>
      </c>
      <c r="K17" s="621">
        <v>1661.85191489361</v>
      </c>
      <c r="L17" s="620">
        <v>8</v>
      </c>
      <c r="M17" s="621">
        <v>1584.78</v>
      </c>
      <c r="N17" s="620">
        <v>0</v>
      </c>
      <c r="O17" s="621">
        <v>0</v>
      </c>
      <c r="P17" s="656">
        <v>10</v>
      </c>
      <c r="Q17" s="657">
        <v>2360.87</v>
      </c>
      <c r="R17" s="620">
        <v>0</v>
      </c>
      <c r="S17" s="621">
        <v>0</v>
      </c>
      <c r="T17" s="621"/>
      <c r="U17" s="620"/>
      <c r="V17" s="619"/>
      <c r="W17" s="620"/>
      <c r="X17" s="619"/>
      <c r="Y17" s="622">
        <f t="shared" si="0"/>
        <v>80</v>
      </c>
      <c r="Z17" s="623">
        <f t="shared" si="1"/>
        <v>142222.86851063801</v>
      </c>
      <c r="AA17" s="626">
        <f t="shared" si="3"/>
        <v>1777.7858563829752</v>
      </c>
      <c r="AB17" s="627">
        <f t="shared" si="2"/>
        <v>1</v>
      </c>
      <c r="AC17" s="143"/>
      <c r="AD17" s="127"/>
      <c r="AE17" s="143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  <c r="BA17" s="126"/>
      <c r="BB17" s="126"/>
    </row>
    <row r="18" spans="1:55" s="126" customFormat="1" ht="15.75" customHeight="1" x14ac:dyDescent="0.25">
      <c r="A18" s="225"/>
      <c r="B18" s="616" t="s">
        <v>69</v>
      </c>
      <c r="C18" s="617">
        <v>12</v>
      </c>
      <c r="D18" s="618">
        <v>0</v>
      </c>
      <c r="E18" s="619">
        <v>0</v>
      </c>
      <c r="F18" s="620">
        <v>35</v>
      </c>
      <c r="G18" s="619">
        <v>1800</v>
      </c>
      <c r="H18" s="620">
        <v>0</v>
      </c>
      <c r="I18" s="619">
        <v>0</v>
      </c>
      <c r="J18" s="620">
        <v>21</v>
      </c>
      <c r="K18" s="621">
        <v>1438.1644444444401</v>
      </c>
      <c r="L18" s="620">
        <v>10</v>
      </c>
      <c r="M18" s="621">
        <v>1890.335</v>
      </c>
      <c r="N18" s="620">
        <v>0</v>
      </c>
      <c r="O18" s="621">
        <v>0</v>
      </c>
      <c r="P18" s="656">
        <v>10</v>
      </c>
      <c r="Q18" s="657">
        <v>2360.87</v>
      </c>
      <c r="R18" s="620">
        <v>0</v>
      </c>
      <c r="S18" s="621">
        <v>0</v>
      </c>
      <c r="T18" s="621"/>
      <c r="U18" s="620"/>
      <c r="V18" s="619"/>
      <c r="W18" s="620"/>
      <c r="X18" s="619"/>
      <c r="Y18" s="622">
        <f t="shared" si="0"/>
        <v>76</v>
      </c>
      <c r="Z18" s="623">
        <f t="shared" si="1"/>
        <v>135713.50333333324</v>
      </c>
      <c r="AA18" s="626">
        <f t="shared" si="3"/>
        <v>1785.7039912280688</v>
      </c>
      <c r="AB18" s="627">
        <f t="shared" si="2"/>
        <v>0.95</v>
      </c>
      <c r="AC18" s="143"/>
      <c r="AD18" s="127"/>
      <c r="AE18" s="143"/>
    </row>
    <row r="19" spans="1:55" s="126" customFormat="1" ht="15.95" customHeight="1" x14ac:dyDescent="0.25">
      <c r="A19" s="225"/>
      <c r="B19" s="150" t="s">
        <v>63</v>
      </c>
      <c r="C19" s="151">
        <v>13</v>
      </c>
      <c r="D19" s="152">
        <v>0</v>
      </c>
      <c r="E19" s="153">
        <v>0</v>
      </c>
      <c r="F19" s="154">
        <v>41</v>
      </c>
      <c r="G19" s="153">
        <v>1301.8483333333299</v>
      </c>
      <c r="H19" s="154">
        <v>1</v>
      </c>
      <c r="I19" s="153">
        <v>1938.17</v>
      </c>
      <c r="J19" s="154">
        <v>10</v>
      </c>
      <c r="K19" s="155">
        <v>1343.48</v>
      </c>
      <c r="L19" s="154">
        <v>10</v>
      </c>
      <c r="M19" s="155">
        <v>1869.84666666666</v>
      </c>
      <c r="N19" s="154">
        <v>0</v>
      </c>
      <c r="O19" s="155">
        <v>0</v>
      </c>
      <c r="P19" s="154">
        <v>0</v>
      </c>
      <c r="Q19" s="155">
        <v>0</v>
      </c>
      <c r="R19" s="154">
        <v>1</v>
      </c>
      <c r="S19" s="155">
        <v>0</v>
      </c>
      <c r="T19" s="155"/>
      <c r="U19" s="154"/>
      <c r="V19" s="153"/>
      <c r="W19" s="154"/>
      <c r="X19" s="153"/>
      <c r="Y19" s="156">
        <f t="shared" si="0"/>
        <v>63</v>
      </c>
      <c r="Z19" s="157">
        <f t="shared" si="1"/>
        <v>87447.218333333134</v>
      </c>
      <c r="AA19" s="158">
        <f t="shared" si="3"/>
        <v>1388.0510846560815</v>
      </c>
      <c r="AB19" s="159">
        <f t="shared" si="2"/>
        <v>0.78749999999999998</v>
      </c>
      <c r="AC19" s="143"/>
      <c r="AD19" s="127"/>
      <c r="AE19" s="143"/>
    </row>
    <row r="20" spans="1:55" s="126" customFormat="1" ht="15.95" customHeight="1" x14ac:dyDescent="0.25">
      <c r="A20" s="225"/>
      <c r="B20" s="136" t="s">
        <v>64</v>
      </c>
      <c r="C20" s="137">
        <v>14</v>
      </c>
      <c r="D20" s="138">
        <v>0</v>
      </c>
      <c r="E20" s="139">
        <v>0</v>
      </c>
      <c r="F20" s="140">
        <v>35</v>
      </c>
      <c r="G20" s="139">
        <v>1288.95</v>
      </c>
      <c r="H20" s="140">
        <v>1</v>
      </c>
      <c r="I20" s="139">
        <v>1965.65</v>
      </c>
      <c r="J20" s="140">
        <v>10</v>
      </c>
      <c r="K20" s="141">
        <v>1343.48</v>
      </c>
      <c r="L20" s="140">
        <v>10</v>
      </c>
      <c r="M20" s="141">
        <v>1773.91</v>
      </c>
      <c r="N20" s="140">
        <v>0</v>
      </c>
      <c r="O20" s="141">
        <v>0</v>
      </c>
      <c r="P20" s="591">
        <v>10</v>
      </c>
      <c r="Q20" s="592">
        <v>1824</v>
      </c>
      <c r="R20" s="140">
        <v>1</v>
      </c>
      <c r="S20" s="141">
        <v>0</v>
      </c>
      <c r="T20" s="141"/>
      <c r="U20" s="140"/>
      <c r="V20" s="139"/>
      <c r="W20" s="140"/>
      <c r="X20" s="139"/>
      <c r="Y20" s="142">
        <f t="shared" si="0"/>
        <v>67</v>
      </c>
      <c r="Z20" s="143">
        <f t="shared" si="1"/>
        <v>96492.800000000003</v>
      </c>
      <c r="AA20" s="329">
        <f t="shared" si="3"/>
        <v>1440.1910447761195</v>
      </c>
      <c r="AB20" s="148">
        <f t="shared" si="2"/>
        <v>0.83750000000000002</v>
      </c>
      <c r="AC20" s="143"/>
      <c r="AD20" s="127"/>
      <c r="AE20" s="143"/>
    </row>
    <row r="21" spans="1:55" s="126" customFormat="1" ht="15.95" customHeight="1" x14ac:dyDescent="0.25">
      <c r="A21" s="225"/>
      <c r="B21" s="136" t="s">
        <v>65</v>
      </c>
      <c r="C21" s="137">
        <v>15</v>
      </c>
      <c r="D21" s="138">
        <v>0</v>
      </c>
      <c r="E21" s="139">
        <v>0</v>
      </c>
      <c r="F21" s="140">
        <v>38</v>
      </c>
      <c r="G21" s="139">
        <v>1136.7619999999999</v>
      </c>
      <c r="H21" s="140">
        <v>2</v>
      </c>
      <c r="I21" s="139">
        <v>1966</v>
      </c>
      <c r="J21" s="140">
        <v>0</v>
      </c>
      <c r="K21" s="141">
        <v>0</v>
      </c>
      <c r="L21" s="140">
        <v>14</v>
      </c>
      <c r="M21" s="141">
        <v>1604.77</v>
      </c>
      <c r="N21" s="140">
        <v>0</v>
      </c>
      <c r="O21" s="141">
        <v>0</v>
      </c>
      <c r="P21" s="591">
        <v>10</v>
      </c>
      <c r="Q21" s="592">
        <v>1824</v>
      </c>
      <c r="R21" s="140">
        <v>1</v>
      </c>
      <c r="S21" s="141">
        <v>0</v>
      </c>
      <c r="T21" s="141"/>
      <c r="U21" s="140"/>
      <c r="V21" s="139"/>
      <c r="W21" s="140"/>
      <c r="X21" s="139"/>
      <c r="Y21" s="142">
        <f t="shared" si="0"/>
        <v>65</v>
      </c>
      <c r="Z21" s="143">
        <f t="shared" si="1"/>
        <v>87835.736000000004</v>
      </c>
      <c r="AA21" s="329">
        <f t="shared" si="3"/>
        <v>1351.3190153846153</v>
      </c>
      <c r="AB21" s="148">
        <f t="shared" si="2"/>
        <v>0.8125</v>
      </c>
      <c r="AC21" s="143"/>
      <c r="AD21" s="127"/>
      <c r="AE21" s="143"/>
    </row>
    <row r="22" spans="1:55" s="128" customFormat="1" ht="15.95" customHeight="1" x14ac:dyDescent="0.25">
      <c r="A22" s="225"/>
      <c r="B22" s="136" t="s">
        <v>66</v>
      </c>
      <c r="C22" s="137">
        <v>16</v>
      </c>
      <c r="D22" s="138">
        <v>0</v>
      </c>
      <c r="E22" s="139">
        <v>0</v>
      </c>
      <c r="F22" s="140">
        <v>39</v>
      </c>
      <c r="G22" s="139">
        <v>1086.8699999999999</v>
      </c>
      <c r="H22" s="140">
        <v>2</v>
      </c>
      <c r="I22" s="139">
        <v>1966</v>
      </c>
      <c r="J22" s="140">
        <v>0</v>
      </c>
      <c r="K22" s="141">
        <v>0</v>
      </c>
      <c r="L22" s="140">
        <v>14</v>
      </c>
      <c r="M22" s="141">
        <v>1634.3920000000001</v>
      </c>
      <c r="N22" s="140">
        <v>0</v>
      </c>
      <c r="O22" s="141">
        <v>0</v>
      </c>
      <c r="P22" s="591">
        <v>10</v>
      </c>
      <c r="Q22" s="592">
        <v>1824</v>
      </c>
      <c r="R22" s="140">
        <v>1</v>
      </c>
      <c r="S22" s="141">
        <v>0</v>
      </c>
      <c r="T22" s="141"/>
      <c r="U22" s="140"/>
      <c r="V22" s="139"/>
      <c r="W22" s="140"/>
      <c r="X22" s="139"/>
      <c r="Y22" s="142">
        <f t="shared" si="0"/>
        <v>66</v>
      </c>
      <c r="Z22" s="143">
        <f t="shared" si="1"/>
        <v>87441.417999999991</v>
      </c>
      <c r="AA22" s="147">
        <f t="shared" si="3"/>
        <v>1324.8699696969695</v>
      </c>
      <c r="AB22" s="148">
        <f t="shared" si="2"/>
        <v>0.82499999999999996</v>
      </c>
      <c r="AC22" s="143"/>
      <c r="AD22" s="127"/>
      <c r="AE22" s="143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</row>
    <row r="23" spans="1:55" s="128" customFormat="1" ht="15.95" customHeight="1" x14ac:dyDescent="0.25">
      <c r="A23" s="795"/>
      <c r="B23" s="136" t="s">
        <v>67</v>
      </c>
      <c r="C23" s="137">
        <v>17</v>
      </c>
      <c r="D23" s="138">
        <v>0</v>
      </c>
      <c r="E23" s="139">
        <v>0</v>
      </c>
      <c r="F23" s="140">
        <v>39</v>
      </c>
      <c r="G23" s="139">
        <v>1716.08666666666</v>
      </c>
      <c r="H23" s="140">
        <v>1</v>
      </c>
      <c r="I23" s="139">
        <v>1938.17</v>
      </c>
      <c r="J23" s="140">
        <v>0</v>
      </c>
      <c r="K23" s="141">
        <v>0</v>
      </c>
      <c r="L23" s="140">
        <v>10</v>
      </c>
      <c r="M23" s="141">
        <v>1630.2433333333299</v>
      </c>
      <c r="N23" s="140">
        <v>0</v>
      </c>
      <c r="O23" s="141">
        <v>0</v>
      </c>
      <c r="P23" s="140">
        <v>0</v>
      </c>
      <c r="Q23" s="141">
        <v>0</v>
      </c>
      <c r="R23" s="140">
        <v>1</v>
      </c>
      <c r="S23" s="141">
        <v>0</v>
      </c>
      <c r="T23" s="141"/>
      <c r="U23" s="140"/>
      <c r="V23" s="139"/>
      <c r="W23" s="140"/>
      <c r="X23" s="139"/>
      <c r="Y23" s="142">
        <f t="shared" si="0"/>
        <v>51</v>
      </c>
      <c r="Z23" s="143">
        <f t="shared" si="1"/>
        <v>85167.983333333046</v>
      </c>
      <c r="AA23" s="329">
        <f t="shared" si="3"/>
        <v>1669.9604575163341</v>
      </c>
      <c r="AB23" s="148">
        <f t="shared" si="2"/>
        <v>0.63749999999999996</v>
      </c>
      <c r="AC23" s="143"/>
      <c r="AD23" s="127"/>
      <c r="AE23" s="143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</row>
    <row r="24" spans="1:55" s="126" customFormat="1" ht="15.95" customHeight="1" x14ac:dyDescent="0.25">
      <c r="A24" s="795"/>
      <c r="B24" s="616" t="s">
        <v>68</v>
      </c>
      <c r="C24" s="617">
        <v>18</v>
      </c>
      <c r="D24" s="618">
        <v>0</v>
      </c>
      <c r="E24" s="619">
        <v>0</v>
      </c>
      <c r="F24" s="620">
        <v>46</v>
      </c>
      <c r="G24" s="619">
        <v>1942.4714285714199</v>
      </c>
      <c r="H24" s="620">
        <v>1</v>
      </c>
      <c r="I24" s="619">
        <v>1965.65</v>
      </c>
      <c r="J24" s="620">
        <v>13</v>
      </c>
      <c r="K24" s="621">
        <v>2329.0459999999998</v>
      </c>
      <c r="L24" s="620">
        <v>13</v>
      </c>
      <c r="M24" s="621">
        <v>1584.78</v>
      </c>
      <c r="N24" s="620">
        <v>0</v>
      </c>
      <c r="O24" s="621">
        <v>0</v>
      </c>
      <c r="P24" s="620">
        <v>0</v>
      </c>
      <c r="Q24" s="621">
        <v>0</v>
      </c>
      <c r="R24" s="620">
        <v>0</v>
      </c>
      <c r="S24" s="621">
        <v>0</v>
      </c>
      <c r="T24" s="621"/>
      <c r="U24" s="620"/>
      <c r="V24" s="619"/>
      <c r="W24" s="620"/>
      <c r="X24" s="619"/>
      <c r="Y24" s="622">
        <f t="shared" si="0"/>
        <v>73</v>
      </c>
      <c r="Z24" s="623">
        <f t="shared" si="1"/>
        <v>142199.0737142853</v>
      </c>
      <c r="AA24" s="626">
        <f t="shared" si="3"/>
        <v>1947.9325166340452</v>
      </c>
      <c r="AB24" s="627">
        <f t="shared" si="2"/>
        <v>0.91249999999999998</v>
      </c>
      <c r="AC24" s="143"/>
      <c r="AD24" s="127"/>
      <c r="AE24" s="143"/>
    </row>
    <row r="25" spans="1:55" s="146" customFormat="1" ht="15.95" customHeight="1" x14ac:dyDescent="0.25">
      <c r="A25" s="795"/>
      <c r="B25" s="136" t="s">
        <v>69</v>
      </c>
      <c r="C25" s="137">
        <v>19</v>
      </c>
      <c r="D25" s="138">
        <v>0</v>
      </c>
      <c r="E25" s="139">
        <v>0</v>
      </c>
      <c r="F25" s="140">
        <v>57</v>
      </c>
      <c r="G25" s="139">
        <v>1854.2925</v>
      </c>
      <c r="H25" s="140">
        <v>1</v>
      </c>
      <c r="I25" s="139">
        <v>1965.65</v>
      </c>
      <c r="J25" s="140">
        <v>0</v>
      </c>
      <c r="K25" s="141">
        <v>0</v>
      </c>
      <c r="L25" s="140">
        <v>10</v>
      </c>
      <c r="M25" s="141">
        <v>1584.78</v>
      </c>
      <c r="N25" s="140">
        <v>0</v>
      </c>
      <c r="O25" s="141">
        <v>0</v>
      </c>
      <c r="P25" s="140">
        <v>0</v>
      </c>
      <c r="Q25" s="141">
        <v>0</v>
      </c>
      <c r="R25" s="140">
        <v>1</v>
      </c>
      <c r="S25" s="141">
        <v>0</v>
      </c>
      <c r="T25" s="141"/>
      <c r="U25" s="140"/>
      <c r="V25" s="139"/>
      <c r="W25" s="140"/>
      <c r="X25" s="139"/>
      <c r="Y25" s="142">
        <f t="shared" si="0"/>
        <v>69</v>
      </c>
      <c r="Z25" s="143">
        <f t="shared" si="1"/>
        <v>123508.1225</v>
      </c>
      <c r="AA25" s="147">
        <f t="shared" si="3"/>
        <v>1789.9727898550725</v>
      </c>
      <c r="AB25" s="148">
        <f t="shared" si="2"/>
        <v>0.86250000000000004</v>
      </c>
      <c r="AC25" s="143"/>
      <c r="AD25" s="127"/>
      <c r="AE25" s="143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</row>
    <row r="26" spans="1:55" s="128" customFormat="1" ht="15.95" customHeight="1" x14ac:dyDescent="0.25">
      <c r="A26" s="792"/>
      <c r="B26" s="150" t="s">
        <v>63</v>
      </c>
      <c r="C26" s="151">
        <v>20</v>
      </c>
      <c r="D26" s="152">
        <v>13</v>
      </c>
      <c r="E26" s="153">
        <v>1252.79</v>
      </c>
      <c r="F26" s="154">
        <v>37</v>
      </c>
      <c r="G26" s="153">
        <v>2000.59</v>
      </c>
      <c r="H26" s="154">
        <v>0</v>
      </c>
      <c r="I26" s="153">
        <v>0</v>
      </c>
      <c r="J26" s="154">
        <v>10</v>
      </c>
      <c r="K26" s="155">
        <v>1343.48</v>
      </c>
      <c r="L26" s="154">
        <v>10</v>
      </c>
      <c r="M26" s="155">
        <v>1584.78</v>
      </c>
      <c r="N26" s="154">
        <v>0</v>
      </c>
      <c r="O26" s="155">
        <v>0</v>
      </c>
      <c r="P26" s="154">
        <v>0</v>
      </c>
      <c r="Q26" s="155">
        <v>0</v>
      </c>
      <c r="R26" s="154">
        <v>1</v>
      </c>
      <c r="S26" s="155">
        <v>0</v>
      </c>
      <c r="T26" s="155"/>
      <c r="U26" s="154"/>
      <c r="V26" s="153"/>
      <c r="W26" s="154"/>
      <c r="X26" s="153"/>
      <c r="Y26" s="156">
        <f t="shared" si="0"/>
        <v>71</v>
      </c>
      <c r="Z26" s="157">
        <f t="shared" si="1"/>
        <v>119590.70000000001</v>
      </c>
      <c r="AA26" s="158">
        <f t="shared" si="3"/>
        <v>1684.3760563380283</v>
      </c>
      <c r="AB26" s="159">
        <f t="shared" si="2"/>
        <v>0.88749999999999996</v>
      </c>
      <c r="AC26" s="143"/>
      <c r="AD26" s="127"/>
      <c r="AE26" s="143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</row>
    <row r="27" spans="1:55" s="128" customFormat="1" ht="15.95" customHeight="1" x14ac:dyDescent="0.25">
      <c r="A27" s="792"/>
      <c r="B27" s="642" t="s">
        <v>64</v>
      </c>
      <c r="C27" s="643">
        <v>21</v>
      </c>
      <c r="D27" s="644">
        <v>24</v>
      </c>
      <c r="E27" s="645">
        <v>1264.7620833333301</v>
      </c>
      <c r="F27" s="646">
        <v>28</v>
      </c>
      <c r="G27" s="645">
        <v>2461.0349999999999</v>
      </c>
      <c r="H27" s="646">
        <v>0</v>
      </c>
      <c r="I27" s="645">
        <v>0</v>
      </c>
      <c r="J27" s="646">
        <v>10</v>
      </c>
      <c r="K27" s="647">
        <v>1343.48</v>
      </c>
      <c r="L27" s="646">
        <v>8</v>
      </c>
      <c r="M27" s="647">
        <v>1557.3</v>
      </c>
      <c r="N27" s="646">
        <v>0</v>
      </c>
      <c r="O27" s="647">
        <v>0</v>
      </c>
      <c r="P27" s="648">
        <v>10</v>
      </c>
      <c r="Q27" s="649">
        <v>1824</v>
      </c>
      <c r="R27" s="646">
        <v>0</v>
      </c>
      <c r="S27" s="647">
        <v>0</v>
      </c>
      <c r="T27" s="647"/>
      <c r="U27" s="646"/>
      <c r="V27" s="645"/>
      <c r="W27" s="646"/>
      <c r="X27" s="645"/>
      <c r="Y27" s="650">
        <f t="shared" si="0"/>
        <v>80</v>
      </c>
      <c r="Z27" s="651">
        <f t="shared" si="1"/>
        <v>143396.46999999991</v>
      </c>
      <c r="AA27" s="652">
        <f t="shared" si="3"/>
        <v>1792.455874999999</v>
      </c>
      <c r="AB27" s="653">
        <f t="shared" si="2"/>
        <v>1</v>
      </c>
      <c r="AC27" s="143"/>
      <c r="AD27" s="127"/>
      <c r="AE27" s="143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229"/>
      <c r="B28" s="136" t="s">
        <v>65</v>
      </c>
      <c r="C28" s="137">
        <v>22</v>
      </c>
      <c r="D28" s="138">
        <v>25</v>
      </c>
      <c r="E28" s="139">
        <v>1474.0316</v>
      </c>
      <c r="F28" s="140">
        <v>22</v>
      </c>
      <c r="G28" s="139">
        <v>3048</v>
      </c>
      <c r="H28" s="140">
        <v>0</v>
      </c>
      <c r="I28" s="139">
        <v>0</v>
      </c>
      <c r="J28" s="140">
        <v>0</v>
      </c>
      <c r="K28" s="141">
        <v>0</v>
      </c>
      <c r="L28" s="140">
        <v>10</v>
      </c>
      <c r="M28" s="141">
        <v>1584.78</v>
      </c>
      <c r="N28" s="140">
        <v>0</v>
      </c>
      <c r="O28" s="139">
        <v>0</v>
      </c>
      <c r="P28" s="591">
        <v>10</v>
      </c>
      <c r="Q28" s="592">
        <v>1824</v>
      </c>
      <c r="R28" s="140">
        <v>1</v>
      </c>
      <c r="S28" s="141">
        <v>0</v>
      </c>
      <c r="T28" s="141"/>
      <c r="U28" s="140"/>
      <c r="V28" s="139"/>
      <c r="W28" s="140"/>
      <c r="X28" s="139"/>
      <c r="Y28" s="142">
        <f t="shared" si="0"/>
        <v>68</v>
      </c>
      <c r="Z28" s="143">
        <f t="shared" si="1"/>
        <v>137994.59000000003</v>
      </c>
      <c r="AA28" s="329">
        <f t="shared" si="3"/>
        <v>2029.3322058823533</v>
      </c>
      <c r="AB28" s="148">
        <f t="shared" si="2"/>
        <v>0.85</v>
      </c>
      <c r="AC28" s="143"/>
      <c r="AD28" s="127"/>
      <c r="AE28" s="143"/>
    </row>
    <row r="29" spans="1:55" s="126" customFormat="1" ht="15.95" customHeight="1" x14ac:dyDescent="0.25">
      <c r="A29" s="792"/>
      <c r="B29" s="136" t="s">
        <v>66</v>
      </c>
      <c r="C29" s="137">
        <v>23</v>
      </c>
      <c r="D29" s="138">
        <v>17</v>
      </c>
      <c r="E29" s="139">
        <v>1269.05588235294</v>
      </c>
      <c r="F29" s="140">
        <v>23</v>
      </c>
      <c r="G29" s="139">
        <v>2461</v>
      </c>
      <c r="H29" s="140">
        <v>0</v>
      </c>
      <c r="I29" s="139">
        <v>0</v>
      </c>
      <c r="J29" s="140">
        <v>0</v>
      </c>
      <c r="K29" s="141">
        <v>0</v>
      </c>
      <c r="L29" s="140">
        <v>10</v>
      </c>
      <c r="M29" s="141">
        <v>1584.78</v>
      </c>
      <c r="N29" s="140">
        <v>0</v>
      </c>
      <c r="O29" s="141">
        <v>0</v>
      </c>
      <c r="P29" s="591">
        <v>10</v>
      </c>
      <c r="Q29" s="592">
        <v>1824</v>
      </c>
      <c r="R29" s="140">
        <v>1</v>
      </c>
      <c r="S29" s="141">
        <v>0</v>
      </c>
      <c r="T29" s="141"/>
      <c r="U29" s="140"/>
      <c r="V29" s="139"/>
      <c r="W29" s="140"/>
      <c r="X29" s="139"/>
      <c r="Y29" s="142">
        <f t="shared" si="0"/>
        <v>61</v>
      </c>
      <c r="Z29" s="143">
        <f t="shared" si="1"/>
        <v>112264.74999999999</v>
      </c>
      <c r="AA29" s="147">
        <f t="shared" si="3"/>
        <v>1840.4057377049178</v>
      </c>
      <c r="AB29" s="148">
        <f t="shared" si="2"/>
        <v>0.76249999999999996</v>
      </c>
      <c r="AC29" s="143"/>
      <c r="AD29" s="127"/>
      <c r="AE29" s="143"/>
    </row>
    <row r="30" spans="1:55" s="126" customFormat="1" ht="16.5" customHeight="1" x14ac:dyDescent="0.25">
      <c r="A30" s="792"/>
      <c r="B30" s="136" t="s">
        <v>67</v>
      </c>
      <c r="C30" s="137">
        <v>24</v>
      </c>
      <c r="D30" s="138">
        <v>0</v>
      </c>
      <c r="E30" s="139">
        <v>0</v>
      </c>
      <c r="F30" s="140">
        <v>24</v>
      </c>
      <c r="G30" s="139">
        <v>2461</v>
      </c>
      <c r="H30" s="140">
        <v>0</v>
      </c>
      <c r="I30" s="139">
        <v>0</v>
      </c>
      <c r="J30" s="140">
        <v>0</v>
      </c>
      <c r="K30" s="141">
        <v>0</v>
      </c>
      <c r="L30" s="140">
        <v>16</v>
      </c>
      <c r="M30" s="141">
        <v>1584.78</v>
      </c>
      <c r="N30" s="140">
        <v>0</v>
      </c>
      <c r="O30" s="141">
        <v>0</v>
      </c>
      <c r="P30" s="140">
        <v>0</v>
      </c>
      <c r="Q30" s="141">
        <v>0</v>
      </c>
      <c r="R30" s="140">
        <v>1</v>
      </c>
      <c r="S30" s="141">
        <v>0</v>
      </c>
      <c r="T30" s="141"/>
      <c r="U30" s="140"/>
      <c r="V30" s="139"/>
      <c r="W30" s="140"/>
      <c r="X30" s="139"/>
      <c r="Y30" s="142">
        <f t="shared" si="0"/>
        <v>41</v>
      </c>
      <c r="Z30" s="143">
        <f t="shared" si="1"/>
        <v>84420.479999999996</v>
      </c>
      <c r="AA30" s="329">
        <f t="shared" si="3"/>
        <v>2059.0360975609756</v>
      </c>
      <c r="AB30" s="148">
        <f t="shared" si="2"/>
        <v>0.51249999999999996</v>
      </c>
      <c r="AC30" s="143"/>
      <c r="AD30" s="127"/>
      <c r="AE30" s="143"/>
    </row>
    <row r="31" spans="1:55" s="169" customFormat="1" ht="15.95" customHeight="1" x14ac:dyDescent="0.25">
      <c r="A31" s="792"/>
      <c r="B31" s="136" t="s">
        <v>68</v>
      </c>
      <c r="C31" s="137">
        <v>25</v>
      </c>
      <c r="D31" s="138">
        <v>0</v>
      </c>
      <c r="E31" s="139">
        <v>0</v>
      </c>
      <c r="F31" s="140">
        <v>27</v>
      </c>
      <c r="G31" s="139">
        <v>2461</v>
      </c>
      <c r="H31" s="140">
        <v>0</v>
      </c>
      <c r="I31" s="139">
        <v>0</v>
      </c>
      <c r="J31" s="140">
        <v>21</v>
      </c>
      <c r="K31" s="141">
        <v>1351.37037037037</v>
      </c>
      <c r="L31" s="140">
        <v>14</v>
      </c>
      <c r="M31" s="141">
        <v>1584.78</v>
      </c>
      <c r="N31" s="140">
        <v>0</v>
      </c>
      <c r="O31" s="141">
        <v>0</v>
      </c>
      <c r="P31" s="140">
        <v>0</v>
      </c>
      <c r="Q31" s="141">
        <v>0</v>
      </c>
      <c r="R31" s="140">
        <v>1</v>
      </c>
      <c r="S31" s="141">
        <v>0</v>
      </c>
      <c r="T31" s="141"/>
      <c r="U31" s="140"/>
      <c r="V31" s="139"/>
      <c r="W31" s="140"/>
      <c r="X31" s="139"/>
      <c r="Y31" s="142">
        <f t="shared" si="0"/>
        <v>63</v>
      </c>
      <c r="Z31" s="143">
        <f t="shared" si="1"/>
        <v>117012.69777777776</v>
      </c>
      <c r="AA31" s="147">
        <f t="shared" si="3"/>
        <v>1857.3444091710755</v>
      </c>
      <c r="AB31" s="148">
        <f t="shared" si="2"/>
        <v>0.78749999999999998</v>
      </c>
      <c r="AC31" s="143"/>
      <c r="AD31" s="127"/>
      <c r="AE31" s="143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60"/>
    </row>
    <row r="32" spans="1:55" s="128" customFormat="1" ht="15.95" customHeight="1" x14ac:dyDescent="0.25">
      <c r="A32" s="792"/>
      <c r="B32" s="616" t="s">
        <v>69</v>
      </c>
      <c r="C32" s="617">
        <v>26</v>
      </c>
      <c r="D32" s="618">
        <v>0</v>
      </c>
      <c r="E32" s="619">
        <v>0</v>
      </c>
      <c r="F32" s="620">
        <v>37</v>
      </c>
      <c r="G32" s="619">
        <v>2461</v>
      </c>
      <c r="H32" s="620">
        <v>0</v>
      </c>
      <c r="I32" s="619">
        <v>0</v>
      </c>
      <c r="J32" s="620">
        <v>21</v>
      </c>
      <c r="K32" s="621">
        <v>1351.37037037037</v>
      </c>
      <c r="L32" s="620">
        <v>13</v>
      </c>
      <c r="M32" s="621">
        <v>1584.78</v>
      </c>
      <c r="N32" s="620">
        <v>0</v>
      </c>
      <c r="O32" s="621">
        <v>0</v>
      </c>
      <c r="P32" s="620">
        <v>0</v>
      </c>
      <c r="Q32" s="621">
        <v>0</v>
      </c>
      <c r="R32" s="620">
        <v>0</v>
      </c>
      <c r="S32" s="621">
        <v>0</v>
      </c>
      <c r="T32" s="621"/>
      <c r="U32" s="620"/>
      <c r="V32" s="619"/>
      <c r="W32" s="620"/>
      <c r="X32" s="619"/>
      <c r="Y32" s="622">
        <f t="shared" si="0"/>
        <v>71</v>
      </c>
      <c r="Z32" s="623">
        <f t="shared" si="1"/>
        <v>140037.91777777777</v>
      </c>
      <c r="AA32" s="626">
        <f t="shared" si="3"/>
        <v>1972.3650391236306</v>
      </c>
      <c r="AB32" s="627">
        <f t="shared" si="2"/>
        <v>0.88749999999999996</v>
      </c>
      <c r="AC32" s="143"/>
      <c r="AD32" s="127"/>
      <c r="AE32" s="143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  <c r="BC32" s="126"/>
    </row>
    <row r="33" spans="1:56" s="128" customFormat="1" ht="15.95" customHeight="1" x14ac:dyDescent="0.25">
      <c r="A33" s="792"/>
      <c r="B33" s="150" t="s">
        <v>63</v>
      </c>
      <c r="C33" s="151">
        <v>27</v>
      </c>
      <c r="D33" s="152">
        <v>0</v>
      </c>
      <c r="E33" s="153">
        <v>0</v>
      </c>
      <c r="F33" s="154">
        <v>38</v>
      </c>
      <c r="G33" s="153">
        <v>2461</v>
      </c>
      <c r="H33" s="154">
        <v>2</v>
      </c>
      <c r="I33" s="153">
        <v>1477.3</v>
      </c>
      <c r="J33" s="154">
        <v>10</v>
      </c>
      <c r="K33" s="155">
        <v>1343.48</v>
      </c>
      <c r="L33" s="154">
        <v>10</v>
      </c>
      <c r="M33" s="155">
        <v>1840.0150000000001</v>
      </c>
      <c r="N33" s="154">
        <v>0</v>
      </c>
      <c r="O33" s="155">
        <v>0</v>
      </c>
      <c r="P33" s="154">
        <v>0</v>
      </c>
      <c r="Q33" s="155">
        <v>0</v>
      </c>
      <c r="R33" s="154">
        <v>0</v>
      </c>
      <c r="S33" s="155">
        <v>0</v>
      </c>
      <c r="T33" s="155"/>
      <c r="U33" s="154"/>
      <c r="V33" s="153"/>
      <c r="W33" s="154"/>
      <c r="X33" s="153"/>
      <c r="Y33" s="156">
        <f t="shared" si="0"/>
        <v>60</v>
      </c>
      <c r="Z33" s="157">
        <f t="shared" si="1"/>
        <v>128307.55000000002</v>
      </c>
      <c r="AA33" s="158">
        <f t="shared" si="3"/>
        <v>2138.459166666667</v>
      </c>
      <c r="AB33" s="159">
        <f t="shared" si="2"/>
        <v>0.75</v>
      </c>
      <c r="AC33" s="143"/>
      <c r="AD33" s="127"/>
      <c r="AE33" s="143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</row>
    <row r="34" spans="1:56" s="128" customFormat="1" ht="15.95" customHeight="1" x14ac:dyDescent="0.25">
      <c r="A34" s="170"/>
      <c r="B34" s="136" t="s">
        <v>64</v>
      </c>
      <c r="C34" s="137">
        <v>28</v>
      </c>
      <c r="D34" s="138">
        <v>0</v>
      </c>
      <c r="E34" s="139">
        <v>0</v>
      </c>
      <c r="F34" s="140">
        <v>35</v>
      </c>
      <c r="G34" s="139">
        <v>2461</v>
      </c>
      <c r="H34" s="140">
        <v>2</v>
      </c>
      <c r="I34" s="139">
        <v>1504.78</v>
      </c>
      <c r="J34" s="140">
        <v>10</v>
      </c>
      <c r="K34" s="141">
        <v>1343.48</v>
      </c>
      <c r="L34" s="140">
        <v>10</v>
      </c>
      <c r="M34" s="141">
        <v>1867.4949999999999</v>
      </c>
      <c r="N34" s="140">
        <v>0</v>
      </c>
      <c r="O34" s="141">
        <v>0</v>
      </c>
      <c r="P34" s="140">
        <v>0</v>
      </c>
      <c r="Q34" s="141">
        <v>0</v>
      </c>
      <c r="R34" s="140">
        <v>0</v>
      </c>
      <c r="S34" s="141">
        <v>0</v>
      </c>
      <c r="T34" s="141"/>
      <c r="U34" s="140"/>
      <c r="V34" s="139"/>
      <c r="W34" s="140"/>
      <c r="X34" s="139"/>
      <c r="Y34" s="142">
        <f t="shared" si="0"/>
        <v>57</v>
      </c>
      <c r="Z34" s="143">
        <f t="shared" si="1"/>
        <v>121254.31</v>
      </c>
      <c r="AA34" s="329">
        <f>IF(Z34=0,0,Z34/Y34)</f>
        <v>2127.268596491228</v>
      </c>
      <c r="AB34" s="148">
        <f t="shared" si="2"/>
        <v>0.71250000000000002</v>
      </c>
      <c r="AC34" s="143"/>
      <c r="AD34" s="127"/>
      <c r="AE34" s="143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5.95" customHeight="1" x14ac:dyDescent="0.25">
      <c r="A35" s="794"/>
      <c r="B35" s="136" t="s">
        <v>65</v>
      </c>
      <c r="C35" s="137">
        <v>29</v>
      </c>
      <c r="D35" s="138">
        <v>0</v>
      </c>
      <c r="E35" s="139">
        <v>0</v>
      </c>
      <c r="F35" s="140">
        <v>37</v>
      </c>
      <c r="G35" s="139">
        <v>1378.61</v>
      </c>
      <c r="H35" s="140">
        <v>0</v>
      </c>
      <c r="I35" s="139">
        <v>0</v>
      </c>
      <c r="J35" s="140">
        <v>0</v>
      </c>
      <c r="K35" s="141">
        <v>0</v>
      </c>
      <c r="L35" s="140">
        <v>10</v>
      </c>
      <c r="M35" s="141">
        <v>1584.78</v>
      </c>
      <c r="N35" s="140">
        <v>0</v>
      </c>
      <c r="O35" s="141">
        <v>0</v>
      </c>
      <c r="P35" s="140">
        <v>0</v>
      </c>
      <c r="Q35" s="141">
        <v>0</v>
      </c>
      <c r="R35" s="140">
        <v>0</v>
      </c>
      <c r="S35" s="141">
        <v>0</v>
      </c>
      <c r="T35" s="141"/>
      <c r="U35" s="140"/>
      <c r="V35" s="139"/>
      <c r="W35" s="140"/>
      <c r="X35" s="139"/>
      <c r="Y35" s="142">
        <f t="shared" si="0"/>
        <v>47</v>
      </c>
      <c r="Z35" s="143">
        <f t="shared" si="1"/>
        <v>66856.37</v>
      </c>
      <c r="AA35" s="329">
        <f>IF(Z35=0,0,Z35/Y35)</f>
        <v>1422.4759574468085</v>
      </c>
      <c r="AB35" s="148">
        <f t="shared" si="2"/>
        <v>0.58750000000000002</v>
      </c>
      <c r="AC35" s="143"/>
      <c r="AD35" s="127"/>
      <c r="AE35" s="143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6" customFormat="1" ht="15.95" customHeight="1" thickBot="1" x14ac:dyDescent="0.3">
      <c r="A36" s="794"/>
      <c r="B36" s="136" t="s">
        <v>66</v>
      </c>
      <c r="C36" s="137">
        <v>30</v>
      </c>
      <c r="D36" s="138">
        <v>0</v>
      </c>
      <c r="E36" s="139">
        <v>0</v>
      </c>
      <c r="F36" s="140">
        <v>39</v>
      </c>
      <c r="G36" s="139">
        <v>1406.09</v>
      </c>
      <c r="H36" s="140">
        <v>0</v>
      </c>
      <c r="I36" s="139">
        <v>0</v>
      </c>
      <c r="J36" s="140">
        <v>0</v>
      </c>
      <c r="K36" s="141">
        <v>0</v>
      </c>
      <c r="L36" s="140">
        <v>10</v>
      </c>
      <c r="M36" s="141">
        <v>1295.1300000000001</v>
      </c>
      <c r="N36" s="140">
        <v>0</v>
      </c>
      <c r="O36" s="141">
        <v>0</v>
      </c>
      <c r="P36" s="140">
        <v>0</v>
      </c>
      <c r="Q36" s="141">
        <v>0</v>
      </c>
      <c r="R36" s="140">
        <v>0</v>
      </c>
      <c r="S36" s="141">
        <v>0</v>
      </c>
      <c r="T36" s="141"/>
      <c r="U36" s="140"/>
      <c r="V36" s="139"/>
      <c r="W36" s="140"/>
      <c r="X36" s="139"/>
      <c r="Y36" s="142">
        <f t="shared" si="0"/>
        <v>49</v>
      </c>
      <c r="Z36" s="143">
        <f t="shared" si="1"/>
        <v>67788.81</v>
      </c>
      <c r="AA36" s="147">
        <f>IF(Z36=0,0,Z36/Y36)</f>
        <v>1383.4451020408162</v>
      </c>
      <c r="AB36" s="148">
        <f t="shared" si="2"/>
        <v>0.61250000000000004</v>
      </c>
      <c r="AC36" s="143"/>
      <c r="AD36" s="127"/>
      <c r="AE36" s="143"/>
    </row>
    <row r="37" spans="1:56" s="128" customFormat="1" ht="17.100000000000001" customHeight="1" thickTop="1" x14ac:dyDescent="0.25">
      <c r="A37" s="171" t="s">
        <v>70</v>
      </c>
      <c r="B37" s="234"/>
      <c r="C37" s="234"/>
      <c r="D37" s="235">
        <f>SUM(D7:D36)</f>
        <v>79</v>
      </c>
      <c r="E37" s="236">
        <f>IF(D37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)/D37)</f>
        <v>1329.9405063291126</v>
      </c>
      <c r="F37" s="237">
        <f>SUM(F7:F36)</f>
        <v>952</v>
      </c>
      <c r="G37" s="236">
        <f>IF(F37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)/F37)</f>
        <v>2032.9406811307847</v>
      </c>
      <c r="H37" s="219">
        <f>SUM(H7:H36)</f>
        <v>24</v>
      </c>
      <c r="I37" s="236">
        <f>IF(H37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)/H37)</f>
        <v>1766.89375</v>
      </c>
      <c r="J37" s="237">
        <f>SUM(J7:J36)</f>
        <v>333</v>
      </c>
      <c r="K37" s="236">
        <f>IF(J37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)/J37)</f>
        <v>1592.9909479401708</v>
      </c>
      <c r="L37" s="237">
        <f>SUM(L7:L36)</f>
        <v>342</v>
      </c>
      <c r="M37" s="236">
        <f>IF(L37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)/L37)</f>
        <v>1670.3731076248305</v>
      </c>
      <c r="N37" s="237">
        <f>SUM(N7:N36)</f>
        <v>0</v>
      </c>
      <c r="O37" s="236">
        <f>IF(N37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)/N37)</f>
        <v>0</v>
      </c>
      <c r="P37" s="237">
        <f>SUM(P7:P36)</f>
        <v>140</v>
      </c>
      <c r="Q37" s="236">
        <f>IF(P37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)/P37)</f>
        <v>1900.91</v>
      </c>
      <c r="R37" s="237">
        <f>SUM(R7:R36)</f>
        <v>22</v>
      </c>
      <c r="S37" s="236">
        <f>IF(R37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)/R37)</f>
        <v>0</v>
      </c>
      <c r="T37" s="236"/>
      <c r="U37" s="237"/>
      <c r="V37" s="236"/>
      <c r="W37" s="237"/>
      <c r="X37" s="236"/>
      <c r="Y37" s="237">
        <f>SUM(Y7:Y36)</f>
        <v>1892</v>
      </c>
      <c r="Z37" s="177">
        <f>SUM(Z7:Z36)</f>
        <v>3450691.2669082759</v>
      </c>
      <c r="AA37" s="219">
        <f>IF(Z37=0,0,Z37/Y37)</f>
        <v>1823.832593503317</v>
      </c>
      <c r="AB37" s="238">
        <f>Y37/(AB6*D2)</f>
        <v>0.78833333333333333</v>
      </c>
      <c r="AC37" s="126"/>
      <c r="AD37" s="126"/>
      <c r="AE37" s="143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</row>
    <row r="38" spans="1:56" s="128" customFormat="1" ht="17.100000000000001" customHeight="1" thickBot="1" x14ac:dyDescent="0.3">
      <c r="A38" s="179" t="s">
        <v>71</v>
      </c>
      <c r="B38" s="240"/>
      <c r="C38" s="240"/>
      <c r="D38" s="785">
        <f>+E37*D37</f>
        <v>105065.2999999999</v>
      </c>
      <c r="E38" s="786"/>
      <c r="F38" s="787">
        <f>+G37*F37</f>
        <v>1935359.5284365071</v>
      </c>
      <c r="G38" s="786"/>
      <c r="H38" s="787">
        <f>+I37*H37</f>
        <v>42405.45</v>
      </c>
      <c r="I38" s="786"/>
      <c r="J38" s="787">
        <f>+K37*J37</f>
        <v>530465.98566407687</v>
      </c>
      <c r="K38" s="786"/>
      <c r="L38" s="787">
        <f>+M37*L37</f>
        <v>571267.60280769202</v>
      </c>
      <c r="M38" s="786"/>
      <c r="N38" s="787">
        <f>+O37*N37</f>
        <v>0</v>
      </c>
      <c r="O38" s="786"/>
      <c r="P38" s="787">
        <f>+Q37*P37</f>
        <v>266127.40000000002</v>
      </c>
      <c r="Q38" s="786"/>
      <c r="R38" s="787">
        <f>+S37*R37</f>
        <v>0</v>
      </c>
      <c r="S38" s="788"/>
      <c r="T38" s="181"/>
      <c r="U38" s="182"/>
      <c r="V38" s="181"/>
      <c r="W38" s="182"/>
      <c r="X38" s="181"/>
      <c r="Y38" s="241"/>
      <c r="Z38" s="242"/>
      <c r="AA38" s="242"/>
      <c r="AB38" s="243"/>
      <c r="AC38" s="126"/>
      <c r="AD38" s="126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11" customFormat="1" ht="16.5" thickTop="1" x14ac:dyDescent="0.25">
      <c r="F39" s="211"/>
      <c r="L39" s="211"/>
      <c r="P39" s="211"/>
      <c r="Q39" s="211"/>
      <c r="AC39" s="112"/>
      <c r="AD39" s="113"/>
      <c r="AE39" s="126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4"/>
    </row>
    <row r="40" spans="1:56" s="111" customFormat="1" x14ac:dyDescent="0.2">
      <c r="Q40" s="211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G41" s="226"/>
      <c r="Q41" s="316"/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A42" s="384"/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43" s="385"/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44" s="385"/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9:56" s="111" customFormat="1" x14ac:dyDescent="0.2"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9:56" s="111" customFormat="1" x14ac:dyDescent="0.2"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</sheetData>
  <mergeCells count="29"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  <mergeCell ref="A7:A9"/>
    <mergeCell ref="A10:A13"/>
    <mergeCell ref="A15:A16"/>
    <mergeCell ref="L38:M38"/>
    <mergeCell ref="N38:O38"/>
    <mergeCell ref="A23:A25"/>
    <mergeCell ref="A26:A27"/>
    <mergeCell ref="A29:A31"/>
    <mergeCell ref="A32:A33"/>
    <mergeCell ref="A35:A36"/>
    <mergeCell ref="P38:Q38"/>
    <mergeCell ref="D38:E38"/>
    <mergeCell ref="R5:S5"/>
    <mergeCell ref="R38:S38"/>
    <mergeCell ref="F38:G38"/>
    <mergeCell ref="H38:I38"/>
    <mergeCell ref="J38:K38"/>
  </mergeCells>
  <phoneticPr fontId="74" type="noConversion"/>
  <dataValidations disablePrompts="1" count="1">
    <dataValidation type="textLength" errorStyle="information" allowBlank="1" showInputMessage="1" showErrorMessage="1" error="XLBVal:2=0_x000d__x000a_" sqref="C27:C36 HZ27:HZ36 RV27:RV36 ABR27:ABR36 ALN27:ALN36 AVJ27:AVJ36 BFF27:BFF36 BPB27:BPB36 BYX27:BYX36 CIT27:CIT36 CSP27:CSP36 DCL27:DCL36 DMH27:DMH36 DWD27:DWD36 EFZ27:EFZ36 EPV27:EPV36 EZR27:EZR36 FJN27:FJN36 FTJ27:FTJ36 GDF27:GDF36 GNB27:GNB36 GWX27:GWX36 HGT27:HGT36 HQP27:HQP36 IAL27:IAL36 IKH27:IKH36 IUD27:IUD36 JDZ27:JDZ36 JNV27:JNV36 JXR27:JXR36 KHN27:KHN36 KRJ27:KRJ36 LBF27:LBF36 LLB27:LLB36 LUX27:LUX36 MET27:MET36 MOP27:MOP36 MYL27:MYL36 NIH27:NIH36 NSD27:NSD36 OBZ27:OBZ36 OLV27:OLV36 OVR27:OVR36 PFN27:PFN36 PPJ27:PPJ36 PZF27:PZF36 QJB27:QJB36 QSX27:QSX36 RCT27:RCT36 RMP27:RMP36 RWL27:RWL36 SGH27:SGH36 SQD27:SQD36 SZZ27:SZZ36 TJV27:TJV36 TTR27:TTR36 UDN27:UDN36 UNJ27:UNJ36 UXF27:UXF36 VHB27:VHB36 VQX27:VQX36 WAT27:WAT36 WKP27:WKP36 WUL27:WUL36 C65510:C65520 HZ65510:HZ65520 RV65510:RV65520 ABR65510:ABR65520 ALN65510:ALN65520 AVJ65510:AVJ65520 BFF65510:BFF65520 BPB65510:BPB65520 BYX65510:BYX65520 CIT65510:CIT65520 CSP65510:CSP65520 DCL65510:DCL65520 DMH65510:DMH65520 DWD65510:DWD65520 EFZ65510:EFZ65520 EPV65510:EPV65520 EZR65510:EZR65520 FJN65510:FJN65520 FTJ65510:FTJ65520 GDF65510:GDF65520 GNB65510:GNB65520 GWX65510:GWX65520 HGT65510:HGT65520 HQP65510:HQP65520 IAL65510:IAL65520 IKH65510:IKH65520 IUD65510:IUD65520 JDZ65510:JDZ65520 JNV65510:JNV65520 JXR65510:JXR65520 KHN65510:KHN65520 KRJ65510:KRJ65520 LBF65510:LBF65520 LLB65510:LLB65520 LUX65510:LUX65520 MET65510:MET65520 MOP65510:MOP65520 MYL65510:MYL65520 NIH65510:NIH65520 NSD65510:NSD65520 OBZ65510:OBZ65520 OLV65510:OLV65520 OVR65510:OVR65520 PFN65510:PFN65520 PPJ65510:PPJ65520 PZF65510:PZF65520 QJB65510:QJB65520 QSX65510:QSX65520 RCT65510:RCT65520 RMP65510:RMP65520 RWL65510:RWL65520 SGH65510:SGH65520 SQD65510:SQD65520 SZZ65510:SZZ65520 TJV65510:TJV65520 TTR65510:TTR65520 UDN65510:UDN65520 UNJ65510:UNJ65520 UXF65510:UXF65520 VHB65510:VHB65520 VQX65510:VQX65520 WAT65510:WAT65520 WKP65510:WKP65520 WUL65510:WUL65520 C131046:C131056 HZ131046:HZ131056 RV131046:RV131056 ABR131046:ABR131056 ALN131046:ALN131056 AVJ131046:AVJ131056 BFF131046:BFF131056 BPB131046:BPB131056 BYX131046:BYX131056 CIT131046:CIT131056 CSP131046:CSP131056 DCL131046:DCL131056 DMH131046:DMH131056 DWD131046:DWD131056 EFZ131046:EFZ131056 EPV131046:EPV131056 EZR131046:EZR131056 FJN131046:FJN131056 FTJ131046:FTJ131056 GDF131046:GDF131056 GNB131046:GNB131056 GWX131046:GWX131056 HGT131046:HGT131056 HQP131046:HQP131056 IAL131046:IAL131056 IKH131046:IKH131056 IUD131046:IUD131056 JDZ131046:JDZ131056 JNV131046:JNV131056 JXR131046:JXR131056 KHN131046:KHN131056 KRJ131046:KRJ131056 LBF131046:LBF131056 LLB131046:LLB131056 LUX131046:LUX131056 MET131046:MET131056 MOP131046:MOP131056 MYL131046:MYL131056 NIH131046:NIH131056 NSD131046:NSD131056 OBZ131046:OBZ131056 OLV131046:OLV131056 OVR131046:OVR131056 PFN131046:PFN131056 PPJ131046:PPJ131056 PZF131046:PZF131056 QJB131046:QJB131056 QSX131046:QSX131056 RCT131046:RCT131056 RMP131046:RMP131056 RWL131046:RWL131056 SGH131046:SGH131056 SQD131046:SQD131056 SZZ131046:SZZ131056 TJV131046:TJV131056 TTR131046:TTR131056 UDN131046:UDN131056 UNJ131046:UNJ131056 UXF131046:UXF131056 VHB131046:VHB131056 VQX131046:VQX131056 WAT131046:WAT131056 WKP131046:WKP131056 WUL131046:WUL131056 C196582:C196592 HZ196582:HZ196592 RV196582:RV196592 ABR196582:ABR196592 ALN196582:ALN196592 AVJ196582:AVJ196592 BFF196582:BFF196592 BPB196582:BPB196592 BYX196582:BYX196592 CIT196582:CIT196592 CSP196582:CSP196592 DCL196582:DCL196592 DMH196582:DMH196592 DWD196582:DWD196592 EFZ196582:EFZ196592 EPV196582:EPV196592 EZR196582:EZR196592 FJN196582:FJN196592 FTJ196582:FTJ196592 GDF196582:GDF196592 GNB196582:GNB196592 GWX196582:GWX196592 HGT196582:HGT196592 HQP196582:HQP196592 IAL196582:IAL196592 IKH196582:IKH196592 IUD196582:IUD196592 JDZ196582:JDZ196592 JNV196582:JNV196592 JXR196582:JXR196592 KHN196582:KHN196592 KRJ196582:KRJ196592 LBF196582:LBF196592 LLB196582:LLB196592 LUX196582:LUX196592 MET196582:MET196592 MOP196582:MOP196592 MYL196582:MYL196592 NIH196582:NIH196592 NSD196582:NSD196592 OBZ196582:OBZ196592 OLV196582:OLV196592 OVR196582:OVR196592 PFN196582:PFN196592 PPJ196582:PPJ196592 PZF196582:PZF196592 QJB196582:QJB196592 QSX196582:QSX196592 RCT196582:RCT196592 RMP196582:RMP196592 RWL196582:RWL196592 SGH196582:SGH196592 SQD196582:SQD196592 SZZ196582:SZZ196592 TJV196582:TJV196592 TTR196582:TTR196592 UDN196582:UDN196592 UNJ196582:UNJ196592 UXF196582:UXF196592 VHB196582:VHB196592 VQX196582:VQX196592 WAT196582:WAT196592 WKP196582:WKP196592 WUL196582:WUL196592 C262118:C262128 HZ262118:HZ262128 RV262118:RV262128 ABR262118:ABR262128 ALN262118:ALN262128 AVJ262118:AVJ262128 BFF262118:BFF262128 BPB262118:BPB262128 BYX262118:BYX262128 CIT262118:CIT262128 CSP262118:CSP262128 DCL262118:DCL262128 DMH262118:DMH262128 DWD262118:DWD262128 EFZ262118:EFZ262128 EPV262118:EPV262128 EZR262118:EZR262128 FJN262118:FJN262128 FTJ262118:FTJ262128 GDF262118:GDF262128 GNB262118:GNB262128 GWX262118:GWX262128 HGT262118:HGT262128 HQP262118:HQP262128 IAL262118:IAL262128 IKH262118:IKH262128 IUD262118:IUD262128 JDZ262118:JDZ262128 JNV262118:JNV262128 JXR262118:JXR262128 KHN262118:KHN262128 KRJ262118:KRJ262128 LBF262118:LBF262128 LLB262118:LLB262128 LUX262118:LUX262128 MET262118:MET262128 MOP262118:MOP262128 MYL262118:MYL262128 NIH262118:NIH262128 NSD262118:NSD262128 OBZ262118:OBZ262128 OLV262118:OLV262128 OVR262118:OVR262128 PFN262118:PFN262128 PPJ262118:PPJ262128 PZF262118:PZF262128 QJB262118:QJB262128 QSX262118:QSX262128 RCT262118:RCT262128 RMP262118:RMP262128 RWL262118:RWL262128 SGH262118:SGH262128 SQD262118:SQD262128 SZZ262118:SZZ262128 TJV262118:TJV262128 TTR262118:TTR262128 UDN262118:UDN262128 UNJ262118:UNJ262128 UXF262118:UXF262128 VHB262118:VHB262128 VQX262118:VQX262128 WAT262118:WAT262128 WKP262118:WKP262128 WUL262118:WUL262128 C327654:C327664 HZ327654:HZ327664 RV327654:RV327664 ABR327654:ABR327664 ALN327654:ALN327664 AVJ327654:AVJ327664 BFF327654:BFF327664 BPB327654:BPB327664 BYX327654:BYX327664 CIT327654:CIT327664 CSP327654:CSP327664 DCL327654:DCL327664 DMH327654:DMH327664 DWD327654:DWD327664 EFZ327654:EFZ327664 EPV327654:EPV327664 EZR327654:EZR327664 FJN327654:FJN327664 FTJ327654:FTJ327664 GDF327654:GDF327664 GNB327654:GNB327664 GWX327654:GWX327664 HGT327654:HGT327664 HQP327654:HQP327664 IAL327654:IAL327664 IKH327654:IKH327664 IUD327654:IUD327664 JDZ327654:JDZ327664 JNV327654:JNV327664 JXR327654:JXR327664 KHN327654:KHN327664 KRJ327654:KRJ327664 LBF327654:LBF327664 LLB327654:LLB327664 LUX327654:LUX327664 MET327654:MET327664 MOP327654:MOP327664 MYL327654:MYL327664 NIH327654:NIH327664 NSD327654:NSD327664 OBZ327654:OBZ327664 OLV327654:OLV327664 OVR327654:OVR327664 PFN327654:PFN327664 PPJ327654:PPJ327664 PZF327654:PZF327664 QJB327654:QJB327664 QSX327654:QSX327664 RCT327654:RCT327664 RMP327654:RMP327664 RWL327654:RWL327664 SGH327654:SGH327664 SQD327654:SQD327664 SZZ327654:SZZ327664 TJV327654:TJV327664 TTR327654:TTR327664 UDN327654:UDN327664 UNJ327654:UNJ327664 UXF327654:UXF327664 VHB327654:VHB327664 VQX327654:VQX327664 WAT327654:WAT327664 WKP327654:WKP327664 WUL327654:WUL327664 C393190:C393200 HZ393190:HZ393200 RV393190:RV393200 ABR393190:ABR393200 ALN393190:ALN393200 AVJ393190:AVJ393200 BFF393190:BFF393200 BPB393190:BPB393200 BYX393190:BYX393200 CIT393190:CIT393200 CSP393190:CSP393200 DCL393190:DCL393200 DMH393190:DMH393200 DWD393190:DWD393200 EFZ393190:EFZ393200 EPV393190:EPV393200 EZR393190:EZR393200 FJN393190:FJN393200 FTJ393190:FTJ393200 GDF393190:GDF393200 GNB393190:GNB393200 GWX393190:GWX393200 HGT393190:HGT393200 HQP393190:HQP393200 IAL393190:IAL393200 IKH393190:IKH393200 IUD393190:IUD393200 JDZ393190:JDZ393200 JNV393190:JNV393200 JXR393190:JXR393200 KHN393190:KHN393200 KRJ393190:KRJ393200 LBF393190:LBF393200 LLB393190:LLB393200 LUX393190:LUX393200 MET393190:MET393200 MOP393190:MOP393200 MYL393190:MYL393200 NIH393190:NIH393200 NSD393190:NSD393200 OBZ393190:OBZ393200 OLV393190:OLV393200 OVR393190:OVR393200 PFN393190:PFN393200 PPJ393190:PPJ393200 PZF393190:PZF393200 QJB393190:QJB393200 QSX393190:QSX393200 RCT393190:RCT393200 RMP393190:RMP393200 RWL393190:RWL393200 SGH393190:SGH393200 SQD393190:SQD393200 SZZ393190:SZZ393200 TJV393190:TJV393200 TTR393190:TTR393200 UDN393190:UDN393200 UNJ393190:UNJ393200 UXF393190:UXF393200 VHB393190:VHB393200 VQX393190:VQX393200 WAT393190:WAT393200 WKP393190:WKP393200 WUL393190:WUL393200 C458726:C458736 HZ458726:HZ458736 RV458726:RV458736 ABR458726:ABR458736 ALN458726:ALN458736 AVJ458726:AVJ458736 BFF458726:BFF458736 BPB458726:BPB458736 BYX458726:BYX458736 CIT458726:CIT458736 CSP458726:CSP458736 DCL458726:DCL458736 DMH458726:DMH458736 DWD458726:DWD458736 EFZ458726:EFZ458736 EPV458726:EPV458736 EZR458726:EZR458736 FJN458726:FJN458736 FTJ458726:FTJ458736 GDF458726:GDF458736 GNB458726:GNB458736 GWX458726:GWX458736 HGT458726:HGT458736 HQP458726:HQP458736 IAL458726:IAL458736 IKH458726:IKH458736 IUD458726:IUD458736 JDZ458726:JDZ458736 JNV458726:JNV458736 JXR458726:JXR458736 KHN458726:KHN458736 KRJ458726:KRJ458736 LBF458726:LBF458736 LLB458726:LLB458736 LUX458726:LUX458736 MET458726:MET458736 MOP458726:MOP458736 MYL458726:MYL458736 NIH458726:NIH458736 NSD458726:NSD458736 OBZ458726:OBZ458736 OLV458726:OLV458736 OVR458726:OVR458736 PFN458726:PFN458736 PPJ458726:PPJ458736 PZF458726:PZF458736 QJB458726:QJB458736 QSX458726:QSX458736 RCT458726:RCT458736 RMP458726:RMP458736 RWL458726:RWL458736 SGH458726:SGH458736 SQD458726:SQD458736 SZZ458726:SZZ458736 TJV458726:TJV458736 TTR458726:TTR458736 UDN458726:UDN458736 UNJ458726:UNJ458736 UXF458726:UXF458736 VHB458726:VHB458736 VQX458726:VQX458736 WAT458726:WAT458736 WKP458726:WKP458736 WUL458726:WUL458736 C524262:C524272 HZ524262:HZ524272 RV524262:RV524272 ABR524262:ABR524272 ALN524262:ALN524272 AVJ524262:AVJ524272 BFF524262:BFF524272 BPB524262:BPB524272 BYX524262:BYX524272 CIT524262:CIT524272 CSP524262:CSP524272 DCL524262:DCL524272 DMH524262:DMH524272 DWD524262:DWD524272 EFZ524262:EFZ524272 EPV524262:EPV524272 EZR524262:EZR524272 FJN524262:FJN524272 FTJ524262:FTJ524272 GDF524262:GDF524272 GNB524262:GNB524272 GWX524262:GWX524272 HGT524262:HGT524272 HQP524262:HQP524272 IAL524262:IAL524272 IKH524262:IKH524272 IUD524262:IUD524272 JDZ524262:JDZ524272 JNV524262:JNV524272 JXR524262:JXR524272 KHN524262:KHN524272 KRJ524262:KRJ524272 LBF524262:LBF524272 LLB524262:LLB524272 LUX524262:LUX524272 MET524262:MET524272 MOP524262:MOP524272 MYL524262:MYL524272 NIH524262:NIH524272 NSD524262:NSD524272 OBZ524262:OBZ524272 OLV524262:OLV524272 OVR524262:OVR524272 PFN524262:PFN524272 PPJ524262:PPJ524272 PZF524262:PZF524272 QJB524262:QJB524272 QSX524262:QSX524272 RCT524262:RCT524272 RMP524262:RMP524272 RWL524262:RWL524272 SGH524262:SGH524272 SQD524262:SQD524272 SZZ524262:SZZ524272 TJV524262:TJV524272 TTR524262:TTR524272 UDN524262:UDN524272 UNJ524262:UNJ524272 UXF524262:UXF524272 VHB524262:VHB524272 VQX524262:VQX524272 WAT524262:WAT524272 WKP524262:WKP524272 WUL524262:WUL524272 C589798:C589808 HZ589798:HZ589808 RV589798:RV589808 ABR589798:ABR589808 ALN589798:ALN589808 AVJ589798:AVJ589808 BFF589798:BFF589808 BPB589798:BPB589808 BYX589798:BYX589808 CIT589798:CIT589808 CSP589798:CSP589808 DCL589798:DCL589808 DMH589798:DMH589808 DWD589798:DWD589808 EFZ589798:EFZ589808 EPV589798:EPV589808 EZR589798:EZR589808 FJN589798:FJN589808 FTJ589798:FTJ589808 GDF589798:GDF589808 GNB589798:GNB589808 GWX589798:GWX589808 HGT589798:HGT589808 HQP589798:HQP589808 IAL589798:IAL589808 IKH589798:IKH589808 IUD589798:IUD589808 JDZ589798:JDZ589808 JNV589798:JNV589808 JXR589798:JXR589808 KHN589798:KHN589808 KRJ589798:KRJ589808 LBF589798:LBF589808 LLB589798:LLB589808 LUX589798:LUX589808 MET589798:MET589808 MOP589798:MOP589808 MYL589798:MYL589808 NIH589798:NIH589808 NSD589798:NSD589808 OBZ589798:OBZ589808 OLV589798:OLV589808 OVR589798:OVR589808 PFN589798:PFN589808 PPJ589798:PPJ589808 PZF589798:PZF589808 QJB589798:QJB589808 QSX589798:QSX589808 RCT589798:RCT589808 RMP589798:RMP589808 RWL589798:RWL589808 SGH589798:SGH589808 SQD589798:SQD589808 SZZ589798:SZZ589808 TJV589798:TJV589808 TTR589798:TTR589808 UDN589798:UDN589808 UNJ589798:UNJ589808 UXF589798:UXF589808 VHB589798:VHB589808 VQX589798:VQX589808 WAT589798:WAT589808 WKP589798:WKP589808 WUL589798:WUL589808 C655334:C655344 HZ655334:HZ655344 RV655334:RV655344 ABR655334:ABR655344 ALN655334:ALN655344 AVJ655334:AVJ655344 BFF655334:BFF655344 BPB655334:BPB655344 BYX655334:BYX655344 CIT655334:CIT655344 CSP655334:CSP655344 DCL655334:DCL655344 DMH655334:DMH655344 DWD655334:DWD655344 EFZ655334:EFZ655344 EPV655334:EPV655344 EZR655334:EZR655344 FJN655334:FJN655344 FTJ655334:FTJ655344 GDF655334:GDF655344 GNB655334:GNB655344 GWX655334:GWX655344 HGT655334:HGT655344 HQP655334:HQP655344 IAL655334:IAL655344 IKH655334:IKH655344 IUD655334:IUD655344 JDZ655334:JDZ655344 JNV655334:JNV655344 JXR655334:JXR655344 KHN655334:KHN655344 KRJ655334:KRJ655344 LBF655334:LBF655344 LLB655334:LLB655344 LUX655334:LUX655344 MET655334:MET655344 MOP655334:MOP655344 MYL655334:MYL655344 NIH655334:NIH655344 NSD655334:NSD655344 OBZ655334:OBZ655344 OLV655334:OLV655344 OVR655334:OVR655344 PFN655334:PFN655344 PPJ655334:PPJ655344 PZF655334:PZF655344 QJB655334:QJB655344 QSX655334:QSX655344 RCT655334:RCT655344 RMP655334:RMP655344 RWL655334:RWL655344 SGH655334:SGH655344 SQD655334:SQD655344 SZZ655334:SZZ655344 TJV655334:TJV655344 TTR655334:TTR655344 UDN655334:UDN655344 UNJ655334:UNJ655344 UXF655334:UXF655344 VHB655334:VHB655344 VQX655334:VQX655344 WAT655334:WAT655344 WKP655334:WKP655344 WUL655334:WUL655344 C720870:C720880 HZ720870:HZ720880 RV720870:RV720880 ABR720870:ABR720880 ALN720870:ALN720880 AVJ720870:AVJ720880 BFF720870:BFF720880 BPB720870:BPB720880 BYX720870:BYX720880 CIT720870:CIT720880 CSP720870:CSP720880 DCL720870:DCL720880 DMH720870:DMH720880 DWD720870:DWD720880 EFZ720870:EFZ720880 EPV720870:EPV720880 EZR720870:EZR720880 FJN720870:FJN720880 FTJ720870:FTJ720880 GDF720870:GDF720880 GNB720870:GNB720880 GWX720870:GWX720880 HGT720870:HGT720880 HQP720870:HQP720880 IAL720870:IAL720880 IKH720870:IKH720880 IUD720870:IUD720880 JDZ720870:JDZ720880 JNV720870:JNV720880 JXR720870:JXR720880 KHN720870:KHN720880 KRJ720870:KRJ720880 LBF720870:LBF720880 LLB720870:LLB720880 LUX720870:LUX720880 MET720870:MET720880 MOP720870:MOP720880 MYL720870:MYL720880 NIH720870:NIH720880 NSD720870:NSD720880 OBZ720870:OBZ720880 OLV720870:OLV720880 OVR720870:OVR720880 PFN720870:PFN720880 PPJ720870:PPJ720880 PZF720870:PZF720880 QJB720870:QJB720880 QSX720870:QSX720880 RCT720870:RCT720880 RMP720870:RMP720880 RWL720870:RWL720880 SGH720870:SGH720880 SQD720870:SQD720880 SZZ720870:SZZ720880 TJV720870:TJV720880 TTR720870:TTR720880 UDN720870:UDN720880 UNJ720870:UNJ720880 UXF720870:UXF720880 VHB720870:VHB720880 VQX720870:VQX720880 WAT720870:WAT720880 WKP720870:WKP720880 WUL720870:WUL720880 C786406:C786416 HZ786406:HZ786416 RV786406:RV786416 ABR786406:ABR786416 ALN786406:ALN786416 AVJ786406:AVJ786416 BFF786406:BFF786416 BPB786406:BPB786416 BYX786406:BYX786416 CIT786406:CIT786416 CSP786406:CSP786416 DCL786406:DCL786416 DMH786406:DMH786416 DWD786406:DWD786416 EFZ786406:EFZ786416 EPV786406:EPV786416 EZR786406:EZR786416 FJN786406:FJN786416 FTJ786406:FTJ786416 GDF786406:GDF786416 GNB786406:GNB786416 GWX786406:GWX786416 HGT786406:HGT786416 HQP786406:HQP786416 IAL786406:IAL786416 IKH786406:IKH786416 IUD786406:IUD786416 JDZ786406:JDZ786416 JNV786406:JNV786416 JXR786406:JXR786416 KHN786406:KHN786416 KRJ786406:KRJ786416 LBF786406:LBF786416 LLB786406:LLB786416 LUX786406:LUX786416 MET786406:MET786416 MOP786406:MOP786416 MYL786406:MYL786416 NIH786406:NIH786416 NSD786406:NSD786416 OBZ786406:OBZ786416 OLV786406:OLV786416 OVR786406:OVR786416 PFN786406:PFN786416 PPJ786406:PPJ786416 PZF786406:PZF786416 QJB786406:QJB786416 QSX786406:QSX786416 RCT786406:RCT786416 RMP786406:RMP786416 RWL786406:RWL786416 SGH786406:SGH786416 SQD786406:SQD786416 SZZ786406:SZZ786416 TJV786406:TJV786416 TTR786406:TTR786416 UDN786406:UDN786416 UNJ786406:UNJ786416 UXF786406:UXF786416 VHB786406:VHB786416 VQX786406:VQX786416 WAT786406:WAT786416 WKP786406:WKP786416 WUL786406:WUL786416 C851942:C851952 HZ851942:HZ851952 RV851942:RV851952 ABR851942:ABR851952 ALN851942:ALN851952 AVJ851942:AVJ851952 BFF851942:BFF851952 BPB851942:BPB851952 BYX851942:BYX851952 CIT851942:CIT851952 CSP851942:CSP851952 DCL851942:DCL851952 DMH851942:DMH851952 DWD851942:DWD851952 EFZ851942:EFZ851952 EPV851942:EPV851952 EZR851942:EZR851952 FJN851942:FJN851952 FTJ851942:FTJ851952 GDF851942:GDF851952 GNB851942:GNB851952 GWX851942:GWX851952 HGT851942:HGT851952 HQP851942:HQP851952 IAL851942:IAL851952 IKH851942:IKH851952 IUD851942:IUD851952 JDZ851942:JDZ851952 JNV851942:JNV851952 JXR851942:JXR851952 KHN851942:KHN851952 KRJ851942:KRJ851952 LBF851942:LBF851952 LLB851942:LLB851952 LUX851942:LUX851952 MET851942:MET851952 MOP851942:MOP851952 MYL851942:MYL851952 NIH851942:NIH851952 NSD851942:NSD851952 OBZ851942:OBZ851952 OLV851942:OLV851952 OVR851942:OVR851952 PFN851942:PFN851952 PPJ851942:PPJ851952 PZF851942:PZF851952 QJB851942:QJB851952 QSX851942:QSX851952 RCT851942:RCT851952 RMP851942:RMP851952 RWL851942:RWL851952 SGH851942:SGH851952 SQD851942:SQD851952 SZZ851942:SZZ851952 TJV851942:TJV851952 TTR851942:TTR851952 UDN851942:UDN851952 UNJ851942:UNJ851952 UXF851942:UXF851952 VHB851942:VHB851952 VQX851942:VQX851952 WAT851942:WAT851952 WKP851942:WKP851952 WUL851942:WUL851952 C917478:C917488 HZ917478:HZ917488 RV917478:RV917488 ABR917478:ABR917488 ALN917478:ALN917488 AVJ917478:AVJ917488 BFF917478:BFF917488 BPB917478:BPB917488 BYX917478:BYX917488 CIT917478:CIT917488 CSP917478:CSP917488 DCL917478:DCL917488 DMH917478:DMH917488 DWD917478:DWD917488 EFZ917478:EFZ917488 EPV917478:EPV917488 EZR917478:EZR917488 FJN917478:FJN917488 FTJ917478:FTJ917488 GDF917478:GDF917488 GNB917478:GNB917488 GWX917478:GWX917488 HGT917478:HGT917488 HQP917478:HQP917488 IAL917478:IAL917488 IKH917478:IKH917488 IUD917478:IUD917488 JDZ917478:JDZ917488 JNV917478:JNV917488 JXR917478:JXR917488 KHN917478:KHN917488 KRJ917478:KRJ917488 LBF917478:LBF917488 LLB917478:LLB917488 LUX917478:LUX917488 MET917478:MET917488 MOP917478:MOP917488 MYL917478:MYL917488 NIH917478:NIH917488 NSD917478:NSD917488 OBZ917478:OBZ917488 OLV917478:OLV917488 OVR917478:OVR917488 PFN917478:PFN917488 PPJ917478:PPJ917488 PZF917478:PZF917488 QJB917478:QJB917488 QSX917478:QSX917488 RCT917478:RCT917488 RMP917478:RMP917488 RWL917478:RWL917488 SGH917478:SGH917488 SQD917478:SQD917488 SZZ917478:SZZ917488 TJV917478:TJV917488 TTR917478:TTR917488 UDN917478:UDN917488 UNJ917478:UNJ917488 UXF917478:UXF917488 VHB917478:VHB917488 VQX917478:VQX917488 WAT917478:WAT917488 WKP917478:WKP917488 WUL917478:WUL917488 C983014:C983024 HZ983014:HZ983024 RV983014:RV983024 ABR983014:ABR983024 ALN983014:ALN983024 AVJ983014:AVJ983024 BFF983014:BFF983024 BPB983014:BPB983024 BYX983014:BYX983024 CIT983014:CIT983024 CSP983014:CSP983024 DCL983014:DCL983024 DMH983014:DMH983024 DWD983014:DWD983024 EFZ983014:EFZ983024 EPV983014:EPV983024 EZR983014:EZR983024 FJN983014:FJN983024 FTJ983014:FTJ983024 GDF983014:GDF983024 GNB983014:GNB983024 GWX983014:GWX983024 HGT983014:HGT983024 HQP983014:HQP983024 IAL983014:IAL983024 IKH983014:IKH983024 IUD983014:IUD983024 JDZ983014:JDZ983024 JNV983014:JNV983024 JXR983014:JXR983024 KHN983014:KHN983024 KRJ983014:KRJ983024 LBF983014:LBF983024 LLB983014:LLB983024 LUX983014:LUX983024 MET983014:MET983024 MOP983014:MOP983024 MYL983014:MYL983024 NIH983014:NIH983024 NSD983014:NSD983024 OBZ983014:OBZ983024 OLV983014:OLV983024 OVR983014:OVR983024 PFN983014:PFN983024 PPJ983014:PPJ983024 PZF983014:PZF983024 QJB983014:QJB983024 QSX983014:QSX983024 RCT983014:RCT983024 RMP983014:RMP983024 RWL983014:RWL983024 SGH983014:SGH983024 SQD983014:SQD983024 SZZ983014:SZZ983024 TJV983014:TJV983024 TTR983014:TTR983024 UDN983014:UDN983024 UNJ983014:UNJ983024 UXF983014:UXF983024 VHB983014:VHB983024 VQX983014:VQX983024 WAT983014:WAT983024 WKP983014:WKP983024 WUL983014:WUL983024" xr:uid="{00000000-0002-0000-0B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2" orientation="landscape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D3B28-4F93-4681-9AD5-BC874FF9FD7E}">
  <sheetPr codeName="Sheet7"/>
  <dimension ref="A1:I35"/>
  <sheetViews>
    <sheetView zoomScaleNormal="100" workbookViewId="0">
      <selection activeCell="F28" sqref="F28"/>
    </sheetView>
  </sheetViews>
  <sheetFormatPr defaultColWidth="8.85546875" defaultRowHeight="14.25" x14ac:dyDescent="0.2"/>
  <cols>
    <col min="1" max="1" width="15" style="679" customWidth="1"/>
    <col min="2" max="9" width="14.7109375" style="679" customWidth="1"/>
    <col min="10" max="16384" width="8.85546875" style="679"/>
  </cols>
  <sheetData>
    <row r="1" spans="1:9" x14ac:dyDescent="0.2">
      <c r="A1" s="677" t="s">
        <v>199</v>
      </c>
      <c r="B1" s="678"/>
      <c r="C1" s="678"/>
      <c r="D1" s="678"/>
      <c r="E1" s="678"/>
      <c r="G1" s="680"/>
      <c r="H1" s="681"/>
      <c r="I1" s="681"/>
    </row>
    <row r="2" spans="1:9" x14ac:dyDescent="0.2">
      <c r="A2" s="682"/>
      <c r="B2" s="683"/>
      <c r="C2" s="683" t="s">
        <v>200</v>
      </c>
      <c r="D2" s="683"/>
      <c r="E2" s="683"/>
      <c r="F2" s="683"/>
      <c r="G2" s="683"/>
      <c r="H2" s="683"/>
      <c r="I2" s="683"/>
    </row>
    <row r="3" spans="1:9" x14ac:dyDescent="0.2">
      <c r="A3" s="681"/>
      <c r="B3" s="684" t="s">
        <v>201</v>
      </c>
      <c r="C3" s="685" t="s">
        <v>202</v>
      </c>
      <c r="D3" s="686" t="s">
        <v>210</v>
      </c>
      <c r="E3" s="684" t="s">
        <v>203</v>
      </c>
      <c r="F3" s="684" t="s">
        <v>204</v>
      </c>
      <c r="G3" s="684" t="s">
        <v>205</v>
      </c>
      <c r="H3" s="684" t="s">
        <v>206</v>
      </c>
      <c r="I3" s="684" t="s">
        <v>207</v>
      </c>
    </row>
    <row r="4" spans="1:9" ht="6" customHeight="1" x14ac:dyDescent="0.2">
      <c r="A4" s="681"/>
      <c r="B4" s="687"/>
      <c r="C4" s="687"/>
      <c r="D4" s="687"/>
      <c r="E4" s="687"/>
      <c r="F4" s="687"/>
      <c r="G4" s="687"/>
      <c r="H4" s="687"/>
      <c r="I4" s="687"/>
    </row>
    <row r="5" spans="1:9" x14ac:dyDescent="0.2">
      <c r="A5" s="688" t="s">
        <v>208</v>
      </c>
      <c r="B5" s="689">
        <v>0.54</v>
      </c>
      <c r="C5" s="689">
        <v>0.64208333333333334</v>
      </c>
      <c r="D5" s="690">
        <f>'Annual 2022l2023'!K26</f>
        <v>0.64371575342465759</v>
      </c>
      <c r="E5" s="689">
        <v>0.54859589041095891</v>
      </c>
      <c r="F5" s="689">
        <v>0.6418571917808219</v>
      </c>
      <c r="G5" s="689">
        <v>0.69962433904109589</v>
      </c>
      <c r="H5" s="689">
        <v>0.7</v>
      </c>
      <c r="I5" s="689">
        <v>0.7</v>
      </c>
    </row>
    <row r="6" spans="1:9" x14ac:dyDescent="0.2">
      <c r="A6" s="688" t="s">
        <v>209</v>
      </c>
      <c r="B6" s="691">
        <v>1542</v>
      </c>
      <c r="C6" s="691">
        <v>1768.1318299805323</v>
      </c>
      <c r="D6" s="692">
        <f>'Annual 2022l2023'!M24</f>
        <v>1653.7065432370205</v>
      </c>
      <c r="E6" s="691">
        <v>2402.3443498345714</v>
      </c>
      <c r="F6" s="691">
        <v>2642.5787848180289</v>
      </c>
      <c r="G6" s="691">
        <v>2801.1335119071109</v>
      </c>
      <c r="H6" s="691">
        <v>2969.2015226215376</v>
      </c>
      <c r="I6" s="691">
        <v>3147.3536139788298</v>
      </c>
    </row>
    <row r="8" spans="1:9" s="681" customFormat="1" ht="12.75" x14ac:dyDescent="0.2">
      <c r="C8" s="694" t="s">
        <v>211</v>
      </c>
    </row>
    <row r="9" spans="1:9" s="681" customFormat="1" ht="12.75" x14ac:dyDescent="0.2"/>
    <row r="10" spans="1:9" s="681" customFormat="1" ht="12.75" x14ac:dyDescent="0.2">
      <c r="C10" s="681" t="s">
        <v>208</v>
      </c>
      <c r="E10" s="693">
        <f>(E5-D5)/D5</f>
        <v>-0.14776687149203316</v>
      </c>
    </row>
    <row r="11" spans="1:9" s="681" customFormat="1" ht="12.75" x14ac:dyDescent="0.2">
      <c r="C11" s="681" t="s">
        <v>209</v>
      </c>
      <c r="E11" s="693">
        <f>(E6-D6)/D6</f>
        <v>0.45270293551124391</v>
      </c>
    </row>
    <row r="12" spans="1:9" s="681" customFormat="1" ht="12.75" x14ac:dyDescent="0.2"/>
    <row r="13" spans="1:9" s="681" customFormat="1" ht="12.75" x14ac:dyDescent="0.2">
      <c r="C13" s="694" t="s">
        <v>212</v>
      </c>
    </row>
    <row r="14" spans="1:9" s="681" customFormat="1" ht="12.75" x14ac:dyDescent="0.2"/>
    <row r="15" spans="1:9" s="681" customFormat="1" ht="12.75" x14ac:dyDescent="0.2">
      <c r="C15" s="681" t="s">
        <v>208</v>
      </c>
      <c r="E15" s="693">
        <f>(E5-C5)/C5</f>
        <v>-0.14560017067728659</v>
      </c>
    </row>
    <row r="16" spans="1:9" s="681" customFormat="1" ht="12.75" x14ac:dyDescent="0.2">
      <c r="C16" s="681" t="s">
        <v>209</v>
      </c>
      <c r="E16" s="693">
        <f>(E6-C6)/C6</f>
        <v>0.35869074302057102</v>
      </c>
    </row>
    <row r="17" spans="1:5" s="681" customFormat="1" ht="12.75" x14ac:dyDescent="0.2"/>
    <row r="18" spans="1:5" s="681" customFormat="1" ht="12.75" x14ac:dyDescent="0.2">
      <c r="C18" s="694" t="s">
        <v>213</v>
      </c>
    </row>
    <row r="19" spans="1:5" s="681" customFormat="1" ht="12.75" x14ac:dyDescent="0.2"/>
    <row r="20" spans="1:5" s="681" customFormat="1" ht="12.75" x14ac:dyDescent="0.2">
      <c r="C20" s="681" t="s">
        <v>208</v>
      </c>
      <c r="E20" s="693">
        <f>(E5-B5)/B5</f>
        <v>1.5918315575849763E-2</v>
      </c>
    </row>
    <row r="21" spans="1:5" s="681" customFormat="1" ht="12.75" x14ac:dyDescent="0.2">
      <c r="C21" s="681" t="s">
        <v>209</v>
      </c>
      <c r="E21" s="693">
        <f>(E6-B6)/B6</f>
        <v>0.55794056409505277</v>
      </c>
    </row>
    <row r="22" spans="1:5" s="681" customFormat="1" ht="12.75" x14ac:dyDescent="0.2"/>
    <row r="23" spans="1:5" s="681" customFormat="1" ht="12.75" x14ac:dyDescent="0.2"/>
    <row r="24" spans="1:5" s="681" customFormat="1" ht="12.75" x14ac:dyDescent="0.2">
      <c r="A24" s="677" t="s">
        <v>216</v>
      </c>
    </row>
    <row r="25" spans="1:5" s="681" customFormat="1" ht="12.75" x14ac:dyDescent="0.2"/>
    <row r="26" spans="1:5" s="681" customFormat="1" ht="12.75" x14ac:dyDescent="0.2">
      <c r="B26" s="684" t="s">
        <v>201</v>
      </c>
      <c r="C26" s="686" t="s">
        <v>218</v>
      </c>
      <c r="D26" s="684" t="s">
        <v>203</v>
      </c>
    </row>
    <row r="27" spans="1:5" s="681" customFormat="1" ht="12.75" x14ac:dyDescent="0.2">
      <c r="A27" s="688" t="s">
        <v>185</v>
      </c>
      <c r="B27" s="695">
        <f>'Annual 2022l2023'!H10</f>
        <v>0.68515658780653532</v>
      </c>
      <c r="C27" s="695">
        <f>'Annual 2022l2023'!L10</f>
        <v>0.5688027026308089</v>
      </c>
      <c r="D27" s="695">
        <v>0.54</v>
      </c>
    </row>
    <row r="28" spans="1:5" s="681" customFormat="1" ht="12.75" x14ac:dyDescent="0.2">
      <c r="A28" s="688" t="s">
        <v>187</v>
      </c>
      <c r="B28" s="695">
        <f>'Annual 2022l2023'!H13</f>
        <v>0.10840694298597814</v>
      </c>
      <c r="C28" s="695">
        <f>'Annual 2022l2023'!L13</f>
        <v>0.29776820152687999</v>
      </c>
      <c r="D28" s="695">
        <v>0.26</v>
      </c>
    </row>
    <row r="29" spans="1:5" s="681" customFormat="1" ht="12.75" x14ac:dyDescent="0.2">
      <c r="A29" s="688" t="s">
        <v>217</v>
      </c>
      <c r="B29" s="695">
        <f>'Annual 2022l2023'!H16</f>
        <v>0.2003212057569955</v>
      </c>
      <c r="C29" s="695">
        <f>'Annual 2022l2023'!L16</f>
        <v>0.12475726864043837</v>
      </c>
      <c r="D29" s="695">
        <v>0.2</v>
      </c>
    </row>
    <row r="30" spans="1:5" s="681" customFormat="1" ht="12.75" x14ac:dyDescent="0.2"/>
    <row r="31" spans="1:5" s="681" customFormat="1" ht="12.75" x14ac:dyDescent="0.2"/>
    <row r="32" spans="1:5" s="681" customFormat="1" ht="12.75" x14ac:dyDescent="0.2"/>
    <row r="33" s="681" customFormat="1" ht="12.75" x14ac:dyDescent="0.2"/>
    <row r="34" s="681" customFormat="1" ht="12.75" x14ac:dyDescent="0.2"/>
    <row r="35" s="681" customFormat="1" ht="12.75" x14ac:dyDescent="0.2"/>
  </sheetData>
  <pageMargins left="0.70866141732283472" right="0.70866141732283472" top="0.74803149606299213" bottom="0.74803149606299213" header="0.31496062992125984" footer="0.31496062992125984"/>
  <pageSetup paperSize="9" scale="94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2">
    <pageSetUpPr fitToPage="1"/>
  </sheetPr>
  <dimension ref="B1:AL36"/>
  <sheetViews>
    <sheetView view="pageBreakPreview" zoomScale="50" zoomScaleNormal="50" zoomScaleSheetLayoutView="50" workbookViewId="0">
      <pane xSplit="2" ySplit="6" topLeftCell="C10" activePane="bottomRight" state="frozen"/>
      <selection activeCell="E37" sqref="E37"/>
      <selection pane="topRight" activeCell="E37" sqref="E37"/>
      <selection pane="bottomLeft" activeCell="E37" sqref="E37"/>
      <selection pane="bottomRight" activeCell="K15" sqref="K15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5.85546875" style="5" bestFit="1" customWidth="1"/>
    <col min="4" max="4" width="15.7109375" style="5" customWidth="1"/>
    <col min="5" max="5" width="18.42578125" style="5" bestFit="1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1" width="20.140625" style="5" bestFit="1" customWidth="1" outlineLevel="1"/>
    <col min="12" max="12" width="16.140625" style="5" bestFit="1" customWidth="1" outlineLevel="1"/>
    <col min="13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3.28515625" style="5" bestFit="1" customWidth="1"/>
    <col min="20" max="16384" width="9.140625" style="5"/>
  </cols>
  <sheetData>
    <row r="1" spans="2:38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38" s="1" customFormat="1" ht="26.25" x14ac:dyDescent="0.4">
      <c r="B2" s="759" t="s">
        <v>132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38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38" ht="33" customHeight="1" outlineLevel="1" x14ac:dyDescent="0.35">
      <c r="B4" s="6" t="s">
        <v>1</v>
      </c>
      <c r="C4" s="7">
        <f>155*30</f>
        <v>4650</v>
      </c>
      <c r="D4" s="8"/>
      <c r="E4" s="9"/>
      <c r="F4" s="10"/>
      <c r="G4" s="7">
        <f>80*30</f>
        <v>2400</v>
      </c>
      <c r="H4" s="11"/>
      <c r="I4" s="11"/>
      <c r="J4" s="11"/>
      <c r="K4" s="7">
        <f>80*30</f>
        <v>2400</v>
      </c>
      <c r="L4" s="12"/>
      <c r="M4" s="12"/>
      <c r="N4" s="12"/>
      <c r="O4" s="12"/>
      <c r="P4" s="12"/>
      <c r="Q4" s="13"/>
    </row>
    <row r="5" spans="2:38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38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38" s="94" customFormat="1" ht="33" customHeight="1" outlineLevel="1" x14ac:dyDescent="0.3">
      <c r="B7" s="89" t="s">
        <v>37</v>
      </c>
      <c r="C7" s="90">
        <v>0</v>
      </c>
      <c r="D7" s="91">
        <f t="shared" ref="D7:D16" si="0">+IF(C$24=0,0,C7/C$24)</f>
        <v>0</v>
      </c>
      <c r="E7" s="92">
        <f t="shared" ref="E7:E16" si="1">IF(C7=0,0,F7/C7)</f>
        <v>0</v>
      </c>
      <c r="F7" s="93">
        <v>0</v>
      </c>
      <c r="G7" s="90">
        <v>499</v>
      </c>
      <c r="H7" s="91">
        <f t="shared" ref="H7:H16" si="2">+IF(G$24=0,0,G7/G$24)</f>
        <v>0.2732749178532311</v>
      </c>
      <c r="I7" s="92">
        <f t="shared" ref="I7:I16" si="3">IF(G7=0,0,J7/G7)</f>
        <v>1309.1583166332666</v>
      </c>
      <c r="J7" s="93">
        <v>653270</v>
      </c>
      <c r="K7" s="90">
        <f>'DNovember 2022'!D37</f>
        <v>79</v>
      </c>
      <c r="L7" s="91">
        <f>+IF(K$24=0,0,K7/K$24)</f>
        <v>4.1754756871035942E-2</v>
      </c>
      <c r="M7" s="92">
        <f>IF(K7=0,0,N7/K7)</f>
        <v>1329.9405063291126</v>
      </c>
      <c r="N7" s="93">
        <f>'DNovember 2022'!D38</f>
        <v>105065.2999999999</v>
      </c>
      <c r="O7" s="90">
        <f t="shared" ref="O7:O24" si="4">K7-G7</f>
        <v>-420</v>
      </c>
      <c r="P7" s="92">
        <f t="shared" ref="P7:P24" si="5">M7-I7</f>
        <v>20.782189695846</v>
      </c>
      <c r="Q7" s="93">
        <f t="shared" ref="Q7:Q24" si="6">N7-J7</f>
        <v>-548204.70000000007</v>
      </c>
      <c r="S7" s="210"/>
    </row>
    <row r="8" spans="2:38" s="94" customFormat="1" ht="33" customHeight="1" outlineLevel="1" x14ac:dyDescent="0.3">
      <c r="B8" s="89" t="s">
        <v>38</v>
      </c>
      <c r="C8" s="90">
        <v>66</v>
      </c>
      <c r="D8" s="91">
        <f t="shared" si="0"/>
        <v>2.9583146571044376E-2</v>
      </c>
      <c r="E8" s="92">
        <f t="shared" si="1"/>
        <v>1377.4627272727271</v>
      </c>
      <c r="F8" s="93">
        <v>90912.54</v>
      </c>
      <c r="G8" s="90">
        <v>727</v>
      </c>
      <c r="H8" s="91">
        <f t="shared" si="2"/>
        <v>0.39813800657174153</v>
      </c>
      <c r="I8" s="92">
        <f t="shared" si="3"/>
        <v>1573.5873452544704</v>
      </c>
      <c r="J8" s="93">
        <v>1143998</v>
      </c>
      <c r="K8" s="90">
        <f>'DNovember 2022'!F37</f>
        <v>952</v>
      </c>
      <c r="L8" s="91">
        <f t="shared" ref="L8:L16" si="7">+IF(K$24=0,0,K8/K$24)</f>
        <v>0.5031712473572939</v>
      </c>
      <c r="M8" s="92">
        <f>IF(K8=0,0,N8/K8)</f>
        <v>2032.9406811307847</v>
      </c>
      <c r="N8" s="93">
        <f>'DNovember 2022'!F38</f>
        <v>1935359.5284365071</v>
      </c>
      <c r="O8" s="90">
        <f t="shared" si="4"/>
        <v>225</v>
      </c>
      <c r="P8" s="92">
        <f t="shared" si="5"/>
        <v>459.3533358763143</v>
      </c>
      <c r="Q8" s="93">
        <f t="shared" si="6"/>
        <v>791361.5284365071</v>
      </c>
      <c r="S8" s="210"/>
      <c r="AL8" s="303"/>
    </row>
    <row r="9" spans="2:38" s="94" customFormat="1" ht="20.25" outlineLevel="1" x14ac:dyDescent="0.3">
      <c r="B9" s="89" t="s">
        <v>44</v>
      </c>
      <c r="C9" s="90">
        <v>11</v>
      </c>
      <c r="D9" s="91">
        <f t="shared" si="0"/>
        <v>4.9305244285073957E-3</v>
      </c>
      <c r="E9" s="92">
        <f t="shared" si="1"/>
        <v>1311.3045454545454</v>
      </c>
      <c r="F9" s="93">
        <v>14424.35</v>
      </c>
      <c r="G9" s="90">
        <v>70</v>
      </c>
      <c r="H9" s="91">
        <f t="shared" si="2"/>
        <v>3.8335158817086525E-2</v>
      </c>
      <c r="I9" s="92">
        <f t="shared" si="3"/>
        <v>1246.8428571428572</v>
      </c>
      <c r="J9" s="93">
        <v>87279</v>
      </c>
      <c r="K9" s="90">
        <f>'DNovember 2022'!H37</f>
        <v>24</v>
      </c>
      <c r="L9" s="91">
        <f t="shared" si="7"/>
        <v>1.2684989429175475E-2</v>
      </c>
      <c r="M9" s="92">
        <f>IF(K9=0,0,N9/K9)</f>
        <v>1766.89375</v>
      </c>
      <c r="N9" s="93">
        <f>'DNovember 2022'!H38</f>
        <v>42405.45</v>
      </c>
      <c r="O9" s="90">
        <f t="shared" si="4"/>
        <v>-46</v>
      </c>
      <c r="P9" s="92">
        <f t="shared" si="5"/>
        <v>520.0508928571428</v>
      </c>
      <c r="Q9" s="93">
        <f t="shared" si="6"/>
        <v>-44873.55</v>
      </c>
      <c r="S9" s="210"/>
    </row>
    <row r="10" spans="2:38" ht="33" customHeight="1" x14ac:dyDescent="0.35">
      <c r="B10" s="20" t="s">
        <v>36</v>
      </c>
      <c r="C10" s="55">
        <f>SUM(C7:C9)</f>
        <v>77</v>
      </c>
      <c r="D10" s="21">
        <f t="shared" si="0"/>
        <v>3.4513670999551771E-2</v>
      </c>
      <c r="E10" s="58">
        <f t="shared" si="1"/>
        <v>1368.0115584415585</v>
      </c>
      <c r="F10" s="59">
        <f>SUM(F7:F9)</f>
        <v>105336.89</v>
      </c>
      <c r="G10" s="55">
        <f>SUM(G7:G9)</f>
        <v>1296</v>
      </c>
      <c r="H10" s="21">
        <f t="shared" si="2"/>
        <v>0.70974808324205918</v>
      </c>
      <c r="I10" s="58">
        <f t="shared" si="3"/>
        <v>1454.1257716049383</v>
      </c>
      <c r="J10" s="59">
        <f>SUM(J7:J9)</f>
        <v>1884547</v>
      </c>
      <c r="K10" s="55">
        <f>SUM(K7:K9)</f>
        <v>1055</v>
      </c>
      <c r="L10" s="21">
        <f t="shared" si="7"/>
        <v>0.55761099365750533</v>
      </c>
      <c r="M10" s="58">
        <f>IF(K10=0,0,N10/K10)</f>
        <v>1974.2467094184899</v>
      </c>
      <c r="N10" s="59">
        <f>SUM(N7:N9)</f>
        <v>2082830.2784365069</v>
      </c>
      <c r="O10" s="55">
        <f t="shared" si="4"/>
        <v>-241</v>
      </c>
      <c r="P10" s="58">
        <f t="shared" si="5"/>
        <v>520.12093781355156</v>
      </c>
      <c r="Q10" s="59">
        <f t="shared" si="6"/>
        <v>198283.27843650687</v>
      </c>
      <c r="S10" s="210"/>
    </row>
    <row r="11" spans="2:38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si="1"/>
        <v>0</v>
      </c>
      <c r="F11" s="93">
        <v>12673.91</v>
      </c>
      <c r="G11" s="90">
        <v>187</v>
      </c>
      <c r="H11" s="91">
        <f t="shared" si="2"/>
        <v>0.10240963855421686</v>
      </c>
      <c r="I11" s="92">
        <f t="shared" si="3"/>
        <v>1545.1336898395723</v>
      </c>
      <c r="J11" s="93">
        <v>288940</v>
      </c>
      <c r="K11" s="90">
        <f>'DNovember 2022'!J37</f>
        <v>333</v>
      </c>
      <c r="L11" s="91">
        <f t="shared" si="7"/>
        <v>0.17600422832980972</v>
      </c>
      <c r="M11" s="92">
        <f t="shared" ref="M11:M16" si="8">IF(K11=0,0,N11/K11)</f>
        <v>1592.9909479401708</v>
      </c>
      <c r="N11" s="93">
        <f>'DNovember 2022'!J38</f>
        <v>530465.98566407687</v>
      </c>
      <c r="O11" s="90">
        <f t="shared" si="4"/>
        <v>146</v>
      </c>
      <c r="P11" s="92">
        <f t="shared" si="5"/>
        <v>47.857258100598528</v>
      </c>
      <c r="Q11" s="93">
        <f t="shared" si="6"/>
        <v>241525.98566407687</v>
      </c>
      <c r="S11" s="210"/>
    </row>
    <row r="12" spans="2:38" s="94" customFormat="1" ht="33" customHeight="1" x14ac:dyDescent="0.3">
      <c r="B12" s="89" t="s">
        <v>41</v>
      </c>
      <c r="C12" s="90">
        <v>4</v>
      </c>
      <c r="D12" s="91">
        <f t="shared" si="0"/>
        <v>1.7929179740026895E-3</v>
      </c>
      <c r="E12" s="92">
        <f t="shared" si="1"/>
        <v>1048.915</v>
      </c>
      <c r="F12" s="93">
        <v>4195.66</v>
      </c>
      <c r="G12" s="90">
        <v>67</v>
      </c>
      <c r="H12" s="91">
        <f t="shared" si="2"/>
        <v>3.6692223439211392E-2</v>
      </c>
      <c r="I12" s="92">
        <f t="shared" si="3"/>
        <v>1290.7164179104477</v>
      </c>
      <c r="J12" s="93">
        <v>86478</v>
      </c>
      <c r="K12" s="90">
        <f>'DNovember 2022'!L37</f>
        <v>342</v>
      </c>
      <c r="L12" s="91">
        <f t="shared" si="7"/>
        <v>0.18076109936575052</v>
      </c>
      <c r="M12" s="92">
        <f t="shared" si="8"/>
        <v>1670.3731076248305</v>
      </c>
      <c r="N12" s="93">
        <f>'DNovember 2022'!L38</f>
        <v>571267.60280769202</v>
      </c>
      <c r="O12" s="90">
        <f t="shared" si="4"/>
        <v>275</v>
      </c>
      <c r="P12" s="92">
        <f t="shared" si="5"/>
        <v>379.65668971438276</v>
      </c>
      <c r="Q12" s="93">
        <f t="shared" si="6"/>
        <v>484789.60280769202</v>
      </c>
      <c r="S12" s="210"/>
    </row>
    <row r="13" spans="2:38" ht="33" customHeight="1" x14ac:dyDescent="0.35">
      <c r="B13" s="20" t="s">
        <v>39</v>
      </c>
      <c r="C13" s="55">
        <f>SUM(C11:C12)</f>
        <v>4</v>
      </c>
      <c r="D13" s="21">
        <f t="shared" si="0"/>
        <v>1.7929179740026895E-3</v>
      </c>
      <c r="E13" s="58">
        <f t="shared" si="1"/>
        <v>4217.3924999999999</v>
      </c>
      <c r="F13" s="59">
        <f>SUM(F11:F12)</f>
        <v>16869.57</v>
      </c>
      <c r="G13" s="55">
        <f>SUM(G11:G12)</f>
        <v>254</v>
      </c>
      <c r="H13" s="21">
        <f t="shared" si="2"/>
        <v>0.13910186199342825</v>
      </c>
      <c r="I13" s="58">
        <f t="shared" si="3"/>
        <v>1478.0236220472441</v>
      </c>
      <c r="J13" s="59">
        <f>SUM(J11:J12)</f>
        <v>375418</v>
      </c>
      <c r="K13" s="55">
        <f>SUM(K11:K12)</f>
        <v>675</v>
      </c>
      <c r="L13" s="21">
        <f t="shared" si="7"/>
        <v>0.35676532769556024</v>
      </c>
      <c r="M13" s="58">
        <f t="shared" si="8"/>
        <v>1632.197908847065</v>
      </c>
      <c r="N13" s="59">
        <f>SUM(N11:N12)</f>
        <v>1101733.5884717689</v>
      </c>
      <c r="O13" s="55">
        <f t="shared" si="4"/>
        <v>421</v>
      </c>
      <c r="P13" s="58">
        <f t="shared" si="5"/>
        <v>154.17428679982095</v>
      </c>
      <c r="Q13" s="59">
        <f t="shared" si="6"/>
        <v>726315.58847176889</v>
      </c>
      <c r="S13" s="210"/>
    </row>
    <row r="14" spans="2:38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1"/>
        <v>0</v>
      </c>
      <c r="F14" s="95">
        <v>0</v>
      </c>
      <c r="G14" s="90">
        <v>0</v>
      </c>
      <c r="H14" s="91">
        <f t="shared" si="2"/>
        <v>0</v>
      </c>
      <c r="I14" s="92">
        <f t="shared" si="3"/>
        <v>0</v>
      </c>
      <c r="J14" s="95">
        <v>0</v>
      </c>
      <c r="K14" s="90">
        <f>'DNovember 2022'!N37</f>
        <v>0</v>
      </c>
      <c r="L14" s="91">
        <f t="shared" si="7"/>
        <v>0</v>
      </c>
      <c r="M14" s="92">
        <f t="shared" si="8"/>
        <v>0</v>
      </c>
      <c r="N14" s="95">
        <f>'DNovember 2022'!N38</f>
        <v>0</v>
      </c>
      <c r="O14" s="90">
        <f t="shared" si="4"/>
        <v>0</v>
      </c>
      <c r="P14" s="92">
        <f t="shared" si="5"/>
        <v>0</v>
      </c>
      <c r="Q14" s="96">
        <f t="shared" si="6"/>
        <v>0</v>
      </c>
      <c r="S14" s="210"/>
    </row>
    <row r="15" spans="2:38" s="94" customFormat="1" ht="33" customHeight="1" x14ac:dyDescent="0.3">
      <c r="B15" s="89" t="s">
        <v>43</v>
      </c>
      <c r="C15" s="90">
        <v>2144</v>
      </c>
      <c r="D15" s="91">
        <f t="shared" si="0"/>
        <v>0.96100403406544155</v>
      </c>
      <c r="E15" s="92">
        <f t="shared" si="1"/>
        <v>1136.0973087686566</v>
      </c>
      <c r="F15" s="95">
        <v>2435792.63</v>
      </c>
      <c r="G15" s="90">
        <v>273</v>
      </c>
      <c r="H15" s="91">
        <f t="shared" si="2"/>
        <v>0.14950711938663747</v>
      </c>
      <c r="I15" s="92">
        <f t="shared" si="3"/>
        <v>1833.9084249084249</v>
      </c>
      <c r="J15" s="95">
        <v>500657</v>
      </c>
      <c r="K15" s="90">
        <f>'DNovember 2022'!P37</f>
        <v>140</v>
      </c>
      <c r="L15" s="91">
        <f t="shared" si="7"/>
        <v>7.399577167019028E-2</v>
      </c>
      <c r="M15" s="92">
        <f t="shared" si="8"/>
        <v>1900.91</v>
      </c>
      <c r="N15" s="95">
        <f>'DNovember 2022'!P38</f>
        <v>266127.40000000002</v>
      </c>
      <c r="O15" s="90">
        <f t="shared" si="4"/>
        <v>-133</v>
      </c>
      <c r="P15" s="92">
        <f t="shared" si="5"/>
        <v>67.001575091575205</v>
      </c>
      <c r="Q15" s="96">
        <f t="shared" si="6"/>
        <v>-234529.59999999998</v>
      </c>
      <c r="S15" s="210"/>
    </row>
    <row r="16" spans="2:38" ht="33" customHeight="1" x14ac:dyDescent="0.35">
      <c r="B16" s="20" t="s">
        <v>42</v>
      </c>
      <c r="C16" s="55">
        <f>SUM(C14:C15)</f>
        <v>2144</v>
      </c>
      <c r="D16" s="21">
        <f t="shared" si="0"/>
        <v>0.96100403406544155</v>
      </c>
      <c r="E16" s="58">
        <f t="shared" si="1"/>
        <v>1136.0973087686566</v>
      </c>
      <c r="F16" s="87">
        <f>SUM(F14:F15)</f>
        <v>2435792.63</v>
      </c>
      <c r="G16" s="55">
        <f>SUM(G14:G15)</f>
        <v>273</v>
      </c>
      <c r="H16" s="21">
        <f t="shared" si="2"/>
        <v>0.14950711938663747</v>
      </c>
      <c r="I16" s="58">
        <f t="shared" si="3"/>
        <v>1833.9084249084249</v>
      </c>
      <c r="J16" s="87">
        <f>SUM(J14:J15)</f>
        <v>500657</v>
      </c>
      <c r="K16" s="55">
        <f>SUM(K14:K15)</f>
        <v>140</v>
      </c>
      <c r="L16" s="21">
        <f t="shared" si="7"/>
        <v>7.399577167019028E-2</v>
      </c>
      <c r="M16" s="58">
        <f t="shared" si="8"/>
        <v>1900.91</v>
      </c>
      <c r="N16" s="87">
        <f>SUM(N14:N15)</f>
        <v>266127.40000000002</v>
      </c>
      <c r="O16" s="55">
        <f t="shared" si="4"/>
        <v>-133</v>
      </c>
      <c r="P16" s="58">
        <f t="shared" si="5"/>
        <v>67.001575091575205</v>
      </c>
      <c r="Q16" s="88">
        <f t="shared" si="6"/>
        <v>-234529.59999999998</v>
      </c>
      <c r="S16" s="210"/>
    </row>
    <row r="17" spans="2:19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4"/>
        <v>0</v>
      </c>
      <c r="P17" s="58">
        <f t="shared" si="5"/>
        <v>0</v>
      </c>
      <c r="Q17" s="88">
        <f t="shared" si="6"/>
        <v>0</v>
      </c>
      <c r="S17" s="210"/>
    </row>
    <row r="18" spans="2:19" ht="33" hidden="1" customHeight="1" x14ac:dyDescent="0.35">
      <c r="B18" s="22" t="s">
        <v>13</v>
      </c>
      <c r="C18" s="56">
        <f>C8+C9+C11+C12</f>
        <v>81</v>
      </c>
      <c r="D18" s="23">
        <f>+IF(C$24=0,0,C18/C$24)</f>
        <v>3.630658897355446E-2</v>
      </c>
      <c r="E18" s="60">
        <f>IF(C18=0,0,F18/C18)</f>
        <v>1508.7217283950617</v>
      </c>
      <c r="F18" s="61">
        <f>F8+F9+F11+F12</f>
        <v>122206.46</v>
      </c>
      <c r="G18" s="56">
        <f>G8+G9+G11+G12</f>
        <v>1051</v>
      </c>
      <c r="H18" s="23">
        <f>+IF(G$24=0,0,G18/G$24)</f>
        <v>0.5755750273822563</v>
      </c>
      <c r="I18" s="60">
        <f>IF(G18=0,0,J18/G18)</f>
        <v>1528.7297811607993</v>
      </c>
      <c r="J18" s="61">
        <f>J8+J9+J11+J12</f>
        <v>1606695</v>
      </c>
      <c r="K18" s="56">
        <f>K8+K9+K11+K12</f>
        <v>1651</v>
      </c>
      <c r="L18" s="23">
        <f>+IF(K$24=0,0,K18/K$24)</f>
        <v>0.87262156448202954</v>
      </c>
      <c r="M18" s="60">
        <f>IF(K18=0,0,N18/K18)</f>
        <v>1865.2323239904758</v>
      </c>
      <c r="N18" s="61">
        <f>N8+N9+N11+N12</f>
        <v>3079498.5669082757</v>
      </c>
      <c r="O18" s="56">
        <f t="shared" si="4"/>
        <v>600</v>
      </c>
      <c r="P18" s="60">
        <f t="shared" si="5"/>
        <v>336.50254282967649</v>
      </c>
      <c r="Q18" s="66">
        <f t="shared" si="6"/>
        <v>1472803.5669082757</v>
      </c>
      <c r="S18" s="210"/>
    </row>
    <row r="19" spans="2:19" ht="33" hidden="1" customHeight="1" x14ac:dyDescent="0.35">
      <c r="B19" s="22" t="s">
        <v>45</v>
      </c>
      <c r="C19" s="105">
        <f>C7+C14+C15</f>
        <v>2144</v>
      </c>
      <c r="D19" s="106">
        <f>+IF(C$24=0,0,C19/C$24)</f>
        <v>0.96100403406544155</v>
      </c>
      <c r="E19" s="107">
        <f>IF(C19=0,0,F19/C19)</f>
        <v>1136.0973087686566</v>
      </c>
      <c r="F19" s="108">
        <f>F7+F14+F15</f>
        <v>2435792.63</v>
      </c>
      <c r="G19" s="105">
        <f>G7+G14+G15</f>
        <v>772</v>
      </c>
      <c r="H19" s="106">
        <f>+IF(G$24=0,0,G19/G$24)</f>
        <v>0.42278203723986857</v>
      </c>
      <c r="I19" s="107">
        <f>IF(G19=0,0,J19/G19)</f>
        <v>1494.7240932642487</v>
      </c>
      <c r="J19" s="108">
        <f>J7+J14+J15</f>
        <v>1153927</v>
      </c>
      <c r="K19" s="105">
        <f>K7+K14+K15</f>
        <v>219</v>
      </c>
      <c r="L19" s="106">
        <f>+IF(K$24=0,0,K19/K$24)</f>
        <v>0.11575052854122622</v>
      </c>
      <c r="M19" s="107">
        <f>IF(K19=0,0,N19/K19)</f>
        <v>1694.943835616438</v>
      </c>
      <c r="N19" s="108">
        <f>N7+N14+N15</f>
        <v>371192.69999999995</v>
      </c>
      <c r="O19" s="56">
        <f t="shared" si="4"/>
        <v>-553</v>
      </c>
      <c r="P19" s="60">
        <f t="shared" si="5"/>
        <v>200.21974235218931</v>
      </c>
      <c r="Q19" s="66">
        <f t="shared" si="6"/>
        <v>-782734.3</v>
      </c>
      <c r="S19" s="210"/>
    </row>
    <row r="20" spans="2:19" ht="33" customHeight="1" x14ac:dyDescent="0.35">
      <c r="B20" s="28" t="s">
        <v>16</v>
      </c>
      <c r="C20" s="56">
        <f>C18+C19</f>
        <v>2225</v>
      </c>
      <c r="D20" s="23">
        <f>+IF(C$24=0,0,C20/C$24)</f>
        <v>0.99731062303899598</v>
      </c>
      <c r="E20" s="60">
        <f>IF(C20=0,0,F20/C20)</f>
        <v>1149.6625123595504</v>
      </c>
      <c r="F20" s="64">
        <f>F18+F19</f>
        <v>2557999.09</v>
      </c>
      <c r="G20" s="56">
        <f>G18+G19</f>
        <v>1823</v>
      </c>
      <c r="H20" s="23">
        <f>+IF(G$24=0,0,G20/G$24)</f>
        <v>0.99835706462212481</v>
      </c>
      <c r="I20" s="60">
        <f>IF(G20=0,0,J20/G20)</f>
        <v>1514.3291278113002</v>
      </c>
      <c r="J20" s="64">
        <f>J18+J19</f>
        <v>2760622</v>
      </c>
      <c r="K20" s="56">
        <f>K18+K19</f>
        <v>1870</v>
      </c>
      <c r="L20" s="23">
        <f>+IF(K$24=0,0,K20/K$24)</f>
        <v>0.98837209302325579</v>
      </c>
      <c r="M20" s="60">
        <f>IF(K20=0,0,N20/K20)</f>
        <v>1845.2894475445325</v>
      </c>
      <c r="N20" s="64">
        <f>N18+N19</f>
        <v>3450691.2669082759</v>
      </c>
      <c r="O20" s="56">
        <f t="shared" si="4"/>
        <v>47</v>
      </c>
      <c r="P20" s="60">
        <f t="shared" si="5"/>
        <v>330.96031973323238</v>
      </c>
      <c r="Q20" s="66">
        <f t="shared" si="6"/>
        <v>690069.26690827589</v>
      </c>
    </row>
    <row r="21" spans="2:19" ht="33" customHeight="1" x14ac:dyDescent="0.35">
      <c r="B21" s="29" t="s">
        <v>17</v>
      </c>
      <c r="C21" s="24">
        <f>IF(C4=0,C20,C20/$C$4)</f>
        <v>0.478494623655914</v>
      </c>
      <c r="D21" s="30"/>
      <c r="E21" s="35"/>
      <c r="F21" s="36"/>
      <c r="G21" s="24">
        <f>IF(G4=0,G20,G20/$C$4)</f>
        <v>0.39204301075268816</v>
      </c>
      <c r="H21" s="30"/>
      <c r="I21" s="35"/>
      <c r="J21" s="36"/>
      <c r="K21" s="24">
        <f>IF(K4=0,K20,K20/$K$4)</f>
        <v>0.77916666666666667</v>
      </c>
      <c r="L21" s="30"/>
      <c r="M21" s="35"/>
      <c r="N21" s="36"/>
      <c r="O21" s="54">
        <f t="shared" si="4"/>
        <v>0.38712365591397851</v>
      </c>
      <c r="P21" s="30">
        <f t="shared" si="5"/>
        <v>0</v>
      </c>
      <c r="Q21" s="31">
        <f t="shared" si="6"/>
        <v>0</v>
      </c>
    </row>
    <row r="22" spans="2:19" ht="33" customHeight="1" x14ac:dyDescent="0.35">
      <c r="B22" s="25" t="s">
        <v>18</v>
      </c>
      <c r="C22" s="57">
        <v>6</v>
      </c>
      <c r="D22" s="26">
        <f>+IF(C$24=0,0,C22/C$24)</f>
        <v>2.689376961004034E-3</v>
      </c>
      <c r="E22" s="65">
        <f>IF(C22=0,0,F22/C22)</f>
        <v>0</v>
      </c>
      <c r="F22" s="63">
        <v>0</v>
      </c>
      <c r="G22" s="57">
        <v>3</v>
      </c>
      <c r="H22" s="26">
        <f>+IF(G$24=0,0,G22/G$24)</f>
        <v>1.6429353778751369E-3</v>
      </c>
      <c r="I22" s="65">
        <f>IF(G22=0,0,J22/G22)</f>
        <v>101.66666666666667</v>
      </c>
      <c r="J22" s="63">
        <v>305</v>
      </c>
      <c r="K22" s="57">
        <f>'DNovember 2022'!R37</f>
        <v>22</v>
      </c>
      <c r="L22" s="26">
        <f>+IF(K$24=0,0,K22/K$24)</f>
        <v>1.1627906976744186E-2</v>
      </c>
      <c r="M22" s="65">
        <f>IF(K22=0,0,N22/K22)</f>
        <v>0</v>
      </c>
      <c r="N22" s="63">
        <v>0</v>
      </c>
      <c r="O22" s="57">
        <f t="shared" si="4"/>
        <v>19</v>
      </c>
      <c r="P22" s="62">
        <f t="shared" si="5"/>
        <v>-101.66666666666667</v>
      </c>
      <c r="Q22" s="63">
        <f t="shared" si="6"/>
        <v>-305</v>
      </c>
    </row>
    <row r="23" spans="2:19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4"/>
        <v>0</v>
      </c>
      <c r="P23" s="62">
        <f t="shared" si="5"/>
        <v>0</v>
      </c>
      <c r="Q23" s="72">
        <f t="shared" si="6"/>
        <v>0</v>
      </c>
    </row>
    <row r="24" spans="2:19" ht="33" customHeight="1" x14ac:dyDescent="0.35">
      <c r="B24" s="22" t="s">
        <v>20</v>
      </c>
      <c r="C24" s="56">
        <f>C10+C13+C16+C22+C23</f>
        <v>2231</v>
      </c>
      <c r="D24" s="23">
        <f>+IF(C$24=0,0,C24/C$24)</f>
        <v>1</v>
      </c>
      <c r="E24" s="60">
        <f>IF(C24=0,0,F24/C24)</f>
        <v>1146.5706364858806</v>
      </c>
      <c r="F24" s="64">
        <f>F10+F13+F16+F22+F23</f>
        <v>2557999.09</v>
      </c>
      <c r="G24" s="56">
        <f>G10+G13+G16+G22+G23</f>
        <v>1826</v>
      </c>
      <c r="H24" s="23">
        <f>+IF(G$24=0,0,G24/G$24)</f>
        <v>1</v>
      </c>
      <c r="I24" s="60">
        <f>IF(G24=0,0,J24/G24)</f>
        <v>1512.0082146768893</v>
      </c>
      <c r="J24" s="415">
        <f>J10+J13+J16+J22+J23</f>
        <v>2760927</v>
      </c>
      <c r="K24" s="56">
        <f>K10+K13+K16+K22+K23</f>
        <v>1892</v>
      </c>
      <c r="L24" s="23">
        <f>+IF(K$24=0,0,K24/K$24)</f>
        <v>1</v>
      </c>
      <c r="M24" s="60">
        <f>IF(K24=0,0,N24/K24)</f>
        <v>1823.8325935033167</v>
      </c>
      <c r="N24" s="64">
        <f>N10+N13+N16+N22+N23</f>
        <v>3450691.2669082754</v>
      </c>
      <c r="O24" s="56">
        <f t="shared" si="4"/>
        <v>66</v>
      </c>
      <c r="P24" s="60">
        <f t="shared" si="5"/>
        <v>311.82437882642739</v>
      </c>
      <c r="Q24" s="64">
        <f t="shared" si="6"/>
        <v>689764.26690827543</v>
      </c>
    </row>
    <row r="25" spans="2:19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0.20623193432389064</v>
      </c>
      <c r="Q25" s="38">
        <f>IF(J24=0,(N24-J24),(N24-J24)/J24)</f>
        <v>0.2498306789380072</v>
      </c>
    </row>
    <row r="26" spans="2:19" ht="33" customHeight="1" x14ac:dyDescent="0.35">
      <c r="B26" s="40" t="s">
        <v>21</v>
      </c>
      <c r="C26" s="41">
        <f>IF(C4=0,C24,C24/C4)</f>
        <v>0.47978494623655915</v>
      </c>
      <c r="D26" s="30"/>
      <c r="E26" s="30"/>
      <c r="F26" s="31"/>
      <c r="G26" s="41">
        <f>IF(G4=0,G24,G24/G4)</f>
        <v>0.76083333333333336</v>
      </c>
      <c r="H26" s="30"/>
      <c r="I26" s="30"/>
      <c r="J26" s="31"/>
      <c r="K26" s="41">
        <f>IF(K4=0,K24,K24/K4)</f>
        <v>0.78833333333333333</v>
      </c>
      <c r="L26" s="30"/>
      <c r="M26" s="30"/>
      <c r="N26" s="31"/>
      <c r="O26" s="41">
        <f>K26-G26</f>
        <v>2.7499999999999969E-2</v>
      </c>
      <c r="P26" s="30"/>
      <c r="Q26" s="31"/>
    </row>
    <row r="27" spans="2:19" ht="33" customHeight="1" x14ac:dyDescent="0.35">
      <c r="B27" s="42" t="s">
        <v>22</v>
      </c>
      <c r="C27" s="43">
        <f>IF(C4=0,0,F$24/C$4)</f>
        <v>550.10733118279563</v>
      </c>
      <c r="D27" s="44"/>
      <c r="E27" s="45"/>
      <c r="F27" s="46"/>
      <c r="G27" s="43">
        <f>IF(G4=0,0,J$24/G$4)</f>
        <v>1150.38625</v>
      </c>
      <c r="H27" s="44"/>
      <c r="I27" s="45"/>
      <c r="J27" s="46"/>
      <c r="K27" s="43">
        <f>IF(K4=0,0,N$24/K$4)</f>
        <v>1437.788027878448</v>
      </c>
      <c r="L27" s="44"/>
      <c r="M27" s="45"/>
      <c r="N27" s="46"/>
      <c r="O27" s="43">
        <f>K27-G27</f>
        <v>287.401777878448</v>
      </c>
      <c r="P27" s="45"/>
      <c r="Q27" s="46"/>
    </row>
    <row r="28" spans="2:19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19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19" x14ac:dyDescent="0.35">
      <c r="B30" s="358"/>
      <c r="Q30" s="86"/>
    </row>
    <row r="31" spans="2:19" x14ac:dyDescent="0.35">
      <c r="B31" s="358"/>
      <c r="Q31" s="86"/>
    </row>
    <row r="32" spans="2:19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0" orientation="landscape" errors="blank" horizontalDpi="300" verticalDpi="300" r:id="rId1"/>
  <headerFooter>
    <oddFooter>Page &amp;P of &amp;N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35"/>
  <dimension ref="A1:BD53"/>
  <sheetViews>
    <sheetView view="pageBreakPreview" topLeftCell="A5" zoomScale="60" zoomScaleNormal="100" workbookViewId="0">
      <selection activeCell="R25" sqref="R25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8" style="111" bestFit="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9.7109375" style="111" bestFit="1" customWidth="1"/>
    <col min="29" max="29" width="9.140625" style="112"/>
    <col min="30" max="30" width="16.7109375" style="113" customWidth="1"/>
    <col min="31" max="31" width="8.85546875" style="112"/>
    <col min="32" max="32" width="9.85546875" style="112" customWidth="1"/>
    <col min="33" max="33" width="10.28515625" style="112" customWidth="1"/>
    <col min="34" max="35" width="8.85546875" style="112" customWidth="1"/>
    <col min="36" max="36" width="12" style="112" customWidth="1"/>
    <col min="37" max="37" width="8.85546875" style="112"/>
    <col min="38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65">
        <f>'Annual 2022l2023'!C3</f>
        <v>44690</v>
      </c>
      <c r="F1" s="765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31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76"/>
      <c r="C4" s="777"/>
      <c r="D4" s="778" t="s">
        <v>133</v>
      </c>
      <c r="E4" s="779"/>
      <c r="F4" s="779"/>
      <c r="G4" s="779"/>
      <c r="H4" s="779"/>
      <c r="I4" s="779"/>
      <c r="J4" s="779"/>
      <c r="K4" s="779"/>
      <c r="L4" s="779"/>
      <c r="M4" s="779"/>
      <c r="N4" s="779"/>
      <c r="O4" s="779"/>
      <c r="P4" s="779"/>
      <c r="Q4" s="779"/>
      <c r="R4" s="779"/>
      <c r="S4" s="779"/>
      <c r="T4" s="779"/>
      <c r="U4" s="779"/>
      <c r="V4" s="779"/>
      <c r="W4" s="779"/>
      <c r="X4" s="779"/>
      <c r="Y4" s="779"/>
      <c r="Z4" s="779"/>
      <c r="AA4" s="779"/>
      <c r="AB4" s="780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81" t="s">
        <v>50</v>
      </c>
      <c r="E5" s="784"/>
      <c r="F5" s="782" t="s">
        <v>51</v>
      </c>
      <c r="G5" s="782"/>
      <c r="H5" s="773" t="s">
        <v>52</v>
      </c>
      <c r="I5" s="773"/>
      <c r="J5" s="783" t="s">
        <v>53</v>
      </c>
      <c r="K5" s="773"/>
      <c r="L5" s="783" t="s">
        <v>54</v>
      </c>
      <c r="M5" s="773"/>
      <c r="N5" s="783" t="s">
        <v>55</v>
      </c>
      <c r="O5" s="773"/>
      <c r="P5" s="783" t="s">
        <v>56</v>
      </c>
      <c r="Q5" s="773"/>
      <c r="R5" s="783" t="s">
        <v>57</v>
      </c>
      <c r="S5" s="773"/>
      <c r="T5" s="122"/>
      <c r="U5" s="774"/>
      <c r="V5" s="775"/>
      <c r="W5" s="774"/>
      <c r="X5" s="775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126" customFormat="1" ht="15.75" customHeight="1" x14ac:dyDescent="0.25">
      <c r="A7" s="239"/>
      <c r="B7" s="187" t="s">
        <v>67</v>
      </c>
      <c r="C7" s="188">
        <v>1</v>
      </c>
      <c r="D7" s="189">
        <v>0</v>
      </c>
      <c r="E7" s="190">
        <v>0</v>
      </c>
      <c r="F7" s="191">
        <v>37</v>
      </c>
      <c r="G7" s="190">
        <v>1052</v>
      </c>
      <c r="H7" s="191">
        <v>0</v>
      </c>
      <c r="I7" s="190">
        <v>0</v>
      </c>
      <c r="J7" s="191">
        <v>0</v>
      </c>
      <c r="K7" s="192">
        <v>0</v>
      </c>
      <c r="L7" s="191">
        <v>14</v>
      </c>
      <c r="M7" s="192">
        <v>1546.46333333333</v>
      </c>
      <c r="N7" s="191">
        <v>0</v>
      </c>
      <c r="O7" s="192">
        <v>0</v>
      </c>
      <c r="P7" s="191">
        <v>0</v>
      </c>
      <c r="Q7" s="192">
        <v>0</v>
      </c>
      <c r="R7" s="191">
        <v>1</v>
      </c>
      <c r="S7" s="192">
        <v>0</v>
      </c>
      <c r="T7" s="192">
        <v>0</v>
      </c>
      <c r="U7" s="191">
        <v>0</v>
      </c>
      <c r="V7" s="190">
        <v>0</v>
      </c>
      <c r="W7" s="191">
        <v>0</v>
      </c>
      <c r="X7" s="190">
        <v>0</v>
      </c>
      <c r="Y7" s="193">
        <f t="shared" ref="Y7:Y37" si="0">SUM(D7,F7,H7,J7,L7,U7,W7,N7,P7,R7)</f>
        <v>52</v>
      </c>
      <c r="Z7" s="194">
        <f t="shared" ref="Z7:Z37" si="1">((D7*E7)+(F7*G7)+(H7*I7)+(J7*K7)+(L7*M7)+(U7*V7)+(W7*X7)+(N7*O7)+(P7*Q7)+(R7*S7))</f>
        <v>60574.48666666662</v>
      </c>
      <c r="AA7" s="195">
        <f>IF(Z7=0,0,Z7/Y7)</f>
        <v>1164.8939743589735</v>
      </c>
      <c r="AB7" s="196">
        <f t="shared" ref="AB7:AB37" si="2">Y7/$AB$6</f>
        <v>0.65</v>
      </c>
      <c r="AC7" s="143"/>
      <c r="AD7" s="127"/>
      <c r="AE7" s="143"/>
      <c r="AF7" s="298"/>
      <c r="AG7" s="298"/>
      <c r="AI7" s="143"/>
      <c r="AK7" s="143"/>
    </row>
    <row r="8" spans="1:55" s="126" customFormat="1" ht="15.95" customHeight="1" x14ac:dyDescent="0.25">
      <c r="A8" s="225"/>
      <c r="B8" s="136" t="s">
        <v>68</v>
      </c>
      <c r="C8" s="137">
        <v>2</v>
      </c>
      <c r="D8" s="138">
        <v>0</v>
      </c>
      <c r="E8" s="139">
        <v>0</v>
      </c>
      <c r="F8" s="140">
        <v>45</v>
      </c>
      <c r="G8" s="139">
        <v>1052.0875000000001</v>
      </c>
      <c r="H8" s="140">
        <v>0</v>
      </c>
      <c r="I8" s="139">
        <v>0</v>
      </c>
      <c r="J8" s="140">
        <v>8</v>
      </c>
      <c r="K8" s="141">
        <v>1508.7</v>
      </c>
      <c r="L8" s="140">
        <v>12</v>
      </c>
      <c r="M8" s="141">
        <v>1520</v>
      </c>
      <c r="N8" s="140">
        <v>0</v>
      </c>
      <c r="O8" s="141">
        <v>0</v>
      </c>
      <c r="P8" s="140">
        <v>0</v>
      </c>
      <c r="Q8" s="141">
        <v>0</v>
      </c>
      <c r="R8" s="140">
        <v>1</v>
      </c>
      <c r="S8" s="141">
        <v>0</v>
      </c>
      <c r="T8" s="141"/>
      <c r="U8" s="140"/>
      <c r="V8" s="139"/>
      <c r="W8" s="140"/>
      <c r="X8" s="139"/>
      <c r="Y8" s="142">
        <f t="shared" si="0"/>
        <v>66</v>
      </c>
      <c r="Z8" s="143">
        <f t="shared" si="1"/>
        <v>77653.537500000006</v>
      </c>
      <c r="AA8" s="144">
        <f t="shared" ref="AA8:AA33" si="3">IF(Z8=0,0,Z8/Y8)</f>
        <v>1176.5687500000001</v>
      </c>
      <c r="AB8" s="145">
        <f t="shared" si="2"/>
        <v>0.82499999999999996</v>
      </c>
      <c r="AC8" s="143"/>
      <c r="AD8" s="127"/>
      <c r="AE8" s="143"/>
      <c r="AF8" s="298"/>
      <c r="AG8" s="298"/>
      <c r="AI8" s="143"/>
      <c r="AK8" s="143"/>
    </row>
    <row r="9" spans="1:55" s="126" customFormat="1" ht="15.95" customHeight="1" x14ac:dyDescent="0.25">
      <c r="A9" s="225"/>
      <c r="B9" s="136" t="s">
        <v>69</v>
      </c>
      <c r="C9" s="137">
        <v>3</v>
      </c>
      <c r="D9" s="138">
        <v>0</v>
      </c>
      <c r="E9" s="139">
        <v>0</v>
      </c>
      <c r="F9" s="140">
        <v>50</v>
      </c>
      <c r="G9" s="139">
        <v>1614.48</v>
      </c>
      <c r="H9" s="140">
        <v>0</v>
      </c>
      <c r="I9" s="139">
        <v>0</v>
      </c>
      <c r="J9" s="140">
        <v>8</v>
      </c>
      <c r="K9" s="141">
        <v>1508.7</v>
      </c>
      <c r="L9" s="140">
        <v>10</v>
      </c>
      <c r="M9" s="141">
        <v>1375</v>
      </c>
      <c r="N9" s="140">
        <v>0</v>
      </c>
      <c r="O9" s="141">
        <v>0</v>
      </c>
      <c r="P9" s="140">
        <v>0</v>
      </c>
      <c r="Q9" s="141">
        <v>0</v>
      </c>
      <c r="R9" s="140">
        <v>1</v>
      </c>
      <c r="S9" s="141">
        <v>0</v>
      </c>
      <c r="T9" s="141"/>
      <c r="U9" s="140"/>
      <c r="V9" s="139"/>
      <c r="W9" s="140"/>
      <c r="X9" s="139"/>
      <c r="Y9" s="142">
        <f t="shared" si="0"/>
        <v>69</v>
      </c>
      <c r="Z9" s="143">
        <f t="shared" si="1"/>
        <v>106543.6</v>
      </c>
      <c r="AA9" s="144">
        <f t="shared" si="3"/>
        <v>1544.1101449275363</v>
      </c>
      <c r="AB9" s="145">
        <f t="shared" si="2"/>
        <v>0.86250000000000004</v>
      </c>
      <c r="AC9" s="143"/>
      <c r="AD9" s="127"/>
      <c r="AE9" s="143"/>
      <c r="AF9" s="298"/>
      <c r="AG9" s="298"/>
      <c r="AI9" s="143"/>
      <c r="AK9" s="143"/>
    </row>
    <row r="10" spans="1:55" s="126" customFormat="1" ht="15.95" customHeight="1" x14ac:dyDescent="0.25">
      <c r="A10" s="225"/>
      <c r="B10" s="150" t="s">
        <v>63</v>
      </c>
      <c r="C10" s="151">
        <v>4</v>
      </c>
      <c r="D10" s="152">
        <v>0</v>
      </c>
      <c r="E10" s="153">
        <v>0</v>
      </c>
      <c r="F10" s="154">
        <v>42</v>
      </c>
      <c r="G10" s="153">
        <v>1654.6775</v>
      </c>
      <c r="H10" s="154">
        <v>0</v>
      </c>
      <c r="I10" s="153">
        <v>0</v>
      </c>
      <c r="J10" s="154">
        <v>0</v>
      </c>
      <c r="K10" s="155">
        <v>0</v>
      </c>
      <c r="L10" s="154">
        <v>11</v>
      </c>
      <c r="M10" s="155">
        <v>1294</v>
      </c>
      <c r="N10" s="154">
        <v>0</v>
      </c>
      <c r="O10" s="155">
        <v>0</v>
      </c>
      <c r="P10" s="154">
        <v>0</v>
      </c>
      <c r="Q10" s="155">
        <v>0</v>
      </c>
      <c r="R10" s="154">
        <v>1</v>
      </c>
      <c r="S10" s="155">
        <v>0</v>
      </c>
      <c r="T10" s="155"/>
      <c r="U10" s="154"/>
      <c r="V10" s="153"/>
      <c r="W10" s="154"/>
      <c r="X10" s="153"/>
      <c r="Y10" s="156">
        <f t="shared" si="0"/>
        <v>54</v>
      </c>
      <c r="Z10" s="157">
        <f t="shared" si="1"/>
        <v>83730.455000000002</v>
      </c>
      <c r="AA10" s="197">
        <f t="shared" si="3"/>
        <v>1550.5639814814815</v>
      </c>
      <c r="AB10" s="198">
        <f t="shared" si="2"/>
        <v>0.67500000000000004</v>
      </c>
      <c r="AC10" s="143"/>
      <c r="AD10" s="127"/>
      <c r="AE10" s="143"/>
      <c r="AF10" s="298"/>
      <c r="AG10" s="298"/>
      <c r="AI10" s="143"/>
      <c r="AK10" s="143"/>
    </row>
    <row r="11" spans="1:55" s="222" customFormat="1" ht="15.95" customHeight="1" x14ac:dyDescent="0.25">
      <c r="A11" s="225"/>
      <c r="B11" s="136" t="s">
        <v>64</v>
      </c>
      <c r="C11" s="137">
        <v>5</v>
      </c>
      <c r="D11" s="138">
        <v>0</v>
      </c>
      <c r="E11" s="139">
        <v>0</v>
      </c>
      <c r="F11" s="140">
        <v>43</v>
      </c>
      <c r="G11" s="139">
        <v>1675.2850000000001</v>
      </c>
      <c r="H11" s="140">
        <v>0</v>
      </c>
      <c r="I11" s="139">
        <v>0</v>
      </c>
      <c r="J11" s="140">
        <v>0</v>
      </c>
      <c r="K11" s="141">
        <v>0</v>
      </c>
      <c r="L11" s="140">
        <v>7</v>
      </c>
      <c r="M11" s="141">
        <v>1125</v>
      </c>
      <c r="N11" s="140">
        <v>0</v>
      </c>
      <c r="O11" s="141">
        <v>0</v>
      </c>
      <c r="P11" s="593">
        <v>0</v>
      </c>
      <c r="Q11" s="658">
        <v>0</v>
      </c>
      <c r="R11" s="140">
        <v>1</v>
      </c>
      <c r="S11" s="141">
        <v>0</v>
      </c>
      <c r="T11" s="141"/>
      <c r="U11" s="140"/>
      <c r="V11" s="139"/>
      <c r="W11" s="140"/>
      <c r="X11" s="139"/>
      <c r="Y11" s="142">
        <f t="shared" si="0"/>
        <v>51</v>
      </c>
      <c r="Z11" s="143">
        <f t="shared" si="1"/>
        <v>79912.255000000005</v>
      </c>
      <c r="AA11" s="331">
        <f t="shared" si="3"/>
        <v>1566.9069607843139</v>
      </c>
      <c r="AB11" s="145">
        <f t="shared" si="2"/>
        <v>0.63749999999999996</v>
      </c>
      <c r="AC11" s="143"/>
      <c r="AD11" s="127"/>
      <c r="AE11" s="143"/>
      <c r="AF11" s="298"/>
      <c r="AG11" s="298"/>
      <c r="AH11" s="215"/>
      <c r="AI11" s="143"/>
      <c r="AJ11" s="215"/>
      <c r="AK11" s="143"/>
      <c r="AL11" s="215"/>
      <c r="AM11" s="215"/>
      <c r="AN11" s="215"/>
      <c r="AO11" s="215"/>
      <c r="AP11" s="215"/>
      <c r="AQ11" s="215"/>
      <c r="AR11" s="215"/>
      <c r="AS11" s="215"/>
      <c r="AT11" s="215"/>
      <c r="AU11" s="215"/>
      <c r="AV11" s="215"/>
      <c r="AW11" s="215"/>
      <c r="AX11" s="215"/>
      <c r="AY11" s="215"/>
      <c r="AZ11" s="215"/>
      <c r="BA11" s="215"/>
      <c r="BB11" s="215"/>
    </row>
    <row r="12" spans="1:55" s="215" customFormat="1" ht="15.95" customHeight="1" x14ac:dyDescent="0.25">
      <c r="A12" s="225"/>
      <c r="B12" s="136" t="s">
        <v>65</v>
      </c>
      <c r="C12" s="137">
        <v>6</v>
      </c>
      <c r="D12" s="138">
        <v>0</v>
      </c>
      <c r="E12" s="139">
        <v>0</v>
      </c>
      <c r="F12" s="140">
        <v>32</v>
      </c>
      <c r="G12" s="139">
        <v>1953.56666666666</v>
      </c>
      <c r="H12" s="140">
        <v>0</v>
      </c>
      <c r="I12" s="139">
        <v>0</v>
      </c>
      <c r="J12" s="140">
        <v>0</v>
      </c>
      <c r="K12" s="141">
        <v>0</v>
      </c>
      <c r="L12" s="140">
        <v>6</v>
      </c>
      <c r="M12" s="141">
        <v>1399</v>
      </c>
      <c r="N12" s="140">
        <v>0</v>
      </c>
      <c r="O12" s="141">
        <v>0</v>
      </c>
      <c r="P12" s="593">
        <v>12</v>
      </c>
      <c r="Q12" s="658">
        <v>1863.83</v>
      </c>
      <c r="R12" s="140">
        <v>1</v>
      </c>
      <c r="S12" s="141">
        <v>0</v>
      </c>
      <c r="T12" s="141"/>
      <c r="U12" s="140"/>
      <c r="V12" s="139"/>
      <c r="W12" s="140"/>
      <c r="X12" s="139"/>
      <c r="Y12" s="142">
        <f t="shared" si="0"/>
        <v>51</v>
      </c>
      <c r="Z12" s="143">
        <f>((D12*E12)+(F12*G12)+(H12*I12)+(J12*K12)+(L12*M12)+(U12*V12)+(W12*X12)+(N12*O12)+(P12*Q12)+(R12*S12))</f>
        <v>93274.09333333312</v>
      </c>
      <c r="AA12" s="329">
        <f t="shared" si="3"/>
        <v>1828.9037908496691</v>
      </c>
      <c r="AB12" s="148">
        <f t="shared" si="2"/>
        <v>0.63749999999999996</v>
      </c>
      <c r="AC12" s="143"/>
      <c r="AD12" s="127"/>
      <c r="AE12" s="143"/>
      <c r="AF12" s="298"/>
      <c r="AG12" s="298"/>
      <c r="AI12" s="143"/>
      <c r="AK12" s="143"/>
    </row>
    <row r="13" spans="1:55" s="215" customFormat="1" ht="15.75" customHeight="1" x14ac:dyDescent="0.25">
      <c r="A13" s="225"/>
      <c r="B13" s="136" t="s">
        <v>66</v>
      </c>
      <c r="C13" s="137">
        <v>7</v>
      </c>
      <c r="D13" s="138">
        <v>15</v>
      </c>
      <c r="E13" s="139">
        <v>2047</v>
      </c>
      <c r="F13" s="140">
        <v>6</v>
      </c>
      <c r="G13" s="139">
        <v>2702.87</v>
      </c>
      <c r="H13" s="140">
        <v>0</v>
      </c>
      <c r="I13" s="139">
        <v>0</v>
      </c>
      <c r="J13" s="140">
        <v>0</v>
      </c>
      <c r="K13" s="141">
        <v>0</v>
      </c>
      <c r="L13" s="140">
        <v>5</v>
      </c>
      <c r="M13" s="141">
        <v>1125</v>
      </c>
      <c r="N13" s="140">
        <v>0</v>
      </c>
      <c r="O13" s="141">
        <v>0</v>
      </c>
      <c r="P13" s="593">
        <v>12</v>
      </c>
      <c r="Q13" s="658">
        <v>1982.53967741935</v>
      </c>
      <c r="R13" s="140">
        <v>1</v>
      </c>
      <c r="S13" s="141">
        <v>0</v>
      </c>
      <c r="T13" s="141"/>
      <c r="U13" s="140"/>
      <c r="V13" s="139"/>
      <c r="W13" s="140"/>
      <c r="X13" s="139"/>
      <c r="Y13" s="142">
        <f t="shared" si="0"/>
        <v>39</v>
      </c>
      <c r="Z13" s="143">
        <f>((D13*E13)+(F13*G13)+(H13*I13)+(J13*K13)+(L13*M13)+(U13*V13)+(W13*X13)+(N13*O13)+(P13*Q13)+(R13*S13))</f>
        <v>76337.696129032207</v>
      </c>
      <c r="AA13" s="147">
        <f t="shared" si="3"/>
        <v>1957.3768238213386</v>
      </c>
      <c r="AB13" s="148">
        <f t="shared" si="2"/>
        <v>0.48749999999999999</v>
      </c>
      <c r="AC13" s="143"/>
      <c r="AD13" s="127"/>
      <c r="AE13" s="143"/>
      <c r="AF13" s="298"/>
      <c r="AG13" s="298"/>
      <c r="AI13" s="143"/>
      <c r="AK13" s="143"/>
    </row>
    <row r="14" spans="1:55" s="126" customFormat="1" ht="15.95" customHeight="1" x14ac:dyDescent="0.25">
      <c r="A14" s="225"/>
      <c r="B14" s="136" t="s">
        <v>67</v>
      </c>
      <c r="C14" s="137">
        <v>8</v>
      </c>
      <c r="D14" s="138">
        <v>15</v>
      </c>
      <c r="E14" s="139">
        <v>2047</v>
      </c>
      <c r="F14" s="140">
        <v>8</v>
      </c>
      <c r="G14" s="139">
        <v>2537.61</v>
      </c>
      <c r="H14" s="140">
        <v>0</v>
      </c>
      <c r="I14" s="139">
        <v>0</v>
      </c>
      <c r="J14" s="140">
        <v>0</v>
      </c>
      <c r="K14" s="141">
        <v>0</v>
      </c>
      <c r="L14" s="140">
        <v>5</v>
      </c>
      <c r="M14" s="141">
        <v>1125</v>
      </c>
      <c r="N14" s="140">
        <v>0</v>
      </c>
      <c r="O14" s="141">
        <v>0</v>
      </c>
      <c r="P14" s="593">
        <v>0</v>
      </c>
      <c r="Q14" s="658">
        <v>0</v>
      </c>
      <c r="R14" s="140">
        <v>1</v>
      </c>
      <c r="S14" s="141">
        <v>0</v>
      </c>
      <c r="T14" s="141"/>
      <c r="U14" s="140"/>
      <c r="V14" s="139"/>
      <c r="W14" s="140"/>
      <c r="X14" s="139"/>
      <c r="Y14" s="142">
        <f t="shared" si="0"/>
        <v>29</v>
      </c>
      <c r="Z14" s="143">
        <f t="shared" si="1"/>
        <v>56630.880000000005</v>
      </c>
      <c r="AA14" s="329">
        <f t="shared" si="3"/>
        <v>1952.7889655172416</v>
      </c>
      <c r="AB14" s="148">
        <f t="shared" si="2"/>
        <v>0.36249999999999999</v>
      </c>
      <c r="AC14" s="143"/>
      <c r="AD14" s="127"/>
      <c r="AE14" s="143"/>
      <c r="AF14" s="298"/>
      <c r="AG14" s="298"/>
      <c r="AI14" s="143"/>
      <c r="AK14" s="143"/>
    </row>
    <row r="15" spans="1:55" s="212" customFormat="1" ht="15.95" customHeight="1" x14ac:dyDescent="0.25">
      <c r="A15" s="225"/>
      <c r="B15" s="136" t="s">
        <v>68</v>
      </c>
      <c r="C15" s="137">
        <v>9</v>
      </c>
      <c r="D15" s="138">
        <v>15</v>
      </c>
      <c r="E15" s="139">
        <v>2047</v>
      </c>
      <c r="F15" s="140">
        <v>8</v>
      </c>
      <c r="G15" s="139">
        <v>2806.0450000000001</v>
      </c>
      <c r="H15" s="140">
        <v>0</v>
      </c>
      <c r="I15" s="139">
        <v>0</v>
      </c>
      <c r="J15" s="140">
        <v>27</v>
      </c>
      <c r="K15" s="141">
        <v>1038.3207407407399</v>
      </c>
      <c r="L15" s="140">
        <v>5</v>
      </c>
      <c r="M15" s="141">
        <v>1385.57</v>
      </c>
      <c r="N15" s="140">
        <v>0</v>
      </c>
      <c r="O15" s="141">
        <v>0</v>
      </c>
      <c r="P15" s="140">
        <v>0</v>
      </c>
      <c r="Q15" s="141">
        <v>0</v>
      </c>
      <c r="R15" s="140">
        <v>1</v>
      </c>
      <c r="S15" s="141">
        <v>0</v>
      </c>
      <c r="T15" s="141"/>
      <c r="U15" s="140"/>
      <c r="V15" s="139"/>
      <c r="W15" s="140"/>
      <c r="X15" s="139"/>
      <c r="Y15" s="142">
        <f t="shared" si="0"/>
        <v>56</v>
      </c>
      <c r="Z15" s="143">
        <f t="shared" si="1"/>
        <v>88115.869999999981</v>
      </c>
      <c r="AA15" s="147">
        <f>IF(Z15=0,0,Z15/Y15)</f>
        <v>1573.4976785714282</v>
      </c>
      <c r="AB15" s="148">
        <f t="shared" si="2"/>
        <v>0.7</v>
      </c>
      <c r="AC15" s="143"/>
      <c r="AD15" s="127"/>
      <c r="AE15" s="143"/>
      <c r="AF15" s="298"/>
      <c r="AG15" s="298"/>
      <c r="AI15" s="143"/>
      <c r="AK15" s="143"/>
    </row>
    <row r="16" spans="1:55" s="212" customFormat="1" ht="15.95" customHeight="1" x14ac:dyDescent="0.25">
      <c r="A16" s="225"/>
      <c r="B16" s="136" t="s">
        <v>69</v>
      </c>
      <c r="C16" s="137">
        <v>10</v>
      </c>
      <c r="D16" s="138">
        <v>15</v>
      </c>
      <c r="E16" s="139">
        <v>2047</v>
      </c>
      <c r="F16" s="140">
        <v>8</v>
      </c>
      <c r="G16" s="139">
        <v>2806.0450000000001</v>
      </c>
      <c r="H16" s="140">
        <v>0</v>
      </c>
      <c r="I16" s="139">
        <v>0</v>
      </c>
      <c r="J16" s="140">
        <v>27</v>
      </c>
      <c r="K16" s="141">
        <v>1038.3207407407399</v>
      </c>
      <c r="L16" s="140">
        <v>5</v>
      </c>
      <c r="M16" s="141">
        <v>1399.3050000000001</v>
      </c>
      <c r="N16" s="140">
        <v>0</v>
      </c>
      <c r="O16" s="141">
        <v>0</v>
      </c>
      <c r="P16" s="140">
        <v>0</v>
      </c>
      <c r="Q16" s="141">
        <v>0</v>
      </c>
      <c r="R16" s="140">
        <v>1</v>
      </c>
      <c r="S16" s="141">
        <v>0</v>
      </c>
      <c r="T16" s="141"/>
      <c r="U16" s="140"/>
      <c r="V16" s="139"/>
      <c r="W16" s="140"/>
      <c r="X16" s="139"/>
      <c r="Y16" s="142">
        <f t="shared" si="0"/>
        <v>56</v>
      </c>
      <c r="Z16" s="143">
        <f t="shared" si="1"/>
        <v>88184.544999999969</v>
      </c>
      <c r="AA16" s="147">
        <f>IF(Z16=0,0,Z16/Y16)</f>
        <v>1574.7240178571424</v>
      </c>
      <c r="AB16" s="148">
        <f t="shared" si="2"/>
        <v>0.7</v>
      </c>
      <c r="AC16" s="143"/>
      <c r="AD16" s="127"/>
      <c r="AE16" s="143"/>
      <c r="AF16" s="298"/>
      <c r="AG16" s="298"/>
      <c r="AI16" s="143"/>
      <c r="AK16" s="143"/>
    </row>
    <row r="17" spans="1:55" s="228" customFormat="1" ht="15.75" customHeight="1" x14ac:dyDescent="0.25">
      <c r="A17" s="225"/>
      <c r="B17" s="150" t="s">
        <v>63</v>
      </c>
      <c r="C17" s="151">
        <v>11</v>
      </c>
      <c r="D17" s="152">
        <v>0</v>
      </c>
      <c r="E17" s="153">
        <v>0</v>
      </c>
      <c r="F17" s="154">
        <v>23</v>
      </c>
      <c r="G17" s="153">
        <v>2156.0225</v>
      </c>
      <c r="H17" s="154">
        <v>0</v>
      </c>
      <c r="I17" s="153">
        <v>0</v>
      </c>
      <c r="J17" s="154">
        <v>0</v>
      </c>
      <c r="K17" s="155">
        <v>0</v>
      </c>
      <c r="L17" s="154">
        <v>5</v>
      </c>
      <c r="M17" s="155">
        <v>1413.04</v>
      </c>
      <c r="N17" s="154">
        <v>0</v>
      </c>
      <c r="O17" s="155">
        <v>0</v>
      </c>
      <c r="P17" s="154">
        <v>0</v>
      </c>
      <c r="Q17" s="155">
        <v>0</v>
      </c>
      <c r="R17" s="154">
        <v>1</v>
      </c>
      <c r="S17" s="155">
        <v>0</v>
      </c>
      <c r="T17" s="155"/>
      <c r="U17" s="154"/>
      <c r="V17" s="153"/>
      <c r="W17" s="154"/>
      <c r="X17" s="153"/>
      <c r="Y17" s="156">
        <f t="shared" si="0"/>
        <v>29</v>
      </c>
      <c r="Z17" s="157">
        <f t="shared" si="1"/>
        <v>56653.717499999999</v>
      </c>
      <c r="AA17" s="158">
        <f t="shared" si="3"/>
        <v>1953.5764655172413</v>
      </c>
      <c r="AB17" s="159">
        <f t="shared" si="2"/>
        <v>0.36249999999999999</v>
      </c>
      <c r="AC17" s="143"/>
      <c r="AD17" s="127"/>
      <c r="AE17" s="143"/>
      <c r="AF17" s="298"/>
      <c r="AG17" s="298"/>
      <c r="AH17" s="212"/>
      <c r="AI17" s="143"/>
      <c r="AJ17" s="212"/>
      <c r="AK17" s="143"/>
      <c r="AL17" s="212"/>
      <c r="AM17" s="212"/>
      <c r="AN17" s="212"/>
      <c r="AO17" s="212"/>
      <c r="AP17" s="212"/>
      <c r="AQ17" s="212"/>
      <c r="AR17" s="212"/>
      <c r="AS17" s="212"/>
      <c r="AT17" s="212"/>
      <c r="AU17" s="212"/>
      <c r="AV17" s="212"/>
      <c r="AW17" s="212"/>
      <c r="AX17" s="212"/>
      <c r="AY17" s="212"/>
      <c r="AZ17" s="212"/>
      <c r="BA17" s="212"/>
      <c r="BB17" s="212"/>
    </row>
    <row r="18" spans="1:55" s="126" customFormat="1" ht="15.75" customHeight="1" x14ac:dyDescent="0.25">
      <c r="A18" s="225"/>
      <c r="B18" s="136" t="s">
        <v>64</v>
      </c>
      <c r="C18" s="137">
        <v>12</v>
      </c>
      <c r="D18" s="138">
        <v>0</v>
      </c>
      <c r="E18" s="139">
        <v>0</v>
      </c>
      <c r="F18" s="140">
        <v>34</v>
      </c>
      <c r="G18" s="139">
        <v>2097.94</v>
      </c>
      <c r="H18" s="140">
        <v>0</v>
      </c>
      <c r="I18" s="139">
        <v>0</v>
      </c>
      <c r="J18" s="140">
        <v>0</v>
      </c>
      <c r="K18" s="141">
        <v>0</v>
      </c>
      <c r="L18" s="140">
        <v>5</v>
      </c>
      <c r="M18" s="141">
        <v>1294</v>
      </c>
      <c r="N18" s="140">
        <v>0</v>
      </c>
      <c r="O18" s="141">
        <v>0</v>
      </c>
      <c r="P18" s="140">
        <v>0</v>
      </c>
      <c r="Q18" s="141">
        <v>0</v>
      </c>
      <c r="R18" s="140">
        <v>1</v>
      </c>
      <c r="S18" s="141">
        <v>0</v>
      </c>
      <c r="T18" s="141"/>
      <c r="U18" s="140"/>
      <c r="V18" s="139"/>
      <c r="W18" s="140"/>
      <c r="X18" s="139"/>
      <c r="Y18" s="142">
        <f t="shared" si="0"/>
        <v>40</v>
      </c>
      <c r="Z18" s="143">
        <f t="shared" si="1"/>
        <v>77799.960000000006</v>
      </c>
      <c r="AA18" s="329">
        <f t="shared" si="3"/>
        <v>1944.9990000000003</v>
      </c>
      <c r="AB18" s="148">
        <f t="shared" si="2"/>
        <v>0.5</v>
      </c>
      <c r="AC18" s="143"/>
      <c r="AD18" s="127"/>
      <c r="AE18" s="143"/>
      <c r="AF18" s="298"/>
      <c r="AG18" s="298"/>
      <c r="AI18" s="143"/>
      <c r="AK18" s="143"/>
    </row>
    <row r="19" spans="1:55" s="126" customFormat="1" ht="15.95" customHeight="1" x14ac:dyDescent="0.25">
      <c r="A19" s="225"/>
      <c r="B19" s="136" t="s">
        <v>65</v>
      </c>
      <c r="C19" s="137">
        <v>13</v>
      </c>
      <c r="D19" s="138">
        <v>0</v>
      </c>
      <c r="E19" s="139">
        <v>0</v>
      </c>
      <c r="F19" s="140">
        <v>45</v>
      </c>
      <c r="G19" s="139">
        <v>2247.2962499999999</v>
      </c>
      <c r="H19" s="140">
        <v>0</v>
      </c>
      <c r="I19" s="139">
        <v>0</v>
      </c>
      <c r="J19" s="140">
        <v>0</v>
      </c>
      <c r="K19" s="141">
        <v>0</v>
      </c>
      <c r="L19" s="140">
        <v>2</v>
      </c>
      <c r="M19" s="139">
        <v>1394</v>
      </c>
      <c r="N19" s="140">
        <v>0</v>
      </c>
      <c r="O19" s="141">
        <v>0</v>
      </c>
      <c r="P19" s="140">
        <v>0</v>
      </c>
      <c r="Q19" s="141">
        <v>0</v>
      </c>
      <c r="R19" s="140">
        <v>1</v>
      </c>
      <c r="S19" s="141">
        <v>0</v>
      </c>
      <c r="T19" s="141"/>
      <c r="U19" s="140"/>
      <c r="V19" s="139"/>
      <c r="W19" s="140"/>
      <c r="X19" s="139"/>
      <c r="Y19" s="142">
        <f t="shared" si="0"/>
        <v>48</v>
      </c>
      <c r="Z19" s="143">
        <f t="shared" si="1"/>
        <v>103916.33124999999</v>
      </c>
      <c r="AA19" s="329">
        <f t="shared" si="3"/>
        <v>2164.9235677083329</v>
      </c>
      <c r="AB19" s="148">
        <f t="shared" si="2"/>
        <v>0.6</v>
      </c>
      <c r="AC19" s="143"/>
      <c r="AD19" s="127"/>
      <c r="AE19" s="143"/>
      <c r="AF19" s="298"/>
      <c r="AG19" s="298"/>
      <c r="AI19" s="143"/>
      <c r="AK19" s="143"/>
    </row>
    <row r="20" spans="1:55" s="126" customFormat="1" ht="15.95" customHeight="1" x14ac:dyDescent="0.25">
      <c r="A20" s="289"/>
      <c r="B20" s="136" t="s">
        <v>66</v>
      </c>
      <c r="C20" s="137">
        <v>14</v>
      </c>
      <c r="D20" s="138">
        <v>1</v>
      </c>
      <c r="E20" s="139">
        <v>1908.7</v>
      </c>
      <c r="F20" s="140">
        <v>59</v>
      </c>
      <c r="G20" s="139">
        <v>2373.6975000000002</v>
      </c>
      <c r="H20" s="140">
        <v>0</v>
      </c>
      <c r="I20" s="139">
        <v>0</v>
      </c>
      <c r="J20" s="140">
        <v>0</v>
      </c>
      <c r="K20" s="141">
        <v>0</v>
      </c>
      <c r="L20" s="140">
        <v>5</v>
      </c>
      <c r="M20" s="139">
        <v>1394</v>
      </c>
      <c r="N20" s="140">
        <v>0</v>
      </c>
      <c r="O20" s="141">
        <v>0</v>
      </c>
      <c r="P20" s="140">
        <v>0</v>
      </c>
      <c r="Q20" s="141">
        <v>0</v>
      </c>
      <c r="R20" s="140">
        <v>1</v>
      </c>
      <c r="S20" s="141">
        <v>0</v>
      </c>
      <c r="T20" s="141"/>
      <c r="U20" s="140"/>
      <c r="V20" s="139"/>
      <c r="W20" s="140"/>
      <c r="X20" s="139"/>
      <c r="Y20" s="142">
        <f t="shared" si="0"/>
        <v>66</v>
      </c>
      <c r="Z20" s="143">
        <f t="shared" si="1"/>
        <v>148926.85250000004</v>
      </c>
      <c r="AA20" s="147">
        <f t="shared" si="3"/>
        <v>2256.4674621212125</v>
      </c>
      <c r="AB20" s="148">
        <f t="shared" si="2"/>
        <v>0.82499999999999996</v>
      </c>
      <c r="AC20" s="143"/>
      <c r="AD20" s="127"/>
      <c r="AE20" s="143"/>
      <c r="AF20" s="298"/>
      <c r="AG20" s="298"/>
      <c r="AI20" s="143"/>
      <c r="AK20" s="143"/>
    </row>
    <row r="21" spans="1:55" s="215" customFormat="1" ht="15.95" customHeight="1" x14ac:dyDescent="0.25">
      <c r="A21" s="292"/>
      <c r="B21" s="136" t="s">
        <v>67</v>
      </c>
      <c r="C21" s="137">
        <v>15</v>
      </c>
      <c r="D21" s="138">
        <v>10</v>
      </c>
      <c r="E21" s="139">
        <v>1933.046</v>
      </c>
      <c r="F21" s="140">
        <v>39</v>
      </c>
      <c r="G21" s="139">
        <v>2657.95</v>
      </c>
      <c r="H21" s="140">
        <v>0</v>
      </c>
      <c r="I21" s="139">
        <v>0</v>
      </c>
      <c r="J21" s="140">
        <v>15</v>
      </c>
      <c r="K21" s="141">
        <v>2355.13</v>
      </c>
      <c r="L21" s="140">
        <v>1</v>
      </c>
      <c r="M21" s="139">
        <v>1294</v>
      </c>
      <c r="N21" s="140">
        <v>0</v>
      </c>
      <c r="O21" s="141">
        <v>0</v>
      </c>
      <c r="P21" s="140">
        <v>0</v>
      </c>
      <c r="Q21" s="141">
        <v>0</v>
      </c>
      <c r="R21" s="140">
        <v>1</v>
      </c>
      <c r="S21" s="141">
        <v>0</v>
      </c>
      <c r="T21" s="141"/>
      <c r="U21" s="140"/>
      <c r="V21" s="139"/>
      <c r="W21" s="140"/>
      <c r="X21" s="139"/>
      <c r="Y21" s="142">
        <f t="shared" si="0"/>
        <v>66</v>
      </c>
      <c r="Z21" s="143">
        <f t="shared" si="1"/>
        <v>159611.46</v>
      </c>
      <c r="AA21" s="329">
        <f t="shared" si="3"/>
        <v>2418.3554545454544</v>
      </c>
      <c r="AB21" s="148">
        <f t="shared" si="2"/>
        <v>0.82499999999999996</v>
      </c>
      <c r="AC21" s="143"/>
      <c r="AD21" s="127"/>
      <c r="AE21" s="143"/>
      <c r="AF21" s="298"/>
      <c r="AG21" s="298"/>
      <c r="AI21" s="143"/>
      <c r="AK21" s="143"/>
    </row>
    <row r="22" spans="1:55" s="128" customFormat="1" ht="15.95" customHeight="1" x14ac:dyDescent="0.25">
      <c r="A22" s="291" t="s">
        <v>78</v>
      </c>
      <c r="B22" s="281" t="s">
        <v>68</v>
      </c>
      <c r="C22" s="282">
        <v>16</v>
      </c>
      <c r="D22" s="283">
        <v>10</v>
      </c>
      <c r="E22" s="284">
        <v>1933.046</v>
      </c>
      <c r="F22" s="285">
        <v>36</v>
      </c>
      <c r="G22" s="284">
        <v>2428.3375000000001</v>
      </c>
      <c r="H22" s="285">
        <v>0</v>
      </c>
      <c r="I22" s="284">
        <v>0</v>
      </c>
      <c r="J22" s="285">
        <v>15</v>
      </c>
      <c r="K22" s="344">
        <v>2355.13</v>
      </c>
      <c r="L22" s="285">
        <v>8</v>
      </c>
      <c r="M22" s="344">
        <v>1295</v>
      </c>
      <c r="N22" s="285">
        <v>0</v>
      </c>
      <c r="O22" s="344">
        <v>0</v>
      </c>
      <c r="P22" s="285">
        <v>0</v>
      </c>
      <c r="Q22" s="344">
        <v>0</v>
      </c>
      <c r="R22" s="285">
        <v>1</v>
      </c>
      <c r="S22" s="344">
        <v>0</v>
      </c>
      <c r="T22" s="344"/>
      <c r="U22" s="285"/>
      <c r="V22" s="284"/>
      <c r="W22" s="285"/>
      <c r="X22" s="284"/>
      <c r="Y22" s="286">
        <f t="shared" si="0"/>
        <v>70</v>
      </c>
      <c r="Z22" s="345">
        <f t="shared" si="1"/>
        <v>152437.56000000003</v>
      </c>
      <c r="AA22" s="348">
        <f t="shared" si="3"/>
        <v>2177.6794285714291</v>
      </c>
      <c r="AB22" s="287">
        <f t="shared" si="2"/>
        <v>0.875</v>
      </c>
      <c r="AC22" s="143"/>
      <c r="AD22" s="127"/>
      <c r="AE22" s="143"/>
      <c r="AF22" s="298"/>
      <c r="AG22" s="298"/>
      <c r="AH22" s="126"/>
      <c r="AI22" s="143"/>
      <c r="AJ22" s="126"/>
      <c r="AK22" s="143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</row>
    <row r="23" spans="1:55" s="128" customFormat="1" ht="15.95" customHeight="1" x14ac:dyDescent="0.25">
      <c r="A23" s="319"/>
      <c r="B23" s="136" t="s">
        <v>69</v>
      </c>
      <c r="C23" s="137">
        <v>17</v>
      </c>
      <c r="D23" s="138">
        <v>10</v>
      </c>
      <c r="E23" s="139">
        <v>1933.046</v>
      </c>
      <c r="F23" s="140">
        <v>32</v>
      </c>
      <c r="G23" s="139">
        <v>2572.1060000000002</v>
      </c>
      <c r="H23" s="140">
        <v>0</v>
      </c>
      <c r="I23" s="139">
        <v>0</v>
      </c>
      <c r="J23" s="140">
        <v>15</v>
      </c>
      <c r="K23" s="141">
        <v>2355.13</v>
      </c>
      <c r="L23" s="140">
        <v>12</v>
      </c>
      <c r="M23" s="141">
        <v>1494</v>
      </c>
      <c r="N23" s="140">
        <v>0</v>
      </c>
      <c r="O23" s="141">
        <v>0</v>
      </c>
      <c r="P23" s="140">
        <v>0</v>
      </c>
      <c r="Q23" s="141">
        <v>0</v>
      </c>
      <c r="R23" s="140">
        <v>1</v>
      </c>
      <c r="S23" s="141">
        <v>0</v>
      </c>
      <c r="T23" s="141"/>
      <c r="U23" s="140"/>
      <c r="V23" s="139"/>
      <c r="W23" s="140"/>
      <c r="X23" s="139"/>
      <c r="Y23" s="142">
        <f t="shared" si="0"/>
        <v>70</v>
      </c>
      <c r="Z23" s="143">
        <f t="shared" si="1"/>
        <v>154892.80200000003</v>
      </c>
      <c r="AA23" s="147">
        <f t="shared" si="3"/>
        <v>2212.7543142857148</v>
      </c>
      <c r="AB23" s="148">
        <f t="shared" si="2"/>
        <v>0.875</v>
      </c>
      <c r="AC23" s="143"/>
      <c r="AD23" s="127"/>
      <c r="AE23" s="143"/>
      <c r="AF23" s="298"/>
      <c r="AG23" s="298"/>
      <c r="AH23" s="126"/>
      <c r="AI23" s="143"/>
      <c r="AJ23" s="126"/>
      <c r="AK23" s="143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</row>
    <row r="24" spans="1:55" s="215" customFormat="1" ht="15.95" customHeight="1" x14ac:dyDescent="0.25">
      <c r="A24" s="293"/>
      <c r="B24" s="150" t="s">
        <v>63</v>
      </c>
      <c r="C24" s="151">
        <v>18</v>
      </c>
      <c r="D24" s="152">
        <v>6.5</v>
      </c>
      <c r="E24" s="153">
        <v>1918.0638461538399</v>
      </c>
      <c r="F24" s="154">
        <v>39</v>
      </c>
      <c r="G24" s="153">
        <v>2084.0242857142798</v>
      </c>
      <c r="H24" s="154">
        <v>0</v>
      </c>
      <c r="I24" s="153">
        <v>0</v>
      </c>
      <c r="J24" s="154">
        <v>15</v>
      </c>
      <c r="K24" s="155">
        <v>2355.13</v>
      </c>
      <c r="L24" s="154">
        <v>12</v>
      </c>
      <c r="M24" s="155">
        <v>1573.91</v>
      </c>
      <c r="N24" s="154">
        <v>0</v>
      </c>
      <c r="O24" s="155">
        <v>0</v>
      </c>
      <c r="P24" s="154">
        <v>0</v>
      </c>
      <c r="Q24" s="155">
        <v>0</v>
      </c>
      <c r="R24" s="154">
        <v>1</v>
      </c>
      <c r="S24" s="155">
        <v>0</v>
      </c>
      <c r="T24" s="155"/>
      <c r="U24" s="154"/>
      <c r="V24" s="153"/>
      <c r="W24" s="154"/>
      <c r="X24" s="153"/>
      <c r="Y24" s="156">
        <f t="shared" si="0"/>
        <v>73.5</v>
      </c>
      <c r="Z24" s="157">
        <f t="shared" si="1"/>
        <v>147958.2321428569</v>
      </c>
      <c r="AA24" s="158">
        <f t="shared" si="3"/>
        <v>2013.0371720116584</v>
      </c>
      <c r="AB24" s="159">
        <f t="shared" si="2"/>
        <v>0.91874999999999996</v>
      </c>
      <c r="AC24" s="143"/>
      <c r="AD24" s="127"/>
      <c r="AE24" s="143"/>
      <c r="AF24" s="298"/>
      <c r="AG24" s="298"/>
      <c r="AI24" s="143"/>
      <c r="AK24" s="143"/>
    </row>
    <row r="25" spans="1:55" s="146" customFormat="1" ht="15.95" customHeight="1" x14ac:dyDescent="0.25">
      <c r="A25" s="293"/>
      <c r="B25" s="136" t="s">
        <v>64</v>
      </c>
      <c r="C25" s="137">
        <v>19</v>
      </c>
      <c r="D25" s="138">
        <v>3</v>
      </c>
      <c r="E25" s="139">
        <v>1928.98833333333</v>
      </c>
      <c r="F25" s="140">
        <v>59</v>
      </c>
      <c r="G25" s="139">
        <v>1710.39368421052</v>
      </c>
      <c r="H25" s="140">
        <v>0</v>
      </c>
      <c r="I25" s="139">
        <v>0</v>
      </c>
      <c r="J25" s="140">
        <v>0</v>
      </c>
      <c r="K25" s="141">
        <v>0</v>
      </c>
      <c r="L25" s="140">
        <v>12</v>
      </c>
      <c r="M25" s="141">
        <v>1684.17333333333</v>
      </c>
      <c r="N25" s="140">
        <v>0</v>
      </c>
      <c r="O25" s="141">
        <v>0</v>
      </c>
      <c r="P25" s="140">
        <v>0</v>
      </c>
      <c r="Q25" s="141">
        <v>0</v>
      </c>
      <c r="R25" s="140">
        <v>1</v>
      </c>
      <c r="S25" s="141">
        <v>0</v>
      </c>
      <c r="T25" s="141"/>
      <c r="U25" s="140"/>
      <c r="V25" s="139"/>
      <c r="W25" s="140"/>
      <c r="X25" s="139"/>
      <c r="Y25" s="142">
        <f t="shared" si="0"/>
        <v>75</v>
      </c>
      <c r="Z25" s="143">
        <f t="shared" si="1"/>
        <v>126910.27236842063</v>
      </c>
      <c r="AA25" s="329">
        <f t="shared" si="3"/>
        <v>1692.1369649122751</v>
      </c>
      <c r="AB25" s="148">
        <f t="shared" si="2"/>
        <v>0.9375</v>
      </c>
      <c r="AC25" s="143"/>
      <c r="AD25" s="127"/>
      <c r="AE25" s="143"/>
      <c r="AF25" s="298"/>
      <c r="AG25" s="298"/>
      <c r="AH25" s="126"/>
      <c r="AI25" s="143"/>
      <c r="AJ25" s="126"/>
      <c r="AK25" s="143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</row>
    <row r="26" spans="1:55" s="128" customFormat="1" ht="15.95" customHeight="1" x14ac:dyDescent="0.25">
      <c r="A26" s="796" t="s">
        <v>103</v>
      </c>
      <c r="B26" s="136" t="s">
        <v>65</v>
      </c>
      <c r="C26" s="137">
        <v>20</v>
      </c>
      <c r="D26" s="138">
        <v>2</v>
      </c>
      <c r="E26" s="139">
        <v>1939.1324999999999</v>
      </c>
      <c r="F26" s="140">
        <v>60</v>
      </c>
      <c r="G26" s="139">
        <v>1810.6518181818101</v>
      </c>
      <c r="H26" s="140">
        <v>0</v>
      </c>
      <c r="I26" s="139">
        <v>0</v>
      </c>
      <c r="J26" s="140">
        <v>0</v>
      </c>
      <c r="K26" s="141">
        <v>0</v>
      </c>
      <c r="L26" s="140">
        <v>10</v>
      </c>
      <c r="M26" s="139">
        <v>1493.6366666666599</v>
      </c>
      <c r="N26" s="140">
        <v>0</v>
      </c>
      <c r="O26" s="141">
        <v>0</v>
      </c>
      <c r="P26" s="140">
        <v>0</v>
      </c>
      <c r="Q26" s="141">
        <v>0</v>
      </c>
      <c r="R26" s="140">
        <v>0</v>
      </c>
      <c r="S26" s="141">
        <v>0</v>
      </c>
      <c r="T26" s="141"/>
      <c r="U26" s="140"/>
      <c r="V26" s="139"/>
      <c r="W26" s="140"/>
      <c r="X26" s="139"/>
      <c r="Y26" s="142">
        <f t="shared" si="0"/>
        <v>72</v>
      </c>
      <c r="Z26" s="143">
        <f t="shared" si="1"/>
        <v>127453.7407575752</v>
      </c>
      <c r="AA26" s="329">
        <f t="shared" si="3"/>
        <v>1770.1908438552111</v>
      </c>
      <c r="AB26" s="148">
        <f t="shared" si="2"/>
        <v>0.9</v>
      </c>
      <c r="AC26" s="143"/>
      <c r="AD26" s="127"/>
      <c r="AE26" s="143"/>
      <c r="AF26" s="298"/>
      <c r="AG26" s="298"/>
      <c r="AH26" s="126"/>
      <c r="AI26" s="143"/>
      <c r="AJ26" s="126"/>
      <c r="AK26" s="143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</row>
    <row r="27" spans="1:55" s="128" customFormat="1" ht="15.95" customHeight="1" x14ac:dyDescent="0.25">
      <c r="A27" s="796"/>
      <c r="B27" s="136" t="s">
        <v>66</v>
      </c>
      <c r="C27" s="137">
        <v>21</v>
      </c>
      <c r="D27" s="138">
        <v>0</v>
      </c>
      <c r="E27" s="139">
        <v>0</v>
      </c>
      <c r="F27" s="140">
        <v>55</v>
      </c>
      <c r="G27" s="139">
        <v>1774.8276190476099</v>
      </c>
      <c r="H27" s="140">
        <v>1</v>
      </c>
      <c r="I27" s="139">
        <v>1938.17</v>
      </c>
      <c r="J27" s="140">
        <v>0</v>
      </c>
      <c r="K27" s="141">
        <v>0</v>
      </c>
      <c r="L27" s="140">
        <v>10</v>
      </c>
      <c r="M27" s="139">
        <v>1381.059</v>
      </c>
      <c r="N27" s="140">
        <v>0</v>
      </c>
      <c r="O27" s="141">
        <v>0</v>
      </c>
      <c r="P27" s="140">
        <v>0</v>
      </c>
      <c r="Q27" s="141">
        <v>0</v>
      </c>
      <c r="R27" s="140">
        <v>0</v>
      </c>
      <c r="S27" s="141">
        <v>0</v>
      </c>
      <c r="T27" s="141"/>
      <c r="U27" s="140"/>
      <c r="V27" s="139"/>
      <c r="W27" s="140"/>
      <c r="X27" s="139"/>
      <c r="Y27" s="142">
        <f t="shared" si="0"/>
        <v>66</v>
      </c>
      <c r="Z27" s="143">
        <f t="shared" si="1"/>
        <v>113364.27904761855</v>
      </c>
      <c r="AA27" s="147">
        <f t="shared" si="3"/>
        <v>1717.6405916305841</v>
      </c>
      <c r="AB27" s="148">
        <f t="shared" si="2"/>
        <v>0.82499999999999996</v>
      </c>
      <c r="AC27" s="143"/>
      <c r="AD27" s="127"/>
      <c r="AE27" s="143"/>
      <c r="AF27" s="298"/>
      <c r="AG27" s="298"/>
      <c r="AH27" s="126"/>
      <c r="AI27" s="143"/>
      <c r="AJ27" s="126"/>
      <c r="AK27" s="143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289" t="s">
        <v>77</v>
      </c>
      <c r="B28" s="136" t="s">
        <v>67</v>
      </c>
      <c r="C28" s="137">
        <v>22</v>
      </c>
      <c r="D28" s="138">
        <v>0</v>
      </c>
      <c r="E28" s="139">
        <v>0</v>
      </c>
      <c r="F28" s="140">
        <v>56</v>
      </c>
      <c r="G28" s="139">
        <v>1801.64</v>
      </c>
      <c r="H28" s="140">
        <v>1</v>
      </c>
      <c r="I28" s="139">
        <v>1965.65</v>
      </c>
      <c r="J28" s="140">
        <v>0</v>
      </c>
      <c r="K28" s="141">
        <v>0</v>
      </c>
      <c r="L28" s="140">
        <v>12</v>
      </c>
      <c r="M28" s="139">
        <v>1348.99</v>
      </c>
      <c r="N28" s="140">
        <v>0</v>
      </c>
      <c r="O28" s="141">
        <v>0</v>
      </c>
      <c r="P28" s="140">
        <v>0</v>
      </c>
      <c r="Q28" s="141">
        <v>0</v>
      </c>
      <c r="R28" s="140">
        <v>0</v>
      </c>
      <c r="S28" s="141">
        <v>0</v>
      </c>
      <c r="T28" s="141"/>
      <c r="U28" s="140"/>
      <c r="V28" s="139"/>
      <c r="W28" s="140"/>
      <c r="X28" s="139"/>
      <c r="Y28" s="142">
        <f t="shared" si="0"/>
        <v>69</v>
      </c>
      <c r="Z28" s="143">
        <f t="shared" si="1"/>
        <v>119045.37000000001</v>
      </c>
      <c r="AA28" s="329">
        <f t="shared" si="3"/>
        <v>1725.2952173913045</v>
      </c>
      <c r="AB28" s="148">
        <f t="shared" si="2"/>
        <v>0.86250000000000004</v>
      </c>
      <c r="AC28" s="143"/>
      <c r="AD28" s="127"/>
      <c r="AE28" s="143"/>
      <c r="AF28" s="298"/>
      <c r="AG28" s="298"/>
      <c r="AI28" s="143"/>
      <c r="AK28" s="143"/>
    </row>
    <row r="29" spans="1:55" s="215" customFormat="1" ht="15.95" customHeight="1" x14ac:dyDescent="0.25">
      <c r="A29" s="294"/>
      <c r="B29" s="136" t="s">
        <v>68</v>
      </c>
      <c r="C29" s="137">
        <v>23</v>
      </c>
      <c r="D29" s="138">
        <v>0</v>
      </c>
      <c r="E29" s="139">
        <v>0</v>
      </c>
      <c r="F29" s="140">
        <v>58</v>
      </c>
      <c r="G29" s="139">
        <v>2160.3538461538401</v>
      </c>
      <c r="H29" s="140">
        <v>0</v>
      </c>
      <c r="I29" s="139">
        <v>0</v>
      </c>
      <c r="J29" s="140">
        <v>0</v>
      </c>
      <c r="K29" s="141">
        <v>0</v>
      </c>
      <c r="L29" s="140">
        <v>12</v>
      </c>
      <c r="M29" s="139">
        <v>1293.7919999999999</v>
      </c>
      <c r="N29" s="140">
        <v>0</v>
      </c>
      <c r="O29" s="141">
        <v>0</v>
      </c>
      <c r="P29" s="140">
        <v>0</v>
      </c>
      <c r="Q29" s="141">
        <v>0</v>
      </c>
      <c r="R29" s="140">
        <v>0</v>
      </c>
      <c r="S29" s="141">
        <v>0</v>
      </c>
      <c r="T29" s="141"/>
      <c r="U29" s="140"/>
      <c r="V29" s="139"/>
      <c r="W29" s="140"/>
      <c r="X29" s="139"/>
      <c r="Y29" s="142">
        <f t="shared" si="0"/>
        <v>70</v>
      </c>
      <c r="Z29" s="143">
        <f t="shared" si="1"/>
        <v>140826.02707692271</v>
      </c>
      <c r="AA29" s="147">
        <f t="shared" si="3"/>
        <v>2011.8003868131816</v>
      </c>
      <c r="AB29" s="148">
        <f t="shared" si="2"/>
        <v>0.875</v>
      </c>
      <c r="AC29" s="143"/>
      <c r="AD29" s="127"/>
      <c r="AE29" s="143"/>
      <c r="AF29" s="298"/>
      <c r="AG29" s="298"/>
      <c r="AI29" s="143"/>
      <c r="AK29" s="143"/>
    </row>
    <row r="30" spans="1:55" s="126" customFormat="1" ht="16.5" customHeight="1" x14ac:dyDescent="0.25">
      <c r="A30" s="294"/>
      <c r="B30" s="136" t="s">
        <v>69</v>
      </c>
      <c r="C30" s="137">
        <v>24</v>
      </c>
      <c r="D30" s="138">
        <v>0</v>
      </c>
      <c r="E30" s="139">
        <v>0</v>
      </c>
      <c r="F30" s="140">
        <v>61</v>
      </c>
      <c r="G30" s="139">
        <v>2534.884</v>
      </c>
      <c r="H30" s="140">
        <v>0</v>
      </c>
      <c r="I30" s="139">
        <v>0</v>
      </c>
      <c r="J30" s="140">
        <v>0</v>
      </c>
      <c r="K30" s="141">
        <v>0</v>
      </c>
      <c r="L30" s="140">
        <v>12</v>
      </c>
      <c r="M30" s="139">
        <v>1455.81428571428</v>
      </c>
      <c r="N30" s="140">
        <v>0</v>
      </c>
      <c r="O30" s="141">
        <v>0</v>
      </c>
      <c r="P30" s="140">
        <v>0</v>
      </c>
      <c r="Q30" s="141">
        <v>0</v>
      </c>
      <c r="R30" s="140">
        <v>0</v>
      </c>
      <c r="S30" s="141">
        <v>0</v>
      </c>
      <c r="T30" s="141"/>
      <c r="U30" s="140"/>
      <c r="V30" s="139"/>
      <c r="W30" s="140"/>
      <c r="X30" s="139"/>
      <c r="Y30" s="142">
        <f t="shared" si="0"/>
        <v>73</v>
      </c>
      <c r="Z30" s="143">
        <f t="shared" si="1"/>
        <v>172097.69542857137</v>
      </c>
      <c r="AA30" s="147">
        <f t="shared" si="3"/>
        <v>2357.5026771037174</v>
      </c>
      <c r="AB30" s="148">
        <f t="shared" si="2"/>
        <v>0.91249999999999998</v>
      </c>
      <c r="AC30" s="143"/>
      <c r="AD30" s="127"/>
      <c r="AE30" s="143"/>
      <c r="AF30" s="298"/>
      <c r="AG30" s="298"/>
      <c r="AI30" s="143"/>
      <c r="AK30" s="143"/>
    </row>
    <row r="31" spans="1:55" s="217" customFormat="1" ht="15.95" customHeight="1" x14ac:dyDescent="0.25">
      <c r="A31" s="347" t="s">
        <v>102</v>
      </c>
      <c r="B31" s="332" t="s">
        <v>63</v>
      </c>
      <c r="C31" s="333">
        <v>25</v>
      </c>
      <c r="D31" s="334">
        <v>0</v>
      </c>
      <c r="E31" s="335">
        <v>0</v>
      </c>
      <c r="F31" s="336">
        <v>56</v>
      </c>
      <c r="G31" s="335">
        <v>2052.0154166666598</v>
      </c>
      <c r="H31" s="336">
        <v>0</v>
      </c>
      <c r="I31" s="335">
        <v>0</v>
      </c>
      <c r="J31" s="336">
        <v>0</v>
      </c>
      <c r="K31" s="337">
        <v>0</v>
      </c>
      <c r="L31" s="336">
        <v>12</v>
      </c>
      <c r="M31" s="337">
        <v>1541.72727272727</v>
      </c>
      <c r="N31" s="336">
        <v>0</v>
      </c>
      <c r="O31" s="337">
        <v>0</v>
      </c>
      <c r="P31" s="336">
        <v>0</v>
      </c>
      <c r="Q31" s="337">
        <v>0</v>
      </c>
      <c r="R31" s="336">
        <v>0</v>
      </c>
      <c r="S31" s="337">
        <v>0</v>
      </c>
      <c r="T31" s="337"/>
      <c r="U31" s="336"/>
      <c r="V31" s="335"/>
      <c r="W31" s="336"/>
      <c r="X31" s="335"/>
      <c r="Y31" s="338">
        <f t="shared" si="0"/>
        <v>68</v>
      </c>
      <c r="Z31" s="339">
        <f t="shared" si="1"/>
        <v>133413.5906060602</v>
      </c>
      <c r="AA31" s="340">
        <f t="shared" si="3"/>
        <v>1961.9645677361793</v>
      </c>
      <c r="AB31" s="341">
        <f t="shared" si="2"/>
        <v>0.85</v>
      </c>
      <c r="AC31" s="143"/>
      <c r="AD31" s="127"/>
      <c r="AE31" s="143"/>
      <c r="AF31" s="298"/>
      <c r="AG31" s="298"/>
      <c r="AH31" s="215"/>
      <c r="AI31" s="143"/>
      <c r="AJ31" s="215"/>
      <c r="AK31" s="143"/>
      <c r="AL31" s="215"/>
      <c r="AM31" s="215"/>
      <c r="AN31" s="215"/>
      <c r="AO31" s="215"/>
      <c r="AP31" s="215"/>
      <c r="AQ31" s="215"/>
      <c r="AR31" s="215"/>
      <c r="AS31" s="215"/>
      <c r="AT31" s="215"/>
      <c r="AU31" s="215"/>
      <c r="AV31" s="215"/>
      <c r="AW31" s="215"/>
      <c r="AX31" s="215"/>
      <c r="AY31" s="215"/>
      <c r="AZ31" s="215"/>
      <c r="BA31" s="215"/>
      <c r="BB31" s="215"/>
      <c r="BC31" s="216"/>
    </row>
    <row r="32" spans="1:55" s="220" customFormat="1" ht="15.95" customHeight="1" x14ac:dyDescent="0.25">
      <c r="A32" s="349" t="s">
        <v>79</v>
      </c>
      <c r="B32" s="281" t="s">
        <v>64</v>
      </c>
      <c r="C32" s="282">
        <v>26</v>
      </c>
      <c r="D32" s="283">
        <v>0</v>
      </c>
      <c r="E32" s="284">
        <v>0</v>
      </c>
      <c r="F32" s="285">
        <v>42</v>
      </c>
      <c r="G32" s="284">
        <v>2172.2268421052599</v>
      </c>
      <c r="H32" s="285">
        <v>0</v>
      </c>
      <c r="I32" s="284">
        <v>0</v>
      </c>
      <c r="J32" s="285">
        <v>0</v>
      </c>
      <c r="K32" s="344">
        <v>0</v>
      </c>
      <c r="L32" s="285">
        <v>32</v>
      </c>
      <c r="M32" s="344">
        <v>1783.2322222222199</v>
      </c>
      <c r="N32" s="285">
        <v>0</v>
      </c>
      <c r="O32" s="344">
        <v>0</v>
      </c>
      <c r="P32" s="285">
        <v>0</v>
      </c>
      <c r="Q32" s="344">
        <v>0</v>
      </c>
      <c r="R32" s="285">
        <v>0</v>
      </c>
      <c r="S32" s="344">
        <v>0</v>
      </c>
      <c r="T32" s="344"/>
      <c r="U32" s="285"/>
      <c r="V32" s="284"/>
      <c r="W32" s="285"/>
      <c r="X32" s="284"/>
      <c r="Y32" s="286">
        <f t="shared" si="0"/>
        <v>74</v>
      </c>
      <c r="Z32" s="345">
        <f t="shared" si="1"/>
        <v>148296.95847953195</v>
      </c>
      <c r="AA32" s="346">
        <f t="shared" si="3"/>
        <v>2004.0129524261074</v>
      </c>
      <c r="AB32" s="287">
        <f t="shared" si="2"/>
        <v>0.92500000000000004</v>
      </c>
      <c r="AC32" s="143"/>
      <c r="AD32" s="127"/>
      <c r="AE32" s="143"/>
      <c r="AF32" s="298"/>
      <c r="AG32" s="298"/>
      <c r="AH32" s="215"/>
      <c r="AI32" s="143"/>
      <c r="AJ32" s="215"/>
      <c r="AK32" s="143"/>
      <c r="AL32" s="215"/>
      <c r="AM32" s="215"/>
      <c r="AN32" s="215"/>
      <c r="AO32" s="215"/>
      <c r="AP32" s="215"/>
      <c r="AQ32" s="215"/>
      <c r="AR32" s="215"/>
      <c r="AS32" s="215"/>
      <c r="AT32" s="215"/>
      <c r="AU32" s="215"/>
      <c r="AV32" s="215"/>
      <c r="AW32" s="215"/>
      <c r="AX32" s="215"/>
      <c r="AY32" s="215"/>
      <c r="AZ32" s="215"/>
      <c r="BA32" s="215"/>
      <c r="BB32" s="215"/>
      <c r="BC32" s="215"/>
    </row>
    <row r="33" spans="1:56" s="220" customFormat="1" ht="15.95" customHeight="1" x14ac:dyDescent="0.25">
      <c r="A33" s="294"/>
      <c r="B33" s="136" t="s">
        <v>65</v>
      </c>
      <c r="C33" s="137">
        <v>27</v>
      </c>
      <c r="D33" s="138">
        <v>0</v>
      </c>
      <c r="E33" s="139">
        <v>0</v>
      </c>
      <c r="F33" s="140">
        <v>42</v>
      </c>
      <c r="G33" s="139">
        <v>3318.82846153846</v>
      </c>
      <c r="H33" s="140">
        <v>0</v>
      </c>
      <c r="I33" s="139">
        <v>0</v>
      </c>
      <c r="J33" s="140">
        <v>0</v>
      </c>
      <c r="K33" s="141">
        <v>0</v>
      </c>
      <c r="L33" s="140">
        <v>32</v>
      </c>
      <c r="M33" s="141">
        <v>2361.44</v>
      </c>
      <c r="N33" s="140">
        <v>0</v>
      </c>
      <c r="O33" s="141">
        <v>0</v>
      </c>
      <c r="P33" s="140">
        <v>0</v>
      </c>
      <c r="Q33" s="141">
        <v>0</v>
      </c>
      <c r="R33" s="140">
        <v>0</v>
      </c>
      <c r="S33" s="141">
        <v>0</v>
      </c>
      <c r="T33" s="141"/>
      <c r="U33" s="140"/>
      <c r="V33" s="139"/>
      <c r="W33" s="140"/>
      <c r="X33" s="139"/>
      <c r="Y33" s="142">
        <f t="shared" si="0"/>
        <v>74</v>
      </c>
      <c r="Z33" s="143">
        <f t="shared" si="1"/>
        <v>214956.87538461533</v>
      </c>
      <c r="AA33" s="329">
        <f t="shared" si="3"/>
        <v>2904.8226403326394</v>
      </c>
      <c r="AB33" s="148">
        <f t="shared" si="2"/>
        <v>0.92500000000000004</v>
      </c>
      <c r="AC33" s="143"/>
      <c r="AD33" s="127"/>
      <c r="AE33" s="143"/>
      <c r="AF33" s="298"/>
      <c r="AG33" s="298"/>
      <c r="AH33" s="215"/>
      <c r="AI33" s="143"/>
      <c r="AJ33" s="215"/>
      <c r="AK33" s="143"/>
      <c r="AL33" s="215"/>
      <c r="AM33" s="215"/>
      <c r="AN33" s="215"/>
      <c r="AO33" s="215"/>
      <c r="AP33" s="215"/>
      <c r="AQ33" s="215"/>
      <c r="AR33" s="215"/>
      <c r="AS33" s="215"/>
      <c r="AT33" s="215"/>
      <c r="AU33" s="215"/>
      <c r="AV33" s="215"/>
      <c r="AW33" s="215"/>
      <c r="AX33" s="215"/>
      <c r="AY33" s="215"/>
      <c r="AZ33" s="215"/>
      <c r="BA33" s="215"/>
      <c r="BB33" s="215"/>
      <c r="BC33" s="215"/>
    </row>
    <row r="34" spans="1:56" s="128" customFormat="1" ht="15.95" customHeight="1" x14ac:dyDescent="0.25">
      <c r="A34" s="295"/>
      <c r="B34" s="136" t="s">
        <v>66</v>
      </c>
      <c r="C34" s="137">
        <v>28</v>
      </c>
      <c r="D34" s="138">
        <v>0</v>
      </c>
      <c r="E34" s="139">
        <v>0</v>
      </c>
      <c r="F34" s="140">
        <v>42</v>
      </c>
      <c r="G34" s="139">
        <v>3673.9236363636301</v>
      </c>
      <c r="H34" s="140">
        <v>0</v>
      </c>
      <c r="I34" s="139">
        <v>0</v>
      </c>
      <c r="J34" s="140">
        <v>0</v>
      </c>
      <c r="K34" s="141">
        <v>0</v>
      </c>
      <c r="L34" s="140">
        <v>32</v>
      </c>
      <c r="M34" s="141">
        <v>2220.6946666666599</v>
      </c>
      <c r="N34" s="140">
        <v>0</v>
      </c>
      <c r="O34" s="141">
        <v>0</v>
      </c>
      <c r="P34" s="140">
        <v>0</v>
      </c>
      <c r="Q34" s="141">
        <v>0</v>
      </c>
      <c r="R34" s="140">
        <v>0</v>
      </c>
      <c r="S34" s="141">
        <v>0</v>
      </c>
      <c r="T34" s="141"/>
      <c r="U34" s="140"/>
      <c r="V34" s="139"/>
      <c r="W34" s="140"/>
      <c r="X34" s="139"/>
      <c r="Y34" s="142">
        <f t="shared" si="0"/>
        <v>74</v>
      </c>
      <c r="Z34" s="143">
        <f t="shared" si="1"/>
        <v>225367.02206060558</v>
      </c>
      <c r="AA34" s="147">
        <f>IF(Z34=0,0,Z34/Y34)</f>
        <v>3045.5002981162916</v>
      </c>
      <c r="AB34" s="148">
        <f t="shared" si="2"/>
        <v>0.92500000000000004</v>
      </c>
      <c r="AC34" s="143"/>
      <c r="AD34" s="127"/>
      <c r="AE34" s="143"/>
      <c r="AF34" s="298"/>
      <c r="AG34" s="298"/>
      <c r="AH34" s="126"/>
      <c r="AI34" s="143"/>
      <c r="AJ34" s="126"/>
      <c r="AK34" s="143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5.95" customHeight="1" x14ac:dyDescent="0.25">
      <c r="A35" s="292"/>
      <c r="B35" s="136" t="s">
        <v>67</v>
      </c>
      <c r="C35" s="137">
        <v>29</v>
      </c>
      <c r="D35" s="138">
        <v>0</v>
      </c>
      <c r="E35" s="139">
        <v>0</v>
      </c>
      <c r="F35" s="140">
        <v>45</v>
      </c>
      <c r="G35" s="139">
        <v>3206.2822222222198</v>
      </c>
      <c r="H35" s="140">
        <v>0</v>
      </c>
      <c r="I35" s="139">
        <v>0</v>
      </c>
      <c r="J35" s="140">
        <v>0</v>
      </c>
      <c r="K35" s="141">
        <v>0</v>
      </c>
      <c r="L35" s="140">
        <v>32</v>
      </c>
      <c r="M35" s="141">
        <v>2308.4846666666599</v>
      </c>
      <c r="N35" s="140">
        <v>0</v>
      </c>
      <c r="O35" s="141">
        <v>0</v>
      </c>
      <c r="P35" s="140">
        <v>0</v>
      </c>
      <c r="Q35" s="141">
        <v>0</v>
      </c>
      <c r="R35" s="140">
        <v>0</v>
      </c>
      <c r="S35" s="141">
        <v>0</v>
      </c>
      <c r="T35" s="141"/>
      <c r="U35" s="140"/>
      <c r="V35" s="139"/>
      <c r="W35" s="140"/>
      <c r="X35" s="139"/>
      <c r="Y35" s="142">
        <f t="shared" si="0"/>
        <v>77</v>
      </c>
      <c r="Z35" s="143">
        <f t="shared" si="1"/>
        <v>218154.20933333301</v>
      </c>
      <c r="AA35" s="329">
        <f>IF(Z35=0,0,Z35/Y35)</f>
        <v>2833.1715497835457</v>
      </c>
      <c r="AB35" s="148">
        <f t="shared" si="2"/>
        <v>0.96250000000000002</v>
      </c>
      <c r="AC35" s="143"/>
      <c r="AD35" s="127"/>
      <c r="AE35" s="143"/>
      <c r="AF35" s="298"/>
      <c r="AG35" s="298"/>
      <c r="AH35" s="126"/>
      <c r="AI35" s="143"/>
      <c r="AJ35" s="126"/>
      <c r="AK35" s="143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6" customFormat="1" ht="15.95" customHeight="1" x14ac:dyDescent="0.25">
      <c r="A36" s="292"/>
      <c r="B36" s="136" t="s">
        <v>68</v>
      </c>
      <c r="C36" s="137">
        <v>30</v>
      </c>
      <c r="D36" s="138">
        <v>0</v>
      </c>
      <c r="E36" s="139">
        <v>0</v>
      </c>
      <c r="F36" s="140">
        <v>47</v>
      </c>
      <c r="G36" s="139">
        <v>3090.8611111111099</v>
      </c>
      <c r="H36" s="140">
        <v>0</v>
      </c>
      <c r="I36" s="139">
        <v>0</v>
      </c>
      <c r="J36" s="140">
        <v>0</v>
      </c>
      <c r="K36" s="141">
        <v>0</v>
      </c>
      <c r="L36" s="140">
        <v>32</v>
      </c>
      <c r="M36" s="141">
        <v>2103.94</v>
      </c>
      <c r="N36" s="140">
        <v>0</v>
      </c>
      <c r="O36" s="141">
        <v>0</v>
      </c>
      <c r="P36" s="140">
        <v>0</v>
      </c>
      <c r="Q36" s="141">
        <v>0</v>
      </c>
      <c r="R36" s="140">
        <v>0</v>
      </c>
      <c r="S36" s="141">
        <v>0</v>
      </c>
      <c r="T36" s="141"/>
      <c r="U36" s="140"/>
      <c r="V36" s="139"/>
      <c r="W36" s="140"/>
      <c r="X36" s="139"/>
      <c r="Y36" s="142">
        <f t="shared" si="0"/>
        <v>79</v>
      </c>
      <c r="Z36" s="143">
        <f t="shared" si="1"/>
        <v>212596.55222222215</v>
      </c>
      <c r="AA36" s="147">
        <f>IF(Z36=0,0,Z36/Y36)</f>
        <v>2691.0955977496474</v>
      </c>
      <c r="AB36" s="148">
        <f t="shared" si="2"/>
        <v>0.98750000000000004</v>
      </c>
      <c r="AC36" s="143"/>
      <c r="AD36" s="127"/>
      <c r="AE36" s="143"/>
      <c r="AF36" s="298"/>
      <c r="AG36" s="298"/>
      <c r="AI36" s="143"/>
      <c r="AK36" s="143"/>
    </row>
    <row r="37" spans="1:56" s="220" customFormat="1" ht="16.5" thickBot="1" x14ac:dyDescent="0.3">
      <c r="A37" s="292"/>
      <c r="B37" s="136" t="s">
        <v>69</v>
      </c>
      <c r="C37" s="137">
        <v>31</v>
      </c>
      <c r="D37" s="138">
        <v>0</v>
      </c>
      <c r="E37" s="139">
        <v>0</v>
      </c>
      <c r="F37" s="140">
        <v>51</v>
      </c>
      <c r="G37" s="139">
        <v>3227.4333333333302</v>
      </c>
      <c r="H37" s="140">
        <v>0</v>
      </c>
      <c r="I37" s="139">
        <v>0</v>
      </c>
      <c r="J37" s="140">
        <v>0</v>
      </c>
      <c r="K37" s="141">
        <v>0</v>
      </c>
      <c r="L37" s="140">
        <v>28</v>
      </c>
      <c r="M37" s="141">
        <v>2682.87</v>
      </c>
      <c r="N37" s="140">
        <v>0</v>
      </c>
      <c r="O37" s="141">
        <v>0</v>
      </c>
      <c r="P37" s="140">
        <v>0</v>
      </c>
      <c r="Q37" s="141">
        <v>0</v>
      </c>
      <c r="R37" s="140">
        <v>0</v>
      </c>
      <c r="S37" s="141">
        <v>0</v>
      </c>
      <c r="T37" s="141"/>
      <c r="U37" s="140"/>
      <c r="V37" s="139"/>
      <c r="W37" s="140"/>
      <c r="X37" s="139"/>
      <c r="Y37" s="142">
        <f t="shared" si="0"/>
        <v>79</v>
      </c>
      <c r="Z37" s="143">
        <f t="shared" si="1"/>
        <v>239719.45999999985</v>
      </c>
      <c r="AA37" s="147">
        <f>IF(Z37=0,0,Z37/Y37)</f>
        <v>3034.4235443037956</v>
      </c>
      <c r="AB37" s="148">
        <f t="shared" si="2"/>
        <v>0.98750000000000004</v>
      </c>
      <c r="AC37" s="143"/>
      <c r="AD37" s="127"/>
      <c r="AE37" s="143"/>
      <c r="AF37" s="298"/>
      <c r="AG37" s="298"/>
      <c r="AH37" s="215"/>
      <c r="AI37" s="143"/>
      <c r="AJ37" s="215"/>
      <c r="AK37" s="143"/>
      <c r="AL37" s="215"/>
      <c r="AM37" s="215"/>
      <c r="AN37" s="215"/>
      <c r="AO37" s="215"/>
      <c r="AP37" s="215"/>
      <c r="AQ37" s="215"/>
      <c r="AR37" s="215"/>
      <c r="AS37" s="215"/>
      <c r="AT37" s="215"/>
      <c r="AU37" s="215"/>
      <c r="AV37" s="215"/>
      <c r="AW37" s="215"/>
      <c r="AX37" s="215"/>
      <c r="AY37" s="215"/>
      <c r="AZ37" s="215"/>
      <c r="BA37" s="215"/>
      <c r="BB37" s="215"/>
      <c r="BC37" s="215"/>
    </row>
    <row r="38" spans="1:56" s="128" customFormat="1" ht="17.100000000000001" customHeight="1" thickTop="1" x14ac:dyDescent="0.25">
      <c r="A38" s="233" t="s">
        <v>70</v>
      </c>
      <c r="B38" s="234"/>
      <c r="C38" s="234"/>
      <c r="D38" s="235">
        <f>SUM(D7:D37)</f>
        <v>102.5</v>
      </c>
      <c r="E38" s="236">
        <f>IF(D38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+(D37*E37))/D38)</f>
        <v>1998.5631707317068</v>
      </c>
      <c r="F38" s="237">
        <f>SUM(F7:F37)</f>
        <v>1260</v>
      </c>
      <c r="G38" s="236">
        <f>IF(F38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+(F37*G37))/F38)</f>
        <v>2231.108329242797</v>
      </c>
      <c r="H38" s="219">
        <f>SUM(H7:H37)</f>
        <v>2</v>
      </c>
      <c r="I38" s="236">
        <f>IF(H38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+(H37*I37))/H38)</f>
        <v>1951.91</v>
      </c>
      <c r="J38" s="237">
        <f>SUM(J7:J37)</f>
        <v>130</v>
      </c>
      <c r="K38" s="236">
        <f>IF(J38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+(J37*K37))/J38)</f>
        <v>1703.9716923076924</v>
      </c>
      <c r="L38" s="237">
        <f>SUM(L7:L37)</f>
        <v>398</v>
      </c>
      <c r="M38" s="236">
        <f>IF(L38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+(L37*M37))/L38)</f>
        <v>1803.3431929960025</v>
      </c>
      <c r="N38" s="237">
        <f>SUM(N7:N37)</f>
        <v>0</v>
      </c>
      <c r="O38" s="236">
        <f>IF(N38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+(N37*O37))/N38)</f>
        <v>0</v>
      </c>
      <c r="P38" s="237">
        <f>SUM(P7:P37)</f>
        <v>24</v>
      </c>
      <c r="Q38" s="236">
        <f>IF(P38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+(P37*Q37))/P38)</f>
        <v>1923.184838709675</v>
      </c>
      <c r="R38" s="237">
        <f>SUM(R7:R37)</f>
        <v>19</v>
      </c>
      <c r="S38" s="236">
        <f>IF(R38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+(R37*S37))/R38)</f>
        <v>0</v>
      </c>
      <c r="T38" s="236"/>
      <c r="U38" s="237"/>
      <c r="V38" s="236"/>
      <c r="W38" s="237"/>
      <c r="X38" s="236"/>
      <c r="Y38" s="237">
        <f>SUM(Y7:Y37)</f>
        <v>1935.5</v>
      </c>
      <c r="Z38" s="177">
        <f>SUM(Z7:Z37)</f>
        <v>4005356.3867873657</v>
      </c>
      <c r="AA38" s="219">
        <f>IF(Z38=0,0,Z38/Y38)</f>
        <v>2069.4168880327388</v>
      </c>
      <c r="AB38" s="238">
        <f>Y38/(AB6*D2)</f>
        <v>0.78044354838709673</v>
      </c>
      <c r="AC38" s="126"/>
      <c r="AD38" s="127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28" customFormat="1" ht="17.100000000000001" customHeight="1" thickBot="1" x14ac:dyDescent="0.3">
      <c r="A39" s="179" t="s">
        <v>71</v>
      </c>
      <c r="B39" s="240"/>
      <c r="C39" s="240"/>
      <c r="D39" s="785">
        <f>+E38*D38</f>
        <v>204852.72499999995</v>
      </c>
      <c r="E39" s="786"/>
      <c r="F39" s="787">
        <f>+G38*F38</f>
        <v>2811196.4948459244</v>
      </c>
      <c r="G39" s="786"/>
      <c r="H39" s="787">
        <f>+I38*H38</f>
        <v>3903.82</v>
      </c>
      <c r="I39" s="786"/>
      <c r="J39" s="787">
        <f>+K38*J38</f>
        <v>221516.32</v>
      </c>
      <c r="K39" s="786"/>
      <c r="L39" s="787">
        <f>+M38*L38</f>
        <v>717730.59081240895</v>
      </c>
      <c r="M39" s="786"/>
      <c r="N39" s="787">
        <f>+O38*N38</f>
        <v>0</v>
      </c>
      <c r="O39" s="786"/>
      <c r="P39" s="787">
        <f>+Q38*P38</f>
        <v>46156.436129032198</v>
      </c>
      <c r="Q39" s="786"/>
      <c r="R39" s="787">
        <f>+S38*R38</f>
        <v>0</v>
      </c>
      <c r="S39" s="788"/>
      <c r="T39" s="181"/>
      <c r="U39" s="182"/>
      <c r="V39" s="181"/>
      <c r="W39" s="182"/>
      <c r="X39" s="181"/>
      <c r="Y39" s="241"/>
      <c r="Z39" s="242"/>
      <c r="AA39" s="242"/>
      <c r="AB39" s="243"/>
      <c r="AC39" s="126"/>
      <c r="AD39" s="127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  <c r="BC39" s="126"/>
    </row>
    <row r="40" spans="1:56" s="111" customFormat="1" ht="13.5" thickTop="1" x14ac:dyDescent="0.2">
      <c r="P40" s="211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A41" s="385"/>
      <c r="Q41" s="226"/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A42" s="385"/>
      <c r="G42" s="226"/>
      <c r="Q42" s="226"/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9:56" s="111" customFormat="1" x14ac:dyDescent="0.2"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9:56" s="111" customFormat="1" x14ac:dyDescent="0.2"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  <row r="53" spans="29:56" s="111" customFormat="1" x14ac:dyDescent="0.2">
      <c r="AC53" s="112"/>
      <c r="AD53" s="113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4"/>
    </row>
  </sheetData>
  <mergeCells count="22"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  <mergeCell ref="R5:S5"/>
    <mergeCell ref="A26:A27"/>
    <mergeCell ref="R39:S39"/>
    <mergeCell ref="F39:G39"/>
    <mergeCell ref="H39:I39"/>
    <mergeCell ref="J39:K39"/>
    <mergeCell ref="L39:M39"/>
    <mergeCell ref="N39:O39"/>
    <mergeCell ref="P39:Q39"/>
    <mergeCell ref="D39:E39"/>
  </mergeCells>
  <phoneticPr fontId="74" type="noConversion"/>
  <dataValidations count="1">
    <dataValidation type="textLength" errorStyle="information" allowBlank="1" showInputMessage="1" showErrorMessage="1" error="XLBVal:2=0_x000d__x000a_" sqref="C27:C37 HZ27:HZ37 RV27:RV37 ABR27:ABR37 ALN27:ALN37 AVJ27:AVJ37 BFF27:BFF37 BPB27:BPB37 BYX27:BYX37 CIT27:CIT37 CSP27:CSP37 DCL27:DCL37 DMH27:DMH37 DWD27:DWD37 EFZ27:EFZ37 EPV27:EPV37 EZR27:EZR37 FJN27:FJN37 FTJ27:FTJ37 GDF27:GDF37 GNB27:GNB37 GWX27:GWX37 HGT27:HGT37 HQP27:HQP37 IAL27:IAL37 IKH27:IKH37 IUD27:IUD37 JDZ27:JDZ37 JNV27:JNV37 JXR27:JXR37 KHN27:KHN37 KRJ27:KRJ37 LBF27:LBF37 LLB27:LLB37 LUX27:LUX37 MET27:MET37 MOP27:MOP37 MYL27:MYL37 NIH27:NIH37 NSD27:NSD37 OBZ27:OBZ37 OLV27:OLV37 OVR27:OVR37 PFN27:PFN37 PPJ27:PPJ37 PZF27:PZF37 QJB27:QJB37 QSX27:QSX37 RCT27:RCT37 RMP27:RMP37 RWL27:RWL37 SGH27:SGH37 SQD27:SQD37 SZZ27:SZZ37 TJV27:TJV37 TTR27:TTR37 UDN27:UDN37 UNJ27:UNJ37 UXF27:UXF37 VHB27:VHB37 VQX27:VQX37 WAT27:WAT37 WKP27:WKP37 WUL27:WUL37 C65511:C65521 HZ65511:HZ65521 RV65511:RV65521 ABR65511:ABR65521 ALN65511:ALN65521 AVJ65511:AVJ65521 BFF65511:BFF65521 BPB65511:BPB65521 BYX65511:BYX65521 CIT65511:CIT65521 CSP65511:CSP65521 DCL65511:DCL65521 DMH65511:DMH65521 DWD65511:DWD65521 EFZ65511:EFZ65521 EPV65511:EPV65521 EZR65511:EZR65521 FJN65511:FJN65521 FTJ65511:FTJ65521 GDF65511:GDF65521 GNB65511:GNB65521 GWX65511:GWX65521 HGT65511:HGT65521 HQP65511:HQP65521 IAL65511:IAL65521 IKH65511:IKH65521 IUD65511:IUD65521 JDZ65511:JDZ65521 JNV65511:JNV65521 JXR65511:JXR65521 KHN65511:KHN65521 KRJ65511:KRJ65521 LBF65511:LBF65521 LLB65511:LLB65521 LUX65511:LUX65521 MET65511:MET65521 MOP65511:MOP65521 MYL65511:MYL65521 NIH65511:NIH65521 NSD65511:NSD65521 OBZ65511:OBZ65521 OLV65511:OLV65521 OVR65511:OVR65521 PFN65511:PFN65521 PPJ65511:PPJ65521 PZF65511:PZF65521 QJB65511:QJB65521 QSX65511:QSX65521 RCT65511:RCT65521 RMP65511:RMP65521 RWL65511:RWL65521 SGH65511:SGH65521 SQD65511:SQD65521 SZZ65511:SZZ65521 TJV65511:TJV65521 TTR65511:TTR65521 UDN65511:UDN65521 UNJ65511:UNJ65521 UXF65511:UXF65521 VHB65511:VHB65521 VQX65511:VQX65521 WAT65511:WAT65521 WKP65511:WKP65521 WUL65511:WUL65521 C131047:C131057 HZ131047:HZ131057 RV131047:RV131057 ABR131047:ABR131057 ALN131047:ALN131057 AVJ131047:AVJ131057 BFF131047:BFF131057 BPB131047:BPB131057 BYX131047:BYX131057 CIT131047:CIT131057 CSP131047:CSP131057 DCL131047:DCL131057 DMH131047:DMH131057 DWD131047:DWD131057 EFZ131047:EFZ131057 EPV131047:EPV131057 EZR131047:EZR131057 FJN131047:FJN131057 FTJ131047:FTJ131057 GDF131047:GDF131057 GNB131047:GNB131057 GWX131047:GWX131057 HGT131047:HGT131057 HQP131047:HQP131057 IAL131047:IAL131057 IKH131047:IKH131057 IUD131047:IUD131057 JDZ131047:JDZ131057 JNV131047:JNV131057 JXR131047:JXR131057 KHN131047:KHN131057 KRJ131047:KRJ131057 LBF131047:LBF131057 LLB131047:LLB131057 LUX131047:LUX131057 MET131047:MET131057 MOP131047:MOP131057 MYL131047:MYL131057 NIH131047:NIH131057 NSD131047:NSD131057 OBZ131047:OBZ131057 OLV131047:OLV131057 OVR131047:OVR131057 PFN131047:PFN131057 PPJ131047:PPJ131057 PZF131047:PZF131057 QJB131047:QJB131057 QSX131047:QSX131057 RCT131047:RCT131057 RMP131047:RMP131057 RWL131047:RWL131057 SGH131047:SGH131057 SQD131047:SQD131057 SZZ131047:SZZ131057 TJV131047:TJV131057 TTR131047:TTR131057 UDN131047:UDN131057 UNJ131047:UNJ131057 UXF131047:UXF131057 VHB131047:VHB131057 VQX131047:VQX131057 WAT131047:WAT131057 WKP131047:WKP131057 WUL131047:WUL131057 C196583:C196593 HZ196583:HZ196593 RV196583:RV196593 ABR196583:ABR196593 ALN196583:ALN196593 AVJ196583:AVJ196593 BFF196583:BFF196593 BPB196583:BPB196593 BYX196583:BYX196593 CIT196583:CIT196593 CSP196583:CSP196593 DCL196583:DCL196593 DMH196583:DMH196593 DWD196583:DWD196593 EFZ196583:EFZ196593 EPV196583:EPV196593 EZR196583:EZR196593 FJN196583:FJN196593 FTJ196583:FTJ196593 GDF196583:GDF196593 GNB196583:GNB196593 GWX196583:GWX196593 HGT196583:HGT196593 HQP196583:HQP196593 IAL196583:IAL196593 IKH196583:IKH196593 IUD196583:IUD196593 JDZ196583:JDZ196593 JNV196583:JNV196593 JXR196583:JXR196593 KHN196583:KHN196593 KRJ196583:KRJ196593 LBF196583:LBF196593 LLB196583:LLB196593 LUX196583:LUX196593 MET196583:MET196593 MOP196583:MOP196593 MYL196583:MYL196593 NIH196583:NIH196593 NSD196583:NSD196593 OBZ196583:OBZ196593 OLV196583:OLV196593 OVR196583:OVR196593 PFN196583:PFN196593 PPJ196583:PPJ196593 PZF196583:PZF196593 QJB196583:QJB196593 QSX196583:QSX196593 RCT196583:RCT196593 RMP196583:RMP196593 RWL196583:RWL196593 SGH196583:SGH196593 SQD196583:SQD196593 SZZ196583:SZZ196593 TJV196583:TJV196593 TTR196583:TTR196593 UDN196583:UDN196593 UNJ196583:UNJ196593 UXF196583:UXF196593 VHB196583:VHB196593 VQX196583:VQX196593 WAT196583:WAT196593 WKP196583:WKP196593 WUL196583:WUL196593 C262119:C262129 HZ262119:HZ262129 RV262119:RV262129 ABR262119:ABR262129 ALN262119:ALN262129 AVJ262119:AVJ262129 BFF262119:BFF262129 BPB262119:BPB262129 BYX262119:BYX262129 CIT262119:CIT262129 CSP262119:CSP262129 DCL262119:DCL262129 DMH262119:DMH262129 DWD262119:DWD262129 EFZ262119:EFZ262129 EPV262119:EPV262129 EZR262119:EZR262129 FJN262119:FJN262129 FTJ262119:FTJ262129 GDF262119:GDF262129 GNB262119:GNB262129 GWX262119:GWX262129 HGT262119:HGT262129 HQP262119:HQP262129 IAL262119:IAL262129 IKH262119:IKH262129 IUD262119:IUD262129 JDZ262119:JDZ262129 JNV262119:JNV262129 JXR262119:JXR262129 KHN262119:KHN262129 KRJ262119:KRJ262129 LBF262119:LBF262129 LLB262119:LLB262129 LUX262119:LUX262129 MET262119:MET262129 MOP262119:MOP262129 MYL262119:MYL262129 NIH262119:NIH262129 NSD262119:NSD262129 OBZ262119:OBZ262129 OLV262119:OLV262129 OVR262119:OVR262129 PFN262119:PFN262129 PPJ262119:PPJ262129 PZF262119:PZF262129 QJB262119:QJB262129 QSX262119:QSX262129 RCT262119:RCT262129 RMP262119:RMP262129 RWL262119:RWL262129 SGH262119:SGH262129 SQD262119:SQD262129 SZZ262119:SZZ262129 TJV262119:TJV262129 TTR262119:TTR262129 UDN262119:UDN262129 UNJ262119:UNJ262129 UXF262119:UXF262129 VHB262119:VHB262129 VQX262119:VQX262129 WAT262119:WAT262129 WKP262119:WKP262129 WUL262119:WUL262129 C327655:C327665 HZ327655:HZ327665 RV327655:RV327665 ABR327655:ABR327665 ALN327655:ALN327665 AVJ327655:AVJ327665 BFF327655:BFF327665 BPB327655:BPB327665 BYX327655:BYX327665 CIT327655:CIT327665 CSP327655:CSP327665 DCL327655:DCL327665 DMH327655:DMH327665 DWD327655:DWD327665 EFZ327655:EFZ327665 EPV327655:EPV327665 EZR327655:EZR327665 FJN327655:FJN327665 FTJ327655:FTJ327665 GDF327655:GDF327665 GNB327655:GNB327665 GWX327655:GWX327665 HGT327655:HGT327665 HQP327655:HQP327665 IAL327655:IAL327665 IKH327655:IKH327665 IUD327655:IUD327665 JDZ327655:JDZ327665 JNV327655:JNV327665 JXR327655:JXR327665 KHN327655:KHN327665 KRJ327655:KRJ327665 LBF327655:LBF327665 LLB327655:LLB327665 LUX327655:LUX327665 MET327655:MET327665 MOP327655:MOP327665 MYL327655:MYL327665 NIH327655:NIH327665 NSD327655:NSD327665 OBZ327655:OBZ327665 OLV327655:OLV327665 OVR327655:OVR327665 PFN327655:PFN327665 PPJ327655:PPJ327665 PZF327655:PZF327665 QJB327655:QJB327665 QSX327655:QSX327665 RCT327655:RCT327665 RMP327655:RMP327665 RWL327655:RWL327665 SGH327655:SGH327665 SQD327655:SQD327665 SZZ327655:SZZ327665 TJV327655:TJV327665 TTR327655:TTR327665 UDN327655:UDN327665 UNJ327655:UNJ327665 UXF327655:UXF327665 VHB327655:VHB327665 VQX327655:VQX327665 WAT327655:WAT327665 WKP327655:WKP327665 WUL327655:WUL327665 C393191:C393201 HZ393191:HZ393201 RV393191:RV393201 ABR393191:ABR393201 ALN393191:ALN393201 AVJ393191:AVJ393201 BFF393191:BFF393201 BPB393191:BPB393201 BYX393191:BYX393201 CIT393191:CIT393201 CSP393191:CSP393201 DCL393191:DCL393201 DMH393191:DMH393201 DWD393191:DWD393201 EFZ393191:EFZ393201 EPV393191:EPV393201 EZR393191:EZR393201 FJN393191:FJN393201 FTJ393191:FTJ393201 GDF393191:GDF393201 GNB393191:GNB393201 GWX393191:GWX393201 HGT393191:HGT393201 HQP393191:HQP393201 IAL393191:IAL393201 IKH393191:IKH393201 IUD393191:IUD393201 JDZ393191:JDZ393201 JNV393191:JNV393201 JXR393191:JXR393201 KHN393191:KHN393201 KRJ393191:KRJ393201 LBF393191:LBF393201 LLB393191:LLB393201 LUX393191:LUX393201 MET393191:MET393201 MOP393191:MOP393201 MYL393191:MYL393201 NIH393191:NIH393201 NSD393191:NSD393201 OBZ393191:OBZ393201 OLV393191:OLV393201 OVR393191:OVR393201 PFN393191:PFN393201 PPJ393191:PPJ393201 PZF393191:PZF393201 QJB393191:QJB393201 QSX393191:QSX393201 RCT393191:RCT393201 RMP393191:RMP393201 RWL393191:RWL393201 SGH393191:SGH393201 SQD393191:SQD393201 SZZ393191:SZZ393201 TJV393191:TJV393201 TTR393191:TTR393201 UDN393191:UDN393201 UNJ393191:UNJ393201 UXF393191:UXF393201 VHB393191:VHB393201 VQX393191:VQX393201 WAT393191:WAT393201 WKP393191:WKP393201 WUL393191:WUL393201 C458727:C458737 HZ458727:HZ458737 RV458727:RV458737 ABR458727:ABR458737 ALN458727:ALN458737 AVJ458727:AVJ458737 BFF458727:BFF458737 BPB458727:BPB458737 BYX458727:BYX458737 CIT458727:CIT458737 CSP458727:CSP458737 DCL458727:DCL458737 DMH458727:DMH458737 DWD458727:DWD458737 EFZ458727:EFZ458737 EPV458727:EPV458737 EZR458727:EZR458737 FJN458727:FJN458737 FTJ458727:FTJ458737 GDF458727:GDF458737 GNB458727:GNB458737 GWX458727:GWX458737 HGT458727:HGT458737 HQP458727:HQP458737 IAL458727:IAL458737 IKH458727:IKH458737 IUD458727:IUD458737 JDZ458727:JDZ458737 JNV458727:JNV458737 JXR458727:JXR458737 KHN458727:KHN458737 KRJ458727:KRJ458737 LBF458727:LBF458737 LLB458727:LLB458737 LUX458727:LUX458737 MET458727:MET458737 MOP458727:MOP458737 MYL458727:MYL458737 NIH458727:NIH458737 NSD458727:NSD458737 OBZ458727:OBZ458737 OLV458727:OLV458737 OVR458727:OVR458737 PFN458727:PFN458737 PPJ458727:PPJ458737 PZF458727:PZF458737 QJB458727:QJB458737 QSX458727:QSX458737 RCT458727:RCT458737 RMP458727:RMP458737 RWL458727:RWL458737 SGH458727:SGH458737 SQD458727:SQD458737 SZZ458727:SZZ458737 TJV458727:TJV458737 TTR458727:TTR458737 UDN458727:UDN458737 UNJ458727:UNJ458737 UXF458727:UXF458737 VHB458727:VHB458737 VQX458727:VQX458737 WAT458727:WAT458737 WKP458727:WKP458737 WUL458727:WUL458737 C524263:C524273 HZ524263:HZ524273 RV524263:RV524273 ABR524263:ABR524273 ALN524263:ALN524273 AVJ524263:AVJ524273 BFF524263:BFF524273 BPB524263:BPB524273 BYX524263:BYX524273 CIT524263:CIT524273 CSP524263:CSP524273 DCL524263:DCL524273 DMH524263:DMH524273 DWD524263:DWD524273 EFZ524263:EFZ524273 EPV524263:EPV524273 EZR524263:EZR524273 FJN524263:FJN524273 FTJ524263:FTJ524273 GDF524263:GDF524273 GNB524263:GNB524273 GWX524263:GWX524273 HGT524263:HGT524273 HQP524263:HQP524273 IAL524263:IAL524273 IKH524263:IKH524273 IUD524263:IUD524273 JDZ524263:JDZ524273 JNV524263:JNV524273 JXR524263:JXR524273 KHN524263:KHN524273 KRJ524263:KRJ524273 LBF524263:LBF524273 LLB524263:LLB524273 LUX524263:LUX524273 MET524263:MET524273 MOP524263:MOP524273 MYL524263:MYL524273 NIH524263:NIH524273 NSD524263:NSD524273 OBZ524263:OBZ524273 OLV524263:OLV524273 OVR524263:OVR524273 PFN524263:PFN524273 PPJ524263:PPJ524273 PZF524263:PZF524273 QJB524263:QJB524273 QSX524263:QSX524273 RCT524263:RCT524273 RMP524263:RMP524273 RWL524263:RWL524273 SGH524263:SGH524273 SQD524263:SQD524273 SZZ524263:SZZ524273 TJV524263:TJV524273 TTR524263:TTR524273 UDN524263:UDN524273 UNJ524263:UNJ524273 UXF524263:UXF524273 VHB524263:VHB524273 VQX524263:VQX524273 WAT524263:WAT524273 WKP524263:WKP524273 WUL524263:WUL524273 C589799:C589809 HZ589799:HZ589809 RV589799:RV589809 ABR589799:ABR589809 ALN589799:ALN589809 AVJ589799:AVJ589809 BFF589799:BFF589809 BPB589799:BPB589809 BYX589799:BYX589809 CIT589799:CIT589809 CSP589799:CSP589809 DCL589799:DCL589809 DMH589799:DMH589809 DWD589799:DWD589809 EFZ589799:EFZ589809 EPV589799:EPV589809 EZR589799:EZR589809 FJN589799:FJN589809 FTJ589799:FTJ589809 GDF589799:GDF589809 GNB589799:GNB589809 GWX589799:GWX589809 HGT589799:HGT589809 HQP589799:HQP589809 IAL589799:IAL589809 IKH589799:IKH589809 IUD589799:IUD589809 JDZ589799:JDZ589809 JNV589799:JNV589809 JXR589799:JXR589809 KHN589799:KHN589809 KRJ589799:KRJ589809 LBF589799:LBF589809 LLB589799:LLB589809 LUX589799:LUX589809 MET589799:MET589809 MOP589799:MOP589809 MYL589799:MYL589809 NIH589799:NIH589809 NSD589799:NSD589809 OBZ589799:OBZ589809 OLV589799:OLV589809 OVR589799:OVR589809 PFN589799:PFN589809 PPJ589799:PPJ589809 PZF589799:PZF589809 QJB589799:QJB589809 QSX589799:QSX589809 RCT589799:RCT589809 RMP589799:RMP589809 RWL589799:RWL589809 SGH589799:SGH589809 SQD589799:SQD589809 SZZ589799:SZZ589809 TJV589799:TJV589809 TTR589799:TTR589809 UDN589799:UDN589809 UNJ589799:UNJ589809 UXF589799:UXF589809 VHB589799:VHB589809 VQX589799:VQX589809 WAT589799:WAT589809 WKP589799:WKP589809 WUL589799:WUL589809 C655335:C655345 HZ655335:HZ655345 RV655335:RV655345 ABR655335:ABR655345 ALN655335:ALN655345 AVJ655335:AVJ655345 BFF655335:BFF655345 BPB655335:BPB655345 BYX655335:BYX655345 CIT655335:CIT655345 CSP655335:CSP655345 DCL655335:DCL655345 DMH655335:DMH655345 DWD655335:DWD655345 EFZ655335:EFZ655345 EPV655335:EPV655345 EZR655335:EZR655345 FJN655335:FJN655345 FTJ655335:FTJ655345 GDF655335:GDF655345 GNB655335:GNB655345 GWX655335:GWX655345 HGT655335:HGT655345 HQP655335:HQP655345 IAL655335:IAL655345 IKH655335:IKH655345 IUD655335:IUD655345 JDZ655335:JDZ655345 JNV655335:JNV655345 JXR655335:JXR655345 KHN655335:KHN655345 KRJ655335:KRJ655345 LBF655335:LBF655345 LLB655335:LLB655345 LUX655335:LUX655345 MET655335:MET655345 MOP655335:MOP655345 MYL655335:MYL655345 NIH655335:NIH655345 NSD655335:NSD655345 OBZ655335:OBZ655345 OLV655335:OLV655345 OVR655335:OVR655345 PFN655335:PFN655345 PPJ655335:PPJ655345 PZF655335:PZF655345 QJB655335:QJB655345 QSX655335:QSX655345 RCT655335:RCT655345 RMP655335:RMP655345 RWL655335:RWL655345 SGH655335:SGH655345 SQD655335:SQD655345 SZZ655335:SZZ655345 TJV655335:TJV655345 TTR655335:TTR655345 UDN655335:UDN655345 UNJ655335:UNJ655345 UXF655335:UXF655345 VHB655335:VHB655345 VQX655335:VQX655345 WAT655335:WAT655345 WKP655335:WKP655345 WUL655335:WUL655345 C720871:C720881 HZ720871:HZ720881 RV720871:RV720881 ABR720871:ABR720881 ALN720871:ALN720881 AVJ720871:AVJ720881 BFF720871:BFF720881 BPB720871:BPB720881 BYX720871:BYX720881 CIT720871:CIT720881 CSP720871:CSP720881 DCL720871:DCL720881 DMH720871:DMH720881 DWD720871:DWD720881 EFZ720871:EFZ720881 EPV720871:EPV720881 EZR720871:EZR720881 FJN720871:FJN720881 FTJ720871:FTJ720881 GDF720871:GDF720881 GNB720871:GNB720881 GWX720871:GWX720881 HGT720871:HGT720881 HQP720871:HQP720881 IAL720871:IAL720881 IKH720871:IKH720881 IUD720871:IUD720881 JDZ720871:JDZ720881 JNV720871:JNV720881 JXR720871:JXR720881 KHN720871:KHN720881 KRJ720871:KRJ720881 LBF720871:LBF720881 LLB720871:LLB720881 LUX720871:LUX720881 MET720871:MET720881 MOP720871:MOP720881 MYL720871:MYL720881 NIH720871:NIH720881 NSD720871:NSD720881 OBZ720871:OBZ720881 OLV720871:OLV720881 OVR720871:OVR720881 PFN720871:PFN720881 PPJ720871:PPJ720881 PZF720871:PZF720881 QJB720871:QJB720881 QSX720871:QSX720881 RCT720871:RCT720881 RMP720871:RMP720881 RWL720871:RWL720881 SGH720871:SGH720881 SQD720871:SQD720881 SZZ720871:SZZ720881 TJV720871:TJV720881 TTR720871:TTR720881 UDN720871:UDN720881 UNJ720871:UNJ720881 UXF720871:UXF720881 VHB720871:VHB720881 VQX720871:VQX720881 WAT720871:WAT720881 WKP720871:WKP720881 WUL720871:WUL720881 C786407:C786417 HZ786407:HZ786417 RV786407:RV786417 ABR786407:ABR786417 ALN786407:ALN786417 AVJ786407:AVJ786417 BFF786407:BFF786417 BPB786407:BPB786417 BYX786407:BYX786417 CIT786407:CIT786417 CSP786407:CSP786417 DCL786407:DCL786417 DMH786407:DMH786417 DWD786407:DWD786417 EFZ786407:EFZ786417 EPV786407:EPV786417 EZR786407:EZR786417 FJN786407:FJN786417 FTJ786407:FTJ786417 GDF786407:GDF786417 GNB786407:GNB786417 GWX786407:GWX786417 HGT786407:HGT786417 HQP786407:HQP786417 IAL786407:IAL786417 IKH786407:IKH786417 IUD786407:IUD786417 JDZ786407:JDZ786417 JNV786407:JNV786417 JXR786407:JXR786417 KHN786407:KHN786417 KRJ786407:KRJ786417 LBF786407:LBF786417 LLB786407:LLB786417 LUX786407:LUX786417 MET786407:MET786417 MOP786407:MOP786417 MYL786407:MYL786417 NIH786407:NIH786417 NSD786407:NSD786417 OBZ786407:OBZ786417 OLV786407:OLV786417 OVR786407:OVR786417 PFN786407:PFN786417 PPJ786407:PPJ786417 PZF786407:PZF786417 QJB786407:QJB786417 QSX786407:QSX786417 RCT786407:RCT786417 RMP786407:RMP786417 RWL786407:RWL786417 SGH786407:SGH786417 SQD786407:SQD786417 SZZ786407:SZZ786417 TJV786407:TJV786417 TTR786407:TTR786417 UDN786407:UDN786417 UNJ786407:UNJ786417 UXF786407:UXF786417 VHB786407:VHB786417 VQX786407:VQX786417 WAT786407:WAT786417 WKP786407:WKP786417 WUL786407:WUL786417 C851943:C851953 HZ851943:HZ851953 RV851943:RV851953 ABR851943:ABR851953 ALN851943:ALN851953 AVJ851943:AVJ851953 BFF851943:BFF851953 BPB851943:BPB851953 BYX851943:BYX851953 CIT851943:CIT851953 CSP851943:CSP851953 DCL851943:DCL851953 DMH851943:DMH851953 DWD851943:DWD851953 EFZ851943:EFZ851953 EPV851943:EPV851953 EZR851943:EZR851953 FJN851943:FJN851953 FTJ851943:FTJ851953 GDF851943:GDF851953 GNB851943:GNB851953 GWX851943:GWX851953 HGT851943:HGT851953 HQP851943:HQP851953 IAL851943:IAL851953 IKH851943:IKH851953 IUD851943:IUD851953 JDZ851943:JDZ851953 JNV851943:JNV851953 JXR851943:JXR851953 KHN851943:KHN851953 KRJ851943:KRJ851953 LBF851943:LBF851953 LLB851943:LLB851953 LUX851943:LUX851953 MET851943:MET851953 MOP851943:MOP851953 MYL851943:MYL851953 NIH851943:NIH851953 NSD851943:NSD851953 OBZ851943:OBZ851953 OLV851943:OLV851953 OVR851943:OVR851953 PFN851943:PFN851953 PPJ851943:PPJ851953 PZF851943:PZF851953 QJB851943:QJB851953 QSX851943:QSX851953 RCT851943:RCT851953 RMP851943:RMP851953 RWL851943:RWL851953 SGH851943:SGH851953 SQD851943:SQD851953 SZZ851943:SZZ851953 TJV851943:TJV851953 TTR851943:TTR851953 UDN851943:UDN851953 UNJ851943:UNJ851953 UXF851943:UXF851953 VHB851943:VHB851953 VQX851943:VQX851953 WAT851943:WAT851953 WKP851943:WKP851953 WUL851943:WUL851953 C917479:C917489 HZ917479:HZ917489 RV917479:RV917489 ABR917479:ABR917489 ALN917479:ALN917489 AVJ917479:AVJ917489 BFF917479:BFF917489 BPB917479:BPB917489 BYX917479:BYX917489 CIT917479:CIT917489 CSP917479:CSP917489 DCL917479:DCL917489 DMH917479:DMH917489 DWD917479:DWD917489 EFZ917479:EFZ917489 EPV917479:EPV917489 EZR917479:EZR917489 FJN917479:FJN917489 FTJ917479:FTJ917489 GDF917479:GDF917489 GNB917479:GNB917489 GWX917479:GWX917489 HGT917479:HGT917489 HQP917479:HQP917489 IAL917479:IAL917489 IKH917479:IKH917489 IUD917479:IUD917489 JDZ917479:JDZ917489 JNV917479:JNV917489 JXR917479:JXR917489 KHN917479:KHN917489 KRJ917479:KRJ917489 LBF917479:LBF917489 LLB917479:LLB917489 LUX917479:LUX917489 MET917479:MET917489 MOP917479:MOP917489 MYL917479:MYL917489 NIH917479:NIH917489 NSD917479:NSD917489 OBZ917479:OBZ917489 OLV917479:OLV917489 OVR917479:OVR917489 PFN917479:PFN917489 PPJ917479:PPJ917489 PZF917479:PZF917489 QJB917479:QJB917489 QSX917479:QSX917489 RCT917479:RCT917489 RMP917479:RMP917489 RWL917479:RWL917489 SGH917479:SGH917489 SQD917479:SQD917489 SZZ917479:SZZ917489 TJV917479:TJV917489 TTR917479:TTR917489 UDN917479:UDN917489 UNJ917479:UNJ917489 UXF917479:UXF917489 VHB917479:VHB917489 VQX917479:VQX917489 WAT917479:WAT917489 WKP917479:WKP917489 WUL917479:WUL917489 C983015:C983025 HZ983015:HZ983025 RV983015:RV983025 ABR983015:ABR983025 ALN983015:ALN983025 AVJ983015:AVJ983025 BFF983015:BFF983025 BPB983015:BPB983025 BYX983015:BYX983025 CIT983015:CIT983025 CSP983015:CSP983025 DCL983015:DCL983025 DMH983015:DMH983025 DWD983015:DWD983025 EFZ983015:EFZ983025 EPV983015:EPV983025 EZR983015:EZR983025 FJN983015:FJN983025 FTJ983015:FTJ983025 GDF983015:GDF983025 GNB983015:GNB983025 GWX983015:GWX983025 HGT983015:HGT983025 HQP983015:HQP983025 IAL983015:IAL983025 IKH983015:IKH983025 IUD983015:IUD983025 JDZ983015:JDZ983025 JNV983015:JNV983025 JXR983015:JXR983025 KHN983015:KHN983025 KRJ983015:KRJ983025 LBF983015:LBF983025 LLB983015:LLB983025 LUX983015:LUX983025 MET983015:MET983025 MOP983015:MOP983025 MYL983015:MYL983025 NIH983015:NIH983025 NSD983015:NSD983025 OBZ983015:OBZ983025 OLV983015:OLV983025 OVR983015:OVR983025 PFN983015:PFN983025 PPJ983015:PPJ983025 PZF983015:PZF983025 QJB983015:QJB983025 QSX983015:QSX983025 RCT983015:RCT983025 RMP983015:RMP983025 RWL983015:RWL983025 SGH983015:SGH983025 SQD983015:SQD983025 SZZ983015:SZZ983025 TJV983015:TJV983025 TTR983015:TTR983025 UDN983015:UDN983025 UNJ983015:UNJ983025 UXF983015:UXF983025 VHB983015:VHB983025 VQX983015:VQX983025 WAT983015:WAT983025 WKP983015:WKP983025 WUL983015:WUL983025" xr:uid="{00000000-0002-0000-0D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6" orientation="landscape" horizontalDpi="300" verticalDpi="300" r:id="rId1"/>
  <colBreaks count="1" manualBreakCount="1">
    <brk id="28" max="1048575" man="1"/>
  </colBreaks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3">
    <pageSetUpPr fitToPage="1"/>
  </sheetPr>
  <dimension ref="B1:S36"/>
  <sheetViews>
    <sheetView view="pageBreakPreview" zoomScale="50" zoomScaleNormal="50" zoomScaleSheetLayoutView="50" workbookViewId="0">
      <pane xSplit="2" ySplit="6" topLeftCell="C13" activePane="bottomRight" state="frozen"/>
      <selection activeCell="E37" sqref="E37"/>
      <selection pane="topRight" activeCell="E37" sqref="E37"/>
      <selection pane="bottomLeft" activeCell="E37" sqref="E37"/>
      <selection pane="bottomRight" activeCell="K15" sqref="K15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5.85546875" style="5" bestFit="1" customWidth="1"/>
    <col min="4" max="4" width="15.7109375" style="5" customWidth="1"/>
    <col min="5" max="5" width="18.42578125" style="5" bestFit="1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3.28515625" style="5" bestFit="1" customWidth="1"/>
    <col min="20" max="16384" width="9.140625" style="5"/>
  </cols>
  <sheetData>
    <row r="1" spans="2:19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19" s="1" customFormat="1" ht="26.25" x14ac:dyDescent="0.4">
      <c r="B2" s="759" t="s">
        <v>134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19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19" ht="33" customHeight="1" outlineLevel="1" x14ac:dyDescent="0.35">
      <c r="B4" s="6" t="s">
        <v>1</v>
      </c>
      <c r="C4" s="7">
        <f>155*31</f>
        <v>4805</v>
      </c>
      <c r="D4" s="8"/>
      <c r="E4" s="9"/>
      <c r="F4" s="10"/>
      <c r="G4" s="7">
        <f>80*31</f>
        <v>2480</v>
      </c>
      <c r="H4" s="11"/>
      <c r="I4" s="11"/>
      <c r="J4" s="11"/>
      <c r="K4" s="7">
        <f>80*31</f>
        <v>2480</v>
      </c>
      <c r="L4" s="12"/>
      <c r="M4" s="12"/>
      <c r="N4" s="12"/>
      <c r="O4" s="12"/>
      <c r="P4" s="12"/>
      <c r="Q4" s="13"/>
    </row>
    <row r="5" spans="2:19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19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19" s="94" customFormat="1" ht="33" customHeight="1" outlineLevel="1" x14ac:dyDescent="0.3">
      <c r="B7" s="89" t="s">
        <v>37</v>
      </c>
      <c r="C7" s="90">
        <v>11</v>
      </c>
      <c r="D7" s="91">
        <f t="shared" ref="D7:D16" si="0">+IF(C$24=0,0,C7/C$24)</f>
        <v>9.1059602649006619E-3</v>
      </c>
      <c r="E7" s="92">
        <f>IF(C7=0,0,F7/C7)</f>
        <v>1783.3990909090908</v>
      </c>
      <c r="F7" s="93">
        <v>19617.39</v>
      </c>
      <c r="G7" s="90">
        <v>45</v>
      </c>
      <c r="H7" s="91">
        <f t="shared" ref="H7:H16" si="1">+IF(G$24=0,0,G7/G$24)</f>
        <v>3.028263795423957E-2</v>
      </c>
      <c r="I7" s="92">
        <f>IF(G7=0,0,J7/G7)</f>
        <v>1729.3333333333333</v>
      </c>
      <c r="J7" s="93">
        <v>77820</v>
      </c>
      <c r="K7" s="90">
        <f>'DDecember 2022'!D38</f>
        <v>102.5</v>
      </c>
      <c r="L7" s="91">
        <f>+IF(K$24=0,0,K7/K$24)</f>
        <v>5.2957892017566517E-2</v>
      </c>
      <c r="M7" s="92">
        <f>IF(K7=0,0,N7/K7)</f>
        <v>1998.5631707317068</v>
      </c>
      <c r="N7" s="93">
        <f>'DDecember 2022'!D39</f>
        <v>204852.72499999995</v>
      </c>
      <c r="O7" s="90">
        <f t="shared" ref="O7:O24" si="2">K7-G7</f>
        <v>57.5</v>
      </c>
      <c r="P7" s="92">
        <f t="shared" ref="P7:P24" si="3">M7-I7</f>
        <v>269.22983739837355</v>
      </c>
      <c r="Q7" s="93">
        <f t="shared" ref="Q7:Q24" si="4">N7-J7</f>
        <v>127032.72499999995</v>
      </c>
      <c r="S7" s="210"/>
    </row>
    <row r="8" spans="2:19" s="94" customFormat="1" ht="33" customHeight="1" outlineLevel="1" x14ac:dyDescent="0.3">
      <c r="B8" s="89" t="s">
        <v>38</v>
      </c>
      <c r="C8" s="90">
        <v>954</v>
      </c>
      <c r="D8" s="91">
        <f t="shared" si="0"/>
        <v>0.78973509933774833</v>
      </c>
      <c r="E8" s="92">
        <f>IF(C8=0,0,F8/C8)</f>
        <v>1494.9798742138366</v>
      </c>
      <c r="F8" s="93">
        <v>1426210.8</v>
      </c>
      <c r="G8" s="90">
        <v>1115</v>
      </c>
      <c r="H8" s="91">
        <f t="shared" si="1"/>
        <v>0.75033647375504708</v>
      </c>
      <c r="I8" s="92">
        <f>IF(G8=0,0,J8/G8)</f>
        <v>1775.2529147982063</v>
      </c>
      <c r="J8" s="93">
        <v>1979407</v>
      </c>
      <c r="K8" s="90">
        <f>'DDecember 2022'!F38</f>
        <v>1260</v>
      </c>
      <c r="L8" s="91">
        <f t="shared" ref="L8:L16" si="5">+IF(K$24=0,0,K8/K$24)</f>
        <v>0.65099457504520797</v>
      </c>
      <c r="M8" s="92">
        <f>IF(K8=0,0,N8/K8)</f>
        <v>2231.108329242797</v>
      </c>
      <c r="N8" s="93">
        <f>'DDecember 2022'!F39</f>
        <v>2811196.4948459244</v>
      </c>
      <c r="O8" s="90">
        <f t="shared" si="2"/>
        <v>145</v>
      </c>
      <c r="P8" s="92">
        <f t="shared" si="3"/>
        <v>455.85541444459068</v>
      </c>
      <c r="Q8" s="93">
        <f t="shared" si="4"/>
        <v>831789.49484592443</v>
      </c>
      <c r="S8" s="210"/>
    </row>
    <row r="9" spans="2:19" s="94" customFormat="1" ht="20.25" outlineLevel="1" x14ac:dyDescent="0.3">
      <c r="B9" s="89" t="s">
        <v>44</v>
      </c>
      <c r="C9" s="90">
        <v>114</v>
      </c>
      <c r="D9" s="91">
        <f t="shared" si="0"/>
        <v>9.4370860927152314E-2</v>
      </c>
      <c r="E9" s="92">
        <f>IF(C9=0,0,F9/C9)</f>
        <v>1259.0408771929824</v>
      </c>
      <c r="F9" s="93">
        <v>143530.66</v>
      </c>
      <c r="G9" s="90">
        <v>34</v>
      </c>
      <c r="H9" s="91">
        <f t="shared" si="1"/>
        <v>2.2880215343203229E-2</v>
      </c>
      <c r="I9" s="92">
        <f>IF(G9=0,0,J9/G9)</f>
        <v>1534.0294117647059</v>
      </c>
      <c r="J9" s="93">
        <v>52157</v>
      </c>
      <c r="K9" s="90">
        <f>'DDecember 2022'!H38</f>
        <v>2</v>
      </c>
      <c r="L9" s="91">
        <f t="shared" si="5"/>
        <v>1.0333247222939809E-3</v>
      </c>
      <c r="M9" s="92">
        <f>IF(K9=0,0,N9/K9)</f>
        <v>1951.91</v>
      </c>
      <c r="N9" s="93">
        <f>'DDecember 2022'!H39</f>
        <v>3903.82</v>
      </c>
      <c r="O9" s="90">
        <f t="shared" si="2"/>
        <v>-32</v>
      </c>
      <c r="P9" s="92">
        <f t="shared" si="3"/>
        <v>417.88058823529423</v>
      </c>
      <c r="Q9" s="93">
        <f t="shared" si="4"/>
        <v>-48253.18</v>
      </c>
      <c r="S9" s="210"/>
    </row>
    <row r="10" spans="2:19" ht="33" customHeight="1" x14ac:dyDescent="0.35">
      <c r="B10" s="20" t="s">
        <v>36</v>
      </c>
      <c r="C10" s="55">
        <f>SUM(C7:C9)</f>
        <v>1079</v>
      </c>
      <c r="D10" s="21">
        <f t="shared" si="0"/>
        <v>0.89321192052980136</v>
      </c>
      <c r="E10" s="58">
        <f>IF(C10=0,0,F10/C10)</f>
        <v>1472.9924467099165</v>
      </c>
      <c r="F10" s="59">
        <f>SUM(F7:F9)</f>
        <v>1589358.8499999999</v>
      </c>
      <c r="G10" s="55">
        <f>SUM(G7:G9)</f>
        <v>1194</v>
      </c>
      <c r="H10" s="21">
        <f t="shared" si="1"/>
        <v>0.80349932705248994</v>
      </c>
      <c r="I10" s="58">
        <f>IF(G10=0,0,J10/G10)</f>
        <v>1766.6532663316582</v>
      </c>
      <c r="J10" s="59">
        <f>SUM(J7:J9)</f>
        <v>2109384</v>
      </c>
      <c r="K10" s="55">
        <f>SUM(K7:K9)</f>
        <v>1364.5</v>
      </c>
      <c r="L10" s="21">
        <f t="shared" si="5"/>
        <v>0.70498579178506848</v>
      </c>
      <c r="M10" s="58">
        <f>IF(K10=0,0,N10/K10)</f>
        <v>2213.2305165598568</v>
      </c>
      <c r="N10" s="59">
        <f>SUM(N7:N9)</f>
        <v>3019953.0398459244</v>
      </c>
      <c r="O10" s="55">
        <f t="shared" si="2"/>
        <v>170.5</v>
      </c>
      <c r="P10" s="58">
        <f t="shared" si="3"/>
        <v>446.57725022819864</v>
      </c>
      <c r="Q10" s="59">
        <f t="shared" si="4"/>
        <v>910569.03984592436</v>
      </c>
      <c r="S10" s="210"/>
    </row>
    <row r="11" spans="2:19" s="94" customFormat="1" ht="33" customHeight="1" x14ac:dyDescent="0.3">
      <c r="B11" s="89" t="s">
        <v>40</v>
      </c>
      <c r="C11" s="90">
        <v>18</v>
      </c>
      <c r="D11" s="91">
        <f t="shared" si="0"/>
        <v>1.4900662251655629E-2</v>
      </c>
      <c r="E11" s="92">
        <f t="shared" ref="E11:E16" si="6">IF(C11=0,0,F11/C11)</f>
        <v>1117.8772222222224</v>
      </c>
      <c r="F11" s="93">
        <v>20121.79</v>
      </c>
      <c r="G11" s="90">
        <v>23</v>
      </c>
      <c r="H11" s="91">
        <f t="shared" si="1"/>
        <v>1.547779273216689E-2</v>
      </c>
      <c r="I11" s="92">
        <f t="shared" ref="I11:I16" si="7">IF(G11=0,0,J11/G11)</f>
        <v>2608.8695652173915</v>
      </c>
      <c r="J11" s="93">
        <v>60004</v>
      </c>
      <c r="K11" s="90">
        <f>'DDecember 2022'!J38</f>
        <v>130</v>
      </c>
      <c r="L11" s="91">
        <f t="shared" si="5"/>
        <v>6.7166106949108753E-2</v>
      </c>
      <c r="M11" s="92">
        <f t="shared" ref="M11:M16" si="8">IF(K11=0,0,N11/K11)</f>
        <v>1703.9716923076924</v>
      </c>
      <c r="N11" s="93">
        <f>'DDecember 2022'!J39</f>
        <v>221516.32</v>
      </c>
      <c r="O11" s="90">
        <f t="shared" si="2"/>
        <v>107</v>
      </c>
      <c r="P11" s="92">
        <f t="shared" si="3"/>
        <v>-904.89787290969912</v>
      </c>
      <c r="Q11" s="93">
        <f t="shared" si="4"/>
        <v>161512.32000000001</v>
      </c>
      <c r="S11" s="210"/>
    </row>
    <row r="12" spans="2:19" s="94" customFormat="1" ht="33" customHeight="1" x14ac:dyDescent="0.3">
      <c r="B12" s="89" t="s">
        <v>41</v>
      </c>
      <c r="C12" s="90">
        <v>13</v>
      </c>
      <c r="D12" s="91">
        <f t="shared" si="0"/>
        <v>1.0761589403973509E-2</v>
      </c>
      <c r="E12" s="92">
        <f t="shared" si="6"/>
        <v>1344.8176923076924</v>
      </c>
      <c r="F12" s="93">
        <v>17482.63</v>
      </c>
      <c r="G12" s="90">
        <v>73</v>
      </c>
      <c r="H12" s="91">
        <f t="shared" si="1"/>
        <v>4.9125168236877521E-2</v>
      </c>
      <c r="I12" s="92">
        <f t="shared" si="7"/>
        <v>1464.7397260273972</v>
      </c>
      <c r="J12" s="93">
        <v>106926</v>
      </c>
      <c r="K12" s="90">
        <f>'DDecember 2022'!L38</f>
        <v>398</v>
      </c>
      <c r="L12" s="91">
        <f t="shared" si="5"/>
        <v>0.20563161973650221</v>
      </c>
      <c r="M12" s="92">
        <f t="shared" si="8"/>
        <v>1803.3431929960025</v>
      </c>
      <c r="N12" s="93">
        <f>'DDecember 2022'!L39</f>
        <v>717730.59081240895</v>
      </c>
      <c r="O12" s="90">
        <f t="shared" si="2"/>
        <v>325</v>
      </c>
      <c r="P12" s="92">
        <f t="shared" si="3"/>
        <v>338.60346696860529</v>
      </c>
      <c r="Q12" s="93">
        <f t="shared" si="4"/>
        <v>610804.59081240895</v>
      </c>
      <c r="S12" s="210"/>
    </row>
    <row r="13" spans="2:19" ht="33" customHeight="1" x14ac:dyDescent="0.35">
      <c r="B13" s="20" t="s">
        <v>39</v>
      </c>
      <c r="C13" s="55">
        <f>SUM(C11:C12)</f>
        <v>31</v>
      </c>
      <c r="D13" s="21">
        <f t="shared" si="0"/>
        <v>2.5662251655629138E-2</v>
      </c>
      <c r="E13" s="58">
        <f t="shared" si="6"/>
        <v>1213.0458064516129</v>
      </c>
      <c r="F13" s="59">
        <f>SUM(F11:F12)</f>
        <v>37604.42</v>
      </c>
      <c r="G13" s="55">
        <f>SUM(G11:G12)</f>
        <v>96</v>
      </c>
      <c r="H13" s="21">
        <f t="shared" si="1"/>
        <v>6.4602960969044415E-2</v>
      </c>
      <c r="I13" s="58">
        <f t="shared" si="7"/>
        <v>1738.8541666666667</v>
      </c>
      <c r="J13" s="59">
        <f>SUM(J11:J12)</f>
        <v>166930</v>
      </c>
      <c r="K13" s="55">
        <f>SUM(K11:K12)</f>
        <v>528</v>
      </c>
      <c r="L13" s="21">
        <f t="shared" si="5"/>
        <v>0.27279772668561098</v>
      </c>
      <c r="M13" s="58">
        <f t="shared" si="8"/>
        <v>1778.8767250235016</v>
      </c>
      <c r="N13" s="59">
        <f>SUM(N11:N12)</f>
        <v>939246.9108124089</v>
      </c>
      <c r="O13" s="55">
        <f t="shared" si="2"/>
        <v>432</v>
      </c>
      <c r="P13" s="58">
        <f t="shared" si="3"/>
        <v>40.022558356834907</v>
      </c>
      <c r="Q13" s="59">
        <f t="shared" si="4"/>
        <v>772316.9108124089</v>
      </c>
      <c r="S13" s="210"/>
    </row>
    <row r="14" spans="2:19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6"/>
        <v>0</v>
      </c>
      <c r="F14" s="95">
        <v>0</v>
      </c>
      <c r="G14" s="90">
        <v>27</v>
      </c>
      <c r="H14" s="91">
        <f t="shared" si="1"/>
        <v>1.8169582772543741E-2</v>
      </c>
      <c r="I14" s="92">
        <f t="shared" si="7"/>
        <v>1627.148148148148</v>
      </c>
      <c r="J14" s="95">
        <v>43933</v>
      </c>
      <c r="K14" s="90">
        <f>'DDecember 2022'!N38</f>
        <v>0</v>
      </c>
      <c r="L14" s="91">
        <f t="shared" si="5"/>
        <v>0</v>
      </c>
      <c r="M14" s="92">
        <f t="shared" si="8"/>
        <v>0</v>
      </c>
      <c r="N14" s="95">
        <f>'DDecember 2022'!N39</f>
        <v>0</v>
      </c>
      <c r="O14" s="90">
        <f t="shared" si="2"/>
        <v>-27</v>
      </c>
      <c r="P14" s="92">
        <f t="shared" si="3"/>
        <v>-1627.148148148148</v>
      </c>
      <c r="Q14" s="96">
        <f t="shared" si="4"/>
        <v>-43933</v>
      </c>
      <c r="S14" s="210"/>
    </row>
    <row r="15" spans="2:19" s="94" customFormat="1" ht="33" customHeight="1" x14ac:dyDescent="0.3">
      <c r="B15" s="89" t="s">
        <v>43</v>
      </c>
      <c r="C15" s="90">
        <v>65</v>
      </c>
      <c r="D15" s="91">
        <f t="shared" si="0"/>
        <v>5.3807947019867547E-2</v>
      </c>
      <c r="E15" s="92">
        <f t="shared" si="6"/>
        <v>2317.3463076923076</v>
      </c>
      <c r="F15" s="95">
        <v>150627.51</v>
      </c>
      <c r="G15" s="90">
        <v>165</v>
      </c>
      <c r="H15" s="91">
        <f t="shared" si="1"/>
        <v>0.11103633916554509</v>
      </c>
      <c r="I15" s="92">
        <f t="shared" si="7"/>
        <v>1645.2727272727273</v>
      </c>
      <c r="J15" s="95">
        <v>271470</v>
      </c>
      <c r="K15" s="90">
        <f>'DDecember 2022'!P38</f>
        <v>24</v>
      </c>
      <c r="L15" s="91">
        <f t="shared" si="5"/>
        <v>1.2399896667527771E-2</v>
      </c>
      <c r="M15" s="92">
        <f t="shared" si="8"/>
        <v>1923.184838709675</v>
      </c>
      <c r="N15" s="95">
        <f>'DDecember 2022'!P39</f>
        <v>46156.436129032198</v>
      </c>
      <c r="O15" s="90">
        <f t="shared" si="2"/>
        <v>-141</v>
      </c>
      <c r="P15" s="92">
        <f t="shared" si="3"/>
        <v>277.91211143694773</v>
      </c>
      <c r="Q15" s="96">
        <f t="shared" si="4"/>
        <v>-225313.5638709678</v>
      </c>
      <c r="S15" s="210"/>
    </row>
    <row r="16" spans="2:19" ht="33" customHeight="1" x14ac:dyDescent="0.35">
      <c r="B16" s="20" t="s">
        <v>42</v>
      </c>
      <c r="C16" s="55">
        <f>SUM(C14:C15)</f>
        <v>65</v>
      </c>
      <c r="D16" s="21">
        <f t="shared" si="0"/>
        <v>5.3807947019867547E-2</v>
      </c>
      <c r="E16" s="58">
        <f t="shared" si="6"/>
        <v>2317.3463076923076</v>
      </c>
      <c r="F16" s="87">
        <f>SUM(F14:F15)</f>
        <v>150627.51</v>
      </c>
      <c r="G16" s="55">
        <f>SUM(G14:G15)</f>
        <v>192</v>
      </c>
      <c r="H16" s="21">
        <f t="shared" si="1"/>
        <v>0.12920592193808883</v>
      </c>
      <c r="I16" s="58">
        <f t="shared" si="7"/>
        <v>1642.7239583333333</v>
      </c>
      <c r="J16" s="87">
        <f>SUM(J14:J15)</f>
        <v>315403</v>
      </c>
      <c r="K16" s="55">
        <f>SUM(K14:K15)</f>
        <v>24</v>
      </c>
      <c r="L16" s="21">
        <f t="shared" si="5"/>
        <v>1.2399896667527771E-2</v>
      </c>
      <c r="M16" s="58">
        <f t="shared" si="8"/>
        <v>1923.184838709675</v>
      </c>
      <c r="N16" s="87">
        <f>SUM(N14:N15)</f>
        <v>46156.436129032198</v>
      </c>
      <c r="O16" s="55">
        <f t="shared" si="2"/>
        <v>-168</v>
      </c>
      <c r="P16" s="58">
        <f t="shared" si="3"/>
        <v>280.46088037634172</v>
      </c>
      <c r="Q16" s="88">
        <f t="shared" si="4"/>
        <v>-269246.56387096783</v>
      </c>
      <c r="S16" s="210"/>
    </row>
    <row r="17" spans="2:19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S17" s="210" t="e">
        <f t="shared" ref="S17:S19" si="9">P17/I17</f>
        <v>#DIV/0!</v>
      </c>
    </row>
    <row r="18" spans="2:19" ht="33" hidden="1" customHeight="1" x14ac:dyDescent="0.35">
      <c r="B18" s="22" t="s">
        <v>13</v>
      </c>
      <c r="C18" s="56">
        <f>C8+C9+C11+C12</f>
        <v>1099</v>
      </c>
      <c r="D18" s="23">
        <f>+IF(C$24=0,0,C18/C$24)</f>
        <v>0.90976821192052981</v>
      </c>
      <c r="E18" s="60">
        <f>IF(C18=0,0,F18/C18)</f>
        <v>1462.5531210191082</v>
      </c>
      <c r="F18" s="61">
        <f>F8+F9+F11+F12</f>
        <v>1607345.88</v>
      </c>
      <c r="G18" s="56">
        <f>G8+G9+G11+G12</f>
        <v>1245</v>
      </c>
      <c r="H18" s="23">
        <f>+IF(G$24=0,0,G18/G$24)</f>
        <v>0.83781965006729475</v>
      </c>
      <c r="I18" s="60">
        <f>IF(G18=0,0,J18/G18)</f>
        <v>1765.8586345381525</v>
      </c>
      <c r="J18" s="61">
        <f>J8+J9+J11+J12</f>
        <v>2198494</v>
      </c>
      <c r="K18" s="56">
        <f>K8+K9+K11+K12</f>
        <v>1790</v>
      </c>
      <c r="L18" s="23">
        <f>+IF(K$24=0,0,K18/K$24)</f>
        <v>0.92482562645311284</v>
      </c>
      <c r="M18" s="60">
        <f>IF(K18=0,0,N18/K18)</f>
        <v>2097.4006847253258</v>
      </c>
      <c r="N18" s="61">
        <f>N8+N9+N11+N12</f>
        <v>3754347.2256583329</v>
      </c>
      <c r="O18" s="56">
        <f t="shared" si="2"/>
        <v>545</v>
      </c>
      <c r="P18" s="60">
        <f t="shared" si="3"/>
        <v>331.54205018717334</v>
      </c>
      <c r="Q18" s="66">
        <f t="shared" si="4"/>
        <v>1555853.2256583329</v>
      </c>
      <c r="S18" s="210">
        <f t="shared" si="9"/>
        <v>0.18775118443945302</v>
      </c>
    </row>
    <row r="19" spans="2:19" ht="33" hidden="1" customHeight="1" x14ac:dyDescent="0.35">
      <c r="B19" s="22" t="s">
        <v>45</v>
      </c>
      <c r="C19" s="105">
        <f>C7+C14+C15</f>
        <v>76</v>
      </c>
      <c r="D19" s="106">
        <f>+IF(C$24=0,0,C19/C$24)</f>
        <v>6.2913907284768214E-2</v>
      </c>
      <c r="E19" s="107">
        <f>IF(C19=0,0,F19/C19)</f>
        <v>2240.064473684211</v>
      </c>
      <c r="F19" s="108">
        <f>F7+F14+F15</f>
        <v>170244.90000000002</v>
      </c>
      <c r="G19" s="105">
        <f>G7+G14+G15</f>
        <v>237</v>
      </c>
      <c r="H19" s="106">
        <f>+IF(G$24=0,0,G19/G$24)</f>
        <v>0.15948855989232841</v>
      </c>
      <c r="I19" s="107">
        <f>IF(G19=0,0,J19/G19)</f>
        <v>1659.168776371308</v>
      </c>
      <c r="J19" s="108">
        <f>J7+J14+J15</f>
        <v>393223</v>
      </c>
      <c r="K19" s="105">
        <f>K7+K14+K15</f>
        <v>126.5</v>
      </c>
      <c r="L19" s="106">
        <f>+IF(K$24=0,0,K19/K$24)</f>
        <v>6.5357788685094287E-2</v>
      </c>
      <c r="M19" s="107">
        <f>IF(K19=0,0,N19/K19)</f>
        <v>1984.2621433125071</v>
      </c>
      <c r="N19" s="108">
        <f>N7+N14+N15</f>
        <v>251009.16112903215</v>
      </c>
      <c r="O19" s="56">
        <f t="shared" si="2"/>
        <v>-110.5</v>
      </c>
      <c r="P19" s="60">
        <f t="shared" si="3"/>
        <v>325.09336694119906</v>
      </c>
      <c r="Q19" s="66">
        <f t="shared" si="4"/>
        <v>-142213.83887096785</v>
      </c>
      <c r="S19" s="210">
        <f t="shared" si="9"/>
        <v>0.19593749085141046</v>
      </c>
    </row>
    <row r="20" spans="2:19" ht="33" customHeight="1" x14ac:dyDescent="0.35">
      <c r="B20" s="28" t="s">
        <v>16</v>
      </c>
      <c r="C20" s="56">
        <f>C18+C19</f>
        <v>1175</v>
      </c>
      <c r="D20" s="23">
        <f>+IF(C$24=0,0,C20/C$24)</f>
        <v>0.97268211920529801</v>
      </c>
      <c r="E20" s="60">
        <f>IF(C20=0,0,F20/C20)</f>
        <v>1512.8432170212764</v>
      </c>
      <c r="F20" s="64">
        <f>F18+F19</f>
        <v>1777590.7799999998</v>
      </c>
      <c r="G20" s="56">
        <f>G18+G19</f>
        <v>1482</v>
      </c>
      <c r="H20" s="23">
        <f>+IF(G$24=0,0,G20/G$24)</f>
        <v>0.9973082099596231</v>
      </c>
      <c r="I20" s="60">
        <f>IF(G20=0,0,J20/G20)</f>
        <v>1748.7968960863698</v>
      </c>
      <c r="J20" s="64">
        <f>J18+J19</f>
        <v>2591717</v>
      </c>
      <c r="K20" s="56">
        <f>K18+K19</f>
        <v>1916.5</v>
      </c>
      <c r="L20" s="23">
        <f>+IF(K$24=0,0,K20/K$24)</f>
        <v>0.99018341513820718</v>
      </c>
      <c r="M20" s="60">
        <f>IF(K20=0,0,N20/K20)</f>
        <v>2089.932891618766</v>
      </c>
      <c r="N20" s="64">
        <f>N18+N19</f>
        <v>4005356.3867873652</v>
      </c>
      <c r="O20" s="56">
        <f t="shared" si="2"/>
        <v>434.5</v>
      </c>
      <c r="P20" s="60">
        <f t="shared" si="3"/>
        <v>341.13599553239624</v>
      </c>
      <c r="Q20" s="66">
        <f t="shared" si="4"/>
        <v>1413639.3867873652</v>
      </c>
    </row>
    <row r="21" spans="2:19" ht="33" customHeight="1" x14ac:dyDescent="0.35">
      <c r="B21" s="29" t="s">
        <v>17</v>
      </c>
      <c r="C21" s="24">
        <f>IF(C4=0,C20,C20/$C$4)</f>
        <v>0.24453694068678461</v>
      </c>
      <c r="D21" s="30"/>
      <c r="E21" s="35"/>
      <c r="F21" s="36"/>
      <c r="G21" s="24">
        <f>IF(G4=0,G20,G20/$G$4)</f>
        <v>0.59758064516129028</v>
      </c>
      <c r="H21" s="30"/>
      <c r="I21" s="35"/>
      <c r="J21" s="36"/>
      <c r="K21" s="24">
        <f>IF(K4=0,K20,K20/$K$4)</f>
        <v>0.77278225806451617</v>
      </c>
      <c r="L21" s="30"/>
      <c r="M21" s="35"/>
      <c r="N21" s="36"/>
      <c r="O21" s="54">
        <f t="shared" si="2"/>
        <v>0.17520161290322589</v>
      </c>
      <c r="P21" s="30">
        <f t="shared" si="3"/>
        <v>0</v>
      </c>
      <c r="Q21" s="31">
        <f t="shared" si="4"/>
        <v>0</v>
      </c>
    </row>
    <row r="22" spans="2:19" ht="33" customHeight="1" x14ac:dyDescent="0.35">
      <c r="B22" s="25" t="s">
        <v>18</v>
      </c>
      <c r="C22" s="57">
        <v>33</v>
      </c>
      <c r="D22" s="26">
        <f>+IF(C$24=0,0,C22/C$24)</f>
        <v>2.7317880794701987E-2</v>
      </c>
      <c r="E22" s="65">
        <f>IF(C22=0,0,F22/C22)</f>
        <v>-31.502424242424212</v>
      </c>
      <c r="F22" s="63">
        <v>-1039.579999999999</v>
      </c>
      <c r="G22" s="57">
        <v>4</v>
      </c>
      <c r="H22" s="26">
        <f>+IF(G$24=0,0,G22/G$24)</f>
        <v>2.6917900403768506E-3</v>
      </c>
      <c r="I22" s="65">
        <f>IF(G22=0,0,J22/G22)</f>
        <v>235.5</v>
      </c>
      <c r="J22" s="63">
        <v>942</v>
      </c>
      <c r="K22" s="57">
        <f>'DDecember 2022'!R38</f>
        <v>19</v>
      </c>
      <c r="L22" s="26">
        <f>+IF(K$24=0,0,K22/K$24)</f>
        <v>9.8165848617928191E-3</v>
      </c>
      <c r="M22" s="65">
        <f>IF(K22=0,0,N22/K22)</f>
        <v>0</v>
      </c>
      <c r="N22" s="63">
        <v>0</v>
      </c>
      <c r="O22" s="57">
        <f t="shared" si="2"/>
        <v>15</v>
      </c>
      <c r="P22" s="62">
        <f t="shared" si="3"/>
        <v>-235.5</v>
      </c>
      <c r="Q22" s="63">
        <f t="shared" si="4"/>
        <v>-942</v>
      </c>
    </row>
    <row r="23" spans="2:19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</row>
    <row r="24" spans="2:19" ht="33" customHeight="1" x14ac:dyDescent="0.35">
      <c r="B24" s="22" t="s">
        <v>20</v>
      </c>
      <c r="C24" s="56">
        <f>C10+C13+C16+C22+C23</f>
        <v>1208</v>
      </c>
      <c r="D24" s="23">
        <f>+IF(C$24=0,0,C24/C$24)</f>
        <v>1</v>
      </c>
      <c r="E24" s="60">
        <f>IF(C24=0,0,F24/C24)</f>
        <v>1470.654966887417</v>
      </c>
      <c r="F24" s="64">
        <f>F10+F13+F16+F22+F23</f>
        <v>1776551.1999999997</v>
      </c>
      <c r="G24" s="56">
        <f>G10+G13+G16+G22+G23</f>
        <v>1486</v>
      </c>
      <c r="H24" s="23">
        <f>+IF(G$24=0,0,G24/G$24)</f>
        <v>1</v>
      </c>
      <c r="I24" s="60">
        <f>IF(G24=0,0,J24/G24)</f>
        <v>1744.7234185733512</v>
      </c>
      <c r="J24" s="415">
        <f>J10+J13+J16+J22+J23</f>
        <v>2592659</v>
      </c>
      <c r="K24" s="56">
        <f>K10+K13+K16+K22+K23</f>
        <v>1935.5</v>
      </c>
      <c r="L24" s="23">
        <f>+IF(K$24=0,0,K24/K$24)</f>
        <v>1</v>
      </c>
      <c r="M24" s="60">
        <f>IF(K24=0,0,N24/K24)</f>
        <v>2069.4168880327388</v>
      </c>
      <c r="N24" s="64">
        <f>N10+N13+N16+N22+N23</f>
        <v>4005356.3867873657</v>
      </c>
      <c r="O24" s="56">
        <f t="shared" si="2"/>
        <v>449.5</v>
      </c>
      <c r="P24" s="60">
        <f t="shared" si="3"/>
        <v>324.69346945938764</v>
      </c>
      <c r="Q24" s="64">
        <f t="shared" si="4"/>
        <v>1412697.3867873657</v>
      </c>
    </row>
    <row r="25" spans="2:19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0.18610025291280113</v>
      </c>
      <c r="Q25" s="38">
        <f>IF(J24=0,(N24-J24),(N24-J24)/J24)</f>
        <v>0.54488360667074442</v>
      </c>
    </row>
    <row r="26" spans="2:19" ht="33" customHeight="1" x14ac:dyDescent="0.35">
      <c r="B26" s="40" t="s">
        <v>21</v>
      </c>
      <c r="C26" s="41">
        <f>IF(C4=0,C24,C24/C4)</f>
        <v>0.25140478668054111</v>
      </c>
      <c r="D26" s="30"/>
      <c r="E26" s="30"/>
      <c r="F26" s="31"/>
      <c r="G26" s="41">
        <f>IF(G4=0,G24,G24/G4)</f>
        <v>0.59919354838709682</v>
      </c>
      <c r="H26" s="30"/>
      <c r="I26" s="30"/>
      <c r="J26" s="31"/>
      <c r="K26" s="41">
        <f>IF(K4=0,K24,K24/K4)</f>
        <v>0.78044354838709673</v>
      </c>
      <c r="L26" s="30"/>
      <c r="M26" s="30"/>
      <c r="N26" s="31"/>
      <c r="O26" s="41">
        <f>K26-G26</f>
        <v>0.18124999999999991</v>
      </c>
      <c r="P26" s="30"/>
      <c r="Q26" s="31"/>
    </row>
    <row r="27" spans="2:19" ht="33" customHeight="1" x14ac:dyDescent="0.35">
      <c r="B27" s="42" t="s">
        <v>22</v>
      </c>
      <c r="C27" s="43">
        <f>IF(C4=0,0,F$24/C$4)</f>
        <v>369.72969823100931</v>
      </c>
      <c r="D27" s="44"/>
      <c r="E27" s="45"/>
      <c r="F27" s="46"/>
      <c r="G27" s="43">
        <f>IF(G4=0,0,J$24/G$4)</f>
        <v>1045.4270161290322</v>
      </c>
      <c r="H27" s="44"/>
      <c r="I27" s="45"/>
      <c r="J27" s="46"/>
      <c r="K27" s="43">
        <f>IF(K4=0,0,N$24/K$4)</f>
        <v>1615.063059188454</v>
      </c>
      <c r="L27" s="44"/>
      <c r="M27" s="45"/>
      <c r="N27" s="46"/>
      <c r="O27" s="43">
        <f>K27-G27</f>
        <v>569.63604305942181</v>
      </c>
      <c r="P27" s="45"/>
      <c r="Q27" s="46"/>
    </row>
    <row r="28" spans="2:19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19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19" x14ac:dyDescent="0.35">
      <c r="B30" s="358"/>
      <c r="Q30" s="86"/>
    </row>
    <row r="31" spans="2:19" x14ac:dyDescent="0.35">
      <c r="B31" s="358"/>
      <c r="Q31" s="86"/>
    </row>
    <row r="32" spans="2:19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4">
    <tabColor theme="0" tint="-0.34998626667073579"/>
    <pageSetUpPr fitToPage="1"/>
  </sheetPr>
  <dimension ref="B1:X36"/>
  <sheetViews>
    <sheetView view="pageBreakPreview" zoomScale="50" zoomScaleNormal="50" zoomScaleSheetLayoutView="50" workbookViewId="0">
      <pane xSplit="2" ySplit="6" topLeftCell="C7" activePane="bottomRight" state="frozen"/>
      <selection activeCell="E37" sqref="E37"/>
      <selection pane="topRight" activeCell="E37" sqref="E37"/>
      <selection pane="bottomLeft" activeCell="E37" sqref="E37"/>
      <selection pane="bottomRight" activeCell="K4" sqref="K4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17.71093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9.85546875" style="5" bestFit="1" customWidth="1"/>
    <col min="11" max="13" width="15.7109375" style="5" customWidth="1" outlineLevel="1"/>
    <col min="14" max="14" width="19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9.140625" style="5" customWidth="1"/>
    <col min="20" max="16384" width="9.140625" style="5"/>
  </cols>
  <sheetData>
    <row r="1" spans="2:24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4" s="1" customFormat="1" ht="26.25" x14ac:dyDescent="0.4">
      <c r="B2" s="759" t="s">
        <v>108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4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4" ht="33" customHeight="1" outlineLevel="1" x14ac:dyDescent="0.35">
      <c r="B4" s="6" t="s">
        <v>1</v>
      </c>
      <c r="C4" s="7">
        <f>'October 2022'!C4+'November 2022'!C4+'December 2022'!C4</f>
        <v>14260</v>
      </c>
      <c r="D4" s="8"/>
      <c r="E4" s="9"/>
      <c r="F4" s="10"/>
      <c r="G4" s="7">
        <f>'October 2022'!G4+'November 2022'!G4+'December 2022'!G4</f>
        <v>7360</v>
      </c>
      <c r="H4" s="11"/>
      <c r="I4" s="11"/>
      <c r="J4" s="11"/>
      <c r="K4" s="7">
        <f>'October 2022'!K4+'November 2022'!K4+'December 2022'!K4</f>
        <v>7360</v>
      </c>
      <c r="L4" s="12"/>
      <c r="M4" s="12"/>
      <c r="N4" s="12"/>
      <c r="O4" s="12"/>
      <c r="P4" s="12"/>
      <c r="Q4" s="13"/>
    </row>
    <row r="5" spans="2:24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24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4" s="94" customFormat="1" ht="33" customHeight="1" outlineLevel="1" x14ac:dyDescent="0.3">
      <c r="B7" s="89" t="s">
        <v>37</v>
      </c>
      <c r="C7" s="90">
        <f>'October 2022'!C7+'November 2022'!C7+'December 2022'!C7</f>
        <v>11</v>
      </c>
      <c r="D7" s="91">
        <f t="shared" ref="D7:D20" si="0">+IF(C$24=0,0,C7/C$24)</f>
        <v>1.9625334522747548E-3</v>
      </c>
      <c r="E7" s="92">
        <f>IF(C7=0,0,F7/C7)</f>
        <v>1783.3990909090908</v>
      </c>
      <c r="F7" s="93">
        <f>'October 2022'!F7+'November 2022'!F7+'December 2022'!F7</f>
        <v>19617.39</v>
      </c>
      <c r="G7" s="90">
        <f>'October 2022'!G7+'November 2022'!G7+'December 2022'!G7</f>
        <v>555</v>
      </c>
      <c r="H7" s="91">
        <f t="shared" ref="H7:H16" si="1">+IF(G$24=0,0,G7/G$24)</f>
        <v>0.12133799737647573</v>
      </c>
      <c r="I7" s="92">
        <f>IF(G7=0,0,J7/G7)</f>
        <v>1344.4324324324325</v>
      </c>
      <c r="J7" s="93">
        <f>'October 2022'!J7+'November 2022'!J7+'December 2022'!J7</f>
        <v>746160</v>
      </c>
      <c r="K7" s="90">
        <f>'October 2022'!K7+'November 2022'!K7+'December 2022'!K7</f>
        <v>181.5</v>
      </c>
      <c r="L7" s="91">
        <f>+IF(K$24=0,0,K7/K$24)</f>
        <v>3.2617485847785066E-2</v>
      </c>
      <c r="M7" s="92">
        <f>IF(K7=0,0,N7/K7)</f>
        <v>1707.5373278236907</v>
      </c>
      <c r="N7" s="93">
        <f>'October 2022'!N7+'November 2022'!N7+'December 2022'!N7</f>
        <v>309918.02499999985</v>
      </c>
      <c r="O7" s="90">
        <f t="shared" ref="O7:O24" si="2">K7-G7</f>
        <v>-373.5</v>
      </c>
      <c r="P7" s="92">
        <f t="shared" ref="P7:P24" si="3">M7-I7</f>
        <v>363.1048953912582</v>
      </c>
      <c r="Q7" s="93">
        <f t="shared" ref="Q7:Q24" si="4">N7-J7</f>
        <v>-436241.97500000015</v>
      </c>
    </row>
    <row r="8" spans="2:24" s="94" customFormat="1" ht="33" customHeight="1" outlineLevel="1" x14ac:dyDescent="0.3">
      <c r="B8" s="89" t="s">
        <v>38</v>
      </c>
      <c r="C8" s="90">
        <f>'October 2022'!C8+'November 2022'!C8+'December 2022'!C8</f>
        <v>1020</v>
      </c>
      <c r="D8" s="91">
        <f t="shared" si="0"/>
        <v>0.18198037466547726</v>
      </c>
      <c r="E8" s="92">
        <f t="shared" ref="E8:E24" si="5">IF(C8=0,0,F8/C8)</f>
        <v>1487.3758235294119</v>
      </c>
      <c r="F8" s="93">
        <f>'October 2022'!F8+'November 2022'!F8+'December 2022'!F8</f>
        <v>1517123.34</v>
      </c>
      <c r="G8" s="90">
        <f>'October 2022'!G8+'November 2022'!G8+'December 2022'!G8</f>
        <v>2645</v>
      </c>
      <c r="H8" s="91">
        <f t="shared" si="1"/>
        <v>0.57826847398338432</v>
      </c>
      <c r="I8" s="92">
        <f>IF(G8=0,0,J8/G8)</f>
        <v>1627.4695652173914</v>
      </c>
      <c r="J8" s="93">
        <f>'October 2022'!J8+'November 2022'!J8+'December 2022'!J8</f>
        <v>4304657</v>
      </c>
      <c r="K8" s="90">
        <f>'October 2022'!K8+'November 2022'!K8+'December 2022'!K8</f>
        <v>2957</v>
      </c>
      <c r="L8" s="91">
        <f t="shared" ref="L8:L16" si="6">+IF(K$24=0,0,K8/K$24)</f>
        <v>0.5314044388534459</v>
      </c>
      <c r="M8" s="92">
        <f>IF(K8=0,0,N8/K8)</f>
        <v>2062.612693591173</v>
      </c>
      <c r="N8" s="93">
        <f>'October 2022'!N8+'November 2022'!N8+'December 2022'!N8</f>
        <v>6099145.734949098</v>
      </c>
      <c r="O8" s="90">
        <f t="shared" si="2"/>
        <v>312</v>
      </c>
      <c r="P8" s="92">
        <f t="shared" si="3"/>
        <v>435.14312837378156</v>
      </c>
      <c r="Q8" s="93">
        <f t="shared" si="4"/>
        <v>1794488.734949098</v>
      </c>
    </row>
    <row r="9" spans="2:24" s="94" customFormat="1" ht="20.25" outlineLevel="1" x14ac:dyDescent="0.3">
      <c r="B9" s="89" t="s">
        <v>44</v>
      </c>
      <c r="C9" s="90">
        <f>'October 2022'!C9+'November 2022'!C9+'December 2022'!C9</f>
        <v>125</v>
      </c>
      <c r="D9" s="91">
        <f t="shared" si="0"/>
        <v>2.2301516503122211E-2</v>
      </c>
      <c r="E9" s="92">
        <f>IF(C9=0,0,F9/C9)</f>
        <v>1263.6400800000001</v>
      </c>
      <c r="F9" s="93">
        <f>'October 2022'!F9+'November 2022'!F9+'December 2022'!F9</f>
        <v>157955.01</v>
      </c>
      <c r="G9" s="90">
        <f>'October 2022'!G9+'November 2022'!G9+'December 2022'!G9</f>
        <v>168</v>
      </c>
      <c r="H9" s="91">
        <f t="shared" si="1"/>
        <v>3.6729339746392656E-2</v>
      </c>
      <c r="I9" s="92">
        <f>IF(G9=0,0,J9/G9)</f>
        <v>1354.0178571428571</v>
      </c>
      <c r="J9" s="93">
        <f>'October 2022'!J9+'November 2022'!J9+'December 2022'!J9</f>
        <v>227475</v>
      </c>
      <c r="K9" s="90">
        <f>'October 2022'!K9+'November 2022'!K9+'December 2022'!K9</f>
        <v>49</v>
      </c>
      <c r="L9" s="91">
        <f t="shared" si="6"/>
        <v>8.8058226255728275E-3</v>
      </c>
      <c r="M9" s="92">
        <f>IF(K9=0,0,N9/K9)</f>
        <v>1752.6757142857143</v>
      </c>
      <c r="N9" s="93">
        <f>'October 2022'!N9+'November 2022'!N9+'December 2022'!N9</f>
        <v>85881.11</v>
      </c>
      <c r="O9" s="90">
        <f t="shared" si="2"/>
        <v>-119</v>
      </c>
      <c r="P9" s="92">
        <f t="shared" si="3"/>
        <v>398.65785714285721</v>
      </c>
      <c r="Q9" s="93">
        <f t="shared" si="4"/>
        <v>-141593.89000000001</v>
      </c>
    </row>
    <row r="10" spans="2:24" ht="33" customHeight="1" x14ac:dyDescent="0.35">
      <c r="B10" s="20" t="s">
        <v>36</v>
      </c>
      <c r="C10" s="55">
        <f>SUM(C7:C9)</f>
        <v>1156</v>
      </c>
      <c r="D10" s="21">
        <f t="shared" si="0"/>
        <v>0.20624442462087422</v>
      </c>
      <c r="E10" s="58">
        <f>IF(C10=0,0,F10/C10)</f>
        <v>1465.9997750865052</v>
      </c>
      <c r="F10" s="59">
        <f>SUM(F7:F9)</f>
        <v>1694695.74</v>
      </c>
      <c r="G10" s="55">
        <f>SUM(G7:G9)</f>
        <v>3368</v>
      </c>
      <c r="H10" s="21">
        <f t="shared" si="1"/>
        <v>0.73633581110625268</v>
      </c>
      <c r="I10" s="58">
        <f>IF(G10=0,0,J10/G10)</f>
        <v>1567.188836104513</v>
      </c>
      <c r="J10" s="59">
        <f>SUM(J7:J9)</f>
        <v>5278292</v>
      </c>
      <c r="K10" s="55">
        <f>SUM(K7:K9)</f>
        <v>3187.5</v>
      </c>
      <c r="L10" s="21">
        <f t="shared" si="6"/>
        <v>0.57282774732680386</v>
      </c>
      <c r="M10" s="58">
        <f>IF(K10=0,0,N10/K10)</f>
        <v>2037.6297631212856</v>
      </c>
      <c r="N10" s="59">
        <f>SUM(N7:N9)</f>
        <v>6494944.8699490977</v>
      </c>
      <c r="O10" s="55">
        <f t="shared" si="2"/>
        <v>-180.5</v>
      </c>
      <c r="P10" s="58">
        <f t="shared" si="3"/>
        <v>470.44092701677255</v>
      </c>
      <c r="Q10" s="59">
        <f t="shared" si="4"/>
        <v>1216652.8699490977</v>
      </c>
      <c r="T10" s="223"/>
      <c r="U10" s="223"/>
      <c r="V10" s="223"/>
      <c r="W10" s="223"/>
      <c r="X10" s="223"/>
    </row>
    <row r="11" spans="2:24" s="94" customFormat="1" ht="33" customHeight="1" x14ac:dyDescent="0.3">
      <c r="B11" s="89" t="s">
        <v>40</v>
      </c>
      <c r="C11" s="90">
        <f>'October 2022'!C11+'November 2022'!C11+'December 2022'!C11</f>
        <v>18</v>
      </c>
      <c r="D11" s="91">
        <f t="shared" si="0"/>
        <v>3.2114183764495987E-3</v>
      </c>
      <c r="E11" s="92">
        <f t="shared" si="5"/>
        <v>1821.9833333333331</v>
      </c>
      <c r="F11" s="93">
        <f>'October 2022'!F11+'November 2022'!F11+'December 2022'!F11</f>
        <v>32795.699999999997</v>
      </c>
      <c r="G11" s="90">
        <f>'October 2022'!G11+'November 2022'!G11+'December 2022'!G11</f>
        <v>220</v>
      </c>
      <c r="H11" s="91">
        <f t="shared" si="1"/>
        <v>4.8097944905990384E-2</v>
      </c>
      <c r="I11" s="92">
        <f t="shared" ref="I11:I16" si="7">IF(G11=0,0,J11/G11)</f>
        <v>1632.5818181818181</v>
      </c>
      <c r="J11" s="93">
        <f>'October 2022'!J11+'November 2022'!J11+'December 2022'!J11</f>
        <v>359168</v>
      </c>
      <c r="K11" s="90">
        <f>'October 2022'!K11+'November 2022'!K11+'December 2022'!K11</f>
        <v>717</v>
      </c>
      <c r="L11" s="91">
        <f t="shared" si="6"/>
        <v>0.12885254739868812</v>
      </c>
      <c r="M11" s="92">
        <f t="shared" ref="M11:M16" si="8">IF(K11=0,0,N11/K11)</f>
        <v>1568.4678817414087</v>
      </c>
      <c r="N11" s="93">
        <f>'October 2022'!N11+'November 2022'!N11+'December 2022'!N11</f>
        <v>1124591.4712085901</v>
      </c>
      <c r="O11" s="90">
        <f t="shared" si="2"/>
        <v>497</v>
      </c>
      <c r="P11" s="92">
        <f t="shared" si="3"/>
        <v>-64.113936440409361</v>
      </c>
      <c r="Q11" s="93">
        <f t="shared" si="4"/>
        <v>765423.47120859008</v>
      </c>
      <c r="T11" s="210"/>
      <c r="U11" s="210"/>
      <c r="V11" s="210"/>
      <c r="W11" s="210"/>
      <c r="X11" s="210"/>
    </row>
    <row r="12" spans="2:24" s="94" customFormat="1" ht="33" customHeight="1" x14ac:dyDescent="0.3">
      <c r="B12" s="89" t="s">
        <v>41</v>
      </c>
      <c r="C12" s="90">
        <f>'October 2022'!C12+'November 2022'!C12+'December 2022'!C12</f>
        <v>17</v>
      </c>
      <c r="D12" s="91">
        <f t="shared" si="0"/>
        <v>3.0330062444246207E-3</v>
      </c>
      <c r="E12" s="92">
        <f t="shared" si="5"/>
        <v>1275.1935294117648</v>
      </c>
      <c r="F12" s="93">
        <f>'October 2022'!F12+'November 2022'!F12+'December 2022'!F12</f>
        <v>21678.29</v>
      </c>
      <c r="G12" s="90">
        <f>'October 2022'!G12+'November 2022'!G12+'December 2022'!G12</f>
        <v>203</v>
      </c>
      <c r="H12" s="91">
        <f t="shared" si="1"/>
        <v>4.438128552689112E-2</v>
      </c>
      <c r="I12" s="92">
        <f t="shared" si="7"/>
        <v>1372.3152709359606</v>
      </c>
      <c r="J12" s="93">
        <f>'October 2022'!J12+'November 2022'!J12+'December 2022'!J12</f>
        <v>278580</v>
      </c>
      <c r="K12" s="90">
        <f>'October 2022'!K12+'November 2022'!K12+'December 2022'!K12</f>
        <v>1124</v>
      </c>
      <c r="L12" s="91">
        <f t="shared" si="6"/>
        <v>0.20199478839069099</v>
      </c>
      <c r="M12" s="92">
        <f t="shared" si="8"/>
        <v>1642.6133439680611</v>
      </c>
      <c r="N12" s="93">
        <f>'October 2022'!N12+'November 2022'!N12+'December 2022'!N12</f>
        <v>1846297.3986201007</v>
      </c>
      <c r="O12" s="90">
        <f t="shared" si="2"/>
        <v>921</v>
      </c>
      <c r="P12" s="92">
        <f t="shared" si="3"/>
        <v>270.29807303210055</v>
      </c>
      <c r="Q12" s="93">
        <f t="shared" si="4"/>
        <v>1567717.3986201007</v>
      </c>
      <c r="T12" s="210"/>
      <c r="U12" s="210"/>
      <c r="V12" s="210"/>
      <c r="W12" s="210"/>
      <c r="X12" s="210"/>
    </row>
    <row r="13" spans="2:24" ht="33" customHeight="1" x14ac:dyDescent="0.35">
      <c r="B13" s="20" t="s">
        <v>39</v>
      </c>
      <c r="C13" s="55">
        <f>SUM(C11:C12)</f>
        <v>35</v>
      </c>
      <c r="D13" s="21">
        <f t="shared" si="0"/>
        <v>6.2444246208742194E-3</v>
      </c>
      <c r="E13" s="58">
        <f t="shared" si="5"/>
        <v>1556.3997142857143</v>
      </c>
      <c r="F13" s="59">
        <f>SUM(F11:F12)</f>
        <v>54473.99</v>
      </c>
      <c r="G13" s="55">
        <f>SUM(G11:G12)</f>
        <v>423</v>
      </c>
      <c r="H13" s="21">
        <f t="shared" si="1"/>
        <v>9.2479230432881504E-2</v>
      </c>
      <c r="I13" s="58">
        <f t="shared" si="7"/>
        <v>1507.6784869976359</v>
      </c>
      <c r="J13" s="59">
        <f>SUM(J11:J12)</f>
        <v>637748</v>
      </c>
      <c r="K13" s="55">
        <f>SUM(K11:K12)</f>
        <v>1841</v>
      </c>
      <c r="L13" s="21">
        <f t="shared" si="6"/>
        <v>0.33084733578937908</v>
      </c>
      <c r="M13" s="58">
        <f t="shared" si="8"/>
        <v>1613.7364855125968</v>
      </c>
      <c r="N13" s="59">
        <f>SUM(N11:N12)</f>
        <v>2970888.8698286908</v>
      </c>
      <c r="O13" s="55">
        <f t="shared" si="2"/>
        <v>1418</v>
      </c>
      <c r="P13" s="58">
        <f t="shared" si="3"/>
        <v>106.0579985149609</v>
      </c>
      <c r="Q13" s="59">
        <f t="shared" si="4"/>
        <v>2333140.8698286908</v>
      </c>
      <c r="T13" s="223"/>
      <c r="U13" s="223"/>
      <c r="V13" s="223"/>
      <c r="W13" s="223"/>
      <c r="X13" s="223"/>
    </row>
    <row r="14" spans="2:24" s="94" customFormat="1" ht="33" customHeight="1" x14ac:dyDescent="0.3">
      <c r="B14" s="89" t="s">
        <v>47</v>
      </c>
      <c r="C14" s="90">
        <f>'October 2022'!C14+'November 2022'!C14+'December 2022'!C14</f>
        <v>0</v>
      </c>
      <c r="D14" s="91">
        <f t="shared" si="0"/>
        <v>0</v>
      </c>
      <c r="E14" s="92">
        <f t="shared" si="5"/>
        <v>0</v>
      </c>
      <c r="F14" s="95">
        <f>'October 2022'!F14+'November 2022'!F14+'December 2022'!F14</f>
        <v>0</v>
      </c>
      <c r="G14" s="90">
        <f>'October 2022'!G14+'November 2022'!G14+'December 2022'!G14</f>
        <v>27</v>
      </c>
      <c r="H14" s="91">
        <f t="shared" si="1"/>
        <v>5.9029296020988191E-3</v>
      </c>
      <c r="I14" s="92">
        <f t="shared" si="7"/>
        <v>1627.148148148148</v>
      </c>
      <c r="J14" s="95">
        <f>'October 2022'!J14+'November 2022'!J14+'December 2022'!J14</f>
        <v>43933</v>
      </c>
      <c r="K14" s="90">
        <f>'October 2022'!K14+'November 2022'!K14+'December 2022'!K14</f>
        <v>0</v>
      </c>
      <c r="L14" s="91">
        <f t="shared" si="6"/>
        <v>0</v>
      </c>
      <c r="M14" s="92">
        <f t="shared" si="8"/>
        <v>0</v>
      </c>
      <c r="N14" s="95">
        <f>'October 2022'!N14+'November 2022'!N14+'December 2022'!N14</f>
        <v>0</v>
      </c>
      <c r="O14" s="90">
        <f t="shared" si="2"/>
        <v>-27</v>
      </c>
      <c r="P14" s="92">
        <f t="shared" si="3"/>
        <v>-1627.148148148148</v>
      </c>
      <c r="Q14" s="96">
        <f t="shared" si="4"/>
        <v>-43933</v>
      </c>
      <c r="T14" s="210"/>
      <c r="U14" s="210"/>
      <c r="V14" s="210"/>
      <c r="W14" s="210"/>
      <c r="X14" s="210"/>
    </row>
    <row r="15" spans="2:24" s="94" customFormat="1" ht="33" customHeight="1" x14ac:dyDescent="0.3">
      <c r="B15" s="89" t="s">
        <v>43</v>
      </c>
      <c r="C15" s="90">
        <f>'October 2022'!C15+'November 2022'!C15+'December 2022'!C15</f>
        <v>4375</v>
      </c>
      <c r="D15" s="91">
        <f t="shared" si="0"/>
        <v>0.78055307760927739</v>
      </c>
      <c r="E15" s="92">
        <f t="shared" si="5"/>
        <v>1173.8728137142857</v>
      </c>
      <c r="F15" s="95">
        <f>'October 2022'!F15+'November 2022'!F15+'December 2022'!F15</f>
        <v>5135693.5599999996</v>
      </c>
      <c r="G15" s="90">
        <f>'October 2022'!G15+'November 2022'!G15+'December 2022'!G15</f>
        <v>719</v>
      </c>
      <c r="H15" s="91">
        <f t="shared" si="1"/>
        <v>0.15719282903366857</v>
      </c>
      <c r="I15" s="92">
        <f t="shared" si="7"/>
        <v>1625.0500695410292</v>
      </c>
      <c r="J15" s="95">
        <f>'October 2022'!J15+'November 2022'!J15+'December 2022'!J15</f>
        <v>1168411</v>
      </c>
      <c r="K15" s="90">
        <f>'October 2022'!K15+'November 2022'!K15+'December 2022'!K15</f>
        <v>495</v>
      </c>
      <c r="L15" s="91">
        <f t="shared" si="6"/>
        <v>8.8956779584868362E-2</v>
      </c>
      <c r="M15" s="92">
        <f t="shared" si="8"/>
        <v>1540.4344568263261</v>
      </c>
      <c r="N15" s="95">
        <f>'October 2022'!N15+'November 2022'!N15+'December 2022'!N15</f>
        <v>762515.05612903147</v>
      </c>
      <c r="O15" s="90">
        <f t="shared" si="2"/>
        <v>-224</v>
      </c>
      <c r="P15" s="92">
        <f t="shared" si="3"/>
        <v>-84.615612714703047</v>
      </c>
      <c r="Q15" s="96">
        <f t="shared" si="4"/>
        <v>-405895.94387096853</v>
      </c>
      <c r="T15" s="210"/>
      <c r="U15" s="210"/>
      <c r="V15" s="210"/>
      <c r="W15" s="210"/>
      <c r="X15" s="210"/>
    </row>
    <row r="16" spans="2:24" ht="33" customHeight="1" x14ac:dyDescent="0.35">
      <c r="B16" s="20" t="s">
        <v>42</v>
      </c>
      <c r="C16" s="55">
        <f>SUM(C14:C15)</f>
        <v>4375</v>
      </c>
      <c r="D16" s="21">
        <f t="shared" si="0"/>
        <v>0.78055307760927739</v>
      </c>
      <c r="E16" s="58">
        <f t="shared" si="5"/>
        <v>1173.8728137142857</v>
      </c>
      <c r="F16" s="87">
        <f>SUM(F14:F15)</f>
        <v>5135693.5599999996</v>
      </c>
      <c r="G16" s="55">
        <f>SUM(G14:G15)</f>
        <v>746</v>
      </c>
      <c r="H16" s="21">
        <f t="shared" si="1"/>
        <v>0.16309575863576739</v>
      </c>
      <c r="I16" s="58">
        <f t="shared" si="7"/>
        <v>1625.1260053619303</v>
      </c>
      <c r="J16" s="87">
        <f>SUM(J14:J15)</f>
        <v>1212344</v>
      </c>
      <c r="K16" s="55">
        <f>SUM(K14:K15)</f>
        <v>495</v>
      </c>
      <c r="L16" s="21">
        <f t="shared" si="6"/>
        <v>8.8956779584868362E-2</v>
      </c>
      <c r="M16" s="58">
        <f t="shared" si="8"/>
        <v>1540.4344568263261</v>
      </c>
      <c r="N16" s="87">
        <f>SUM(N14:N15)</f>
        <v>762515.05612903147</v>
      </c>
      <c r="O16" s="55">
        <f t="shared" si="2"/>
        <v>-251</v>
      </c>
      <c r="P16" s="58">
        <f t="shared" si="3"/>
        <v>-84.69154853560417</v>
      </c>
      <c r="Q16" s="88">
        <f t="shared" si="4"/>
        <v>-449828.94387096853</v>
      </c>
      <c r="T16" s="223"/>
      <c r="U16" s="223"/>
      <c r="V16" s="223"/>
      <c r="W16" s="223"/>
      <c r="X16" s="223"/>
    </row>
    <row r="17" spans="2:24" ht="33" hidden="1" customHeight="1" x14ac:dyDescent="0.35">
      <c r="B17" s="20" t="s">
        <v>46</v>
      </c>
      <c r="C17" s="55">
        <v>0</v>
      </c>
      <c r="D17" s="21">
        <f t="shared" si="0"/>
        <v>0</v>
      </c>
      <c r="E17" s="58">
        <f t="shared" si="5"/>
        <v>0</v>
      </c>
      <c r="F17" s="87">
        <v>0</v>
      </c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T17" s="223"/>
      <c r="U17" s="223"/>
      <c r="V17" s="223"/>
      <c r="W17" s="223"/>
      <c r="X17" s="223"/>
    </row>
    <row r="18" spans="2:24" ht="33" hidden="1" customHeight="1" x14ac:dyDescent="0.35">
      <c r="B18" s="22" t="s">
        <v>13</v>
      </c>
      <c r="C18" s="56">
        <f>C8+C9+C11+C12+C17</f>
        <v>1180</v>
      </c>
      <c r="D18" s="23">
        <f t="shared" si="0"/>
        <v>0.21052631578947367</v>
      </c>
      <c r="E18" s="60">
        <f>IF(C18=0,0,F18/C18)</f>
        <v>1465.7223220338983</v>
      </c>
      <c r="F18" s="61">
        <f>F8+F9+F11+F12+F17</f>
        <v>1729552.34</v>
      </c>
      <c r="G18" s="56">
        <f>G8+G9+G11+G12</f>
        <v>3236</v>
      </c>
      <c r="H18" s="23">
        <f>+IF(G$24=0,0,G18/G$24)</f>
        <v>0.70747704416265855</v>
      </c>
      <c r="I18" s="60">
        <f>IF(G18=0,0,J18/G18)</f>
        <v>1597.6143386897404</v>
      </c>
      <c r="J18" s="61">
        <f>J8+J9+J11+J12</f>
        <v>5169880</v>
      </c>
      <c r="K18" s="56">
        <f>K8+K9+K11+K12</f>
        <v>4847</v>
      </c>
      <c r="L18" s="23">
        <f>+IF(K$24=0,0,K18/K$24)</f>
        <v>0.87105759726839793</v>
      </c>
      <c r="M18" s="60">
        <f>IF(K18=0,0,N18/K18)</f>
        <v>1888.9861181716092</v>
      </c>
      <c r="N18" s="61">
        <f>N8+N9+N11+N12</f>
        <v>9155915.71477779</v>
      </c>
      <c r="O18" s="56">
        <f t="shared" si="2"/>
        <v>1611</v>
      </c>
      <c r="P18" s="60">
        <f t="shared" si="3"/>
        <v>291.37177948186877</v>
      </c>
      <c r="Q18" s="66">
        <f t="shared" si="4"/>
        <v>3986035.71477779</v>
      </c>
      <c r="T18" s="223"/>
      <c r="U18" s="223"/>
      <c r="V18" s="223"/>
      <c r="W18" s="223"/>
      <c r="X18" s="223"/>
    </row>
    <row r="19" spans="2:24" ht="33" hidden="1" customHeight="1" x14ac:dyDescent="0.35">
      <c r="B19" s="22" t="s">
        <v>45</v>
      </c>
      <c r="C19" s="56">
        <f>C7+C14+C15</f>
        <v>4386</v>
      </c>
      <c r="D19" s="23">
        <f t="shared" si="0"/>
        <v>0.78251561106155221</v>
      </c>
      <c r="E19" s="60">
        <f>IF(C19=0,0,F19/C19)</f>
        <v>1175.4014933880528</v>
      </c>
      <c r="F19" s="61">
        <f>F7+F14+F15</f>
        <v>5155310.9499999993</v>
      </c>
      <c r="G19" s="105">
        <f>G7+G14+G15</f>
        <v>1301</v>
      </c>
      <c r="H19" s="106">
        <f>+IF(G$24=0,0,G19/G$24)</f>
        <v>0.28443375601224313</v>
      </c>
      <c r="I19" s="107">
        <f>IF(G19=0,0,J19/G19)</f>
        <v>1505.3835511145273</v>
      </c>
      <c r="J19" s="108">
        <f>J7+J14+J15</f>
        <v>1958504</v>
      </c>
      <c r="K19" s="105">
        <f>K7+K14+K15</f>
        <v>676.5</v>
      </c>
      <c r="L19" s="106">
        <f>+IF(K$24=0,0,K19/K$24)</f>
        <v>0.12157426543265343</v>
      </c>
      <c r="M19" s="107">
        <f>IF(K19=0,0,N19/K19)</f>
        <v>1585.266934410985</v>
      </c>
      <c r="N19" s="108">
        <f>N7+N14+N15</f>
        <v>1072433.0811290313</v>
      </c>
      <c r="O19" s="56">
        <f t="shared" si="2"/>
        <v>-624.5</v>
      </c>
      <c r="P19" s="60">
        <f t="shared" si="3"/>
        <v>79.883383296457623</v>
      </c>
      <c r="Q19" s="66">
        <f t="shared" si="4"/>
        <v>-886070.91887096874</v>
      </c>
      <c r="T19" s="223"/>
      <c r="U19" s="223"/>
      <c r="V19" s="223"/>
      <c r="W19" s="223"/>
      <c r="X19" s="223"/>
    </row>
    <row r="20" spans="2:24" ht="33" customHeight="1" x14ac:dyDescent="0.35">
      <c r="B20" s="28" t="s">
        <v>16</v>
      </c>
      <c r="C20" s="56">
        <f>C18+C19</f>
        <v>5566</v>
      </c>
      <c r="D20" s="23">
        <f t="shared" si="0"/>
        <v>0.99304192685102588</v>
      </c>
      <c r="E20" s="60">
        <f t="shared" si="5"/>
        <v>1236.9499263384835</v>
      </c>
      <c r="F20" s="64">
        <f>F18+F19</f>
        <v>6884863.2899999991</v>
      </c>
      <c r="G20" s="56">
        <f>G18+G19</f>
        <v>4537</v>
      </c>
      <c r="H20" s="23">
        <f>+IF(G$24=0,0,G20/G$24)</f>
        <v>0.99191080017490163</v>
      </c>
      <c r="I20" s="60">
        <f>IF(G20=0,0,J20/G20)</f>
        <v>1571.1668503416354</v>
      </c>
      <c r="J20" s="64">
        <f>J18+J19</f>
        <v>7128384</v>
      </c>
      <c r="K20" s="56">
        <f>K18+K19</f>
        <v>5523.5</v>
      </c>
      <c r="L20" s="23">
        <f>+IF(K$24=0,0,K20/K$24)</f>
        <v>0.9926318627010513</v>
      </c>
      <c r="M20" s="60">
        <f>IF(K20=0,0,N20/K20)</f>
        <v>1851.7875977019683</v>
      </c>
      <c r="N20" s="64">
        <f>N18+N19</f>
        <v>10228348.795906821</v>
      </c>
      <c r="O20" s="56">
        <f t="shared" si="2"/>
        <v>986.5</v>
      </c>
      <c r="P20" s="60">
        <f t="shared" si="3"/>
        <v>280.62074736033287</v>
      </c>
      <c r="Q20" s="66">
        <f t="shared" si="4"/>
        <v>3099964.7959068213</v>
      </c>
      <c r="T20" s="223"/>
      <c r="U20" s="223"/>
      <c r="V20" s="223"/>
      <c r="W20" s="223"/>
      <c r="X20" s="223"/>
    </row>
    <row r="21" spans="2:24" ht="33" customHeight="1" x14ac:dyDescent="0.35">
      <c r="B21" s="29" t="s">
        <v>17</v>
      </c>
      <c r="C21" s="24">
        <f>IF(C4=0,C20,C20/$C$4)</f>
        <v>0.39032258064516129</v>
      </c>
      <c r="D21" s="30"/>
      <c r="E21" s="35"/>
      <c r="F21" s="36"/>
      <c r="G21" s="24">
        <f>IF(G4=0,G20,G20/$C$4)</f>
        <v>0.31816269284712484</v>
      </c>
      <c r="H21" s="30"/>
      <c r="I21" s="35"/>
      <c r="J21" s="36"/>
      <c r="K21" s="24">
        <f>IF(K4=0,K20,K20/$C$4)</f>
        <v>0.38734221598877983</v>
      </c>
      <c r="L21" s="30"/>
      <c r="M21" s="35"/>
      <c r="N21" s="36"/>
      <c r="O21" s="54">
        <f t="shared" si="2"/>
        <v>6.9179523141654986E-2</v>
      </c>
      <c r="P21" s="30">
        <f t="shared" si="3"/>
        <v>0</v>
      </c>
      <c r="Q21" s="31">
        <f t="shared" si="4"/>
        <v>0</v>
      </c>
      <c r="T21" s="223"/>
      <c r="U21" s="223"/>
      <c r="V21" s="223"/>
      <c r="W21" s="223"/>
      <c r="X21" s="223"/>
    </row>
    <row r="22" spans="2:24" ht="33" customHeight="1" x14ac:dyDescent="0.35">
      <c r="B22" s="25" t="s">
        <v>18</v>
      </c>
      <c r="C22" s="57">
        <f>'October 2022'!C22+'November 2022'!C22+'December 2022'!C22</f>
        <v>39</v>
      </c>
      <c r="D22" s="26">
        <f>+IF(C$24=0,0,C22/C$24)</f>
        <v>6.9580731489741303E-3</v>
      </c>
      <c r="E22" s="65">
        <f t="shared" si="5"/>
        <v>-26.655897435897412</v>
      </c>
      <c r="F22" s="63">
        <f>'October 2022'!F22+'November 2022'!F22+'December 2022'!F22</f>
        <v>-1039.579999999999</v>
      </c>
      <c r="G22" s="57">
        <f>'October 2022'!G22+'November 2022'!G22+'December 2022'!G22</f>
        <v>37</v>
      </c>
      <c r="H22" s="26">
        <f>+IF(G$24=0,0,G22/G$24)</f>
        <v>8.089199825098382E-3</v>
      </c>
      <c r="I22" s="65">
        <f>IF(G22=0,0,J22/G22)</f>
        <v>33.702702702702702</v>
      </c>
      <c r="J22" s="63">
        <f>'October 2022'!J22+'November 2022'!J22+'December 2022'!J22</f>
        <v>1247</v>
      </c>
      <c r="K22" s="57">
        <f>'October 2022'!K22+'November 2022'!K22+'December 2022'!K22</f>
        <v>41</v>
      </c>
      <c r="L22" s="26">
        <f>+IF(K$24=0,0,K22/K$24)</f>
        <v>7.3681372989486925E-3</v>
      </c>
      <c r="M22" s="65">
        <f>IF(K22=0,0,N22/K22)</f>
        <v>0</v>
      </c>
      <c r="N22" s="63">
        <f>'October 2022'!N22+'November 2022'!N22+'December 2022'!N22</f>
        <v>0</v>
      </c>
      <c r="O22" s="57">
        <f t="shared" si="2"/>
        <v>4</v>
      </c>
      <c r="P22" s="62">
        <f t="shared" si="3"/>
        <v>-33.702702702702702</v>
      </c>
      <c r="Q22" s="63">
        <f t="shared" si="4"/>
        <v>-1247</v>
      </c>
      <c r="T22" s="223"/>
      <c r="U22" s="223"/>
      <c r="V22" s="223"/>
      <c r="W22" s="223"/>
      <c r="X22" s="223"/>
    </row>
    <row r="23" spans="2:24" ht="33" customHeight="1" x14ac:dyDescent="0.35">
      <c r="B23" s="25" t="s">
        <v>28</v>
      </c>
      <c r="C23" s="57">
        <f>'October 2022'!C23+'November 2022'!C23+'December 2022'!C23</f>
        <v>0</v>
      </c>
      <c r="D23" s="26">
        <f>+IF(C$24=0,0,C23/C$24)</f>
        <v>0</v>
      </c>
      <c r="E23" s="62">
        <f t="shared" si="5"/>
        <v>0</v>
      </c>
      <c r="F23" s="63">
        <v>0</v>
      </c>
      <c r="G23" s="57">
        <f>'October 2022'!G23+'November 2022'!G23+'December 2022'!G23</f>
        <v>0</v>
      </c>
      <c r="H23" s="26">
        <f>+IF(G$24=0,0,G23/G$24)</f>
        <v>0</v>
      </c>
      <c r="I23" s="62">
        <f>IF(G23=0,0,J23/G23)</f>
        <v>0</v>
      </c>
      <c r="J23" s="63">
        <f>'October 2022'!J23+'November 2022'!J23+'December 2022'!J23</f>
        <v>0</v>
      </c>
      <c r="K23" s="57">
        <f>'October 2022'!K23+'November 2022'!K23+'December 2022'!K23</f>
        <v>0</v>
      </c>
      <c r="L23" s="26">
        <f>+IF(K$24=0,0,K23/K$24)</f>
        <v>0</v>
      </c>
      <c r="M23" s="62">
        <f>IF(K23=0,0,N23/K23)</f>
        <v>0</v>
      </c>
      <c r="N23" s="63">
        <f>'October 2022'!N23+'November 2022'!N23+'December 2022'!N23</f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  <c r="T23" s="223"/>
      <c r="U23" s="223"/>
      <c r="V23" s="223"/>
      <c r="W23" s="223"/>
      <c r="X23" s="223"/>
    </row>
    <row r="24" spans="2:24" ht="33" customHeight="1" x14ac:dyDescent="0.35">
      <c r="B24" s="22" t="s">
        <v>20</v>
      </c>
      <c r="C24" s="56">
        <f>C10+C13+C16+C22+C23+C17</f>
        <v>5605</v>
      </c>
      <c r="D24" s="23">
        <f>+IF(C$24=0,0,C24/C$24)</f>
        <v>1</v>
      </c>
      <c r="E24" s="60">
        <f t="shared" si="5"/>
        <v>1228.1576645851917</v>
      </c>
      <c r="F24" s="64">
        <f>F10+F13+F16+F22+F23+F17</f>
        <v>6883823.709999999</v>
      </c>
      <c r="G24" s="56">
        <f>G10+G13+G16+G22+G23</f>
        <v>4574</v>
      </c>
      <c r="H24" s="23">
        <f>+IF(G$24=0,0,G24/G$24)</f>
        <v>1</v>
      </c>
      <c r="I24" s="60">
        <f>IF(G24=0,0,J24/G24)</f>
        <v>1558.7299956274596</v>
      </c>
      <c r="J24" s="64">
        <f>J10+J13+J16+J22+J23</f>
        <v>7129631</v>
      </c>
      <c r="K24" s="56">
        <f>K10+K13+K16+K22+K23</f>
        <v>5564.5</v>
      </c>
      <c r="L24" s="23">
        <f>+IF(K$24=0,0,K24/K$24)</f>
        <v>1</v>
      </c>
      <c r="M24" s="60">
        <f>IF(K24=0,0,N24/K24)</f>
        <v>1838.1433724336093</v>
      </c>
      <c r="N24" s="64">
        <f>N10+N13+N16+N22+N23</f>
        <v>10228348.795906819</v>
      </c>
      <c r="O24" s="56">
        <f t="shared" si="2"/>
        <v>990.5</v>
      </c>
      <c r="P24" s="60">
        <f t="shared" si="3"/>
        <v>279.4133768061497</v>
      </c>
      <c r="Q24" s="64">
        <f t="shared" si="4"/>
        <v>3098717.7959068194</v>
      </c>
      <c r="T24" s="223"/>
      <c r="U24" s="223"/>
      <c r="V24" s="223"/>
      <c r="W24" s="223"/>
      <c r="X24" s="223"/>
    </row>
    <row r="25" spans="2:24" ht="33" customHeight="1" x14ac:dyDescent="0.35">
      <c r="B25" s="32"/>
      <c r="C25" s="33"/>
      <c r="D25" s="109"/>
      <c r="E25" s="35"/>
      <c r="F25" s="36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0.17925707312360606</v>
      </c>
      <c r="Q25" s="38">
        <f>IF(J24=0,(N24-J24),(N24-J24)/J24)</f>
        <v>0.4346252696537618</v>
      </c>
    </row>
    <row r="26" spans="2:24" ht="33" customHeight="1" x14ac:dyDescent="0.35">
      <c r="B26" s="40" t="s">
        <v>21</v>
      </c>
      <c r="C26" s="41">
        <f>IF(C4=0,C24,C24/C4)</f>
        <v>0.39305750350631136</v>
      </c>
      <c r="D26" s="30"/>
      <c r="E26" s="30"/>
      <c r="F26" s="31"/>
      <c r="G26" s="41">
        <f>IF(G4=0,G24,G24/G4)</f>
        <v>0.6214673913043478</v>
      </c>
      <c r="H26" s="30"/>
      <c r="I26" s="30"/>
      <c r="J26" s="31"/>
      <c r="K26" s="41">
        <f>IF(K4=0,K24,K24/K4)</f>
        <v>0.7560461956521739</v>
      </c>
      <c r="L26" s="30"/>
      <c r="M26" s="30"/>
      <c r="N26" s="31"/>
      <c r="O26" s="41">
        <f>K26-G26</f>
        <v>0.1345788043478261</v>
      </c>
      <c r="P26" s="30"/>
      <c r="Q26" s="31"/>
    </row>
    <row r="27" spans="2:24" ht="33" customHeight="1" x14ac:dyDescent="0.35">
      <c r="B27" s="42" t="s">
        <v>22</v>
      </c>
      <c r="C27" s="43">
        <f>IF(C4=0,0,F$24/C$4)</f>
        <v>482.73658555399714</v>
      </c>
      <c r="D27" s="44"/>
      <c r="E27" s="45"/>
      <c r="F27" s="46"/>
      <c r="G27" s="43">
        <f>IF(G4=0,0,J$24/G$4)</f>
        <v>968.69986413043478</v>
      </c>
      <c r="H27" s="44"/>
      <c r="I27" s="45"/>
      <c r="J27" s="46"/>
      <c r="K27" s="43">
        <f>IF(K4=0,0,N$24/K$4)</f>
        <v>1389.7213037916874</v>
      </c>
      <c r="L27" s="44"/>
      <c r="M27" s="45"/>
      <c r="N27" s="46"/>
      <c r="O27" s="43">
        <f>K27-G27</f>
        <v>421.02143966125266</v>
      </c>
      <c r="P27" s="45"/>
      <c r="Q27" s="46"/>
    </row>
    <row r="28" spans="2:24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4" x14ac:dyDescent="0.35">
      <c r="B29" s="789" t="s">
        <v>23</v>
      </c>
      <c r="C29" s="790"/>
      <c r="D29" s="790"/>
      <c r="E29" s="790"/>
      <c r="F29" s="790"/>
      <c r="G29" s="790"/>
      <c r="H29" s="790"/>
      <c r="I29" s="790"/>
      <c r="J29" s="790"/>
      <c r="K29" s="790"/>
      <c r="L29" s="790"/>
      <c r="M29" s="790"/>
      <c r="N29" s="790"/>
      <c r="O29" s="790"/>
      <c r="P29" s="790"/>
      <c r="Q29" s="791"/>
    </row>
    <row r="30" spans="2:24" x14ac:dyDescent="0.35">
      <c r="B30" s="85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9"/>
    </row>
    <row r="31" spans="2:24" x14ac:dyDescent="0.35">
      <c r="B31" s="85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9"/>
    </row>
    <row r="32" spans="2:24" x14ac:dyDescent="0.35">
      <c r="B32" s="85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9"/>
    </row>
    <row r="33" spans="2:17" x14ac:dyDescent="0.35">
      <c r="B33" s="85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9"/>
    </row>
    <row r="34" spans="2:17" x14ac:dyDescent="0.35">
      <c r="B34" s="47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9"/>
    </row>
    <row r="35" spans="2:17" x14ac:dyDescent="0.35">
      <c r="B35" s="47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9"/>
    </row>
    <row r="36" spans="2:17" x14ac:dyDescent="0.35">
      <c r="B36" s="50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2"/>
    </row>
  </sheetData>
  <sheetProtection formatCells="0" formatColumns="0" formatRows="0" insertColumns="0" insertRows="0" deleteColumns="0" deleteRows="0" selectLockedCells="1" selectUnlockedCells="1"/>
  <mergeCells count="7">
    <mergeCell ref="B29:Q29"/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2" orientation="landscape" errors="blank" horizontalDpi="300" verticalDpi="300" r:id="rId1"/>
  <headerFooter>
    <oddFooter>Page &amp;P of &amp;N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36"/>
  <dimension ref="A1:BD53"/>
  <sheetViews>
    <sheetView view="pageBreakPreview" topLeftCell="A7" zoomScale="60" zoomScaleNormal="100" workbookViewId="0">
      <selection activeCell="H27" sqref="H27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8.28515625" style="111" bestFit="1" customWidth="1"/>
    <col min="7" max="7" width="11.85546875" style="111" bestFit="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9.7109375" style="111" bestFit="1" customWidth="1"/>
    <col min="29" max="29" width="9.140625" style="112"/>
    <col min="30" max="30" width="9.140625" style="113"/>
    <col min="31" max="31" width="8.85546875" style="112"/>
    <col min="32" max="33" width="8.85546875" style="112" customWidth="1"/>
    <col min="34" max="34" width="13" style="112" bestFit="1" customWidth="1"/>
    <col min="35" max="35" width="14.28515625" style="112" bestFit="1" customWidth="1"/>
    <col min="36" max="36" width="10.140625" style="112" bestFit="1" customWidth="1"/>
    <col min="37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65">
        <f>'Annual 2022l2023'!C3</f>
        <v>44690</v>
      </c>
      <c r="F1" s="765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31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76"/>
      <c r="C4" s="777"/>
      <c r="D4" s="778" t="s">
        <v>135</v>
      </c>
      <c r="E4" s="779"/>
      <c r="F4" s="779"/>
      <c r="G4" s="779"/>
      <c r="H4" s="779"/>
      <c r="I4" s="779"/>
      <c r="J4" s="779"/>
      <c r="K4" s="779"/>
      <c r="L4" s="779"/>
      <c r="M4" s="779"/>
      <c r="N4" s="779"/>
      <c r="O4" s="779"/>
      <c r="P4" s="779"/>
      <c r="Q4" s="779"/>
      <c r="R4" s="779"/>
      <c r="S4" s="779"/>
      <c r="T4" s="779"/>
      <c r="U4" s="779"/>
      <c r="V4" s="779"/>
      <c r="W4" s="779"/>
      <c r="X4" s="779"/>
      <c r="Y4" s="779"/>
      <c r="Z4" s="779"/>
      <c r="AA4" s="779"/>
      <c r="AB4" s="780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81" t="s">
        <v>50</v>
      </c>
      <c r="E5" s="784"/>
      <c r="F5" s="782" t="s">
        <v>51</v>
      </c>
      <c r="G5" s="782"/>
      <c r="H5" s="773" t="s">
        <v>52</v>
      </c>
      <c r="I5" s="773"/>
      <c r="J5" s="783" t="s">
        <v>53</v>
      </c>
      <c r="K5" s="773"/>
      <c r="L5" s="783" t="s">
        <v>54</v>
      </c>
      <c r="M5" s="773"/>
      <c r="N5" s="783" t="s">
        <v>55</v>
      </c>
      <c r="O5" s="773"/>
      <c r="P5" s="783" t="s">
        <v>56</v>
      </c>
      <c r="Q5" s="773"/>
      <c r="R5" s="783" t="s">
        <v>57</v>
      </c>
      <c r="S5" s="773"/>
      <c r="T5" s="122"/>
      <c r="U5" s="774"/>
      <c r="V5" s="775"/>
      <c r="W5" s="774"/>
      <c r="X5" s="775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215" customFormat="1" ht="15.75" customHeight="1" x14ac:dyDescent="0.25">
      <c r="A7" s="350" t="s">
        <v>80</v>
      </c>
      <c r="B7" s="367" t="s">
        <v>63</v>
      </c>
      <c r="C7" s="368">
        <v>1</v>
      </c>
      <c r="D7" s="369">
        <v>0</v>
      </c>
      <c r="E7" s="370">
        <v>0</v>
      </c>
      <c r="F7" s="371">
        <v>38</v>
      </c>
      <c r="G7" s="370">
        <v>2774.1248000000001</v>
      </c>
      <c r="H7" s="371">
        <v>0</v>
      </c>
      <c r="I7" s="370">
        <v>0</v>
      </c>
      <c r="J7" s="371">
        <v>0</v>
      </c>
      <c r="K7" s="372">
        <v>0</v>
      </c>
      <c r="L7" s="371">
        <v>13</v>
      </c>
      <c r="M7" s="372">
        <v>2909.8980000000001</v>
      </c>
      <c r="N7" s="371">
        <v>0</v>
      </c>
      <c r="O7" s="372">
        <v>0</v>
      </c>
      <c r="P7" s="371">
        <v>0</v>
      </c>
      <c r="Q7" s="372">
        <v>0</v>
      </c>
      <c r="R7" s="371">
        <v>0</v>
      </c>
      <c r="S7" s="372">
        <v>0</v>
      </c>
      <c r="T7" s="372"/>
      <c r="U7" s="371"/>
      <c r="V7" s="370"/>
      <c r="W7" s="371"/>
      <c r="X7" s="370"/>
      <c r="Y7" s="373">
        <f t="shared" ref="Y7:Y37" si="0">SUM(D7,F7,H7,J7,L7,U7,W7,N7,P7,R7)</f>
        <v>51</v>
      </c>
      <c r="Z7" s="374">
        <f t="shared" ref="Z7:Z37" si="1">((D7*E7)+(F7*G7)+(H7*I7)+(J7*K7)+(L7*M7)+(U7*V7)+(W7*X7)+(N7*O7)+(P7*Q7)+(R7*S7))</f>
        <v>143245.41639999999</v>
      </c>
      <c r="AA7" s="375">
        <f>IF(Z7=0,0,Z7/Y7)</f>
        <v>2808.7336549019606</v>
      </c>
      <c r="AB7" s="376">
        <f t="shared" ref="AB7:AB37" si="2">Y7/$AB$6</f>
        <v>0.63749999999999996</v>
      </c>
      <c r="AC7" s="143"/>
      <c r="AE7" s="143"/>
      <c r="AG7" s="214"/>
    </row>
    <row r="8" spans="1:55" s="215" customFormat="1" ht="15.95" customHeight="1" x14ac:dyDescent="0.25">
      <c r="A8" s="347"/>
      <c r="B8" s="281" t="s">
        <v>64</v>
      </c>
      <c r="C8" s="282">
        <v>2</v>
      </c>
      <c r="D8" s="283">
        <v>0</v>
      </c>
      <c r="E8" s="284">
        <v>0</v>
      </c>
      <c r="F8" s="285">
        <v>35</v>
      </c>
      <c r="G8" s="284">
        <v>2718.6880999999998</v>
      </c>
      <c r="H8" s="285">
        <v>0</v>
      </c>
      <c r="I8" s="284">
        <v>0</v>
      </c>
      <c r="J8" s="285">
        <v>0</v>
      </c>
      <c r="K8" s="344">
        <v>0</v>
      </c>
      <c r="L8" s="285">
        <v>15</v>
      </c>
      <c r="M8" s="344">
        <v>3030.6979999999999</v>
      </c>
      <c r="N8" s="285">
        <v>0</v>
      </c>
      <c r="O8" s="344">
        <v>0</v>
      </c>
      <c r="P8" s="285">
        <v>0</v>
      </c>
      <c r="Q8" s="344">
        <v>0</v>
      </c>
      <c r="R8" s="285">
        <v>0</v>
      </c>
      <c r="S8" s="344">
        <v>0</v>
      </c>
      <c r="T8" s="344"/>
      <c r="U8" s="285"/>
      <c r="V8" s="284"/>
      <c r="W8" s="285"/>
      <c r="X8" s="284"/>
      <c r="Y8" s="286">
        <f t="shared" si="0"/>
        <v>50</v>
      </c>
      <c r="Z8" s="345">
        <f t="shared" si="1"/>
        <v>140614.55349999998</v>
      </c>
      <c r="AA8" s="427">
        <f t="shared" ref="AA8:AA33" si="3">IF(Z8=0,0,Z8/Y8)</f>
        <v>2812.2910699999998</v>
      </c>
      <c r="AB8" s="428">
        <f t="shared" si="2"/>
        <v>0.625</v>
      </c>
      <c r="AC8" s="143"/>
      <c r="AE8" s="143"/>
      <c r="AG8" s="214"/>
    </row>
    <row r="9" spans="1:55" s="215" customFormat="1" ht="15.95" customHeight="1" x14ac:dyDescent="0.25">
      <c r="A9" s="289"/>
      <c r="B9" s="136" t="s">
        <v>65</v>
      </c>
      <c r="C9" s="137">
        <v>3</v>
      </c>
      <c r="D9" s="138">
        <v>0</v>
      </c>
      <c r="E9" s="139">
        <v>0</v>
      </c>
      <c r="F9" s="140">
        <v>39</v>
      </c>
      <c r="G9" s="139">
        <v>2771.3321000000001</v>
      </c>
      <c r="H9" s="140">
        <v>1</v>
      </c>
      <c r="I9" s="139">
        <v>1378</v>
      </c>
      <c r="J9" s="140">
        <v>0</v>
      </c>
      <c r="K9" s="141">
        <v>0</v>
      </c>
      <c r="L9" s="140">
        <v>13</v>
      </c>
      <c r="M9" s="141">
        <v>1778</v>
      </c>
      <c r="N9" s="140">
        <v>0</v>
      </c>
      <c r="O9" s="141">
        <v>0</v>
      </c>
      <c r="P9" s="140">
        <v>0</v>
      </c>
      <c r="Q9" s="141">
        <v>0</v>
      </c>
      <c r="R9" s="140">
        <v>0</v>
      </c>
      <c r="S9" s="141">
        <v>0</v>
      </c>
      <c r="T9" s="141"/>
      <c r="U9" s="140"/>
      <c r="V9" s="139"/>
      <c r="W9" s="140"/>
      <c r="X9" s="139"/>
      <c r="Y9" s="142">
        <f t="shared" si="0"/>
        <v>53</v>
      </c>
      <c r="Z9" s="143">
        <f t="shared" si="1"/>
        <v>132573.95189999999</v>
      </c>
      <c r="AA9" s="331">
        <f t="shared" si="3"/>
        <v>2501.3953188679243</v>
      </c>
      <c r="AB9" s="145">
        <f t="shared" si="2"/>
        <v>0.66249999999999998</v>
      </c>
      <c r="AC9" s="143"/>
      <c r="AE9" s="143"/>
      <c r="AG9" s="214"/>
    </row>
    <row r="10" spans="1:55" s="215" customFormat="1" ht="15.95" customHeight="1" x14ac:dyDescent="0.25">
      <c r="A10" s="289" t="s">
        <v>72</v>
      </c>
      <c r="B10" s="136" t="s">
        <v>66</v>
      </c>
      <c r="C10" s="137">
        <v>4</v>
      </c>
      <c r="D10" s="138">
        <v>0</v>
      </c>
      <c r="E10" s="139">
        <v>0</v>
      </c>
      <c r="F10" s="140">
        <v>37</v>
      </c>
      <c r="G10" s="139">
        <v>2575.2974000000004</v>
      </c>
      <c r="H10" s="140">
        <v>1</v>
      </c>
      <c r="I10" s="139">
        <v>1378</v>
      </c>
      <c r="J10" s="140">
        <v>0</v>
      </c>
      <c r="K10" s="141">
        <v>0</v>
      </c>
      <c r="L10" s="140">
        <v>12</v>
      </c>
      <c r="M10" s="141">
        <v>1071.74</v>
      </c>
      <c r="N10" s="140">
        <v>0</v>
      </c>
      <c r="O10" s="141">
        <v>0</v>
      </c>
      <c r="P10" s="140">
        <v>0</v>
      </c>
      <c r="Q10" s="141">
        <v>0</v>
      </c>
      <c r="R10" s="140">
        <v>0</v>
      </c>
      <c r="S10" s="141">
        <v>0</v>
      </c>
      <c r="T10" s="141"/>
      <c r="U10" s="140"/>
      <c r="V10" s="139"/>
      <c r="W10" s="140"/>
      <c r="X10" s="139"/>
      <c r="Y10" s="142">
        <f t="shared" si="0"/>
        <v>50</v>
      </c>
      <c r="Z10" s="143">
        <f t="shared" si="1"/>
        <v>109524.88380000003</v>
      </c>
      <c r="AA10" s="144">
        <f t="shared" si="3"/>
        <v>2190.4976760000004</v>
      </c>
      <c r="AB10" s="145">
        <f t="shared" si="2"/>
        <v>0.625</v>
      </c>
      <c r="AC10" s="143"/>
      <c r="AE10" s="143"/>
      <c r="AG10" s="214"/>
    </row>
    <row r="11" spans="1:55" s="222" customFormat="1" ht="15.95" customHeight="1" x14ac:dyDescent="0.25">
      <c r="A11" s="289" t="s">
        <v>77</v>
      </c>
      <c r="B11" s="136" t="s">
        <v>67</v>
      </c>
      <c r="C11" s="137">
        <v>5</v>
      </c>
      <c r="D11" s="138">
        <v>0</v>
      </c>
      <c r="E11" s="139">
        <v>0</v>
      </c>
      <c r="F11" s="140">
        <v>35</v>
      </c>
      <c r="G11" s="139">
        <v>2415.6855</v>
      </c>
      <c r="H11" s="140">
        <v>1</v>
      </c>
      <c r="I11" s="139">
        <v>1365</v>
      </c>
      <c r="J11" s="140">
        <v>0</v>
      </c>
      <c r="K11" s="141">
        <v>0</v>
      </c>
      <c r="L11" s="140">
        <v>14</v>
      </c>
      <c r="M11" s="141">
        <v>1071.74</v>
      </c>
      <c r="N11" s="140">
        <v>0</v>
      </c>
      <c r="O11" s="141">
        <v>0</v>
      </c>
      <c r="P11" s="140">
        <v>0</v>
      </c>
      <c r="Q11" s="141">
        <v>0</v>
      </c>
      <c r="R11" s="140">
        <v>0</v>
      </c>
      <c r="S11" s="141">
        <v>0</v>
      </c>
      <c r="T11" s="141"/>
      <c r="U11" s="140"/>
      <c r="V11" s="139"/>
      <c r="W11" s="140"/>
      <c r="X11" s="139"/>
      <c r="Y11" s="142">
        <f t="shared" si="0"/>
        <v>50</v>
      </c>
      <c r="Z11" s="143">
        <f t="shared" si="1"/>
        <v>100918.35250000001</v>
      </c>
      <c r="AA11" s="331">
        <f t="shared" si="3"/>
        <v>2018.3670500000001</v>
      </c>
      <c r="AB11" s="145">
        <f t="shared" si="2"/>
        <v>0.625</v>
      </c>
      <c r="AC11" s="143"/>
      <c r="AD11" s="215"/>
      <c r="AE11" s="143"/>
      <c r="AF11" s="215"/>
      <c r="AG11" s="214"/>
      <c r="AH11" s="215"/>
      <c r="AI11" s="215"/>
      <c r="AJ11" s="215"/>
      <c r="AK11" s="215"/>
      <c r="AL11" s="215"/>
      <c r="AM11" s="215"/>
      <c r="AN11" s="215"/>
      <c r="AO11" s="215"/>
      <c r="AP11" s="215"/>
      <c r="AQ11" s="215"/>
      <c r="AR11" s="215"/>
      <c r="AS11" s="215"/>
      <c r="AT11" s="215"/>
      <c r="AU11" s="215"/>
      <c r="AV11" s="215"/>
      <c r="AW11" s="215"/>
      <c r="AX11" s="215"/>
      <c r="AY11" s="215"/>
      <c r="AZ11" s="215"/>
      <c r="BA11" s="215"/>
      <c r="BB11" s="215"/>
    </row>
    <row r="12" spans="1:55" s="126" customFormat="1" ht="15.95" customHeight="1" x14ac:dyDescent="0.25">
      <c r="A12" s="289"/>
      <c r="B12" s="136" t="s">
        <v>68</v>
      </c>
      <c r="C12" s="137">
        <v>6</v>
      </c>
      <c r="D12" s="138">
        <v>0</v>
      </c>
      <c r="E12" s="139">
        <v>0</v>
      </c>
      <c r="F12" s="140">
        <v>35</v>
      </c>
      <c r="G12" s="139">
        <v>1755.1958999999999</v>
      </c>
      <c r="H12" s="140">
        <v>7</v>
      </c>
      <c r="I12" s="139">
        <v>1378</v>
      </c>
      <c r="J12" s="140">
        <v>0</v>
      </c>
      <c r="K12" s="141">
        <v>0</v>
      </c>
      <c r="L12" s="140">
        <v>14</v>
      </c>
      <c r="M12" s="141">
        <v>2208.17</v>
      </c>
      <c r="N12" s="140">
        <v>0</v>
      </c>
      <c r="O12" s="141">
        <v>0</v>
      </c>
      <c r="P12" s="140">
        <v>0</v>
      </c>
      <c r="Q12" s="141">
        <v>0</v>
      </c>
      <c r="R12" s="140">
        <v>0</v>
      </c>
      <c r="S12" s="141">
        <v>0</v>
      </c>
      <c r="T12" s="141"/>
      <c r="U12" s="140"/>
      <c r="V12" s="139"/>
      <c r="W12" s="140"/>
      <c r="X12" s="139"/>
      <c r="Y12" s="142">
        <f t="shared" si="0"/>
        <v>56</v>
      </c>
      <c r="Z12" s="143">
        <f>((D12*E12)+(F12*G12)+(H12*I12)+(J12*K12)+(L12*M12)+(U12*V12)+(W12*X12)+(N12*O12)+(P12*Q12)+(R12*S12))</f>
        <v>101992.2365</v>
      </c>
      <c r="AA12" s="147">
        <f t="shared" si="3"/>
        <v>1821.2899375</v>
      </c>
      <c r="AB12" s="148">
        <f t="shared" si="2"/>
        <v>0.7</v>
      </c>
      <c r="AC12" s="143"/>
      <c r="AD12" s="215"/>
      <c r="AE12" s="143"/>
      <c r="AF12" s="215"/>
      <c r="AG12" s="214"/>
    </row>
    <row r="13" spans="1:55" s="126" customFormat="1" ht="15.75" customHeight="1" x14ac:dyDescent="0.25">
      <c r="A13" s="289"/>
      <c r="B13" s="136" t="s">
        <v>69</v>
      </c>
      <c r="C13" s="137">
        <v>7</v>
      </c>
      <c r="D13" s="138">
        <v>0</v>
      </c>
      <c r="E13" s="139">
        <v>0</v>
      </c>
      <c r="F13" s="140">
        <v>35</v>
      </c>
      <c r="G13" s="139">
        <v>2024.1831999999999</v>
      </c>
      <c r="H13" s="140">
        <v>6</v>
      </c>
      <c r="I13" s="139">
        <v>1365</v>
      </c>
      <c r="J13" s="140">
        <v>6</v>
      </c>
      <c r="K13" s="141">
        <v>2074.6366666666599</v>
      </c>
      <c r="L13" s="140">
        <v>14</v>
      </c>
      <c r="M13" s="141">
        <v>1654.345</v>
      </c>
      <c r="N13" s="140">
        <v>0</v>
      </c>
      <c r="O13" s="141">
        <v>0</v>
      </c>
      <c r="P13" s="140">
        <v>0</v>
      </c>
      <c r="Q13" s="141">
        <v>0</v>
      </c>
      <c r="R13" s="140">
        <v>0</v>
      </c>
      <c r="S13" s="141">
        <v>0</v>
      </c>
      <c r="T13" s="141"/>
      <c r="U13" s="140"/>
      <c r="V13" s="139"/>
      <c r="W13" s="140"/>
      <c r="X13" s="139"/>
      <c r="Y13" s="142">
        <f t="shared" si="0"/>
        <v>61</v>
      </c>
      <c r="Z13" s="143">
        <f>((D13*E13)+(F13*G13)+(H13*I13)+(J13*K13)+(L13*M13)+(U13*V13)+(W13*X13)+(N13*O13)+(P13*Q13)+(R13*S13))</f>
        <v>114645.06199999996</v>
      </c>
      <c r="AA13" s="147">
        <f t="shared" si="3"/>
        <v>1879.4272459016388</v>
      </c>
      <c r="AB13" s="148">
        <f t="shared" si="2"/>
        <v>0.76249999999999996</v>
      </c>
      <c r="AC13" s="143"/>
      <c r="AD13" s="215"/>
      <c r="AE13" s="143"/>
      <c r="AF13" s="215"/>
      <c r="AG13" s="214"/>
    </row>
    <row r="14" spans="1:55" s="126" customFormat="1" ht="15.95" customHeight="1" x14ac:dyDescent="0.25">
      <c r="A14" s="289"/>
      <c r="B14" s="150" t="s">
        <v>63</v>
      </c>
      <c r="C14" s="151">
        <v>8</v>
      </c>
      <c r="D14" s="152">
        <v>0</v>
      </c>
      <c r="E14" s="153">
        <v>0</v>
      </c>
      <c r="F14" s="154">
        <v>32</v>
      </c>
      <c r="G14" s="153">
        <v>2093.8508999999999</v>
      </c>
      <c r="H14" s="154">
        <v>1</v>
      </c>
      <c r="I14" s="153">
        <v>1365</v>
      </c>
      <c r="J14" s="154">
        <v>13</v>
      </c>
      <c r="K14" s="155">
        <v>1660.87</v>
      </c>
      <c r="L14" s="154">
        <v>15</v>
      </c>
      <c r="M14" s="155">
        <v>1578.17</v>
      </c>
      <c r="N14" s="154">
        <v>0</v>
      </c>
      <c r="O14" s="155">
        <v>0</v>
      </c>
      <c r="P14" s="154">
        <v>0</v>
      </c>
      <c r="Q14" s="155">
        <v>0</v>
      </c>
      <c r="R14" s="154">
        <v>0</v>
      </c>
      <c r="S14" s="155">
        <v>0</v>
      </c>
      <c r="T14" s="155"/>
      <c r="U14" s="154"/>
      <c r="V14" s="153"/>
      <c r="W14" s="154"/>
      <c r="X14" s="153"/>
      <c r="Y14" s="156">
        <f t="shared" si="0"/>
        <v>61</v>
      </c>
      <c r="Z14" s="157">
        <f t="shared" si="1"/>
        <v>113632.0888</v>
      </c>
      <c r="AA14" s="158">
        <f t="shared" si="3"/>
        <v>1862.8211278688525</v>
      </c>
      <c r="AB14" s="159">
        <f t="shared" si="2"/>
        <v>0.76249999999999996</v>
      </c>
      <c r="AC14" s="143"/>
      <c r="AD14" s="215"/>
      <c r="AE14" s="143"/>
      <c r="AF14" s="215"/>
      <c r="AG14" s="214"/>
    </row>
    <row r="15" spans="1:55" s="126" customFormat="1" ht="15.95" customHeight="1" x14ac:dyDescent="0.25">
      <c r="A15" s="289"/>
      <c r="B15" s="136" t="s">
        <v>64</v>
      </c>
      <c r="C15" s="137">
        <v>9</v>
      </c>
      <c r="D15" s="138">
        <v>0</v>
      </c>
      <c r="E15" s="139">
        <v>0</v>
      </c>
      <c r="F15" s="140">
        <v>9</v>
      </c>
      <c r="G15" s="139">
        <v>2189.2628</v>
      </c>
      <c r="H15" s="140">
        <v>1</v>
      </c>
      <c r="I15" s="139">
        <v>1365</v>
      </c>
      <c r="J15" s="140">
        <v>13</v>
      </c>
      <c r="K15" s="141">
        <v>1660.87</v>
      </c>
      <c r="L15" s="140">
        <v>19</v>
      </c>
      <c r="M15" s="141">
        <v>1578.17</v>
      </c>
      <c r="N15" s="140">
        <v>0</v>
      </c>
      <c r="O15" s="141">
        <v>0</v>
      </c>
      <c r="P15" s="140">
        <v>0</v>
      </c>
      <c r="Q15" s="141">
        <v>0</v>
      </c>
      <c r="R15" s="140">
        <v>0</v>
      </c>
      <c r="S15" s="141">
        <v>0</v>
      </c>
      <c r="T15" s="141"/>
      <c r="U15" s="140"/>
      <c r="V15" s="139"/>
      <c r="W15" s="140"/>
      <c r="X15" s="139"/>
      <c r="Y15" s="142">
        <f t="shared" si="0"/>
        <v>42</v>
      </c>
      <c r="Z15" s="143">
        <f t="shared" si="1"/>
        <v>72644.905200000008</v>
      </c>
      <c r="AA15" s="329">
        <f>IF(Z15=0,0,Z15/Y15)</f>
        <v>1729.6406000000002</v>
      </c>
      <c r="AB15" s="148">
        <f t="shared" si="2"/>
        <v>0.52500000000000002</v>
      </c>
      <c r="AC15" s="143"/>
      <c r="AD15" s="215"/>
      <c r="AE15" s="143"/>
      <c r="AF15" s="215"/>
      <c r="AG15" s="214"/>
    </row>
    <row r="16" spans="1:55" s="126" customFormat="1" ht="15.95" customHeight="1" x14ac:dyDescent="0.25">
      <c r="A16" s="289"/>
      <c r="B16" s="136" t="s">
        <v>65</v>
      </c>
      <c r="C16" s="137">
        <v>10</v>
      </c>
      <c r="D16" s="138">
        <v>0</v>
      </c>
      <c r="E16" s="139">
        <v>0</v>
      </c>
      <c r="F16" s="140">
        <v>5</v>
      </c>
      <c r="G16" s="139">
        <v>2175.9092000000001</v>
      </c>
      <c r="H16" s="140">
        <v>1</v>
      </c>
      <c r="I16" s="139">
        <v>1365</v>
      </c>
      <c r="J16" s="140">
        <v>0</v>
      </c>
      <c r="K16" s="141">
        <v>0</v>
      </c>
      <c r="L16" s="140">
        <v>9</v>
      </c>
      <c r="M16" s="141">
        <v>1778</v>
      </c>
      <c r="N16" s="140">
        <v>0</v>
      </c>
      <c r="O16" s="141">
        <v>0</v>
      </c>
      <c r="P16" s="140">
        <v>0</v>
      </c>
      <c r="Q16" s="141">
        <v>0</v>
      </c>
      <c r="R16" s="140">
        <v>0</v>
      </c>
      <c r="S16" s="141">
        <v>0</v>
      </c>
      <c r="T16" s="141"/>
      <c r="U16" s="140"/>
      <c r="V16" s="139"/>
      <c r="W16" s="140"/>
      <c r="X16" s="139"/>
      <c r="Y16" s="142">
        <f t="shared" si="0"/>
        <v>15</v>
      </c>
      <c r="Z16" s="143">
        <f t="shared" si="1"/>
        <v>28246.546000000002</v>
      </c>
      <c r="AA16" s="329">
        <f>IF(Z16=0,0,Z16/Y16)</f>
        <v>1883.1030666666668</v>
      </c>
      <c r="AB16" s="148">
        <f t="shared" si="2"/>
        <v>0.1875</v>
      </c>
      <c r="AC16" s="143"/>
      <c r="AD16" s="215"/>
      <c r="AE16" s="143"/>
      <c r="AF16" s="215"/>
      <c r="AG16" s="214"/>
    </row>
    <row r="17" spans="1:55" s="160" customFormat="1" ht="15.75" customHeight="1" x14ac:dyDescent="0.25">
      <c r="A17" s="289"/>
      <c r="B17" s="642" t="s">
        <v>66</v>
      </c>
      <c r="C17" s="643">
        <v>11</v>
      </c>
      <c r="D17" s="644">
        <v>0</v>
      </c>
      <c r="E17" s="645">
        <v>0</v>
      </c>
      <c r="F17" s="646">
        <v>5</v>
      </c>
      <c r="G17" s="645">
        <v>1969.0033000000001</v>
      </c>
      <c r="H17" s="646">
        <v>0</v>
      </c>
      <c r="I17" s="645">
        <v>0</v>
      </c>
      <c r="J17" s="646">
        <v>0</v>
      </c>
      <c r="K17" s="647">
        <v>0</v>
      </c>
      <c r="L17" s="646">
        <v>5</v>
      </c>
      <c r="M17" s="647">
        <v>2003</v>
      </c>
      <c r="N17" s="646">
        <v>0</v>
      </c>
      <c r="O17" s="647">
        <v>0</v>
      </c>
      <c r="P17" s="646">
        <v>66</v>
      </c>
      <c r="Q17" s="647">
        <v>1193.7360606060599</v>
      </c>
      <c r="R17" s="646">
        <v>0</v>
      </c>
      <c r="S17" s="647">
        <v>0</v>
      </c>
      <c r="T17" s="647"/>
      <c r="U17" s="646"/>
      <c r="V17" s="645"/>
      <c r="W17" s="646"/>
      <c r="X17" s="645"/>
      <c r="Y17" s="650">
        <f t="shared" si="0"/>
        <v>76</v>
      </c>
      <c r="Z17" s="651">
        <f t="shared" si="1"/>
        <v>98646.596499999956</v>
      </c>
      <c r="AA17" s="659">
        <f t="shared" si="3"/>
        <v>1297.9815328947363</v>
      </c>
      <c r="AB17" s="653">
        <f t="shared" si="2"/>
        <v>0.95</v>
      </c>
      <c r="AC17" s="143"/>
      <c r="AD17" s="215"/>
      <c r="AE17" s="143"/>
      <c r="AF17" s="215"/>
      <c r="AG17" s="214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  <c r="BA17" s="126"/>
      <c r="BB17" s="126"/>
    </row>
    <row r="18" spans="1:55" s="126" customFormat="1" ht="15.75" customHeight="1" x14ac:dyDescent="0.25">
      <c r="A18" s="289"/>
      <c r="B18" s="642" t="s">
        <v>67</v>
      </c>
      <c r="C18" s="643">
        <v>12</v>
      </c>
      <c r="D18" s="644">
        <v>0</v>
      </c>
      <c r="E18" s="645">
        <v>0</v>
      </c>
      <c r="F18" s="646">
        <v>5</v>
      </c>
      <c r="G18" s="645">
        <v>2111.3240000000001</v>
      </c>
      <c r="H18" s="646">
        <v>0</v>
      </c>
      <c r="I18" s="645">
        <v>0</v>
      </c>
      <c r="J18" s="646">
        <v>0</v>
      </c>
      <c r="K18" s="647">
        <v>0</v>
      </c>
      <c r="L18" s="646">
        <v>5</v>
      </c>
      <c r="M18" s="647">
        <v>2003</v>
      </c>
      <c r="N18" s="646">
        <v>0</v>
      </c>
      <c r="O18" s="647">
        <v>0</v>
      </c>
      <c r="P18" s="646">
        <v>66</v>
      </c>
      <c r="Q18" s="647">
        <v>1193.7360606060599</v>
      </c>
      <c r="R18" s="646">
        <v>0</v>
      </c>
      <c r="S18" s="647">
        <v>0</v>
      </c>
      <c r="T18" s="647"/>
      <c r="U18" s="646"/>
      <c r="V18" s="645"/>
      <c r="W18" s="646"/>
      <c r="X18" s="645"/>
      <c r="Y18" s="650">
        <f t="shared" si="0"/>
        <v>76</v>
      </c>
      <c r="Z18" s="651">
        <f t="shared" si="1"/>
        <v>99358.199999999953</v>
      </c>
      <c r="AA18" s="652">
        <f t="shared" si="3"/>
        <v>1307.3447368421046</v>
      </c>
      <c r="AB18" s="653">
        <f t="shared" si="2"/>
        <v>0.95</v>
      </c>
      <c r="AC18" s="143"/>
      <c r="AD18" s="215"/>
      <c r="AE18" s="143"/>
      <c r="AF18" s="215"/>
      <c r="AG18" s="214"/>
    </row>
    <row r="19" spans="1:55" s="126" customFormat="1" ht="15.95" customHeight="1" x14ac:dyDescent="0.25">
      <c r="A19" s="425" t="s">
        <v>163</v>
      </c>
      <c r="B19" s="642" t="s">
        <v>68</v>
      </c>
      <c r="C19" s="643">
        <v>13</v>
      </c>
      <c r="D19" s="644">
        <v>0</v>
      </c>
      <c r="E19" s="645">
        <v>0</v>
      </c>
      <c r="F19" s="646">
        <v>5</v>
      </c>
      <c r="G19" s="645">
        <v>2198.5183000000002</v>
      </c>
      <c r="H19" s="646">
        <v>0</v>
      </c>
      <c r="I19" s="645">
        <v>0</v>
      </c>
      <c r="J19" s="646">
        <v>0</v>
      </c>
      <c r="K19" s="647">
        <v>0</v>
      </c>
      <c r="L19" s="646">
        <v>5</v>
      </c>
      <c r="M19" s="647">
        <v>2032.61</v>
      </c>
      <c r="N19" s="646">
        <v>0</v>
      </c>
      <c r="O19" s="647">
        <v>0</v>
      </c>
      <c r="P19" s="646">
        <v>66</v>
      </c>
      <c r="Q19" s="647">
        <v>1193.7360606060599</v>
      </c>
      <c r="R19" s="646">
        <v>0</v>
      </c>
      <c r="S19" s="647">
        <v>0</v>
      </c>
      <c r="T19" s="647"/>
      <c r="U19" s="646"/>
      <c r="V19" s="645"/>
      <c r="W19" s="646"/>
      <c r="X19" s="645"/>
      <c r="Y19" s="650">
        <f t="shared" si="0"/>
        <v>76</v>
      </c>
      <c r="Z19" s="651">
        <f t="shared" si="1"/>
        <v>99942.221499999956</v>
      </c>
      <c r="AA19" s="659">
        <f t="shared" si="3"/>
        <v>1315.0292302631574</v>
      </c>
      <c r="AB19" s="653">
        <f t="shared" si="2"/>
        <v>0.95</v>
      </c>
      <c r="AC19" s="143"/>
      <c r="AD19" s="215"/>
      <c r="AE19" s="143"/>
      <c r="AF19" s="215"/>
      <c r="AG19" s="214"/>
    </row>
    <row r="20" spans="1:55" s="126" customFormat="1" ht="15.75" customHeight="1" x14ac:dyDescent="0.25">
      <c r="A20" s="422"/>
      <c r="B20" s="642" t="s">
        <v>69</v>
      </c>
      <c r="C20" s="643">
        <v>14</v>
      </c>
      <c r="D20" s="644">
        <v>0</v>
      </c>
      <c r="E20" s="645">
        <v>0</v>
      </c>
      <c r="F20" s="646">
        <v>5</v>
      </c>
      <c r="G20" s="645">
        <v>2014.3606</v>
      </c>
      <c r="H20" s="646">
        <v>0</v>
      </c>
      <c r="I20" s="645">
        <v>0</v>
      </c>
      <c r="J20" s="646">
        <v>0</v>
      </c>
      <c r="K20" s="647">
        <v>0</v>
      </c>
      <c r="L20" s="646">
        <v>5</v>
      </c>
      <c r="M20" s="647">
        <v>2032.61</v>
      </c>
      <c r="N20" s="646">
        <v>0</v>
      </c>
      <c r="O20" s="647">
        <v>0</v>
      </c>
      <c r="P20" s="646">
        <v>66</v>
      </c>
      <c r="Q20" s="647">
        <v>1193.7360606060599</v>
      </c>
      <c r="R20" s="646">
        <v>0</v>
      </c>
      <c r="S20" s="647">
        <v>0</v>
      </c>
      <c r="T20" s="647"/>
      <c r="U20" s="646"/>
      <c r="V20" s="645"/>
      <c r="W20" s="646"/>
      <c r="X20" s="645"/>
      <c r="Y20" s="650">
        <f t="shared" si="0"/>
        <v>76</v>
      </c>
      <c r="Z20" s="651">
        <f t="shared" si="1"/>
        <v>99021.432999999961</v>
      </c>
      <c r="AA20" s="659">
        <f t="shared" si="3"/>
        <v>1302.9135921052628</v>
      </c>
      <c r="AB20" s="653">
        <f t="shared" si="2"/>
        <v>0.95</v>
      </c>
      <c r="AC20" s="143"/>
      <c r="AD20" s="215"/>
      <c r="AE20" s="143"/>
      <c r="AF20" s="215"/>
      <c r="AG20" s="214"/>
    </row>
    <row r="21" spans="1:55" s="126" customFormat="1" ht="15.95" customHeight="1" x14ac:dyDescent="0.25">
      <c r="A21" s="422"/>
      <c r="B21" s="660" t="s">
        <v>63</v>
      </c>
      <c r="C21" s="661">
        <v>15</v>
      </c>
      <c r="D21" s="662">
        <v>0</v>
      </c>
      <c r="E21" s="663">
        <v>0</v>
      </c>
      <c r="F21" s="664">
        <v>0</v>
      </c>
      <c r="G21" s="663">
        <v>0</v>
      </c>
      <c r="H21" s="664">
        <v>0</v>
      </c>
      <c r="I21" s="663">
        <v>0</v>
      </c>
      <c r="J21" s="664">
        <v>12</v>
      </c>
      <c r="K21" s="665">
        <v>1660.87</v>
      </c>
      <c r="L21" s="664">
        <v>0</v>
      </c>
      <c r="M21" s="665">
        <v>0</v>
      </c>
      <c r="N21" s="664">
        <v>0</v>
      </c>
      <c r="O21" s="665">
        <v>0</v>
      </c>
      <c r="P21" s="664">
        <v>66</v>
      </c>
      <c r="Q21" s="665">
        <v>1193.7360606060599</v>
      </c>
      <c r="R21" s="664">
        <v>0</v>
      </c>
      <c r="S21" s="665">
        <v>0</v>
      </c>
      <c r="T21" s="665"/>
      <c r="U21" s="664"/>
      <c r="V21" s="663"/>
      <c r="W21" s="664"/>
      <c r="X21" s="663"/>
      <c r="Y21" s="666">
        <f t="shared" si="0"/>
        <v>78</v>
      </c>
      <c r="Z21" s="667">
        <f t="shared" si="1"/>
        <v>98717.01999999996</v>
      </c>
      <c r="AA21" s="668">
        <f t="shared" si="3"/>
        <v>1265.60282051282</v>
      </c>
      <c r="AB21" s="669">
        <f t="shared" si="2"/>
        <v>0.97499999999999998</v>
      </c>
      <c r="AC21" s="143"/>
      <c r="AD21" s="215"/>
      <c r="AE21" s="143"/>
      <c r="AF21" s="215"/>
      <c r="AG21" s="214"/>
    </row>
    <row r="22" spans="1:55" s="128" customFormat="1" ht="15.95" customHeight="1" x14ac:dyDescent="0.25">
      <c r="A22" s="423"/>
      <c r="B22" s="642" t="s">
        <v>64</v>
      </c>
      <c r="C22" s="643">
        <v>16</v>
      </c>
      <c r="D22" s="644">
        <v>0</v>
      </c>
      <c r="E22" s="645">
        <v>0</v>
      </c>
      <c r="F22" s="646">
        <v>0</v>
      </c>
      <c r="G22" s="645">
        <v>0</v>
      </c>
      <c r="H22" s="646">
        <v>0</v>
      </c>
      <c r="I22" s="645">
        <v>0</v>
      </c>
      <c r="J22" s="646">
        <v>12</v>
      </c>
      <c r="K22" s="647">
        <v>1660.87</v>
      </c>
      <c r="L22" s="646">
        <v>0</v>
      </c>
      <c r="M22" s="647">
        <v>0</v>
      </c>
      <c r="N22" s="646">
        <v>0</v>
      </c>
      <c r="O22" s="647">
        <v>0</v>
      </c>
      <c r="P22" s="646">
        <v>66</v>
      </c>
      <c r="Q22" s="647">
        <v>1193.7360606060599</v>
      </c>
      <c r="R22" s="646">
        <v>0</v>
      </c>
      <c r="S22" s="647">
        <v>0</v>
      </c>
      <c r="T22" s="647"/>
      <c r="U22" s="646"/>
      <c r="V22" s="645"/>
      <c r="W22" s="646"/>
      <c r="X22" s="645"/>
      <c r="Y22" s="650">
        <f t="shared" si="0"/>
        <v>78</v>
      </c>
      <c r="Z22" s="651">
        <f t="shared" si="1"/>
        <v>98717.01999999996</v>
      </c>
      <c r="AA22" s="652">
        <f t="shared" si="3"/>
        <v>1265.60282051282</v>
      </c>
      <c r="AB22" s="653">
        <f t="shared" si="2"/>
        <v>0.97499999999999998</v>
      </c>
      <c r="AC22" s="143"/>
      <c r="AD22" s="215"/>
      <c r="AE22" s="143"/>
      <c r="AF22" s="215"/>
      <c r="AG22" s="214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</row>
    <row r="23" spans="1:55" s="128" customFormat="1" ht="15.95" customHeight="1" x14ac:dyDescent="0.25">
      <c r="A23" s="424"/>
      <c r="B23" s="642" t="s">
        <v>65</v>
      </c>
      <c r="C23" s="643">
        <v>17</v>
      </c>
      <c r="D23" s="644">
        <v>0</v>
      </c>
      <c r="E23" s="645">
        <v>0</v>
      </c>
      <c r="F23" s="646">
        <v>10</v>
      </c>
      <c r="G23" s="645">
        <v>1922</v>
      </c>
      <c r="H23" s="646">
        <v>0</v>
      </c>
      <c r="I23" s="645">
        <v>0</v>
      </c>
      <c r="J23" s="646">
        <v>0</v>
      </c>
      <c r="K23" s="647">
        <v>0</v>
      </c>
      <c r="L23" s="646">
        <v>2</v>
      </c>
      <c r="M23" s="647">
        <v>1778</v>
      </c>
      <c r="N23" s="646">
        <v>0</v>
      </c>
      <c r="O23" s="647">
        <v>0</v>
      </c>
      <c r="P23" s="646">
        <v>66</v>
      </c>
      <c r="Q23" s="647">
        <v>1193.7360606060599</v>
      </c>
      <c r="R23" s="646">
        <v>0</v>
      </c>
      <c r="S23" s="647">
        <v>0</v>
      </c>
      <c r="T23" s="647"/>
      <c r="U23" s="646"/>
      <c r="V23" s="645"/>
      <c r="W23" s="646"/>
      <c r="X23" s="645"/>
      <c r="Y23" s="650">
        <f t="shared" si="0"/>
        <v>78</v>
      </c>
      <c r="Z23" s="651">
        <f t="shared" si="1"/>
        <v>101562.57999999996</v>
      </c>
      <c r="AA23" s="652">
        <f t="shared" si="3"/>
        <v>1302.0843589743583</v>
      </c>
      <c r="AB23" s="653">
        <f t="shared" si="2"/>
        <v>0.97499999999999998</v>
      </c>
      <c r="AC23" s="143"/>
      <c r="AD23" s="215"/>
      <c r="AE23" s="143"/>
      <c r="AF23" s="215"/>
      <c r="AG23" s="214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</row>
    <row r="24" spans="1:55" s="126" customFormat="1" ht="15.95" customHeight="1" x14ac:dyDescent="0.25">
      <c r="A24" s="209"/>
      <c r="B24" s="136" t="s">
        <v>66</v>
      </c>
      <c r="C24" s="137">
        <v>18</v>
      </c>
      <c r="D24" s="138">
        <v>0</v>
      </c>
      <c r="E24" s="139">
        <v>0</v>
      </c>
      <c r="F24" s="140">
        <v>18</v>
      </c>
      <c r="G24" s="139">
        <v>1892.2950000000001</v>
      </c>
      <c r="H24" s="140">
        <v>1</v>
      </c>
      <c r="I24" s="139">
        <v>1365</v>
      </c>
      <c r="J24" s="140">
        <v>8</v>
      </c>
      <c r="K24" s="141">
        <v>1984.35</v>
      </c>
      <c r="L24" s="140">
        <v>12</v>
      </c>
      <c r="M24" s="141">
        <v>1778</v>
      </c>
      <c r="N24" s="140">
        <v>0</v>
      </c>
      <c r="O24" s="141">
        <v>0</v>
      </c>
      <c r="P24" s="140">
        <v>0</v>
      </c>
      <c r="Q24" s="141">
        <v>0</v>
      </c>
      <c r="R24" s="140">
        <v>0</v>
      </c>
      <c r="S24" s="141">
        <v>0</v>
      </c>
      <c r="T24" s="141"/>
      <c r="U24" s="140"/>
      <c r="V24" s="139"/>
      <c r="W24" s="140"/>
      <c r="X24" s="139"/>
      <c r="Y24" s="142">
        <f t="shared" si="0"/>
        <v>39</v>
      </c>
      <c r="Z24" s="143">
        <f t="shared" si="1"/>
        <v>72637.11</v>
      </c>
      <c r="AA24" s="147">
        <f t="shared" si="3"/>
        <v>1862.49</v>
      </c>
      <c r="AB24" s="148">
        <f t="shared" si="2"/>
        <v>0.48749999999999999</v>
      </c>
      <c r="AC24" s="143"/>
      <c r="AD24" s="215"/>
      <c r="AE24" s="143"/>
      <c r="AF24" s="215"/>
      <c r="AG24" s="214"/>
    </row>
    <row r="25" spans="1:55" s="146" customFormat="1" ht="15.95" customHeight="1" x14ac:dyDescent="0.25">
      <c r="A25" s="209"/>
      <c r="B25" s="136" t="s">
        <v>67</v>
      </c>
      <c r="C25" s="137">
        <v>19</v>
      </c>
      <c r="D25" s="138">
        <v>0</v>
      </c>
      <c r="E25" s="139">
        <v>0</v>
      </c>
      <c r="F25" s="140">
        <v>18</v>
      </c>
      <c r="G25" s="139">
        <v>1737.9795999999999</v>
      </c>
      <c r="H25" s="140">
        <v>1</v>
      </c>
      <c r="I25" s="139">
        <v>1365</v>
      </c>
      <c r="J25" s="140">
        <v>14</v>
      </c>
      <c r="K25" s="141">
        <v>2023.04428571428</v>
      </c>
      <c r="L25" s="140">
        <v>12</v>
      </c>
      <c r="M25" s="141">
        <v>1778</v>
      </c>
      <c r="N25" s="140">
        <v>0</v>
      </c>
      <c r="O25" s="141">
        <v>0</v>
      </c>
      <c r="P25" s="140">
        <v>0</v>
      </c>
      <c r="Q25" s="141">
        <v>0</v>
      </c>
      <c r="R25" s="140">
        <v>0</v>
      </c>
      <c r="S25" s="141">
        <v>0</v>
      </c>
      <c r="T25" s="141"/>
      <c r="U25" s="140"/>
      <c r="V25" s="139"/>
      <c r="W25" s="140"/>
      <c r="X25" s="139"/>
      <c r="Y25" s="142">
        <f t="shared" si="0"/>
        <v>45</v>
      </c>
      <c r="Z25" s="143">
        <f t="shared" si="1"/>
        <v>82307.252799999915</v>
      </c>
      <c r="AA25" s="329">
        <f t="shared" si="3"/>
        <v>1829.0500622222203</v>
      </c>
      <c r="AB25" s="148">
        <f t="shared" si="2"/>
        <v>0.5625</v>
      </c>
      <c r="AC25" s="143"/>
      <c r="AD25" s="215"/>
      <c r="AE25" s="143"/>
      <c r="AF25" s="215"/>
      <c r="AG25" s="214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</row>
    <row r="26" spans="1:55" s="128" customFormat="1" ht="15.95" customHeight="1" x14ac:dyDescent="0.25">
      <c r="A26" s="168"/>
      <c r="B26" s="136" t="s">
        <v>68</v>
      </c>
      <c r="C26" s="137">
        <v>20</v>
      </c>
      <c r="D26" s="138">
        <v>0</v>
      </c>
      <c r="E26" s="139">
        <v>0</v>
      </c>
      <c r="F26" s="140">
        <v>17</v>
      </c>
      <c r="G26" s="139">
        <v>1921.7842000000001</v>
      </c>
      <c r="H26" s="140">
        <v>5</v>
      </c>
      <c r="I26" s="139">
        <v>1446</v>
      </c>
      <c r="J26" s="140">
        <v>33</v>
      </c>
      <c r="K26" s="141">
        <v>1914.82136363636</v>
      </c>
      <c r="L26" s="140">
        <v>12</v>
      </c>
      <c r="M26" s="141">
        <v>1778</v>
      </c>
      <c r="N26" s="140">
        <v>0</v>
      </c>
      <c r="O26" s="141">
        <v>0</v>
      </c>
      <c r="P26" s="140">
        <v>0</v>
      </c>
      <c r="Q26" s="141">
        <v>0</v>
      </c>
      <c r="R26" s="140">
        <v>0</v>
      </c>
      <c r="S26" s="141">
        <v>0</v>
      </c>
      <c r="T26" s="141"/>
      <c r="U26" s="140"/>
      <c r="V26" s="139"/>
      <c r="W26" s="140"/>
      <c r="X26" s="139"/>
      <c r="Y26" s="142">
        <f t="shared" si="0"/>
        <v>67</v>
      </c>
      <c r="Z26" s="143">
        <f t="shared" si="1"/>
        <v>124425.43639999989</v>
      </c>
      <c r="AA26" s="147">
        <f t="shared" si="3"/>
        <v>1857.0960656716402</v>
      </c>
      <c r="AB26" s="148">
        <f t="shared" si="2"/>
        <v>0.83750000000000002</v>
      </c>
      <c r="AC26" s="143"/>
      <c r="AD26" s="215"/>
      <c r="AE26" s="143"/>
      <c r="AF26" s="215"/>
      <c r="AG26" s="214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</row>
    <row r="27" spans="1:55" s="128" customFormat="1" ht="15.95" customHeight="1" x14ac:dyDescent="0.25">
      <c r="A27" s="168"/>
      <c r="B27" s="136" t="s">
        <v>69</v>
      </c>
      <c r="C27" s="137">
        <v>21</v>
      </c>
      <c r="D27" s="138">
        <v>0</v>
      </c>
      <c r="E27" s="139">
        <v>0</v>
      </c>
      <c r="F27" s="140">
        <v>17</v>
      </c>
      <c r="G27" s="139">
        <v>1899.6673000000001</v>
      </c>
      <c r="H27" s="140">
        <v>4</v>
      </c>
      <c r="I27" s="139">
        <v>1431</v>
      </c>
      <c r="J27" s="140">
        <v>33</v>
      </c>
      <c r="K27" s="141">
        <v>1914.82136363636</v>
      </c>
      <c r="L27" s="140">
        <v>12</v>
      </c>
      <c r="M27" s="141">
        <v>2003</v>
      </c>
      <c r="N27" s="140">
        <v>0</v>
      </c>
      <c r="O27" s="141">
        <v>0</v>
      </c>
      <c r="P27" s="140">
        <v>0</v>
      </c>
      <c r="Q27" s="141">
        <v>0</v>
      </c>
      <c r="R27" s="140">
        <v>0</v>
      </c>
      <c r="S27" s="141">
        <v>0</v>
      </c>
      <c r="T27" s="141"/>
      <c r="U27" s="140"/>
      <c r="V27" s="139"/>
      <c r="W27" s="140"/>
      <c r="X27" s="139"/>
      <c r="Y27" s="142">
        <f t="shared" si="0"/>
        <v>66</v>
      </c>
      <c r="Z27" s="143">
        <f t="shared" si="1"/>
        <v>125243.44909999988</v>
      </c>
      <c r="AA27" s="147">
        <f t="shared" si="3"/>
        <v>1897.628016666665</v>
      </c>
      <c r="AB27" s="148">
        <f t="shared" si="2"/>
        <v>0.82499999999999996</v>
      </c>
      <c r="AC27" s="143"/>
      <c r="AD27" s="215"/>
      <c r="AE27" s="143"/>
      <c r="AF27" s="215"/>
      <c r="AG27" s="214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168"/>
      <c r="B28" s="150" t="s">
        <v>63</v>
      </c>
      <c r="C28" s="151">
        <v>22</v>
      </c>
      <c r="D28" s="152">
        <v>0</v>
      </c>
      <c r="E28" s="153">
        <v>0</v>
      </c>
      <c r="F28" s="154">
        <v>21</v>
      </c>
      <c r="G28" s="153">
        <v>2330.6419000000001</v>
      </c>
      <c r="H28" s="154">
        <v>1</v>
      </c>
      <c r="I28" s="153">
        <v>1365</v>
      </c>
      <c r="J28" s="154">
        <v>23</v>
      </c>
      <c r="K28" s="155">
        <v>2026.23066666666</v>
      </c>
      <c r="L28" s="154">
        <v>12</v>
      </c>
      <c r="M28" s="155">
        <v>2003</v>
      </c>
      <c r="N28" s="154">
        <v>0</v>
      </c>
      <c r="O28" s="155">
        <v>0</v>
      </c>
      <c r="P28" s="154">
        <v>0</v>
      </c>
      <c r="Q28" s="155">
        <v>0</v>
      </c>
      <c r="R28" s="154">
        <v>0</v>
      </c>
      <c r="S28" s="155">
        <v>0</v>
      </c>
      <c r="T28" s="155"/>
      <c r="U28" s="154"/>
      <c r="V28" s="153"/>
      <c r="W28" s="154"/>
      <c r="X28" s="153"/>
      <c r="Y28" s="156">
        <f t="shared" si="0"/>
        <v>57</v>
      </c>
      <c r="Z28" s="157">
        <f t="shared" si="1"/>
        <v>120947.78523333318</v>
      </c>
      <c r="AA28" s="158">
        <f t="shared" si="3"/>
        <v>2121.8909690058454</v>
      </c>
      <c r="AB28" s="159">
        <f t="shared" si="2"/>
        <v>0.71250000000000002</v>
      </c>
      <c r="AC28" s="143"/>
      <c r="AD28" s="215"/>
      <c r="AE28" s="143"/>
      <c r="AF28" s="215"/>
      <c r="AG28" s="214"/>
    </row>
    <row r="29" spans="1:55" s="126" customFormat="1" ht="15.95" customHeight="1" x14ac:dyDescent="0.25">
      <c r="A29" s="168"/>
      <c r="B29" s="136" t="s">
        <v>64</v>
      </c>
      <c r="C29" s="137">
        <v>23</v>
      </c>
      <c r="D29" s="138">
        <v>0</v>
      </c>
      <c r="E29" s="139">
        <v>0</v>
      </c>
      <c r="F29" s="140">
        <v>20</v>
      </c>
      <c r="G29" s="139">
        <v>1768.0038</v>
      </c>
      <c r="H29" s="140">
        <v>1</v>
      </c>
      <c r="I29" s="139">
        <v>1365</v>
      </c>
      <c r="J29" s="140">
        <v>23</v>
      </c>
      <c r="K29" s="141">
        <v>2026.23066666666</v>
      </c>
      <c r="L29" s="140">
        <v>12</v>
      </c>
      <c r="M29" s="141">
        <v>1778</v>
      </c>
      <c r="N29" s="140">
        <v>0</v>
      </c>
      <c r="O29" s="141">
        <v>0</v>
      </c>
      <c r="P29" s="140">
        <v>0</v>
      </c>
      <c r="Q29" s="141">
        <v>0</v>
      </c>
      <c r="R29" s="140">
        <v>0</v>
      </c>
      <c r="S29" s="141">
        <v>0</v>
      </c>
      <c r="T29" s="141"/>
      <c r="U29" s="140"/>
      <c r="V29" s="139"/>
      <c r="W29" s="140"/>
      <c r="X29" s="139"/>
      <c r="Y29" s="142">
        <f t="shared" si="0"/>
        <v>56</v>
      </c>
      <c r="Z29" s="143">
        <f t="shared" si="1"/>
        <v>104664.38133333318</v>
      </c>
      <c r="AA29" s="329">
        <f t="shared" si="3"/>
        <v>1869.0068095238069</v>
      </c>
      <c r="AB29" s="148">
        <f t="shared" si="2"/>
        <v>0.7</v>
      </c>
      <c r="AC29" s="143"/>
      <c r="AD29" s="215"/>
      <c r="AE29" s="143"/>
      <c r="AF29" s="215"/>
      <c r="AG29" s="214"/>
    </row>
    <row r="30" spans="1:55" s="126" customFormat="1" ht="16.5" customHeight="1" x14ac:dyDescent="0.25">
      <c r="A30" s="168"/>
      <c r="B30" s="136" t="s">
        <v>65</v>
      </c>
      <c r="C30" s="137">
        <v>24</v>
      </c>
      <c r="D30" s="138">
        <v>0</v>
      </c>
      <c r="E30" s="139">
        <v>0</v>
      </c>
      <c r="F30" s="140">
        <v>24</v>
      </c>
      <c r="G30" s="139">
        <v>1751.59</v>
      </c>
      <c r="H30" s="140">
        <v>1</v>
      </c>
      <c r="I30" s="139">
        <v>1365</v>
      </c>
      <c r="J30" s="140">
        <v>13</v>
      </c>
      <c r="K30" s="141">
        <v>2305.6241176470498</v>
      </c>
      <c r="L30" s="140">
        <v>13</v>
      </c>
      <c r="M30" s="141">
        <v>1778</v>
      </c>
      <c r="N30" s="140">
        <v>0</v>
      </c>
      <c r="O30" s="141">
        <v>0</v>
      </c>
      <c r="P30" s="140">
        <v>0</v>
      </c>
      <c r="Q30" s="141">
        <v>0</v>
      </c>
      <c r="R30" s="140">
        <v>0</v>
      </c>
      <c r="S30" s="141">
        <v>0</v>
      </c>
      <c r="T30" s="141"/>
      <c r="U30" s="140"/>
      <c r="V30" s="139"/>
      <c r="W30" s="140"/>
      <c r="X30" s="139"/>
      <c r="Y30" s="142">
        <f t="shared" si="0"/>
        <v>51</v>
      </c>
      <c r="Z30" s="143">
        <f t="shared" si="1"/>
        <v>96490.273529411643</v>
      </c>
      <c r="AA30" s="329">
        <f t="shared" si="3"/>
        <v>1891.9661476355225</v>
      </c>
      <c r="AB30" s="148">
        <f t="shared" si="2"/>
        <v>0.63749999999999996</v>
      </c>
      <c r="AC30" s="143"/>
      <c r="AD30" s="215"/>
      <c r="AE30" s="143"/>
      <c r="AF30" s="215"/>
      <c r="AG30" s="214"/>
    </row>
    <row r="31" spans="1:55" s="169" customFormat="1" ht="15.95" customHeight="1" x14ac:dyDescent="0.25">
      <c r="A31" s="168"/>
      <c r="B31" s="136" t="s">
        <v>66</v>
      </c>
      <c r="C31" s="137">
        <v>25</v>
      </c>
      <c r="D31" s="138">
        <v>0</v>
      </c>
      <c r="E31" s="139">
        <v>0</v>
      </c>
      <c r="F31" s="140">
        <v>24</v>
      </c>
      <c r="G31" s="139">
        <v>1735.0156999999999</v>
      </c>
      <c r="H31" s="140">
        <v>1</v>
      </c>
      <c r="I31" s="139">
        <v>1365</v>
      </c>
      <c r="J31" s="140">
        <v>13</v>
      </c>
      <c r="K31" s="141">
        <v>2305.6241176470498</v>
      </c>
      <c r="L31" s="140">
        <v>11</v>
      </c>
      <c r="M31" s="141">
        <v>1778</v>
      </c>
      <c r="N31" s="140">
        <v>0</v>
      </c>
      <c r="O31" s="141">
        <v>0</v>
      </c>
      <c r="P31" s="140">
        <v>0</v>
      </c>
      <c r="Q31" s="141">
        <v>0</v>
      </c>
      <c r="R31" s="140">
        <v>0</v>
      </c>
      <c r="S31" s="141">
        <v>0</v>
      </c>
      <c r="T31" s="141"/>
      <c r="U31" s="140"/>
      <c r="V31" s="139"/>
      <c r="W31" s="140"/>
      <c r="X31" s="139"/>
      <c r="Y31" s="142">
        <f t="shared" si="0"/>
        <v>49</v>
      </c>
      <c r="Z31" s="143">
        <f t="shared" si="1"/>
        <v>92536.490329411638</v>
      </c>
      <c r="AA31" s="147">
        <f t="shared" si="3"/>
        <v>1888.4998026410537</v>
      </c>
      <c r="AB31" s="148">
        <f t="shared" si="2"/>
        <v>0.61250000000000004</v>
      </c>
      <c r="AC31" s="143"/>
      <c r="AD31" s="215"/>
      <c r="AE31" s="143"/>
      <c r="AF31" s="215"/>
      <c r="AG31" s="214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60"/>
    </row>
    <row r="32" spans="1:55" s="220" customFormat="1" ht="15.75" customHeight="1" x14ac:dyDescent="0.25">
      <c r="A32" s="232"/>
      <c r="B32" s="136" t="s">
        <v>67</v>
      </c>
      <c r="C32" s="137">
        <v>26</v>
      </c>
      <c r="D32" s="138">
        <v>0</v>
      </c>
      <c r="E32" s="139">
        <v>0</v>
      </c>
      <c r="F32" s="140">
        <v>27</v>
      </c>
      <c r="G32" s="139">
        <v>1841.8444999999999</v>
      </c>
      <c r="H32" s="140">
        <v>1</v>
      </c>
      <c r="I32" s="139">
        <v>2892.52</v>
      </c>
      <c r="J32" s="140">
        <v>0</v>
      </c>
      <c r="K32" s="141">
        <v>0</v>
      </c>
      <c r="L32" s="140">
        <v>15</v>
      </c>
      <c r="M32" s="141">
        <v>1778</v>
      </c>
      <c r="N32" s="140">
        <v>0</v>
      </c>
      <c r="O32" s="141">
        <v>0</v>
      </c>
      <c r="P32" s="140">
        <v>0</v>
      </c>
      <c r="Q32" s="141">
        <v>0</v>
      </c>
      <c r="R32" s="140">
        <v>0</v>
      </c>
      <c r="S32" s="141">
        <v>0</v>
      </c>
      <c r="T32" s="141"/>
      <c r="U32" s="140"/>
      <c r="V32" s="139"/>
      <c r="W32" s="140"/>
      <c r="X32" s="139"/>
      <c r="Y32" s="142">
        <f t="shared" si="0"/>
        <v>43</v>
      </c>
      <c r="Z32" s="143">
        <f t="shared" si="1"/>
        <v>79292.321499999991</v>
      </c>
      <c r="AA32" s="329">
        <f t="shared" si="3"/>
        <v>1844.0074767441859</v>
      </c>
      <c r="AB32" s="148">
        <f t="shared" si="2"/>
        <v>0.53749999999999998</v>
      </c>
      <c r="AC32" s="143"/>
      <c r="AD32" s="215"/>
      <c r="AE32" s="143"/>
      <c r="AF32" s="215"/>
      <c r="AG32" s="214"/>
      <c r="AH32" s="215"/>
      <c r="AI32" s="215"/>
      <c r="AJ32" s="215"/>
      <c r="AK32" s="215"/>
      <c r="AL32" s="215"/>
      <c r="AM32" s="215"/>
      <c r="AN32" s="215"/>
      <c r="AO32" s="215"/>
      <c r="AP32" s="215"/>
      <c r="AQ32" s="215"/>
      <c r="AR32" s="215"/>
      <c r="AS32" s="215"/>
      <c r="AT32" s="215"/>
      <c r="AU32" s="215"/>
      <c r="AV32" s="215"/>
      <c r="AW32" s="215"/>
      <c r="AX32" s="215"/>
      <c r="AY32" s="215"/>
      <c r="AZ32" s="215"/>
      <c r="BA32" s="215"/>
      <c r="BB32" s="215"/>
      <c r="BC32" s="215"/>
    </row>
    <row r="33" spans="1:56" s="220" customFormat="1" ht="15.95" customHeight="1" x14ac:dyDescent="0.25">
      <c r="A33" s="232"/>
      <c r="B33" s="136" t="s">
        <v>68</v>
      </c>
      <c r="C33" s="137">
        <v>27</v>
      </c>
      <c r="D33" s="138">
        <v>0</v>
      </c>
      <c r="E33" s="139">
        <v>0</v>
      </c>
      <c r="F33" s="140">
        <v>32</v>
      </c>
      <c r="G33" s="139">
        <v>1752.9168</v>
      </c>
      <c r="H33" s="140">
        <v>1</v>
      </c>
      <c r="I33" s="139">
        <v>2920</v>
      </c>
      <c r="J33" s="140">
        <v>0</v>
      </c>
      <c r="K33" s="141">
        <v>0</v>
      </c>
      <c r="L33" s="140">
        <v>17</v>
      </c>
      <c r="M33" s="141">
        <v>1778</v>
      </c>
      <c r="N33" s="140">
        <v>0</v>
      </c>
      <c r="O33" s="141">
        <v>0</v>
      </c>
      <c r="P33" s="140">
        <v>0</v>
      </c>
      <c r="Q33" s="141">
        <v>0</v>
      </c>
      <c r="R33" s="140">
        <v>0</v>
      </c>
      <c r="S33" s="141">
        <v>0</v>
      </c>
      <c r="T33" s="141"/>
      <c r="U33" s="140"/>
      <c r="V33" s="139"/>
      <c r="W33" s="140"/>
      <c r="X33" s="139"/>
      <c r="Y33" s="142">
        <f t="shared" si="0"/>
        <v>50</v>
      </c>
      <c r="Z33" s="143">
        <f t="shared" si="1"/>
        <v>89239.337599999999</v>
      </c>
      <c r="AA33" s="147">
        <f t="shared" si="3"/>
        <v>1784.786752</v>
      </c>
      <c r="AB33" s="148">
        <f t="shared" si="2"/>
        <v>0.625</v>
      </c>
      <c r="AC33" s="143"/>
      <c r="AD33" s="215"/>
      <c r="AE33" s="143"/>
      <c r="AF33" s="215"/>
      <c r="AG33" s="214"/>
      <c r="AH33" s="215"/>
      <c r="AI33" s="215"/>
      <c r="AJ33" s="215"/>
      <c r="AK33" s="215"/>
      <c r="AL33" s="215"/>
      <c r="AM33" s="215"/>
      <c r="AN33" s="215"/>
      <c r="AO33" s="215"/>
      <c r="AP33" s="215"/>
      <c r="AQ33" s="215"/>
      <c r="AR33" s="215"/>
      <c r="AS33" s="215"/>
      <c r="AT33" s="215"/>
      <c r="AU33" s="215"/>
      <c r="AV33" s="215"/>
      <c r="AW33" s="215"/>
      <c r="AX33" s="215"/>
      <c r="AY33" s="215"/>
      <c r="AZ33" s="215"/>
      <c r="BA33" s="215"/>
      <c r="BB33" s="215"/>
      <c r="BC33" s="215"/>
    </row>
    <row r="34" spans="1:56" s="220" customFormat="1" ht="15.95" customHeight="1" x14ac:dyDescent="0.25">
      <c r="A34" s="305"/>
      <c r="B34" s="136" t="s">
        <v>69</v>
      </c>
      <c r="C34" s="137">
        <v>28</v>
      </c>
      <c r="D34" s="138">
        <v>0</v>
      </c>
      <c r="E34" s="139">
        <v>0</v>
      </c>
      <c r="F34" s="140">
        <v>34</v>
      </c>
      <c r="G34" s="139">
        <v>1853.2507000000001</v>
      </c>
      <c r="H34" s="140">
        <v>0</v>
      </c>
      <c r="I34" s="139">
        <v>0</v>
      </c>
      <c r="J34" s="140">
        <v>0</v>
      </c>
      <c r="K34" s="141">
        <v>0</v>
      </c>
      <c r="L34" s="140">
        <v>19</v>
      </c>
      <c r="M34" s="141">
        <v>1778</v>
      </c>
      <c r="N34" s="140">
        <v>0</v>
      </c>
      <c r="O34" s="141">
        <v>0</v>
      </c>
      <c r="P34" s="140">
        <v>0</v>
      </c>
      <c r="Q34" s="141">
        <v>0</v>
      </c>
      <c r="R34" s="140">
        <v>0</v>
      </c>
      <c r="S34" s="141">
        <v>0</v>
      </c>
      <c r="T34" s="141"/>
      <c r="U34" s="140"/>
      <c r="V34" s="139"/>
      <c r="W34" s="140"/>
      <c r="X34" s="139"/>
      <c r="Y34" s="142">
        <f t="shared" si="0"/>
        <v>53</v>
      </c>
      <c r="Z34" s="143">
        <f t="shared" si="1"/>
        <v>96792.523799999995</v>
      </c>
      <c r="AA34" s="147">
        <f>IF(Z34=0,0,Z34/Y34)</f>
        <v>1826.274033962264</v>
      </c>
      <c r="AB34" s="148">
        <f t="shared" si="2"/>
        <v>0.66249999999999998</v>
      </c>
      <c r="AC34" s="143"/>
      <c r="AD34" s="215"/>
      <c r="AE34" s="143"/>
      <c r="AF34" s="215"/>
      <c r="AG34" s="214"/>
      <c r="AH34" s="215"/>
      <c r="AI34" s="215"/>
      <c r="AJ34" s="215"/>
      <c r="AK34" s="215"/>
      <c r="AL34" s="215"/>
      <c r="AM34" s="215"/>
      <c r="AN34" s="215"/>
      <c r="AO34" s="215"/>
      <c r="AP34" s="215"/>
      <c r="AQ34" s="215"/>
      <c r="AR34" s="215"/>
      <c r="AS34" s="215"/>
      <c r="AT34" s="215"/>
      <c r="AU34" s="215"/>
      <c r="AV34" s="215"/>
      <c r="AW34" s="215"/>
      <c r="AX34" s="215"/>
      <c r="AY34" s="215"/>
      <c r="AZ34" s="215"/>
      <c r="BA34" s="215"/>
      <c r="BB34" s="215"/>
      <c r="BC34" s="215"/>
    </row>
    <row r="35" spans="1:56" s="220" customFormat="1" ht="15.95" customHeight="1" x14ac:dyDescent="0.25">
      <c r="A35" s="213"/>
      <c r="B35" s="150" t="s">
        <v>63</v>
      </c>
      <c r="C35" s="151">
        <v>29</v>
      </c>
      <c r="D35" s="152">
        <v>0</v>
      </c>
      <c r="E35" s="153">
        <v>0</v>
      </c>
      <c r="F35" s="154">
        <v>27</v>
      </c>
      <c r="G35" s="153">
        <v>1931.5426</v>
      </c>
      <c r="H35" s="154">
        <v>0</v>
      </c>
      <c r="I35" s="153">
        <v>0</v>
      </c>
      <c r="J35" s="154">
        <v>11</v>
      </c>
      <c r="K35" s="155">
        <v>1660.87</v>
      </c>
      <c r="L35" s="154">
        <v>15</v>
      </c>
      <c r="M35" s="155">
        <v>1778</v>
      </c>
      <c r="N35" s="154">
        <v>0</v>
      </c>
      <c r="O35" s="155">
        <v>0</v>
      </c>
      <c r="P35" s="154">
        <v>0</v>
      </c>
      <c r="Q35" s="155">
        <v>0</v>
      </c>
      <c r="R35" s="154">
        <v>0</v>
      </c>
      <c r="S35" s="155">
        <v>0</v>
      </c>
      <c r="T35" s="155"/>
      <c r="U35" s="154"/>
      <c r="V35" s="153"/>
      <c r="W35" s="154"/>
      <c r="X35" s="153"/>
      <c r="Y35" s="156">
        <f t="shared" si="0"/>
        <v>53</v>
      </c>
      <c r="Z35" s="157">
        <f t="shared" si="1"/>
        <v>97091.220199999996</v>
      </c>
      <c r="AA35" s="158">
        <f>IF(Z35=0,0,Z35/Y35)</f>
        <v>1831.9098150943396</v>
      </c>
      <c r="AB35" s="159">
        <f t="shared" si="2"/>
        <v>0.66249999999999998</v>
      </c>
      <c r="AC35" s="143"/>
      <c r="AD35" s="215"/>
      <c r="AE35" s="143"/>
      <c r="AF35" s="215"/>
      <c r="AG35" s="214"/>
      <c r="AH35" s="215"/>
      <c r="AI35" s="215"/>
      <c r="AJ35" s="215"/>
      <c r="AK35" s="215"/>
      <c r="AL35" s="215"/>
      <c r="AM35" s="215"/>
      <c r="AN35" s="215"/>
      <c r="AO35" s="215"/>
      <c r="AP35" s="215"/>
      <c r="AQ35" s="215"/>
      <c r="AR35" s="215"/>
      <c r="AS35" s="215"/>
      <c r="AT35" s="215"/>
      <c r="AU35" s="215"/>
      <c r="AV35" s="215"/>
      <c r="AW35" s="215"/>
      <c r="AX35" s="215"/>
      <c r="AY35" s="215"/>
      <c r="AZ35" s="215"/>
      <c r="BA35" s="215"/>
      <c r="BB35" s="215"/>
      <c r="BC35" s="215"/>
    </row>
    <row r="36" spans="1:56" s="126" customFormat="1" ht="15.95" customHeight="1" x14ac:dyDescent="0.25">
      <c r="A36" s="149"/>
      <c r="B36" s="136" t="s">
        <v>64</v>
      </c>
      <c r="C36" s="137">
        <v>30</v>
      </c>
      <c r="D36" s="138">
        <v>0</v>
      </c>
      <c r="E36" s="139">
        <v>0</v>
      </c>
      <c r="F36" s="140">
        <v>29</v>
      </c>
      <c r="G36" s="139">
        <v>2198.8714</v>
      </c>
      <c r="H36" s="140">
        <v>0</v>
      </c>
      <c r="I36" s="139">
        <v>0</v>
      </c>
      <c r="J36" s="140">
        <v>11</v>
      </c>
      <c r="K36" s="141">
        <v>1660.87</v>
      </c>
      <c r="L36" s="140">
        <v>11</v>
      </c>
      <c r="M36" s="141">
        <v>1778</v>
      </c>
      <c r="N36" s="140">
        <v>0</v>
      </c>
      <c r="O36" s="141">
        <v>0</v>
      </c>
      <c r="P36" s="140">
        <v>0</v>
      </c>
      <c r="Q36" s="141">
        <v>0</v>
      </c>
      <c r="R36" s="140">
        <v>0</v>
      </c>
      <c r="S36" s="141">
        <v>0</v>
      </c>
      <c r="T36" s="141"/>
      <c r="U36" s="140"/>
      <c r="V36" s="139"/>
      <c r="W36" s="140"/>
      <c r="X36" s="139"/>
      <c r="Y36" s="142">
        <f t="shared" si="0"/>
        <v>51</v>
      </c>
      <c r="Z36" s="143">
        <f t="shared" si="1"/>
        <v>101594.8406</v>
      </c>
      <c r="AA36" s="329">
        <f>IF(Z36=0,0,Z36/Y36)</f>
        <v>1992.0556980392157</v>
      </c>
      <c r="AB36" s="148">
        <f t="shared" si="2"/>
        <v>0.63749999999999996</v>
      </c>
      <c r="AC36" s="143"/>
      <c r="AD36" s="215"/>
      <c r="AE36" s="143"/>
      <c r="AF36" s="215"/>
      <c r="AG36" s="214"/>
    </row>
    <row r="37" spans="1:56" s="128" customFormat="1" ht="16.5" thickBot="1" x14ac:dyDescent="0.3">
      <c r="A37" s="149"/>
      <c r="B37" s="136" t="s">
        <v>65</v>
      </c>
      <c r="C37" s="137">
        <v>31</v>
      </c>
      <c r="D37" s="138">
        <v>0</v>
      </c>
      <c r="E37" s="139">
        <v>0</v>
      </c>
      <c r="F37" s="140">
        <v>33</v>
      </c>
      <c r="G37" s="139">
        <v>2345.7289000000001</v>
      </c>
      <c r="H37" s="140">
        <v>0</v>
      </c>
      <c r="I37" s="139">
        <v>0</v>
      </c>
      <c r="J37" s="140">
        <v>0</v>
      </c>
      <c r="K37" s="141">
        <v>0</v>
      </c>
      <c r="L37" s="140">
        <v>15</v>
      </c>
      <c r="M37" s="141">
        <v>1778</v>
      </c>
      <c r="N37" s="140">
        <v>0</v>
      </c>
      <c r="O37" s="141">
        <v>0</v>
      </c>
      <c r="P37" s="140">
        <v>0</v>
      </c>
      <c r="Q37" s="141">
        <v>0</v>
      </c>
      <c r="R37" s="140">
        <v>0</v>
      </c>
      <c r="S37" s="141">
        <v>0</v>
      </c>
      <c r="T37" s="141"/>
      <c r="U37" s="140"/>
      <c r="V37" s="139"/>
      <c r="W37" s="140"/>
      <c r="X37" s="139"/>
      <c r="Y37" s="142">
        <f t="shared" si="0"/>
        <v>48</v>
      </c>
      <c r="Z37" s="143">
        <f t="shared" si="1"/>
        <v>104079.0537</v>
      </c>
      <c r="AA37" s="147">
        <f>IF(Z37=0,0,Z37/Y37)</f>
        <v>2168.3136187499999</v>
      </c>
      <c r="AB37" s="148">
        <f t="shared" si="2"/>
        <v>0.6</v>
      </c>
      <c r="AC37" s="143"/>
      <c r="AD37" s="215"/>
      <c r="AE37" s="143"/>
      <c r="AF37" s="215"/>
      <c r="AG37" s="214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</row>
    <row r="38" spans="1:56" s="128" customFormat="1" ht="17.100000000000001" customHeight="1" thickTop="1" x14ac:dyDescent="0.25">
      <c r="A38" s="171" t="s">
        <v>70</v>
      </c>
      <c r="B38" s="234"/>
      <c r="C38" s="234"/>
      <c r="D38" s="235">
        <f>SUM(D7:D37)</f>
        <v>0</v>
      </c>
      <c r="E38" s="236">
        <f>IF(D38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+(D37*E37))/D38)</f>
        <v>0</v>
      </c>
      <c r="F38" s="237">
        <f>SUM(F7:F37)</f>
        <v>671</v>
      </c>
      <c r="G38" s="236">
        <f>IF(F38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+(F37*G37))/F38)</f>
        <v>2145.2929388971688</v>
      </c>
      <c r="H38" s="219">
        <f>SUM(H7:H37)</f>
        <v>36</v>
      </c>
      <c r="I38" s="236">
        <f>IF(H38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+(H37*I37))/H38)</f>
        <v>1472.4588888888889</v>
      </c>
      <c r="J38" s="237">
        <f>SUM(J7:J37)</f>
        <v>238</v>
      </c>
      <c r="K38" s="236">
        <f>IF(J38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+(J37*K37))/J38)</f>
        <v>1914.9534778381906</v>
      </c>
      <c r="L38" s="237">
        <f>SUM(L7:L37)</f>
        <v>348</v>
      </c>
      <c r="M38" s="236">
        <f>IF(L38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+(L37*M37))/L38)</f>
        <v>1843.6191781609198</v>
      </c>
      <c r="N38" s="237">
        <f>SUM(N7:N37)</f>
        <v>0</v>
      </c>
      <c r="O38" s="236">
        <f>IF(N38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+(N37*O37))/N38)</f>
        <v>0</v>
      </c>
      <c r="P38" s="237">
        <f>SUM(P7:P37)</f>
        <v>462</v>
      </c>
      <c r="Q38" s="236">
        <f>IF(P38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+(P37*Q37))/P38)</f>
        <v>1193.7360606060599</v>
      </c>
      <c r="R38" s="237">
        <f>SUM(R7:R37)</f>
        <v>0</v>
      </c>
      <c r="S38" s="236">
        <f>IF(R38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+(R37*S37))/R38)</f>
        <v>0</v>
      </c>
      <c r="T38" s="236"/>
      <c r="U38" s="237"/>
      <c r="V38" s="236"/>
      <c r="W38" s="237"/>
      <c r="X38" s="236"/>
      <c r="Y38" s="237">
        <f>SUM(Y7:Y37)</f>
        <v>1755</v>
      </c>
      <c r="Z38" s="218">
        <f>SUM(Z7:Z37)</f>
        <v>3141344.5437254896</v>
      </c>
      <c r="AA38" s="219">
        <f>IF(Z38=0,0,Z38/Y38)</f>
        <v>1789.9399109546951</v>
      </c>
      <c r="AB38" s="238">
        <f>Y38/(AB6*D2)</f>
        <v>0.70766129032258063</v>
      </c>
      <c r="AC38" s="126"/>
      <c r="AD38" s="127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28" customFormat="1" ht="17.100000000000001" customHeight="1" thickBot="1" x14ac:dyDescent="0.3">
      <c r="A39" s="179" t="s">
        <v>71</v>
      </c>
      <c r="B39" s="240"/>
      <c r="C39" s="240"/>
      <c r="D39" s="785">
        <f>+E38*D38</f>
        <v>0</v>
      </c>
      <c r="E39" s="786"/>
      <c r="F39" s="787">
        <f>+G38*F38</f>
        <v>1439491.5620000004</v>
      </c>
      <c r="G39" s="786"/>
      <c r="H39" s="787">
        <f>+I38*H38</f>
        <v>53008.52</v>
      </c>
      <c r="I39" s="786"/>
      <c r="J39" s="787">
        <f>+K38*J38</f>
        <v>455758.92772548937</v>
      </c>
      <c r="K39" s="786"/>
      <c r="L39" s="787">
        <f>+M38*L38</f>
        <v>641579.47400000005</v>
      </c>
      <c r="M39" s="786"/>
      <c r="N39" s="787">
        <f>+O38*N38</f>
        <v>0</v>
      </c>
      <c r="O39" s="786"/>
      <c r="P39" s="787">
        <f>+Q38*P38</f>
        <v>551506.05999999971</v>
      </c>
      <c r="Q39" s="786"/>
      <c r="R39" s="787">
        <f>+S38*R38</f>
        <v>0</v>
      </c>
      <c r="S39" s="788"/>
      <c r="T39" s="181"/>
      <c r="U39" s="182"/>
      <c r="V39" s="181"/>
      <c r="W39" s="182"/>
      <c r="X39" s="181"/>
      <c r="Y39" s="241"/>
      <c r="Z39" s="242"/>
      <c r="AA39" s="242"/>
      <c r="AB39" s="243"/>
      <c r="AC39" s="126"/>
      <c r="AD39" s="127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  <c r="BC39" s="126"/>
    </row>
    <row r="40" spans="1:56" s="111" customFormat="1" ht="13.5" thickTop="1" x14ac:dyDescent="0.2">
      <c r="F40" s="211"/>
      <c r="M40" s="211"/>
      <c r="P40" s="211"/>
      <c r="Q40" s="211"/>
      <c r="Y40" s="211"/>
      <c r="Z40" s="226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P41" s="211"/>
      <c r="Q41" s="226"/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Q42" s="226"/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43" s="385"/>
      <c r="G43" s="226"/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9:56" s="111" customFormat="1" x14ac:dyDescent="0.2"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9:56" s="111" customFormat="1" x14ac:dyDescent="0.2"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  <row r="53" spans="29:56" s="111" customFormat="1" x14ac:dyDescent="0.2">
      <c r="AC53" s="112"/>
      <c r="AD53" s="113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4"/>
    </row>
  </sheetData>
  <mergeCells count="21"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  <mergeCell ref="D39:E39"/>
    <mergeCell ref="R5:S5"/>
    <mergeCell ref="R39:S39"/>
    <mergeCell ref="F39:G39"/>
    <mergeCell ref="H39:I39"/>
    <mergeCell ref="J39:K39"/>
    <mergeCell ref="L39:M39"/>
    <mergeCell ref="N39:O39"/>
    <mergeCell ref="P39:Q39"/>
  </mergeCells>
  <phoneticPr fontId="74" type="noConversion"/>
  <dataValidations disablePrompts="1" count="1">
    <dataValidation type="textLength" errorStyle="information" allowBlank="1" showInputMessage="1" showErrorMessage="1" error="XLBVal:2=0_x000d__x000a_" sqref="C27:C37 HZ27:HZ37 RV27:RV37 ABR27:ABR37 ALN27:ALN37 AVJ27:AVJ37 BFF27:BFF37 BPB27:BPB37 BYX27:BYX37 CIT27:CIT37 CSP27:CSP37 DCL27:DCL37 DMH27:DMH37 DWD27:DWD37 EFZ27:EFZ37 EPV27:EPV37 EZR27:EZR37 FJN27:FJN37 FTJ27:FTJ37 GDF27:GDF37 GNB27:GNB37 GWX27:GWX37 HGT27:HGT37 HQP27:HQP37 IAL27:IAL37 IKH27:IKH37 IUD27:IUD37 JDZ27:JDZ37 JNV27:JNV37 JXR27:JXR37 KHN27:KHN37 KRJ27:KRJ37 LBF27:LBF37 LLB27:LLB37 LUX27:LUX37 MET27:MET37 MOP27:MOP37 MYL27:MYL37 NIH27:NIH37 NSD27:NSD37 OBZ27:OBZ37 OLV27:OLV37 OVR27:OVR37 PFN27:PFN37 PPJ27:PPJ37 PZF27:PZF37 QJB27:QJB37 QSX27:QSX37 RCT27:RCT37 RMP27:RMP37 RWL27:RWL37 SGH27:SGH37 SQD27:SQD37 SZZ27:SZZ37 TJV27:TJV37 TTR27:TTR37 UDN27:UDN37 UNJ27:UNJ37 UXF27:UXF37 VHB27:VHB37 VQX27:VQX37 WAT27:WAT37 WKP27:WKP37 WUL27:WUL37 C65511:C65521 HZ65511:HZ65521 RV65511:RV65521 ABR65511:ABR65521 ALN65511:ALN65521 AVJ65511:AVJ65521 BFF65511:BFF65521 BPB65511:BPB65521 BYX65511:BYX65521 CIT65511:CIT65521 CSP65511:CSP65521 DCL65511:DCL65521 DMH65511:DMH65521 DWD65511:DWD65521 EFZ65511:EFZ65521 EPV65511:EPV65521 EZR65511:EZR65521 FJN65511:FJN65521 FTJ65511:FTJ65521 GDF65511:GDF65521 GNB65511:GNB65521 GWX65511:GWX65521 HGT65511:HGT65521 HQP65511:HQP65521 IAL65511:IAL65521 IKH65511:IKH65521 IUD65511:IUD65521 JDZ65511:JDZ65521 JNV65511:JNV65521 JXR65511:JXR65521 KHN65511:KHN65521 KRJ65511:KRJ65521 LBF65511:LBF65521 LLB65511:LLB65521 LUX65511:LUX65521 MET65511:MET65521 MOP65511:MOP65521 MYL65511:MYL65521 NIH65511:NIH65521 NSD65511:NSD65521 OBZ65511:OBZ65521 OLV65511:OLV65521 OVR65511:OVR65521 PFN65511:PFN65521 PPJ65511:PPJ65521 PZF65511:PZF65521 QJB65511:QJB65521 QSX65511:QSX65521 RCT65511:RCT65521 RMP65511:RMP65521 RWL65511:RWL65521 SGH65511:SGH65521 SQD65511:SQD65521 SZZ65511:SZZ65521 TJV65511:TJV65521 TTR65511:TTR65521 UDN65511:UDN65521 UNJ65511:UNJ65521 UXF65511:UXF65521 VHB65511:VHB65521 VQX65511:VQX65521 WAT65511:WAT65521 WKP65511:WKP65521 WUL65511:WUL65521 C131047:C131057 HZ131047:HZ131057 RV131047:RV131057 ABR131047:ABR131057 ALN131047:ALN131057 AVJ131047:AVJ131057 BFF131047:BFF131057 BPB131047:BPB131057 BYX131047:BYX131057 CIT131047:CIT131057 CSP131047:CSP131057 DCL131047:DCL131057 DMH131047:DMH131057 DWD131047:DWD131057 EFZ131047:EFZ131057 EPV131047:EPV131057 EZR131047:EZR131057 FJN131047:FJN131057 FTJ131047:FTJ131057 GDF131047:GDF131057 GNB131047:GNB131057 GWX131047:GWX131057 HGT131047:HGT131057 HQP131047:HQP131057 IAL131047:IAL131057 IKH131047:IKH131057 IUD131047:IUD131057 JDZ131047:JDZ131057 JNV131047:JNV131057 JXR131047:JXR131057 KHN131047:KHN131057 KRJ131047:KRJ131057 LBF131047:LBF131057 LLB131047:LLB131057 LUX131047:LUX131057 MET131047:MET131057 MOP131047:MOP131057 MYL131047:MYL131057 NIH131047:NIH131057 NSD131047:NSD131057 OBZ131047:OBZ131057 OLV131047:OLV131057 OVR131047:OVR131057 PFN131047:PFN131057 PPJ131047:PPJ131057 PZF131047:PZF131057 QJB131047:QJB131057 QSX131047:QSX131057 RCT131047:RCT131057 RMP131047:RMP131057 RWL131047:RWL131057 SGH131047:SGH131057 SQD131047:SQD131057 SZZ131047:SZZ131057 TJV131047:TJV131057 TTR131047:TTR131057 UDN131047:UDN131057 UNJ131047:UNJ131057 UXF131047:UXF131057 VHB131047:VHB131057 VQX131047:VQX131057 WAT131047:WAT131057 WKP131047:WKP131057 WUL131047:WUL131057 C196583:C196593 HZ196583:HZ196593 RV196583:RV196593 ABR196583:ABR196593 ALN196583:ALN196593 AVJ196583:AVJ196593 BFF196583:BFF196593 BPB196583:BPB196593 BYX196583:BYX196593 CIT196583:CIT196593 CSP196583:CSP196593 DCL196583:DCL196593 DMH196583:DMH196593 DWD196583:DWD196593 EFZ196583:EFZ196593 EPV196583:EPV196593 EZR196583:EZR196593 FJN196583:FJN196593 FTJ196583:FTJ196593 GDF196583:GDF196593 GNB196583:GNB196593 GWX196583:GWX196593 HGT196583:HGT196593 HQP196583:HQP196593 IAL196583:IAL196593 IKH196583:IKH196593 IUD196583:IUD196593 JDZ196583:JDZ196593 JNV196583:JNV196593 JXR196583:JXR196593 KHN196583:KHN196593 KRJ196583:KRJ196593 LBF196583:LBF196593 LLB196583:LLB196593 LUX196583:LUX196593 MET196583:MET196593 MOP196583:MOP196593 MYL196583:MYL196593 NIH196583:NIH196593 NSD196583:NSD196593 OBZ196583:OBZ196593 OLV196583:OLV196593 OVR196583:OVR196593 PFN196583:PFN196593 PPJ196583:PPJ196593 PZF196583:PZF196593 QJB196583:QJB196593 QSX196583:QSX196593 RCT196583:RCT196593 RMP196583:RMP196593 RWL196583:RWL196593 SGH196583:SGH196593 SQD196583:SQD196593 SZZ196583:SZZ196593 TJV196583:TJV196593 TTR196583:TTR196593 UDN196583:UDN196593 UNJ196583:UNJ196593 UXF196583:UXF196593 VHB196583:VHB196593 VQX196583:VQX196593 WAT196583:WAT196593 WKP196583:WKP196593 WUL196583:WUL196593 C262119:C262129 HZ262119:HZ262129 RV262119:RV262129 ABR262119:ABR262129 ALN262119:ALN262129 AVJ262119:AVJ262129 BFF262119:BFF262129 BPB262119:BPB262129 BYX262119:BYX262129 CIT262119:CIT262129 CSP262119:CSP262129 DCL262119:DCL262129 DMH262119:DMH262129 DWD262119:DWD262129 EFZ262119:EFZ262129 EPV262119:EPV262129 EZR262119:EZR262129 FJN262119:FJN262129 FTJ262119:FTJ262129 GDF262119:GDF262129 GNB262119:GNB262129 GWX262119:GWX262129 HGT262119:HGT262129 HQP262119:HQP262129 IAL262119:IAL262129 IKH262119:IKH262129 IUD262119:IUD262129 JDZ262119:JDZ262129 JNV262119:JNV262129 JXR262119:JXR262129 KHN262119:KHN262129 KRJ262119:KRJ262129 LBF262119:LBF262129 LLB262119:LLB262129 LUX262119:LUX262129 MET262119:MET262129 MOP262119:MOP262129 MYL262119:MYL262129 NIH262119:NIH262129 NSD262119:NSD262129 OBZ262119:OBZ262129 OLV262119:OLV262129 OVR262119:OVR262129 PFN262119:PFN262129 PPJ262119:PPJ262129 PZF262119:PZF262129 QJB262119:QJB262129 QSX262119:QSX262129 RCT262119:RCT262129 RMP262119:RMP262129 RWL262119:RWL262129 SGH262119:SGH262129 SQD262119:SQD262129 SZZ262119:SZZ262129 TJV262119:TJV262129 TTR262119:TTR262129 UDN262119:UDN262129 UNJ262119:UNJ262129 UXF262119:UXF262129 VHB262119:VHB262129 VQX262119:VQX262129 WAT262119:WAT262129 WKP262119:WKP262129 WUL262119:WUL262129 C327655:C327665 HZ327655:HZ327665 RV327655:RV327665 ABR327655:ABR327665 ALN327655:ALN327665 AVJ327655:AVJ327665 BFF327655:BFF327665 BPB327655:BPB327665 BYX327655:BYX327665 CIT327655:CIT327665 CSP327655:CSP327665 DCL327655:DCL327665 DMH327655:DMH327665 DWD327655:DWD327665 EFZ327655:EFZ327665 EPV327655:EPV327665 EZR327655:EZR327665 FJN327655:FJN327665 FTJ327655:FTJ327665 GDF327655:GDF327665 GNB327655:GNB327665 GWX327655:GWX327665 HGT327655:HGT327665 HQP327655:HQP327665 IAL327655:IAL327665 IKH327655:IKH327665 IUD327655:IUD327665 JDZ327655:JDZ327665 JNV327655:JNV327665 JXR327655:JXR327665 KHN327655:KHN327665 KRJ327655:KRJ327665 LBF327655:LBF327665 LLB327655:LLB327665 LUX327655:LUX327665 MET327655:MET327665 MOP327655:MOP327665 MYL327655:MYL327665 NIH327655:NIH327665 NSD327655:NSD327665 OBZ327655:OBZ327665 OLV327655:OLV327665 OVR327655:OVR327665 PFN327655:PFN327665 PPJ327655:PPJ327665 PZF327655:PZF327665 QJB327655:QJB327665 QSX327655:QSX327665 RCT327655:RCT327665 RMP327655:RMP327665 RWL327655:RWL327665 SGH327655:SGH327665 SQD327655:SQD327665 SZZ327655:SZZ327665 TJV327655:TJV327665 TTR327655:TTR327665 UDN327655:UDN327665 UNJ327655:UNJ327665 UXF327655:UXF327665 VHB327655:VHB327665 VQX327655:VQX327665 WAT327655:WAT327665 WKP327655:WKP327665 WUL327655:WUL327665 C393191:C393201 HZ393191:HZ393201 RV393191:RV393201 ABR393191:ABR393201 ALN393191:ALN393201 AVJ393191:AVJ393201 BFF393191:BFF393201 BPB393191:BPB393201 BYX393191:BYX393201 CIT393191:CIT393201 CSP393191:CSP393201 DCL393191:DCL393201 DMH393191:DMH393201 DWD393191:DWD393201 EFZ393191:EFZ393201 EPV393191:EPV393201 EZR393191:EZR393201 FJN393191:FJN393201 FTJ393191:FTJ393201 GDF393191:GDF393201 GNB393191:GNB393201 GWX393191:GWX393201 HGT393191:HGT393201 HQP393191:HQP393201 IAL393191:IAL393201 IKH393191:IKH393201 IUD393191:IUD393201 JDZ393191:JDZ393201 JNV393191:JNV393201 JXR393191:JXR393201 KHN393191:KHN393201 KRJ393191:KRJ393201 LBF393191:LBF393201 LLB393191:LLB393201 LUX393191:LUX393201 MET393191:MET393201 MOP393191:MOP393201 MYL393191:MYL393201 NIH393191:NIH393201 NSD393191:NSD393201 OBZ393191:OBZ393201 OLV393191:OLV393201 OVR393191:OVR393201 PFN393191:PFN393201 PPJ393191:PPJ393201 PZF393191:PZF393201 QJB393191:QJB393201 QSX393191:QSX393201 RCT393191:RCT393201 RMP393191:RMP393201 RWL393191:RWL393201 SGH393191:SGH393201 SQD393191:SQD393201 SZZ393191:SZZ393201 TJV393191:TJV393201 TTR393191:TTR393201 UDN393191:UDN393201 UNJ393191:UNJ393201 UXF393191:UXF393201 VHB393191:VHB393201 VQX393191:VQX393201 WAT393191:WAT393201 WKP393191:WKP393201 WUL393191:WUL393201 C458727:C458737 HZ458727:HZ458737 RV458727:RV458737 ABR458727:ABR458737 ALN458727:ALN458737 AVJ458727:AVJ458737 BFF458727:BFF458737 BPB458727:BPB458737 BYX458727:BYX458737 CIT458727:CIT458737 CSP458727:CSP458737 DCL458727:DCL458737 DMH458727:DMH458737 DWD458727:DWD458737 EFZ458727:EFZ458737 EPV458727:EPV458737 EZR458727:EZR458737 FJN458727:FJN458737 FTJ458727:FTJ458737 GDF458727:GDF458737 GNB458727:GNB458737 GWX458727:GWX458737 HGT458727:HGT458737 HQP458727:HQP458737 IAL458727:IAL458737 IKH458727:IKH458737 IUD458727:IUD458737 JDZ458727:JDZ458737 JNV458727:JNV458737 JXR458727:JXR458737 KHN458727:KHN458737 KRJ458727:KRJ458737 LBF458727:LBF458737 LLB458727:LLB458737 LUX458727:LUX458737 MET458727:MET458737 MOP458727:MOP458737 MYL458727:MYL458737 NIH458727:NIH458737 NSD458727:NSD458737 OBZ458727:OBZ458737 OLV458727:OLV458737 OVR458727:OVR458737 PFN458727:PFN458737 PPJ458727:PPJ458737 PZF458727:PZF458737 QJB458727:QJB458737 QSX458727:QSX458737 RCT458727:RCT458737 RMP458727:RMP458737 RWL458727:RWL458737 SGH458727:SGH458737 SQD458727:SQD458737 SZZ458727:SZZ458737 TJV458727:TJV458737 TTR458727:TTR458737 UDN458727:UDN458737 UNJ458727:UNJ458737 UXF458727:UXF458737 VHB458727:VHB458737 VQX458727:VQX458737 WAT458727:WAT458737 WKP458727:WKP458737 WUL458727:WUL458737 C524263:C524273 HZ524263:HZ524273 RV524263:RV524273 ABR524263:ABR524273 ALN524263:ALN524273 AVJ524263:AVJ524273 BFF524263:BFF524273 BPB524263:BPB524273 BYX524263:BYX524273 CIT524263:CIT524273 CSP524263:CSP524273 DCL524263:DCL524273 DMH524263:DMH524273 DWD524263:DWD524273 EFZ524263:EFZ524273 EPV524263:EPV524273 EZR524263:EZR524273 FJN524263:FJN524273 FTJ524263:FTJ524273 GDF524263:GDF524273 GNB524263:GNB524273 GWX524263:GWX524273 HGT524263:HGT524273 HQP524263:HQP524273 IAL524263:IAL524273 IKH524263:IKH524273 IUD524263:IUD524273 JDZ524263:JDZ524273 JNV524263:JNV524273 JXR524263:JXR524273 KHN524263:KHN524273 KRJ524263:KRJ524273 LBF524263:LBF524273 LLB524263:LLB524273 LUX524263:LUX524273 MET524263:MET524273 MOP524263:MOP524273 MYL524263:MYL524273 NIH524263:NIH524273 NSD524263:NSD524273 OBZ524263:OBZ524273 OLV524263:OLV524273 OVR524263:OVR524273 PFN524263:PFN524273 PPJ524263:PPJ524273 PZF524263:PZF524273 QJB524263:QJB524273 QSX524263:QSX524273 RCT524263:RCT524273 RMP524263:RMP524273 RWL524263:RWL524273 SGH524263:SGH524273 SQD524263:SQD524273 SZZ524263:SZZ524273 TJV524263:TJV524273 TTR524263:TTR524273 UDN524263:UDN524273 UNJ524263:UNJ524273 UXF524263:UXF524273 VHB524263:VHB524273 VQX524263:VQX524273 WAT524263:WAT524273 WKP524263:WKP524273 WUL524263:WUL524273 C589799:C589809 HZ589799:HZ589809 RV589799:RV589809 ABR589799:ABR589809 ALN589799:ALN589809 AVJ589799:AVJ589809 BFF589799:BFF589809 BPB589799:BPB589809 BYX589799:BYX589809 CIT589799:CIT589809 CSP589799:CSP589809 DCL589799:DCL589809 DMH589799:DMH589809 DWD589799:DWD589809 EFZ589799:EFZ589809 EPV589799:EPV589809 EZR589799:EZR589809 FJN589799:FJN589809 FTJ589799:FTJ589809 GDF589799:GDF589809 GNB589799:GNB589809 GWX589799:GWX589809 HGT589799:HGT589809 HQP589799:HQP589809 IAL589799:IAL589809 IKH589799:IKH589809 IUD589799:IUD589809 JDZ589799:JDZ589809 JNV589799:JNV589809 JXR589799:JXR589809 KHN589799:KHN589809 KRJ589799:KRJ589809 LBF589799:LBF589809 LLB589799:LLB589809 LUX589799:LUX589809 MET589799:MET589809 MOP589799:MOP589809 MYL589799:MYL589809 NIH589799:NIH589809 NSD589799:NSD589809 OBZ589799:OBZ589809 OLV589799:OLV589809 OVR589799:OVR589809 PFN589799:PFN589809 PPJ589799:PPJ589809 PZF589799:PZF589809 QJB589799:QJB589809 QSX589799:QSX589809 RCT589799:RCT589809 RMP589799:RMP589809 RWL589799:RWL589809 SGH589799:SGH589809 SQD589799:SQD589809 SZZ589799:SZZ589809 TJV589799:TJV589809 TTR589799:TTR589809 UDN589799:UDN589809 UNJ589799:UNJ589809 UXF589799:UXF589809 VHB589799:VHB589809 VQX589799:VQX589809 WAT589799:WAT589809 WKP589799:WKP589809 WUL589799:WUL589809 C655335:C655345 HZ655335:HZ655345 RV655335:RV655345 ABR655335:ABR655345 ALN655335:ALN655345 AVJ655335:AVJ655345 BFF655335:BFF655345 BPB655335:BPB655345 BYX655335:BYX655345 CIT655335:CIT655345 CSP655335:CSP655345 DCL655335:DCL655345 DMH655335:DMH655345 DWD655335:DWD655345 EFZ655335:EFZ655345 EPV655335:EPV655345 EZR655335:EZR655345 FJN655335:FJN655345 FTJ655335:FTJ655345 GDF655335:GDF655345 GNB655335:GNB655345 GWX655335:GWX655345 HGT655335:HGT655345 HQP655335:HQP655345 IAL655335:IAL655345 IKH655335:IKH655345 IUD655335:IUD655345 JDZ655335:JDZ655345 JNV655335:JNV655345 JXR655335:JXR655345 KHN655335:KHN655345 KRJ655335:KRJ655345 LBF655335:LBF655345 LLB655335:LLB655345 LUX655335:LUX655345 MET655335:MET655345 MOP655335:MOP655345 MYL655335:MYL655345 NIH655335:NIH655345 NSD655335:NSD655345 OBZ655335:OBZ655345 OLV655335:OLV655345 OVR655335:OVR655345 PFN655335:PFN655345 PPJ655335:PPJ655345 PZF655335:PZF655345 QJB655335:QJB655345 QSX655335:QSX655345 RCT655335:RCT655345 RMP655335:RMP655345 RWL655335:RWL655345 SGH655335:SGH655345 SQD655335:SQD655345 SZZ655335:SZZ655345 TJV655335:TJV655345 TTR655335:TTR655345 UDN655335:UDN655345 UNJ655335:UNJ655345 UXF655335:UXF655345 VHB655335:VHB655345 VQX655335:VQX655345 WAT655335:WAT655345 WKP655335:WKP655345 WUL655335:WUL655345 C720871:C720881 HZ720871:HZ720881 RV720871:RV720881 ABR720871:ABR720881 ALN720871:ALN720881 AVJ720871:AVJ720881 BFF720871:BFF720881 BPB720871:BPB720881 BYX720871:BYX720881 CIT720871:CIT720881 CSP720871:CSP720881 DCL720871:DCL720881 DMH720871:DMH720881 DWD720871:DWD720881 EFZ720871:EFZ720881 EPV720871:EPV720881 EZR720871:EZR720881 FJN720871:FJN720881 FTJ720871:FTJ720881 GDF720871:GDF720881 GNB720871:GNB720881 GWX720871:GWX720881 HGT720871:HGT720881 HQP720871:HQP720881 IAL720871:IAL720881 IKH720871:IKH720881 IUD720871:IUD720881 JDZ720871:JDZ720881 JNV720871:JNV720881 JXR720871:JXR720881 KHN720871:KHN720881 KRJ720871:KRJ720881 LBF720871:LBF720881 LLB720871:LLB720881 LUX720871:LUX720881 MET720871:MET720881 MOP720871:MOP720881 MYL720871:MYL720881 NIH720871:NIH720881 NSD720871:NSD720881 OBZ720871:OBZ720881 OLV720871:OLV720881 OVR720871:OVR720881 PFN720871:PFN720881 PPJ720871:PPJ720881 PZF720871:PZF720881 QJB720871:QJB720881 QSX720871:QSX720881 RCT720871:RCT720881 RMP720871:RMP720881 RWL720871:RWL720881 SGH720871:SGH720881 SQD720871:SQD720881 SZZ720871:SZZ720881 TJV720871:TJV720881 TTR720871:TTR720881 UDN720871:UDN720881 UNJ720871:UNJ720881 UXF720871:UXF720881 VHB720871:VHB720881 VQX720871:VQX720881 WAT720871:WAT720881 WKP720871:WKP720881 WUL720871:WUL720881 C786407:C786417 HZ786407:HZ786417 RV786407:RV786417 ABR786407:ABR786417 ALN786407:ALN786417 AVJ786407:AVJ786417 BFF786407:BFF786417 BPB786407:BPB786417 BYX786407:BYX786417 CIT786407:CIT786417 CSP786407:CSP786417 DCL786407:DCL786417 DMH786407:DMH786417 DWD786407:DWD786417 EFZ786407:EFZ786417 EPV786407:EPV786417 EZR786407:EZR786417 FJN786407:FJN786417 FTJ786407:FTJ786417 GDF786407:GDF786417 GNB786407:GNB786417 GWX786407:GWX786417 HGT786407:HGT786417 HQP786407:HQP786417 IAL786407:IAL786417 IKH786407:IKH786417 IUD786407:IUD786417 JDZ786407:JDZ786417 JNV786407:JNV786417 JXR786407:JXR786417 KHN786407:KHN786417 KRJ786407:KRJ786417 LBF786407:LBF786417 LLB786407:LLB786417 LUX786407:LUX786417 MET786407:MET786417 MOP786407:MOP786417 MYL786407:MYL786417 NIH786407:NIH786417 NSD786407:NSD786417 OBZ786407:OBZ786417 OLV786407:OLV786417 OVR786407:OVR786417 PFN786407:PFN786417 PPJ786407:PPJ786417 PZF786407:PZF786417 QJB786407:QJB786417 QSX786407:QSX786417 RCT786407:RCT786417 RMP786407:RMP786417 RWL786407:RWL786417 SGH786407:SGH786417 SQD786407:SQD786417 SZZ786407:SZZ786417 TJV786407:TJV786417 TTR786407:TTR786417 UDN786407:UDN786417 UNJ786407:UNJ786417 UXF786407:UXF786417 VHB786407:VHB786417 VQX786407:VQX786417 WAT786407:WAT786417 WKP786407:WKP786417 WUL786407:WUL786417 C851943:C851953 HZ851943:HZ851953 RV851943:RV851953 ABR851943:ABR851953 ALN851943:ALN851953 AVJ851943:AVJ851953 BFF851943:BFF851953 BPB851943:BPB851953 BYX851943:BYX851953 CIT851943:CIT851953 CSP851943:CSP851953 DCL851943:DCL851953 DMH851943:DMH851953 DWD851943:DWD851953 EFZ851943:EFZ851953 EPV851943:EPV851953 EZR851943:EZR851953 FJN851943:FJN851953 FTJ851943:FTJ851953 GDF851943:GDF851953 GNB851943:GNB851953 GWX851943:GWX851953 HGT851943:HGT851953 HQP851943:HQP851953 IAL851943:IAL851953 IKH851943:IKH851953 IUD851943:IUD851953 JDZ851943:JDZ851953 JNV851943:JNV851953 JXR851943:JXR851953 KHN851943:KHN851953 KRJ851943:KRJ851953 LBF851943:LBF851953 LLB851943:LLB851953 LUX851943:LUX851953 MET851943:MET851953 MOP851943:MOP851953 MYL851943:MYL851953 NIH851943:NIH851953 NSD851943:NSD851953 OBZ851943:OBZ851953 OLV851943:OLV851953 OVR851943:OVR851953 PFN851943:PFN851953 PPJ851943:PPJ851953 PZF851943:PZF851953 QJB851943:QJB851953 QSX851943:QSX851953 RCT851943:RCT851953 RMP851943:RMP851953 RWL851943:RWL851953 SGH851943:SGH851953 SQD851943:SQD851953 SZZ851943:SZZ851953 TJV851943:TJV851953 TTR851943:TTR851953 UDN851943:UDN851953 UNJ851943:UNJ851953 UXF851943:UXF851953 VHB851943:VHB851953 VQX851943:VQX851953 WAT851943:WAT851953 WKP851943:WKP851953 WUL851943:WUL851953 C917479:C917489 HZ917479:HZ917489 RV917479:RV917489 ABR917479:ABR917489 ALN917479:ALN917489 AVJ917479:AVJ917489 BFF917479:BFF917489 BPB917479:BPB917489 BYX917479:BYX917489 CIT917479:CIT917489 CSP917479:CSP917489 DCL917479:DCL917489 DMH917479:DMH917489 DWD917479:DWD917489 EFZ917479:EFZ917489 EPV917479:EPV917489 EZR917479:EZR917489 FJN917479:FJN917489 FTJ917479:FTJ917489 GDF917479:GDF917489 GNB917479:GNB917489 GWX917479:GWX917489 HGT917479:HGT917489 HQP917479:HQP917489 IAL917479:IAL917489 IKH917479:IKH917489 IUD917479:IUD917489 JDZ917479:JDZ917489 JNV917479:JNV917489 JXR917479:JXR917489 KHN917479:KHN917489 KRJ917479:KRJ917489 LBF917479:LBF917489 LLB917479:LLB917489 LUX917479:LUX917489 MET917479:MET917489 MOP917479:MOP917489 MYL917479:MYL917489 NIH917479:NIH917489 NSD917479:NSD917489 OBZ917479:OBZ917489 OLV917479:OLV917489 OVR917479:OVR917489 PFN917479:PFN917489 PPJ917479:PPJ917489 PZF917479:PZF917489 QJB917479:QJB917489 QSX917479:QSX917489 RCT917479:RCT917489 RMP917479:RMP917489 RWL917479:RWL917489 SGH917479:SGH917489 SQD917479:SQD917489 SZZ917479:SZZ917489 TJV917479:TJV917489 TTR917479:TTR917489 UDN917479:UDN917489 UNJ917479:UNJ917489 UXF917479:UXF917489 VHB917479:VHB917489 VQX917479:VQX917489 WAT917479:WAT917489 WKP917479:WKP917489 WUL917479:WUL917489 C983015:C983025 HZ983015:HZ983025 RV983015:RV983025 ABR983015:ABR983025 ALN983015:ALN983025 AVJ983015:AVJ983025 BFF983015:BFF983025 BPB983015:BPB983025 BYX983015:BYX983025 CIT983015:CIT983025 CSP983015:CSP983025 DCL983015:DCL983025 DMH983015:DMH983025 DWD983015:DWD983025 EFZ983015:EFZ983025 EPV983015:EPV983025 EZR983015:EZR983025 FJN983015:FJN983025 FTJ983015:FTJ983025 GDF983015:GDF983025 GNB983015:GNB983025 GWX983015:GWX983025 HGT983015:HGT983025 HQP983015:HQP983025 IAL983015:IAL983025 IKH983015:IKH983025 IUD983015:IUD983025 JDZ983015:JDZ983025 JNV983015:JNV983025 JXR983015:JXR983025 KHN983015:KHN983025 KRJ983015:KRJ983025 LBF983015:LBF983025 LLB983015:LLB983025 LUX983015:LUX983025 MET983015:MET983025 MOP983015:MOP983025 MYL983015:MYL983025 NIH983015:NIH983025 NSD983015:NSD983025 OBZ983015:OBZ983025 OLV983015:OLV983025 OVR983015:OVR983025 PFN983015:PFN983025 PPJ983015:PPJ983025 PZF983015:PZF983025 QJB983015:QJB983025 QSX983015:QSX983025 RCT983015:RCT983025 RMP983015:RMP983025 RWL983015:RWL983025 SGH983015:SGH983025 SQD983015:SQD983025 SZZ983015:SZZ983025 TJV983015:TJV983025 TTR983015:TTR983025 UDN983015:UDN983025 UNJ983015:UNJ983025 UXF983015:UXF983025 VHB983015:VHB983025 VQX983015:VQX983025 WAT983015:WAT983025 WKP983015:WKP983025 WUL983015:WUL983025" xr:uid="{00000000-0002-0000-10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5" orientation="landscape" horizontalDpi="300" verticalDpi="300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4">
    <pageSetUpPr fitToPage="1"/>
  </sheetPr>
  <dimension ref="B1:S36"/>
  <sheetViews>
    <sheetView view="pageBreakPreview" zoomScale="50" zoomScaleNormal="50" zoomScaleSheetLayoutView="50" workbookViewId="0">
      <pane xSplit="2" ySplit="6" topLeftCell="C7" activePane="bottomRight" state="frozen"/>
      <selection activeCell="G12" sqref="G12"/>
      <selection pane="topRight" activeCell="G12" sqref="G12"/>
      <selection pane="bottomLeft" activeCell="G12" sqref="G12"/>
      <selection pane="bottomRight" activeCell="J13" sqref="J13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3.855468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9.2851562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20.7109375" style="5" bestFit="1" customWidth="1"/>
    <col min="18" max="18" width="1.85546875" style="5" customWidth="1"/>
    <col min="19" max="19" width="13.28515625" style="5" bestFit="1" customWidth="1"/>
    <col min="20" max="16384" width="9.140625" style="5"/>
  </cols>
  <sheetData>
    <row r="1" spans="2:19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19" s="1" customFormat="1" ht="26.25" x14ac:dyDescent="0.4">
      <c r="B2" s="759" t="s">
        <v>136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19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19" ht="33" customHeight="1" outlineLevel="1" x14ac:dyDescent="0.35">
      <c r="B4" s="6" t="s">
        <v>1</v>
      </c>
      <c r="C4" s="7">
        <f>155*31</f>
        <v>4805</v>
      </c>
      <c r="D4" s="8"/>
      <c r="E4" s="9"/>
      <c r="F4" s="10"/>
      <c r="G4" s="7">
        <f>80*31</f>
        <v>2480</v>
      </c>
      <c r="H4" s="11"/>
      <c r="I4" s="11"/>
      <c r="J4" s="11"/>
      <c r="K4" s="7">
        <f>80*31</f>
        <v>2480</v>
      </c>
      <c r="L4" s="12"/>
      <c r="M4" s="12"/>
      <c r="N4" s="12"/>
      <c r="O4" s="12"/>
      <c r="P4" s="12"/>
      <c r="Q4" s="13"/>
    </row>
    <row r="5" spans="2:19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128</v>
      </c>
      <c r="P5" s="763"/>
      <c r="Q5" s="764"/>
    </row>
    <row r="6" spans="2:19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19" s="94" customFormat="1" ht="33" customHeight="1" outlineLevel="1" x14ac:dyDescent="0.3">
      <c r="B7" s="89" t="s">
        <v>37</v>
      </c>
      <c r="C7" s="90">
        <v>9</v>
      </c>
      <c r="D7" s="91">
        <f t="shared" ref="D7:D16" si="0">+IF(C$24=0,0,C7/C$24)</f>
        <v>1.935483870967742E-2</v>
      </c>
      <c r="E7" s="92">
        <f>IF(C7=0,0,F7/C7)</f>
        <v>1950.7244444444445</v>
      </c>
      <c r="F7" s="93">
        <v>17556.52</v>
      </c>
      <c r="G7" s="90">
        <v>50</v>
      </c>
      <c r="H7" s="91">
        <f t="shared" ref="H7:H16" si="1">+IF(G$24=0,0,G7/G$24)</f>
        <v>3.9808917197452227E-2</v>
      </c>
      <c r="I7" s="92">
        <f>IF(G7=0,0,J7/G7)</f>
        <v>1229.22</v>
      </c>
      <c r="J7" s="93">
        <v>61461</v>
      </c>
      <c r="K7" s="90">
        <f>'DJanuary 2023'!D38</f>
        <v>0</v>
      </c>
      <c r="L7" s="91">
        <f>+IF(K$24=0,0,K7/K$24)</f>
        <v>0</v>
      </c>
      <c r="M7" s="92">
        <f>IF(K7=0,0,N7/K7)</f>
        <v>0</v>
      </c>
      <c r="N7" s="93">
        <f>'DJanuary 2023'!D39</f>
        <v>0</v>
      </c>
      <c r="O7" s="90">
        <f t="shared" ref="O7:O24" si="2">K7-G7</f>
        <v>-50</v>
      </c>
      <c r="P7" s="92">
        <f t="shared" ref="P7:P24" si="3">M7-I7</f>
        <v>-1229.22</v>
      </c>
      <c r="Q7" s="93">
        <f t="shared" ref="Q7:Q24" si="4">N7-J7</f>
        <v>-61461</v>
      </c>
      <c r="S7" s="210"/>
    </row>
    <row r="8" spans="2:19" s="94" customFormat="1" ht="33" customHeight="1" outlineLevel="1" x14ac:dyDescent="0.3">
      <c r="B8" s="89" t="s">
        <v>38</v>
      </c>
      <c r="C8" s="90">
        <v>333</v>
      </c>
      <c r="D8" s="91">
        <f t="shared" si="0"/>
        <v>0.71612903225806457</v>
      </c>
      <c r="E8" s="92">
        <f>IF(C8=0,0,F8/C8)</f>
        <v>1411.2470270270271</v>
      </c>
      <c r="F8" s="93">
        <v>469945.26</v>
      </c>
      <c r="G8" s="90">
        <v>899</v>
      </c>
      <c r="H8" s="91">
        <f t="shared" si="1"/>
        <v>0.71576433121019112</v>
      </c>
      <c r="I8" s="92">
        <f>IF(G8=0,0,J8/G8)</f>
        <v>1994.6084538375974</v>
      </c>
      <c r="J8" s="93">
        <v>1793153</v>
      </c>
      <c r="K8" s="90">
        <f>'DJanuary 2023'!F38</f>
        <v>671</v>
      </c>
      <c r="L8" s="91">
        <f t="shared" ref="L8:L16" si="5">+IF(K$24=0,0,K8/K$24)</f>
        <v>0.38233618233618233</v>
      </c>
      <c r="M8" s="92">
        <f>IF(K8=0,0,N8/K8)</f>
        <v>2145.2929388971688</v>
      </c>
      <c r="N8" s="93">
        <f>'DJanuary 2023'!F39</f>
        <v>1439491.5620000004</v>
      </c>
      <c r="O8" s="90">
        <f t="shared" si="2"/>
        <v>-228</v>
      </c>
      <c r="P8" s="92">
        <f t="shared" si="3"/>
        <v>150.68448505957144</v>
      </c>
      <c r="Q8" s="93">
        <f t="shared" si="4"/>
        <v>-353661.43799999962</v>
      </c>
      <c r="S8" s="210"/>
    </row>
    <row r="9" spans="2:19" s="94" customFormat="1" ht="20.25" outlineLevel="1" x14ac:dyDescent="0.3">
      <c r="B9" s="89" t="s">
        <v>44</v>
      </c>
      <c r="C9" s="90">
        <v>14</v>
      </c>
      <c r="D9" s="91">
        <f t="shared" si="0"/>
        <v>3.0107526881720432E-2</v>
      </c>
      <c r="E9" s="92">
        <f>IF(C9=0,0,F9/C9)</f>
        <v>1314.5964285714285</v>
      </c>
      <c r="F9" s="93">
        <v>18404.349999999999</v>
      </c>
      <c r="G9" s="90">
        <v>43</v>
      </c>
      <c r="H9" s="91">
        <f t="shared" si="1"/>
        <v>3.4235668789808917E-2</v>
      </c>
      <c r="I9" s="92">
        <f>IF(G9=0,0,J9/G9)</f>
        <v>1549.2790697674418</v>
      </c>
      <c r="J9" s="93">
        <v>66619</v>
      </c>
      <c r="K9" s="90">
        <f>'DJanuary 2023'!H38</f>
        <v>36</v>
      </c>
      <c r="L9" s="91">
        <f t="shared" si="5"/>
        <v>2.0512820512820513E-2</v>
      </c>
      <c r="M9" s="92">
        <f>IF(K9=0,0,N9/K9)</f>
        <v>1472.4588888888889</v>
      </c>
      <c r="N9" s="93">
        <f>'DJanuary 2023'!H39</f>
        <v>53008.52</v>
      </c>
      <c r="O9" s="90">
        <f t="shared" si="2"/>
        <v>-7</v>
      </c>
      <c r="P9" s="92">
        <f t="shared" si="3"/>
        <v>-76.820180878552947</v>
      </c>
      <c r="Q9" s="93">
        <f t="shared" si="4"/>
        <v>-13610.480000000003</v>
      </c>
      <c r="S9" s="210"/>
    </row>
    <row r="10" spans="2:19" ht="33" customHeight="1" x14ac:dyDescent="0.35">
      <c r="B10" s="20" t="s">
        <v>36</v>
      </c>
      <c r="C10" s="55">
        <f>SUM(C7:C9)</f>
        <v>356</v>
      </c>
      <c r="D10" s="21">
        <f t="shared" si="0"/>
        <v>0.7655913978494624</v>
      </c>
      <c r="E10" s="58">
        <f>IF(C10=0,0,F10/C10)</f>
        <v>1421.0846348314608</v>
      </c>
      <c r="F10" s="59">
        <f>SUM(F7:F9)</f>
        <v>505906.13</v>
      </c>
      <c r="G10" s="55">
        <f>SUM(G7:G9)</f>
        <v>992</v>
      </c>
      <c r="H10" s="21">
        <f t="shared" si="1"/>
        <v>0.78980891719745228</v>
      </c>
      <c r="I10" s="58">
        <f>IF(G10=0,0,J10/G10)</f>
        <v>1936.726814516129</v>
      </c>
      <c r="J10" s="59">
        <f>SUM(J7:J9)</f>
        <v>1921233</v>
      </c>
      <c r="K10" s="55">
        <f>SUM(K7:K9)</f>
        <v>707</v>
      </c>
      <c r="L10" s="21">
        <f t="shared" si="5"/>
        <v>0.40284900284900282</v>
      </c>
      <c r="M10" s="58">
        <f>IF(K10=0,0,N10/K10)</f>
        <v>2111.0326478076386</v>
      </c>
      <c r="N10" s="59">
        <f>SUM(N7:N9)</f>
        <v>1492500.0820000004</v>
      </c>
      <c r="O10" s="55">
        <f t="shared" si="2"/>
        <v>-285</v>
      </c>
      <c r="P10" s="58">
        <f t="shared" si="3"/>
        <v>174.30583329150954</v>
      </c>
      <c r="Q10" s="59">
        <f t="shared" si="4"/>
        <v>-428732.9179999996</v>
      </c>
      <c r="S10" s="210"/>
    </row>
    <row r="11" spans="2:19" s="94" customFormat="1" ht="33" customHeight="1" x14ac:dyDescent="0.3">
      <c r="B11" s="89" t="s">
        <v>40</v>
      </c>
      <c r="C11" s="90">
        <v>8</v>
      </c>
      <c r="D11" s="91">
        <f t="shared" si="0"/>
        <v>1.7204301075268817E-2</v>
      </c>
      <c r="E11" s="92">
        <f t="shared" ref="E11:E16" si="6">IF(C11=0,0,F11/C11)</f>
        <v>1147.83</v>
      </c>
      <c r="F11" s="93">
        <v>9182.64</v>
      </c>
      <c r="G11" s="90">
        <v>46</v>
      </c>
      <c r="H11" s="91">
        <f t="shared" si="1"/>
        <v>3.662420382165605E-2</v>
      </c>
      <c r="I11" s="92">
        <f t="shared" ref="I11:I16" si="7">IF(G11=0,0,J11/G11)</f>
        <v>2614.1739130434785</v>
      </c>
      <c r="J11" s="93">
        <v>120252</v>
      </c>
      <c r="K11" s="90">
        <f>'DJanuary 2023'!J38</f>
        <v>238</v>
      </c>
      <c r="L11" s="91">
        <f t="shared" si="5"/>
        <v>0.13561253561253561</v>
      </c>
      <c r="M11" s="92">
        <f t="shared" ref="M11:M16" si="8">IF(K11=0,0,N11/K11)</f>
        <v>1914.9534778381906</v>
      </c>
      <c r="N11" s="93">
        <f>'DJanuary 2023'!J39</f>
        <v>455758.92772548937</v>
      </c>
      <c r="O11" s="90">
        <f t="shared" si="2"/>
        <v>192</v>
      </c>
      <c r="P11" s="92">
        <f t="shared" si="3"/>
        <v>-699.22043520528791</v>
      </c>
      <c r="Q11" s="93">
        <f t="shared" si="4"/>
        <v>335506.92772548937</v>
      </c>
      <c r="S11" s="210"/>
    </row>
    <row r="12" spans="2:19" s="94" customFormat="1" ht="33" customHeight="1" x14ac:dyDescent="0.3">
      <c r="B12" s="89" t="s">
        <v>41</v>
      </c>
      <c r="C12" s="90">
        <v>3</v>
      </c>
      <c r="D12" s="91">
        <f t="shared" si="0"/>
        <v>6.4516129032258064E-3</v>
      </c>
      <c r="E12" s="92">
        <f t="shared" si="6"/>
        <v>1213.04</v>
      </c>
      <c r="F12" s="93">
        <v>3639.12</v>
      </c>
      <c r="G12" s="90">
        <v>60</v>
      </c>
      <c r="H12" s="91">
        <f t="shared" si="1"/>
        <v>4.7770700636942678E-2</v>
      </c>
      <c r="I12" s="92">
        <f t="shared" si="7"/>
        <v>2121.6666666666665</v>
      </c>
      <c r="J12" s="93">
        <v>127300</v>
      </c>
      <c r="K12" s="90">
        <f>'DJanuary 2023'!L38</f>
        <v>348</v>
      </c>
      <c r="L12" s="91">
        <f t="shared" si="5"/>
        <v>0.19829059829059828</v>
      </c>
      <c r="M12" s="92">
        <f t="shared" si="8"/>
        <v>1843.6191781609198</v>
      </c>
      <c r="N12" s="93">
        <f>'DJanuary 2023'!L39</f>
        <v>641579.47400000005</v>
      </c>
      <c r="O12" s="90">
        <f t="shared" si="2"/>
        <v>288</v>
      </c>
      <c r="P12" s="92">
        <f t="shared" si="3"/>
        <v>-278.04748850574674</v>
      </c>
      <c r="Q12" s="93">
        <f t="shared" si="4"/>
        <v>514279.47400000005</v>
      </c>
      <c r="S12" s="210"/>
    </row>
    <row r="13" spans="2:19" ht="33" customHeight="1" x14ac:dyDescent="0.35">
      <c r="B13" s="20" t="s">
        <v>39</v>
      </c>
      <c r="C13" s="55">
        <f>SUM(C11:C12)</f>
        <v>11</v>
      </c>
      <c r="D13" s="21">
        <f t="shared" si="0"/>
        <v>2.3655913978494623E-2</v>
      </c>
      <c r="E13" s="58">
        <f t="shared" si="6"/>
        <v>1165.6145454545454</v>
      </c>
      <c r="F13" s="59">
        <f>SUM(F11:F12)</f>
        <v>12821.759999999998</v>
      </c>
      <c r="G13" s="55">
        <f>SUM(G11:G12)</f>
        <v>106</v>
      </c>
      <c r="H13" s="21">
        <f t="shared" si="1"/>
        <v>8.4394904458598721E-2</v>
      </c>
      <c r="I13" s="58">
        <f t="shared" si="7"/>
        <v>2335.3962264150941</v>
      </c>
      <c r="J13" s="59">
        <f>SUM(J11:J12)</f>
        <v>247552</v>
      </c>
      <c r="K13" s="55">
        <f>SUM(K11:K12)</f>
        <v>586</v>
      </c>
      <c r="L13" s="21">
        <f t="shared" si="5"/>
        <v>0.33390313390313392</v>
      </c>
      <c r="M13" s="58">
        <f t="shared" si="8"/>
        <v>1872.5911292243848</v>
      </c>
      <c r="N13" s="59">
        <f>SUM(N11:N12)</f>
        <v>1097338.4017254894</v>
      </c>
      <c r="O13" s="55">
        <f t="shared" si="2"/>
        <v>480</v>
      </c>
      <c r="P13" s="58">
        <f t="shared" si="3"/>
        <v>-462.80509719070938</v>
      </c>
      <c r="Q13" s="59">
        <f t="shared" si="4"/>
        <v>849786.40172548941</v>
      </c>
      <c r="S13" s="210"/>
    </row>
    <row r="14" spans="2:19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6"/>
        <v>0</v>
      </c>
      <c r="F14" s="95">
        <v>0</v>
      </c>
      <c r="G14" s="90">
        <v>113</v>
      </c>
      <c r="H14" s="91">
        <f t="shared" si="1"/>
        <v>8.9968152866242032E-2</v>
      </c>
      <c r="I14" s="92">
        <f t="shared" si="7"/>
        <v>1574.6814159292035</v>
      </c>
      <c r="J14" s="95">
        <v>177939</v>
      </c>
      <c r="K14" s="90">
        <f>'DJanuary 2023'!N38</f>
        <v>0</v>
      </c>
      <c r="L14" s="91">
        <f t="shared" si="5"/>
        <v>0</v>
      </c>
      <c r="M14" s="92">
        <f t="shared" si="8"/>
        <v>0</v>
      </c>
      <c r="N14" s="95">
        <f>'DJanuary 2023'!N39:O39</f>
        <v>0</v>
      </c>
      <c r="O14" s="90">
        <f t="shared" si="2"/>
        <v>-113</v>
      </c>
      <c r="P14" s="92">
        <f t="shared" si="3"/>
        <v>-1574.6814159292035</v>
      </c>
      <c r="Q14" s="96">
        <f t="shared" si="4"/>
        <v>-177939</v>
      </c>
      <c r="S14" s="210"/>
    </row>
    <row r="15" spans="2:19" s="94" customFormat="1" ht="33" customHeight="1" x14ac:dyDescent="0.3">
      <c r="B15" s="89" t="s">
        <v>43</v>
      </c>
      <c r="C15" s="90">
        <v>87</v>
      </c>
      <c r="D15" s="91">
        <f t="shared" si="0"/>
        <v>0.18709677419354839</v>
      </c>
      <c r="E15" s="92">
        <f t="shared" si="6"/>
        <v>1330.9833333333333</v>
      </c>
      <c r="F15" s="95">
        <v>115795.55</v>
      </c>
      <c r="G15" s="90">
        <v>45</v>
      </c>
      <c r="H15" s="91">
        <f t="shared" si="1"/>
        <v>3.5828025477707005E-2</v>
      </c>
      <c r="I15" s="92">
        <f t="shared" si="7"/>
        <v>2537.4666666666667</v>
      </c>
      <c r="J15" s="95">
        <v>114186</v>
      </c>
      <c r="K15" s="90">
        <f>'DJanuary 2023'!P38</f>
        <v>462</v>
      </c>
      <c r="L15" s="91">
        <f t="shared" si="5"/>
        <v>0.26324786324786326</v>
      </c>
      <c r="M15" s="92">
        <f t="shared" si="8"/>
        <v>1193.7360606060599</v>
      </c>
      <c r="N15" s="95">
        <f>'DJanuary 2023'!P39</f>
        <v>551506.05999999971</v>
      </c>
      <c r="O15" s="90">
        <f t="shared" si="2"/>
        <v>417</v>
      </c>
      <c r="P15" s="92">
        <f t="shared" si="3"/>
        <v>-1343.7306060606068</v>
      </c>
      <c r="Q15" s="96">
        <f t="shared" si="4"/>
        <v>437320.05999999971</v>
      </c>
      <c r="S15" s="210"/>
    </row>
    <row r="16" spans="2:19" ht="33" customHeight="1" x14ac:dyDescent="0.35">
      <c r="B16" s="20" t="s">
        <v>42</v>
      </c>
      <c r="C16" s="55">
        <f>SUM(C14:C15)</f>
        <v>87</v>
      </c>
      <c r="D16" s="21">
        <f t="shared" si="0"/>
        <v>0.18709677419354839</v>
      </c>
      <c r="E16" s="58">
        <f t="shared" si="6"/>
        <v>1330.9833333333333</v>
      </c>
      <c r="F16" s="87">
        <f>SUM(F14:F15)</f>
        <v>115795.55</v>
      </c>
      <c r="G16" s="55">
        <f>SUM(G14:G15)</f>
        <v>158</v>
      </c>
      <c r="H16" s="21">
        <f t="shared" si="1"/>
        <v>0.12579617834394904</v>
      </c>
      <c r="I16" s="58">
        <f t="shared" si="7"/>
        <v>1848.8924050632911</v>
      </c>
      <c r="J16" s="87">
        <f>SUM(J14:J15)</f>
        <v>292125</v>
      </c>
      <c r="K16" s="55">
        <f>SUM(K14:K15)</f>
        <v>462</v>
      </c>
      <c r="L16" s="21">
        <f t="shared" si="5"/>
        <v>0.26324786324786326</v>
      </c>
      <c r="M16" s="58">
        <f t="shared" si="8"/>
        <v>1193.7360606060599</v>
      </c>
      <c r="N16" s="87">
        <f>SUM(N14:N15)</f>
        <v>551506.05999999971</v>
      </c>
      <c r="O16" s="55">
        <f t="shared" si="2"/>
        <v>304</v>
      </c>
      <c r="P16" s="58">
        <f t="shared" si="3"/>
        <v>-655.15634445723117</v>
      </c>
      <c r="Q16" s="88">
        <f t="shared" si="4"/>
        <v>259381.05999999971</v>
      </c>
      <c r="S16" s="210"/>
    </row>
    <row r="17" spans="2:19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S17" s="210"/>
    </row>
    <row r="18" spans="2:19" ht="33" hidden="1" customHeight="1" x14ac:dyDescent="0.35">
      <c r="B18" s="22" t="s">
        <v>13</v>
      </c>
      <c r="C18" s="56">
        <f>C8+C9+C11+C12</f>
        <v>358</v>
      </c>
      <c r="D18" s="23">
        <f>+IF(C$24=0,0,C18/C$24)</f>
        <v>0.76989247311827957</v>
      </c>
      <c r="E18" s="60">
        <f>IF(C18=0,0,F18/C18)</f>
        <v>1399.9200279329609</v>
      </c>
      <c r="F18" s="61">
        <f>F8+F9+F11+F12</f>
        <v>501171.37</v>
      </c>
      <c r="G18" s="56">
        <f>G8+G9+G11+G12</f>
        <v>1048</v>
      </c>
      <c r="H18" s="23">
        <f>+IF(G$24=0,0,G18/G$24)</f>
        <v>0.83439490445859876</v>
      </c>
      <c r="I18" s="60">
        <f>IF(G18=0,0,J18/G18)</f>
        <v>2010.8053435114505</v>
      </c>
      <c r="J18" s="61">
        <f>J8+J9+J11+J12</f>
        <v>2107324</v>
      </c>
      <c r="K18" s="56">
        <f>K8+K9+K11+K12</f>
        <v>1293</v>
      </c>
      <c r="L18" s="23">
        <f>+IF(K$24=0,0,K18/K$24)</f>
        <v>0.7367521367521368</v>
      </c>
      <c r="M18" s="60">
        <f>IF(K18=0,0,N18/K18)</f>
        <v>2002.9686649075711</v>
      </c>
      <c r="N18" s="61">
        <f>N8+N9+N11+N12</f>
        <v>2589838.4837254896</v>
      </c>
      <c r="O18" s="56">
        <f t="shared" si="2"/>
        <v>245</v>
      </c>
      <c r="P18" s="60">
        <f t="shared" si="3"/>
        <v>-7.8366786038793634</v>
      </c>
      <c r="Q18" s="66">
        <f t="shared" si="4"/>
        <v>482514.48372548958</v>
      </c>
      <c r="S18" s="210"/>
    </row>
    <row r="19" spans="2:19" ht="33" hidden="1" customHeight="1" x14ac:dyDescent="0.35">
      <c r="B19" s="22" t="s">
        <v>45</v>
      </c>
      <c r="C19" s="105">
        <f>C7+C14+C15</f>
        <v>96</v>
      </c>
      <c r="D19" s="106">
        <f>+IF(C$24=0,0,C19/C$24)</f>
        <v>0.20645161290322581</v>
      </c>
      <c r="E19" s="107">
        <f>IF(C19=0,0,F19/C19)</f>
        <v>1389.0840625000001</v>
      </c>
      <c r="F19" s="108">
        <f>F7+F14+F15</f>
        <v>133352.07</v>
      </c>
      <c r="G19" s="105">
        <f>G7+G14+G15</f>
        <v>208</v>
      </c>
      <c r="H19" s="106">
        <f>+IF(G$24=0,0,G19/G$24)</f>
        <v>0.16560509554140126</v>
      </c>
      <c r="I19" s="107">
        <f>IF(G19=0,0,J19/G19)</f>
        <v>1699.9326923076924</v>
      </c>
      <c r="J19" s="108">
        <f>J7+J14+J15</f>
        <v>353586</v>
      </c>
      <c r="K19" s="105">
        <f>K7+K14+K15</f>
        <v>462</v>
      </c>
      <c r="L19" s="106">
        <f>+IF(K$24=0,0,K19/K$24)</f>
        <v>0.26324786324786326</v>
      </c>
      <c r="M19" s="107">
        <f>IF(K19=0,0,N19/K19)</f>
        <v>1193.7360606060599</v>
      </c>
      <c r="N19" s="108">
        <f>N7+N14+N15</f>
        <v>551506.05999999971</v>
      </c>
      <c r="O19" s="56">
        <f t="shared" si="2"/>
        <v>254</v>
      </c>
      <c r="P19" s="60">
        <f t="shared" si="3"/>
        <v>-506.19663170163244</v>
      </c>
      <c r="Q19" s="66">
        <f t="shared" si="4"/>
        <v>197920.05999999971</v>
      </c>
      <c r="S19" s="210"/>
    </row>
    <row r="20" spans="2:19" ht="33" customHeight="1" x14ac:dyDescent="0.35">
      <c r="B20" s="28" t="s">
        <v>16</v>
      </c>
      <c r="C20" s="56">
        <f>C18+C19</f>
        <v>454</v>
      </c>
      <c r="D20" s="23">
        <f>+IF(C$24=0,0,C20/C$24)</f>
        <v>0.97634408602150535</v>
      </c>
      <c r="E20" s="60">
        <f>IF(C20=0,0,F20/C20)</f>
        <v>1397.6287224669602</v>
      </c>
      <c r="F20" s="64">
        <f>F18+F19</f>
        <v>634523.43999999994</v>
      </c>
      <c r="G20" s="56">
        <f>G18+G19</f>
        <v>1256</v>
      </c>
      <c r="H20" s="23">
        <f>+IF(G$24=0,0,G20/G$24)</f>
        <v>1</v>
      </c>
      <c r="I20" s="60">
        <f>IF(G20=0,0,J20/G20)</f>
        <v>1959.3232484076434</v>
      </c>
      <c r="J20" s="64">
        <f>J18+J19</f>
        <v>2460910</v>
      </c>
      <c r="K20" s="56">
        <f>K18+K19</f>
        <v>1755</v>
      </c>
      <c r="L20" s="23">
        <f>+IF(K$24=0,0,K20/K$24)</f>
        <v>1</v>
      </c>
      <c r="M20" s="60">
        <f>IF(K20=0,0,N20/K20)</f>
        <v>1789.9399109546946</v>
      </c>
      <c r="N20" s="64">
        <f>N18+N19</f>
        <v>3141344.5437254892</v>
      </c>
      <c r="O20" s="56">
        <f t="shared" si="2"/>
        <v>499</v>
      </c>
      <c r="P20" s="60">
        <f t="shared" si="3"/>
        <v>-169.38333745294881</v>
      </c>
      <c r="Q20" s="66">
        <f t="shared" si="4"/>
        <v>680434.54372548917</v>
      </c>
    </row>
    <row r="21" spans="2:19" ht="33" customHeight="1" x14ac:dyDescent="0.35">
      <c r="B21" s="29" t="s">
        <v>17</v>
      </c>
      <c r="C21" s="24">
        <f>IF(C4=0,C20,C20/$C$4)</f>
        <v>9.4484911550468259E-2</v>
      </c>
      <c r="D21" s="30"/>
      <c r="E21" s="35"/>
      <c r="F21" s="36"/>
      <c r="G21" s="24">
        <f>IF(G4=0,G20,G20/$G$4)</f>
        <v>0.50645161290322582</v>
      </c>
      <c r="H21" s="30"/>
      <c r="I21" s="35"/>
      <c r="J21" s="36"/>
      <c r="K21" s="24">
        <f>IF(K4=0,K20,K20/$K$4)</f>
        <v>0.70766129032258063</v>
      </c>
      <c r="L21" s="30"/>
      <c r="M21" s="35"/>
      <c r="N21" s="36"/>
      <c r="O21" s="54">
        <f t="shared" si="2"/>
        <v>0.2012096774193548</v>
      </c>
      <c r="P21" s="30"/>
      <c r="Q21" s="31"/>
    </row>
    <row r="22" spans="2:19" ht="33" customHeight="1" x14ac:dyDescent="0.35">
      <c r="B22" s="25" t="s">
        <v>18</v>
      </c>
      <c r="C22" s="57">
        <v>11</v>
      </c>
      <c r="D22" s="26">
        <f>+IF(C$24=0,0,C22/C$24)</f>
        <v>2.3655913978494623E-2</v>
      </c>
      <c r="E22" s="65">
        <f>IF(C22=0,0,F22/C22)</f>
        <v>-838.12</v>
      </c>
      <c r="F22" s="63">
        <v>-9219.32</v>
      </c>
      <c r="G22" s="57">
        <v>0</v>
      </c>
      <c r="H22" s="26">
        <f>+IF(G$24=0,0,G22/G$24)</f>
        <v>0</v>
      </c>
      <c r="I22" s="65">
        <f>IF(G22=0,0,J22/G22)</f>
        <v>0</v>
      </c>
      <c r="J22" s="63">
        <v>0</v>
      </c>
      <c r="K22" s="57">
        <f>'DJanuary 2023'!R38</f>
        <v>0</v>
      </c>
      <c r="L22" s="26">
        <f>+IF(K$24=0,0,K22/K$24)</f>
        <v>0</v>
      </c>
      <c r="M22" s="65">
        <f>IF(K22=0,0,N22/K22)</f>
        <v>0</v>
      </c>
      <c r="N22" s="63">
        <v>0</v>
      </c>
      <c r="O22" s="57">
        <f t="shared" si="2"/>
        <v>0</v>
      </c>
      <c r="P22" s="62">
        <f t="shared" si="3"/>
        <v>0</v>
      </c>
      <c r="Q22" s="63">
        <f t="shared" si="4"/>
        <v>0</v>
      </c>
    </row>
    <row r="23" spans="2:19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</row>
    <row r="24" spans="2:19" ht="33" customHeight="1" x14ac:dyDescent="0.35">
      <c r="B24" s="22" t="s">
        <v>20</v>
      </c>
      <c r="C24" s="56">
        <f>C10+C13+C16+C22+C23</f>
        <v>465</v>
      </c>
      <c r="D24" s="23">
        <f>+IF(C$24=0,0,C24/C$24)</f>
        <v>1</v>
      </c>
      <c r="E24" s="60">
        <f>IF(C24=0,0,F24/C24)</f>
        <v>1344.740043010753</v>
      </c>
      <c r="F24" s="64">
        <f>F10+F13+F16+F22+F23</f>
        <v>625304.12000000011</v>
      </c>
      <c r="G24" s="56">
        <f>G10+G13+G16+G22+G23</f>
        <v>1256</v>
      </c>
      <c r="H24" s="23">
        <f>+IF(G$24=0,0,G24/G$24)</f>
        <v>1</v>
      </c>
      <c r="I24" s="60">
        <f>IF(G24=0,0,J24/G24)</f>
        <v>1959.3232484076434</v>
      </c>
      <c r="J24" s="64">
        <f>J10+J13+J16+J22+J23</f>
        <v>2460910</v>
      </c>
      <c r="K24" s="56">
        <f>K10+K13+K16+K22+K23</f>
        <v>1755</v>
      </c>
      <c r="L24" s="23">
        <f>+IF(K$24=0,0,K24/K$24)</f>
        <v>1</v>
      </c>
      <c r="M24" s="60">
        <f>IF(K24=0,0,N24/K24)</f>
        <v>1789.9399109546951</v>
      </c>
      <c r="N24" s="64">
        <f>N10+N13+N16+N22+N23</f>
        <v>3141344.5437254896</v>
      </c>
      <c r="O24" s="56">
        <f t="shared" si="2"/>
        <v>499</v>
      </c>
      <c r="P24" s="60">
        <f t="shared" si="3"/>
        <v>-169.38333745294835</v>
      </c>
      <c r="Q24" s="64">
        <f t="shared" si="4"/>
        <v>680434.54372548964</v>
      </c>
    </row>
    <row r="25" spans="2:19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28"/>
      <c r="K25" s="39"/>
      <c r="L25" s="34"/>
      <c r="M25" s="30"/>
      <c r="N25" s="31"/>
      <c r="O25" s="39"/>
      <c r="P25" s="37">
        <f>IF(I24=0,(M24-I24),(M24-I24)/I24)</f>
        <v>-8.6449919680485321E-2</v>
      </c>
      <c r="Q25" s="38">
        <f>IF(J24=0,(N24-J24),(N24-J24)/J24)</f>
        <v>0.27649712656110531</v>
      </c>
    </row>
    <row r="26" spans="2:19" ht="33" customHeight="1" x14ac:dyDescent="0.35">
      <c r="B26" s="40" t="s">
        <v>21</v>
      </c>
      <c r="C26" s="41">
        <f>IF(C4=0,C24,C24/C4)</f>
        <v>9.6774193548387094E-2</v>
      </c>
      <c r="D26" s="30"/>
      <c r="E26" s="30"/>
      <c r="F26" s="31"/>
      <c r="G26" s="41">
        <f>IF(G4=0,G24,G24/G4)</f>
        <v>0.50645161290322582</v>
      </c>
      <c r="H26" s="30"/>
      <c r="I26" s="30"/>
      <c r="J26" s="31"/>
      <c r="K26" s="41">
        <f>IF(K4=0,K24,K24/K4)</f>
        <v>0.70766129032258063</v>
      </c>
      <c r="L26" s="30"/>
      <c r="M26" s="30"/>
      <c r="N26" s="31"/>
      <c r="O26" s="41">
        <f>K26-G26</f>
        <v>0.2012096774193548</v>
      </c>
      <c r="P26" s="30"/>
      <c r="Q26" s="31"/>
    </row>
    <row r="27" spans="2:19" ht="33" customHeight="1" x14ac:dyDescent="0.35">
      <c r="B27" s="42" t="s">
        <v>22</v>
      </c>
      <c r="C27" s="43">
        <f>IF(C4=0,0,F$24/C$4)</f>
        <v>130.13613319458901</v>
      </c>
      <c r="D27" s="44"/>
      <c r="E27" s="45"/>
      <c r="F27" s="46"/>
      <c r="G27" s="43">
        <f>IF(G4=0,0,J$24/G$4)</f>
        <v>992.30241935483866</v>
      </c>
      <c r="H27" s="44"/>
      <c r="I27" s="45"/>
      <c r="J27" s="46"/>
      <c r="K27" s="43">
        <f>IF(K4=0,0,N$24/K$4)</f>
        <v>1266.6711869860844</v>
      </c>
      <c r="L27" s="44"/>
      <c r="M27" s="45"/>
      <c r="N27" s="46"/>
      <c r="O27" s="43">
        <f>K27-G27</f>
        <v>274.36876763124576</v>
      </c>
      <c r="P27" s="45"/>
      <c r="Q27" s="46"/>
    </row>
    <row r="28" spans="2:19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19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19" x14ac:dyDescent="0.35">
      <c r="B30" s="358"/>
      <c r="Q30" s="86"/>
    </row>
    <row r="31" spans="2:19" x14ac:dyDescent="0.35">
      <c r="B31" s="358"/>
      <c r="Q31" s="86"/>
    </row>
    <row r="32" spans="2:19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37"/>
  <dimension ref="A1:BD50"/>
  <sheetViews>
    <sheetView view="pageBreakPreview" topLeftCell="A2" zoomScale="60" zoomScaleNormal="100" workbookViewId="0">
      <selection activeCell="L35" sqref="L35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8.28515625" style="111" bestFit="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9.7109375" style="111" bestFit="1" customWidth="1"/>
    <col min="29" max="29" width="9.140625" style="112"/>
    <col min="30" max="30" width="10.7109375" style="113" customWidth="1"/>
    <col min="31" max="31" width="8.85546875" style="112"/>
    <col min="32" max="32" width="11.5703125" style="112" customWidth="1"/>
    <col min="33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65">
        <f>'Annual 2022l2023'!C3</f>
        <v>44690</v>
      </c>
      <c r="F1" s="765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28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76"/>
      <c r="C4" s="777"/>
      <c r="D4" s="778" t="s">
        <v>137</v>
      </c>
      <c r="E4" s="779"/>
      <c r="F4" s="779"/>
      <c r="G4" s="779"/>
      <c r="H4" s="779"/>
      <c r="I4" s="779"/>
      <c r="J4" s="779"/>
      <c r="K4" s="779"/>
      <c r="L4" s="779"/>
      <c r="M4" s="779"/>
      <c r="N4" s="779"/>
      <c r="O4" s="779"/>
      <c r="P4" s="779"/>
      <c r="Q4" s="779"/>
      <c r="R4" s="779"/>
      <c r="S4" s="779"/>
      <c r="T4" s="779"/>
      <c r="U4" s="779"/>
      <c r="V4" s="779"/>
      <c r="W4" s="779"/>
      <c r="X4" s="779"/>
      <c r="Y4" s="779"/>
      <c r="Z4" s="779"/>
      <c r="AA4" s="779"/>
      <c r="AB4" s="780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81" t="s">
        <v>50</v>
      </c>
      <c r="E5" s="784"/>
      <c r="F5" s="782" t="s">
        <v>51</v>
      </c>
      <c r="G5" s="782"/>
      <c r="H5" s="773" t="s">
        <v>52</v>
      </c>
      <c r="I5" s="773"/>
      <c r="J5" s="783" t="s">
        <v>53</v>
      </c>
      <c r="K5" s="773"/>
      <c r="L5" s="783" t="s">
        <v>54</v>
      </c>
      <c r="M5" s="773"/>
      <c r="N5" s="783" t="s">
        <v>55</v>
      </c>
      <c r="O5" s="773"/>
      <c r="P5" s="783" t="s">
        <v>56</v>
      </c>
      <c r="Q5" s="773"/>
      <c r="R5" s="783" t="s">
        <v>57</v>
      </c>
      <c r="S5" s="773"/>
      <c r="T5" s="122"/>
      <c r="U5" s="774"/>
      <c r="V5" s="775"/>
      <c r="W5" s="774"/>
      <c r="X5" s="775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215" customFormat="1" ht="15.75" customHeight="1" x14ac:dyDescent="0.25">
      <c r="A7" s="307"/>
      <c r="B7" s="187" t="s">
        <v>66</v>
      </c>
      <c r="C7" s="188">
        <v>1</v>
      </c>
      <c r="D7" s="189">
        <v>0</v>
      </c>
      <c r="E7" s="190">
        <v>0</v>
      </c>
      <c r="F7" s="191">
        <v>32</v>
      </c>
      <c r="G7" s="190">
        <v>2316.4259999999999</v>
      </c>
      <c r="H7" s="191">
        <v>2</v>
      </c>
      <c r="I7" s="190">
        <v>1216.43</v>
      </c>
      <c r="J7" s="191">
        <v>0</v>
      </c>
      <c r="K7" s="192">
        <v>0</v>
      </c>
      <c r="L7" s="191">
        <v>12</v>
      </c>
      <c r="M7" s="192">
        <v>1782.8789999999999</v>
      </c>
      <c r="N7" s="191">
        <v>0</v>
      </c>
      <c r="O7" s="192">
        <v>0</v>
      </c>
      <c r="P7" s="654">
        <v>15</v>
      </c>
      <c r="Q7" s="655">
        <v>2052</v>
      </c>
      <c r="R7" s="191">
        <v>0</v>
      </c>
      <c r="S7" s="192">
        <v>0</v>
      </c>
      <c r="T7" s="192"/>
      <c r="U7" s="191"/>
      <c r="V7" s="190"/>
      <c r="W7" s="191"/>
      <c r="X7" s="190"/>
      <c r="Y7" s="193">
        <f t="shared" ref="Y7:Y34" si="0">SUM(D7,F7,H7,J7,L7,U7,W7,N7,P7,R7)</f>
        <v>61</v>
      </c>
      <c r="Z7" s="194">
        <f t="shared" ref="Z7:Z34" si="1">((D7*E7)+(F7*G7)+(H7*I7)+(J7*K7)+(L7*M7)+(U7*V7)+(W7*X7)+(N7*O7)+(P7*Q7)+(R7*S7))</f>
        <v>128733.04</v>
      </c>
      <c r="AA7" s="195">
        <f>IF(Z7=0,0,Z7/Y7)</f>
        <v>2110.3777049180326</v>
      </c>
      <c r="AB7" s="196">
        <f t="shared" ref="AB7:AB34" si="2">Y7/$AB$6</f>
        <v>0.76249999999999996</v>
      </c>
      <c r="AC7" s="143">
        <f>80-Y7</f>
        <v>19</v>
      </c>
      <c r="AD7" s="298"/>
      <c r="AE7" s="143"/>
      <c r="AF7" s="304"/>
    </row>
    <row r="8" spans="1:55" s="215" customFormat="1" ht="15.95" customHeight="1" x14ac:dyDescent="0.25">
      <c r="A8" s="306"/>
      <c r="B8" s="136" t="s">
        <v>67</v>
      </c>
      <c r="C8" s="137">
        <v>2</v>
      </c>
      <c r="D8" s="138">
        <v>0</v>
      </c>
      <c r="E8" s="139">
        <v>0</v>
      </c>
      <c r="F8" s="140">
        <v>31</v>
      </c>
      <c r="G8" s="139">
        <v>2192.5155</v>
      </c>
      <c r="H8" s="140">
        <v>2</v>
      </c>
      <c r="I8" s="139">
        <v>1243.9100000000001</v>
      </c>
      <c r="J8" s="140">
        <v>0</v>
      </c>
      <c r="K8" s="141">
        <v>0</v>
      </c>
      <c r="L8" s="140">
        <v>12</v>
      </c>
      <c r="M8" s="141">
        <v>1285.1055000000001</v>
      </c>
      <c r="N8" s="140">
        <v>0</v>
      </c>
      <c r="O8" s="141">
        <v>0</v>
      </c>
      <c r="P8" s="591">
        <v>15</v>
      </c>
      <c r="Q8" s="592">
        <v>2052</v>
      </c>
      <c r="R8" s="140">
        <v>0</v>
      </c>
      <c r="S8" s="141">
        <v>0</v>
      </c>
      <c r="T8" s="141"/>
      <c r="U8" s="140"/>
      <c r="V8" s="139"/>
      <c r="W8" s="140"/>
      <c r="X8" s="139"/>
      <c r="Y8" s="142">
        <f t="shared" si="0"/>
        <v>60</v>
      </c>
      <c r="Z8" s="143">
        <f t="shared" si="1"/>
        <v>116657.06650000002</v>
      </c>
      <c r="AA8" s="331">
        <f t="shared" ref="AA8:AA34" si="3">IF(Z8=0,0,Z8/Y8)</f>
        <v>1944.2844416666669</v>
      </c>
      <c r="AB8" s="145">
        <f t="shared" si="2"/>
        <v>0.75</v>
      </c>
      <c r="AC8" s="143">
        <f t="shared" ref="AC8:AC34" si="4">80-Y8</f>
        <v>20</v>
      </c>
      <c r="AD8" s="298"/>
      <c r="AE8" s="143"/>
      <c r="AF8" s="304"/>
    </row>
    <row r="9" spans="1:55" s="126" customFormat="1" ht="15.95" customHeight="1" x14ac:dyDescent="0.25">
      <c r="A9" s="306"/>
      <c r="B9" s="136" t="s">
        <v>68</v>
      </c>
      <c r="C9" s="137">
        <v>3</v>
      </c>
      <c r="D9" s="138">
        <v>0</v>
      </c>
      <c r="E9" s="139">
        <v>0</v>
      </c>
      <c r="F9" s="140">
        <v>44</v>
      </c>
      <c r="G9" s="139">
        <v>2307.2384999999999</v>
      </c>
      <c r="H9" s="140">
        <v>5</v>
      </c>
      <c r="I9" s="139">
        <v>1505</v>
      </c>
      <c r="J9" s="140">
        <v>0</v>
      </c>
      <c r="K9" s="141">
        <v>0</v>
      </c>
      <c r="L9" s="140">
        <v>12</v>
      </c>
      <c r="M9" s="141">
        <v>2034.2175</v>
      </c>
      <c r="N9" s="140">
        <v>0</v>
      </c>
      <c r="O9" s="141">
        <v>0</v>
      </c>
      <c r="P9" s="140">
        <v>0</v>
      </c>
      <c r="Q9" s="141">
        <v>0</v>
      </c>
      <c r="R9" s="140">
        <v>0</v>
      </c>
      <c r="S9" s="141">
        <v>0</v>
      </c>
      <c r="T9" s="141"/>
      <c r="U9" s="140"/>
      <c r="V9" s="139"/>
      <c r="W9" s="140"/>
      <c r="X9" s="139"/>
      <c r="Y9" s="142">
        <f t="shared" si="0"/>
        <v>61</v>
      </c>
      <c r="Z9" s="143">
        <f t="shared" si="1"/>
        <v>133454.10399999999</v>
      </c>
      <c r="AA9" s="144">
        <f t="shared" si="3"/>
        <v>2187.7721967213115</v>
      </c>
      <c r="AB9" s="145">
        <f t="shared" si="2"/>
        <v>0.76249999999999996</v>
      </c>
      <c r="AC9" s="143">
        <f t="shared" si="4"/>
        <v>19</v>
      </c>
      <c r="AD9" s="298"/>
      <c r="AE9" s="143"/>
      <c r="AF9" s="304"/>
    </row>
    <row r="10" spans="1:55" s="126" customFormat="1" ht="15.95" customHeight="1" x14ac:dyDescent="0.25">
      <c r="A10" s="306"/>
      <c r="B10" s="136" t="s">
        <v>69</v>
      </c>
      <c r="C10" s="137">
        <v>4</v>
      </c>
      <c r="D10" s="138">
        <v>0</v>
      </c>
      <c r="E10" s="139">
        <v>0</v>
      </c>
      <c r="F10" s="140">
        <v>48</v>
      </c>
      <c r="G10" s="139">
        <v>2102.2709166666586</v>
      </c>
      <c r="H10" s="140">
        <v>7</v>
      </c>
      <c r="I10" s="139">
        <v>1613</v>
      </c>
      <c r="J10" s="140">
        <v>0</v>
      </c>
      <c r="K10" s="141">
        <v>0</v>
      </c>
      <c r="L10" s="140">
        <v>12</v>
      </c>
      <c r="M10" s="141">
        <v>1353.1307999999999</v>
      </c>
      <c r="N10" s="140">
        <v>0</v>
      </c>
      <c r="O10" s="141">
        <v>0</v>
      </c>
      <c r="P10" s="140">
        <v>0</v>
      </c>
      <c r="Q10" s="141">
        <v>0</v>
      </c>
      <c r="R10" s="140">
        <v>0</v>
      </c>
      <c r="S10" s="141">
        <v>0</v>
      </c>
      <c r="T10" s="141"/>
      <c r="U10" s="140"/>
      <c r="V10" s="139"/>
      <c r="W10" s="140"/>
      <c r="X10" s="139"/>
      <c r="Y10" s="142">
        <f t="shared" si="0"/>
        <v>67</v>
      </c>
      <c r="Z10" s="143">
        <f t="shared" si="1"/>
        <v>128437.57359999961</v>
      </c>
      <c r="AA10" s="144">
        <f t="shared" si="3"/>
        <v>1916.9787104477555</v>
      </c>
      <c r="AB10" s="145">
        <f t="shared" si="2"/>
        <v>0.83750000000000002</v>
      </c>
      <c r="AC10" s="143">
        <f t="shared" si="4"/>
        <v>13</v>
      </c>
      <c r="AD10" s="298"/>
      <c r="AE10" s="143"/>
      <c r="AF10" s="304"/>
    </row>
    <row r="11" spans="1:55" s="222" customFormat="1" ht="15.95" customHeight="1" x14ac:dyDescent="0.25">
      <c r="A11" s="213"/>
      <c r="B11" s="150" t="s">
        <v>63</v>
      </c>
      <c r="C11" s="151">
        <v>5</v>
      </c>
      <c r="D11" s="152">
        <v>0</v>
      </c>
      <c r="E11" s="153">
        <v>0</v>
      </c>
      <c r="F11" s="154">
        <v>37</v>
      </c>
      <c r="G11" s="153">
        <v>2250.1289999999999</v>
      </c>
      <c r="H11" s="154">
        <v>2</v>
      </c>
      <c r="I11" s="153">
        <v>1505</v>
      </c>
      <c r="J11" s="154">
        <v>11</v>
      </c>
      <c r="K11" s="155">
        <v>1660.87</v>
      </c>
      <c r="L11" s="154">
        <v>12</v>
      </c>
      <c r="M11" s="155">
        <v>1353.1307999999999</v>
      </c>
      <c r="N11" s="154">
        <v>0</v>
      </c>
      <c r="O11" s="155">
        <v>0</v>
      </c>
      <c r="P11" s="154">
        <v>0</v>
      </c>
      <c r="Q11" s="155">
        <v>0</v>
      </c>
      <c r="R11" s="154">
        <v>0</v>
      </c>
      <c r="S11" s="155">
        <v>0</v>
      </c>
      <c r="T11" s="155"/>
      <c r="U11" s="154"/>
      <c r="V11" s="153"/>
      <c r="W11" s="154"/>
      <c r="X11" s="153"/>
      <c r="Y11" s="156">
        <f t="shared" si="0"/>
        <v>62</v>
      </c>
      <c r="Z11" s="157">
        <f t="shared" si="1"/>
        <v>120771.9126</v>
      </c>
      <c r="AA11" s="197">
        <f t="shared" si="3"/>
        <v>1947.9340741935482</v>
      </c>
      <c r="AB11" s="198">
        <f t="shared" si="2"/>
        <v>0.77500000000000002</v>
      </c>
      <c r="AC11" s="143">
        <f t="shared" si="4"/>
        <v>18</v>
      </c>
      <c r="AD11" s="298"/>
      <c r="AE11" s="143"/>
      <c r="AF11" s="304"/>
      <c r="AG11" s="215"/>
      <c r="AH11" s="215"/>
      <c r="AI11" s="215"/>
      <c r="AJ11" s="215"/>
      <c r="AK11" s="215"/>
      <c r="AL11" s="215"/>
      <c r="AM11" s="215"/>
      <c r="AN11" s="215"/>
      <c r="AO11" s="215"/>
      <c r="AP11" s="215"/>
      <c r="AQ11" s="215"/>
      <c r="AR11" s="215"/>
      <c r="AS11" s="215"/>
      <c r="AT11" s="215"/>
      <c r="AU11" s="215"/>
      <c r="AV11" s="215"/>
      <c r="AW11" s="215"/>
      <c r="AX11" s="215"/>
      <c r="AY11" s="215"/>
      <c r="AZ11" s="215"/>
      <c r="BA11" s="215"/>
      <c r="BB11" s="215"/>
    </row>
    <row r="12" spans="1:55" s="126" customFormat="1" ht="15.95" customHeight="1" x14ac:dyDescent="0.25">
      <c r="A12" s="213"/>
      <c r="B12" s="136" t="s">
        <v>64</v>
      </c>
      <c r="C12" s="137">
        <v>6</v>
      </c>
      <c r="D12" s="138">
        <v>0</v>
      </c>
      <c r="E12" s="139">
        <v>0</v>
      </c>
      <c r="F12" s="140">
        <v>26</v>
      </c>
      <c r="G12" s="139">
        <v>1982.883</v>
      </c>
      <c r="H12" s="140">
        <v>3</v>
      </c>
      <c r="I12" s="139">
        <v>2031.85666666666</v>
      </c>
      <c r="J12" s="140">
        <v>11</v>
      </c>
      <c r="K12" s="141">
        <v>1660.87</v>
      </c>
      <c r="L12" s="140">
        <v>12</v>
      </c>
      <c r="M12" s="141">
        <v>1612.22775</v>
      </c>
      <c r="N12" s="140">
        <v>0</v>
      </c>
      <c r="O12" s="141">
        <v>0</v>
      </c>
      <c r="P12" s="140">
        <v>0</v>
      </c>
      <c r="Q12" s="141">
        <v>0</v>
      </c>
      <c r="R12" s="140">
        <v>0</v>
      </c>
      <c r="S12" s="141">
        <v>0</v>
      </c>
      <c r="T12" s="141"/>
      <c r="U12" s="140"/>
      <c r="V12" s="139"/>
      <c r="W12" s="140"/>
      <c r="X12" s="139"/>
      <c r="Y12" s="142">
        <f t="shared" si="0"/>
        <v>52</v>
      </c>
      <c r="Z12" s="143">
        <f>((D12*E12)+(F12*G12)+(H12*I12)+(J12*K12)+(L12*M12)+(U12*V12)+(W12*X12)+(N12*O12)+(P12*Q12)+(R12*S12))</f>
        <v>95266.830999999976</v>
      </c>
      <c r="AA12" s="329">
        <f t="shared" si="3"/>
        <v>1832.0544423076919</v>
      </c>
      <c r="AB12" s="148">
        <f t="shared" si="2"/>
        <v>0.65</v>
      </c>
      <c r="AC12" s="143">
        <f t="shared" si="4"/>
        <v>28</v>
      </c>
      <c r="AD12" s="298"/>
      <c r="AE12" s="143"/>
      <c r="AF12" s="304"/>
    </row>
    <row r="13" spans="1:55" s="126" customFormat="1" ht="15.95" customHeight="1" x14ac:dyDescent="0.25">
      <c r="A13" s="213"/>
      <c r="B13" s="136" t="s">
        <v>65</v>
      </c>
      <c r="C13" s="137">
        <v>7</v>
      </c>
      <c r="D13" s="670">
        <v>30</v>
      </c>
      <c r="E13" s="594">
        <v>2191.2150000000001</v>
      </c>
      <c r="F13" s="140">
        <v>21</v>
      </c>
      <c r="G13" s="139">
        <v>3224.1195000000002</v>
      </c>
      <c r="H13" s="140">
        <v>2</v>
      </c>
      <c r="I13" s="139">
        <v>2439.5700000000002</v>
      </c>
      <c r="J13" s="140">
        <v>0</v>
      </c>
      <c r="K13" s="141">
        <v>0</v>
      </c>
      <c r="L13" s="140">
        <v>12</v>
      </c>
      <c r="M13" s="141">
        <v>1613.241</v>
      </c>
      <c r="N13" s="140">
        <v>0</v>
      </c>
      <c r="O13" s="141">
        <v>0</v>
      </c>
      <c r="P13" s="591">
        <v>6</v>
      </c>
      <c r="Q13" s="592">
        <v>2052.17</v>
      </c>
      <c r="R13" s="140">
        <v>0</v>
      </c>
      <c r="S13" s="141">
        <v>0</v>
      </c>
      <c r="T13" s="141"/>
      <c r="U13" s="140"/>
      <c r="V13" s="139"/>
      <c r="W13" s="140"/>
      <c r="X13" s="139"/>
      <c r="Y13" s="142">
        <f t="shared" ref="Y13:Y14" si="5">SUM(D13,F13,H13,J13,L13,U13,W13,N13,P13,R13)</f>
        <v>71</v>
      </c>
      <c r="Z13" s="143">
        <f t="shared" ref="Z13:Z14" si="6">((D13*E13)+(F13*G13)+(H13*I13)+(J13*K13)+(L13*M13)+(U13*V13)+(W13*X13)+(N13*O13)+(P13*Q13)+(R13*S13))</f>
        <v>169994.01149999999</v>
      </c>
      <c r="AA13" s="329">
        <f t="shared" ref="AA13:AA14" si="7">IF(Z13=0,0,Z13/Y13)</f>
        <v>2394.281852112676</v>
      </c>
      <c r="AB13" s="148">
        <f t="shared" ref="AB13:AB14" si="8">Y13/$AB$6</f>
        <v>0.88749999999999996</v>
      </c>
      <c r="AC13" s="143">
        <f t="shared" si="4"/>
        <v>9</v>
      </c>
      <c r="AD13" s="298"/>
      <c r="AE13" s="143"/>
      <c r="AF13" s="304"/>
    </row>
    <row r="14" spans="1:55" s="215" customFormat="1" ht="15.75" customHeight="1" x14ac:dyDescent="0.25">
      <c r="A14" s="149"/>
      <c r="B14" s="642" t="s">
        <v>66</v>
      </c>
      <c r="C14" s="643">
        <v>8</v>
      </c>
      <c r="D14" s="671">
        <v>30</v>
      </c>
      <c r="E14" s="672">
        <v>2191.2150000000001</v>
      </c>
      <c r="F14" s="646">
        <v>26</v>
      </c>
      <c r="G14" s="645">
        <v>1684.2</v>
      </c>
      <c r="H14" s="646">
        <v>1</v>
      </c>
      <c r="I14" s="645">
        <v>1216.43</v>
      </c>
      <c r="J14" s="646">
        <v>0</v>
      </c>
      <c r="K14" s="647">
        <v>0</v>
      </c>
      <c r="L14" s="646">
        <v>12</v>
      </c>
      <c r="M14" s="647">
        <v>1605.708999999993</v>
      </c>
      <c r="N14" s="646">
        <v>0</v>
      </c>
      <c r="O14" s="647">
        <v>0</v>
      </c>
      <c r="P14" s="648">
        <v>6</v>
      </c>
      <c r="Q14" s="649">
        <v>2052.17</v>
      </c>
      <c r="R14" s="646">
        <v>0</v>
      </c>
      <c r="S14" s="647">
        <v>0</v>
      </c>
      <c r="T14" s="647"/>
      <c r="U14" s="646"/>
      <c r="V14" s="645"/>
      <c r="W14" s="646"/>
      <c r="X14" s="645"/>
      <c r="Y14" s="650">
        <f t="shared" si="5"/>
        <v>75</v>
      </c>
      <c r="Z14" s="651">
        <f t="shared" si="6"/>
        <v>142323.60799999992</v>
      </c>
      <c r="AA14" s="659">
        <f t="shared" si="7"/>
        <v>1897.6481066666656</v>
      </c>
      <c r="AB14" s="653">
        <f t="shared" si="8"/>
        <v>0.9375</v>
      </c>
      <c r="AC14" s="143">
        <f t="shared" si="4"/>
        <v>5</v>
      </c>
      <c r="AD14" s="298"/>
      <c r="AE14" s="143"/>
      <c r="AF14" s="304"/>
    </row>
    <row r="15" spans="1:55" s="126" customFormat="1" ht="15.75" customHeight="1" x14ac:dyDescent="0.25">
      <c r="A15" s="149"/>
      <c r="B15" s="642" t="s">
        <v>67</v>
      </c>
      <c r="C15" s="643">
        <v>9</v>
      </c>
      <c r="D15" s="671">
        <v>30</v>
      </c>
      <c r="E15" s="672">
        <v>2191.2150000000001</v>
      </c>
      <c r="F15" s="646">
        <v>22</v>
      </c>
      <c r="G15" s="645">
        <v>1962.2294999999999</v>
      </c>
      <c r="H15" s="646">
        <v>3</v>
      </c>
      <c r="I15" s="645">
        <v>1350.23</v>
      </c>
      <c r="J15" s="646">
        <v>0</v>
      </c>
      <c r="K15" s="647">
        <v>0</v>
      </c>
      <c r="L15" s="646">
        <v>5</v>
      </c>
      <c r="M15" s="647">
        <v>1725.3678749999999</v>
      </c>
      <c r="N15" s="646">
        <v>0</v>
      </c>
      <c r="O15" s="647">
        <v>0</v>
      </c>
      <c r="P15" s="648">
        <v>15</v>
      </c>
      <c r="Q15" s="649">
        <v>1946.56</v>
      </c>
      <c r="R15" s="646">
        <v>0</v>
      </c>
      <c r="S15" s="647">
        <v>0</v>
      </c>
      <c r="T15" s="647"/>
      <c r="U15" s="646"/>
      <c r="V15" s="645"/>
      <c r="W15" s="646"/>
      <c r="X15" s="645"/>
      <c r="Y15" s="650">
        <f t="shared" si="0"/>
        <v>75</v>
      </c>
      <c r="Z15" s="651">
        <f t="shared" si="1"/>
        <v>150781.42837500002</v>
      </c>
      <c r="AA15" s="652">
        <f t="shared" si="3"/>
        <v>2010.4190450000003</v>
      </c>
      <c r="AB15" s="653">
        <f t="shared" si="2"/>
        <v>0.9375</v>
      </c>
      <c r="AC15" s="143">
        <f t="shared" si="4"/>
        <v>5</v>
      </c>
      <c r="AD15" s="298"/>
      <c r="AE15" s="143"/>
      <c r="AF15" s="304"/>
    </row>
    <row r="16" spans="1:55" s="244" customFormat="1" ht="15.95" customHeight="1" x14ac:dyDescent="0.25">
      <c r="A16" s="770"/>
      <c r="B16" s="642" t="s">
        <v>68</v>
      </c>
      <c r="C16" s="643">
        <v>10</v>
      </c>
      <c r="D16" s="671">
        <v>30</v>
      </c>
      <c r="E16" s="672">
        <v>2191.2150000000001</v>
      </c>
      <c r="F16" s="646">
        <v>23</v>
      </c>
      <c r="G16" s="645">
        <v>2069.6970000000001</v>
      </c>
      <c r="H16" s="646">
        <v>6</v>
      </c>
      <c r="I16" s="645">
        <v>1430.87</v>
      </c>
      <c r="J16" s="646">
        <v>16</v>
      </c>
      <c r="K16" s="647">
        <v>2860.87</v>
      </c>
      <c r="L16" s="646">
        <v>1</v>
      </c>
      <c r="M16" s="647">
        <v>1613.583999999993</v>
      </c>
      <c r="N16" s="646">
        <v>0</v>
      </c>
      <c r="O16" s="647">
        <v>0</v>
      </c>
      <c r="P16" s="646">
        <v>0</v>
      </c>
      <c r="Q16" s="647">
        <v>0</v>
      </c>
      <c r="R16" s="646">
        <v>0</v>
      </c>
      <c r="S16" s="647">
        <v>0</v>
      </c>
      <c r="T16" s="647"/>
      <c r="U16" s="646"/>
      <c r="V16" s="645"/>
      <c r="W16" s="646"/>
      <c r="X16" s="645"/>
      <c r="Y16" s="650">
        <f t="shared" si="0"/>
        <v>76</v>
      </c>
      <c r="Z16" s="651">
        <f t="shared" si="1"/>
        <v>169312.20500000002</v>
      </c>
      <c r="AA16" s="659">
        <f>IF(Z16=0,0,Z16/Y16)</f>
        <v>2227.7921710526316</v>
      </c>
      <c r="AB16" s="653">
        <f t="shared" si="2"/>
        <v>0.95</v>
      </c>
      <c r="AC16" s="143">
        <f t="shared" si="4"/>
        <v>4</v>
      </c>
      <c r="AD16" s="298"/>
      <c r="AE16" s="143"/>
      <c r="AF16" s="304"/>
    </row>
    <row r="17" spans="1:55" s="215" customFormat="1" ht="15.95" customHeight="1" x14ac:dyDescent="0.25">
      <c r="A17" s="770"/>
      <c r="B17" s="642" t="s">
        <v>69</v>
      </c>
      <c r="C17" s="643">
        <v>11</v>
      </c>
      <c r="D17" s="671">
        <v>30</v>
      </c>
      <c r="E17" s="672">
        <v>2191.2150000000001</v>
      </c>
      <c r="F17" s="646">
        <v>24</v>
      </c>
      <c r="G17" s="645">
        <v>1971.27</v>
      </c>
      <c r="H17" s="646">
        <v>6</v>
      </c>
      <c r="I17" s="645">
        <v>1495</v>
      </c>
      <c r="J17" s="646">
        <v>16</v>
      </c>
      <c r="K17" s="645">
        <v>2860.87</v>
      </c>
      <c r="L17" s="646">
        <v>0</v>
      </c>
      <c r="M17" s="647">
        <v>1800.8970000000002</v>
      </c>
      <c r="N17" s="646">
        <v>0</v>
      </c>
      <c r="O17" s="647">
        <v>0</v>
      </c>
      <c r="P17" s="646">
        <v>0</v>
      </c>
      <c r="Q17" s="647">
        <v>0</v>
      </c>
      <c r="R17" s="646">
        <v>0</v>
      </c>
      <c r="S17" s="647">
        <v>0</v>
      </c>
      <c r="T17" s="647"/>
      <c r="U17" s="646"/>
      <c r="V17" s="645"/>
      <c r="W17" s="646"/>
      <c r="X17" s="645"/>
      <c r="Y17" s="650">
        <f t="shared" si="0"/>
        <v>76</v>
      </c>
      <c r="Z17" s="651">
        <f t="shared" si="1"/>
        <v>167790.85</v>
      </c>
      <c r="AA17" s="659">
        <f>IF(Z17=0,0,Z17/Y17)</f>
        <v>2207.7743421052633</v>
      </c>
      <c r="AB17" s="653">
        <f t="shared" si="2"/>
        <v>0.95</v>
      </c>
      <c r="AC17" s="143">
        <f t="shared" si="4"/>
        <v>4</v>
      </c>
      <c r="AD17" s="298"/>
      <c r="AE17" s="143"/>
      <c r="AF17" s="304"/>
    </row>
    <row r="18" spans="1:55" s="216" customFormat="1" ht="15.75" customHeight="1" x14ac:dyDescent="0.25">
      <c r="A18" s="213"/>
      <c r="B18" s="660" t="s">
        <v>63</v>
      </c>
      <c r="C18" s="661">
        <v>12</v>
      </c>
      <c r="D18" s="673">
        <v>30</v>
      </c>
      <c r="E18" s="674">
        <v>2191.2150000000001</v>
      </c>
      <c r="F18" s="664">
        <v>27</v>
      </c>
      <c r="G18" s="663">
        <v>2356.326</v>
      </c>
      <c r="H18" s="664">
        <v>5</v>
      </c>
      <c r="I18" s="663">
        <v>1495</v>
      </c>
      <c r="J18" s="664">
        <v>16</v>
      </c>
      <c r="K18" s="663">
        <v>2860.87</v>
      </c>
      <c r="L18" s="664">
        <v>0</v>
      </c>
      <c r="M18" s="665">
        <v>1583.085</v>
      </c>
      <c r="N18" s="664">
        <v>0</v>
      </c>
      <c r="O18" s="665">
        <v>0</v>
      </c>
      <c r="P18" s="664">
        <v>0</v>
      </c>
      <c r="Q18" s="665">
        <v>0</v>
      </c>
      <c r="R18" s="664">
        <v>0</v>
      </c>
      <c r="S18" s="665">
        <v>0</v>
      </c>
      <c r="T18" s="665"/>
      <c r="U18" s="664"/>
      <c r="V18" s="663"/>
      <c r="W18" s="664"/>
      <c r="X18" s="663"/>
      <c r="Y18" s="666">
        <f t="shared" si="0"/>
        <v>78</v>
      </c>
      <c r="Z18" s="667">
        <f t="shared" si="1"/>
        <v>182606.17200000002</v>
      </c>
      <c r="AA18" s="668">
        <f t="shared" si="3"/>
        <v>2341.1047692307693</v>
      </c>
      <c r="AB18" s="669">
        <f t="shared" si="2"/>
        <v>0.97499999999999998</v>
      </c>
      <c r="AC18" s="143">
        <f t="shared" si="4"/>
        <v>2</v>
      </c>
      <c r="AD18" s="298"/>
      <c r="AE18" s="143"/>
      <c r="AF18" s="304"/>
      <c r="AG18" s="215"/>
      <c r="AH18" s="215"/>
      <c r="AI18" s="215"/>
      <c r="AJ18" s="215"/>
      <c r="AK18" s="215"/>
      <c r="AL18" s="215"/>
      <c r="AM18" s="215"/>
      <c r="AN18" s="215"/>
      <c r="AO18" s="215"/>
      <c r="AP18" s="215"/>
      <c r="AQ18" s="215"/>
      <c r="AR18" s="215"/>
      <c r="AS18" s="215"/>
      <c r="AT18" s="215"/>
      <c r="AU18" s="215"/>
      <c r="AV18" s="215"/>
      <c r="AW18" s="215"/>
      <c r="AX18" s="215"/>
      <c r="AY18" s="215"/>
      <c r="AZ18" s="215"/>
      <c r="BA18" s="215"/>
      <c r="BB18" s="215"/>
    </row>
    <row r="19" spans="1:55" s="215" customFormat="1" ht="15.75" customHeight="1" x14ac:dyDescent="0.25">
      <c r="A19" s="213"/>
      <c r="B19" s="642" t="s">
        <v>64</v>
      </c>
      <c r="C19" s="643">
        <v>13</v>
      </c>
      <c r="D19" s="644">
        <v>0</v>
      </c>
      <c r="E19" s="645">
        <v>0</v>
      </c>
      <c r="F19" s="646">
        <v>28</v>
      </c>
      <c r="G19" s="645">
        <v>2195.6865000000003</v>
      </c>
      <c r="H19" s="646">
        <v>2</v>
      </c>
      <c r="I19" s="645">
        <v>1509.91</v>
      </c>
      <c r="J19" s="646">
        <v>16</v>
      </c>
      <c r="K19" s="647">
        <v>2860.87</v>
      </c>
      <c r="L19" s="646">
        <v>8</v>
      </c>
      <c r="M19" s="647">
        <v>1853.5335</v>
      </c>
      <c r="N19" s="646">
        <v>0</v>
      </c>
      <c r="O19" s="647">
        <v>0</v>
      </c>
      <c r="P19" s="648">
        <v>12</v>
      </c>
      <c r="Q19" s="649">
        <v>1923</v>
      </c>
      <c r="R19" s="646">
        <v>0</v>
      </c>
      <c r="S19" s="647">
        <v>0</v>
      </c>
      <c r="T19" s="647"/>
      <c r="U19" s="646"/>
      <c r="V19" s="645"/>
      <c r="W19" s="646"/>
      <c r="X19" s="645"/>
      <c r="Y19" s="650">
        <f t="shared" si="0"/>
        <v>66</v>
      </c>
      <c r="Z19" s="651">
        <f t="shared" si="1"/>
        <v>148177.22999999998</v>
      </c>
      <c r="AA19" s="652">
        <f t="shared" si="3"/>
        <v>2245.1095454545452</v>
      </c>
      <c r="AB19" s="653">
        <f t="shared" si="2"/>
        <v>0.82499999999999996</v>
      </c>
      <c r="AC19" s="143">
        <f t="shared" si="4"/>
        <v>14</v>
      </c>
      <c r="AD19" s="298"/>
      <c r="AE19" s="143"/>
      <c r="AF19" s="304"/>
    </row>
    <row r="20" spans="1:55" s="215" customFormat="1" ht="15.95" customHeight="1" x14ac:dyDescent="0.25">
      <c r="A20" s="213"/>
      <c r="B20" s="642" t="s">
        <v>65</v>
      </c>
      <c r="C20" s="643">
        <v>14</v>
      </c>
      <c r="D20" s="644">
        <v>0</v>
      </c>
      <c r="E20" s="645">
        <v>0</v>
      </c>
      <c r="F20" s="646">
        <v>23</v>
      </c>
      <c r="G20" s="645">
        <v>2011.527</v>
      </c>
      <c r="H20" s="646">
        <v>6</v>
      </c>
      <c r="I20" s="645">
        <v>1742.55</v>
      </c>
      <c r="J20" s="646">
        <v>24</v>
      </c>
      <c r="K20" s="647">
        <v>2568.6966666666599</v>
      </c>
      <c r="L20" s="646">
        <v>8</v>
      </c>
      <c r="M20" s="647">
        <v>1854</v>
      </c>
      <c r="N20" s="646">
        <v>0</v>
      </c>
      <c r="O20" s="647">
        <v>0</v>
      </c>
      <c r="P20" s="648">
        <v>12</v>
      </c>
      <c r="Q20" s="649">
        <v>1923</v>
      </c>
      <c r="R20" s="646">
        <v>0</v>
      </c>
      <c r="S20" s="647">
        <v>0</v>
      </c>
      <c r="T20" s="647"/>
      <c r="U20" s="646"/>
      <c r="V20" s="645"/>
      <c r="W20" s="646"/>
      <c r="X20" s="645"/>
      <c r="Y20" s="650">
        <f t="shared" si="0"/>
        <v>73</v>
      </c>
      <c r="Z20" s="651">
        <f t="shared" si="1"/>
        <v>156277.14099999983</v>
      </c>
      <c r="AA20" s="652">
        <f t="shared" si="3"/>
        <v>2140.7827534246553</v>
      </c>
      <c r="AB20" s="653">
        <f t="shared" si="2"/>
        <v>0.91249999999999998</v>
      </c>
      <c r="AC20" s="143">
        <f t="shared" si="4"/>
        <v>7</v>
      </c>
      <c r="AD20" s="298"/>
      <c r="AE20" s="143"/>
      <c r="AF20" s="304"/>
    </row>
    <row r="21" spans="1:55" s="126" customFormat="1" ht="15.95" customHeight="1" x14ac:dyDescent="0.25">
      <c r="A21" s="149"/>
      <c r="B21" s="642" t="s">
        <v>66</v>
      </c>
      <c r="C21" s="643">
        <v>15</v>
      </c>
      <c r="D21" s="644">
        <v>0</v>
      </c>
      <c r="E21" s="645">
        <v>0</v>
      </c>
      <c r="F21" s="646">
        <v>32</v>
      </c>
      <c r="G21" s="645">
        <v>2248.8900000000003</v>
      </c>
      <c r="H21" s="646">
        <v>6</v>
      </c>
      <c r="I21" s="645">
        <v>1704.825</v>
      </c>
      <c r="J21" s="646">
        <v>8</v>
      </c>
      <c r="K21" s="647">
        <v>1984.35</v>
      </c>
      <c r="L21" s="646">
        <v>8</v>
      </c>
      <c r="M21" s="647">
        <v>2167.3869</v>
      </c>
      <c r="N21" s="646">
        <v>0</v>
      </c>
      <c r="O21" s="647">
        <v>0</v>
      </c>
      <c r="P21" s="648">
        <v>15</v>
      </c>
      <c r="Q21" s="649">
        <v>1923</v>
      </c>
      <c r="R21" s="646">
        <v>0</v>
      </c>
      <c r="S21" s="647">
        <v>0</v>
      </c>
      <c r="T21" s="647"/>
      <c r="U21" s="646"/>
      <c r="V21" s="645"/>
      <c r="W21" s="646"/>
      <c r="X21" s="645"/>
      <c r="Y21" s="650">
        <f t="shared" si="0"/>
        <v>69</v>
      </c>
      <c r="Z21" s="651">
        <f t="shared" si="1"/>
        <v>144252.32520000002</v>
      </c>
      <c r="AA21" s="659">
        <f t="shared" si="3"/>
        <v>2090.6134086956527</v>
      </c>
      <c r="AB21" s="653">
        <f t="shared" si="2"/>
        <v>0.86250000000000004</v>
      </c>
      <c r="AC21" s="143">
        <f t="shared" si="4"/>
        <v>11</v>
      </c>
      <c r="AD21" s="298"/>
      <c r="AE21" s="143"/>
      <c r="AF21" s="304"/>
    </row>
    <row r="22" spans="1:55" s="215" customFormat="1" ht="15.95" customHeight="1" x14ac:dyDescent="0.25">
      <c r="A22" s="225"/>
      <c r="B22" s="136" t="s">
        <v>67</v>
      </c>
      <c r="C22" s="137">
        <v>16</v>
      </c>
      <c r="D22" s="138">
        <v>0</v>
      </c>
      <c r="E22" s="139">
        <v>0</v>
      </c>
      <c r="F22" s="140">
        <v>35</v>
      </c>
      <c r="G22" s="139">
        <v>2090.5814999999998</v>
      </c>
      <c r="H22" s="140">
        <v>3</v>
      </c>
      <c r="I22" s="139">
        <v>1916.49</v>
      </c>
      <c r="J22" s="140">
        <v>0</v>
      </c>
      <c r="K22" s="141">
        <v>0</v>
      </c>
      <c r="L22" s="140">
        <v>8</v>
      </c>
      <c r="M22" s="141">
        <v>2167.0214999999998</v>
      </c>
      <c r="N22" s="140">
        <v>0</v>
      </c>
      <c r="O22" s="141">
        <v>0</v>
      </c>
      <c r="P22" s="591">
        <v>15</v>
      </c>
      <c r="Q22" s="592">
        <v>1923</v>
      </c>
      <c r="R22" s="140">
        <v>0</v>
      </c>
      <c r="S22" s="141">
        <v>0</v>
      </c>
      <c r="T22" s="141"/>
      <c r="U22" s="140"/>
      <c r="V22" s="139"/>
      <c r="W22" s="140"/>
      <c r="X22" s="139"/>
      <c r="Y22" s="142">
        <f t="shared" si="0"/>
        <v>61</v>
      </c>
      <c r="Z22" s="143">
        <f t="shared" si="1"/>
        <v>125100.9945</v>
      </c>
      <c r="AA22" s="329">
        <f t="shared" si="3"/>
        <v>2050.835975409836</v>
      </c>
      <c r="AB22" s="148">
        <f t="shared" si="2"/>
        <v>0.76249999999999996</v>
      </c>
      <c r="AC22" s="143">
        <f t="shared" si="4"/>
        <v>19</v>
      </c>
      <c r="AD22" s="298"/>
      <c r="AE22" s="143"/>
      <c r="AF22" s="304"/>
    </row>
    <row r="23" spans="1:55" s="220" customFormat="1" ht="15.95" customHeight="1" x14ac:dyDescent="0.25">
      <c r="A23" s="225"/>
      <c r="B23" s="642" t="s">
        <v>68</v>
      </c>
      <c r="C23" s="643">
        <v>17</v>
      </c>
      <c r="D23" s="644">
        <v>0</v>
      </c>
      <c r="E23" s="645">
        <v>0</v>
      </c>
      <c r="F23" s="646">
        <v>30</v>
      </c>
      <c r="G23" s="645">
        <v>2170.8960000000002</v>
      </c>
      <c r="H23" s="646">
        <v>3</v>
      </c>
      <c r="I23" s="645">
        <v>1916.49</v>
      </c>
      <c r="J23" s="646">
        <v>11</v>
      </c>
      <c r="K23" s="647">
        <v>1660.87</v>
      </c>
      <c r="L23" s="646">
        <v>8</v>
      </c>
      <c r="M23" s="647">
        <v>1436.5785000000001</v>
      </c>
      <c r="N23" s="646">
        <v>0</v>
      </c>
      <c r="O23" s="647">
        <v>0</v>
      </c>
      <c r="P23" s="648">
        <v>15</v>
      </c>
      <c r="Q23" s="649">
        <v>1923</v>
      </c>
      <c r="R23" s="646">
        <v>0</v>
      </c>
      <c r="S23" s="647">
        <v>0</v>
      </c>
      <c r="T23" s="647"/>
      <c r="U23" s="646"/>
      <c r="V23" s="645"/>
      <c r="W23" s="646"/>
      <c r="X23" s="645"/>
      <c r="Y23" s="650">
        <f t="shared" si="0"/>
        <v>67</v>
      </c>
      <c r="Z23" s="651">
        <f t="shared" si="1"/>
        <v>129483.54800000001</v>
      </c>
      <c r="AA23" s="659">
        <f t="shared" si="3"/>
        <v>1932.5902686567165</v>
      </c>
      <c r="AB23" s="653">
        <f t="shared" si="2"/>
        <v>0.83750000000000002</v>
      </c>
      <c r="AC23" s="143">
        <f t="shared" si="4"/>
        <v>13</v>
      </c>
      <c r="AD23" s="298"/>
      <c r="AE23" s="143"/>
      <c r="AF23" s="304"/>
      <c r="AG23" s="215"/>
      <c r="AH23" s="215"/>
      <c r="AI23" s="215"/>
      <c r="AJ23" s="215"/>
      <c r="AK23" s="215"/>
      <c r="AL23" s="215"/>
      <c r="AM23" s="215"/>
      <c r="AN23" s="215"/>
      <c r="AO23" s="215"/>
      <c r="AP23" s="215"/>
      <c r="AQ23" s="215"/>
      <c r="AR23" s="215"/>
      <c r="AS23" s="215"/>
      <c r="AT23" s="215"/>
      <c r="AU23" s="215"/>
      <c r="AV23" s="215"/>
      <c r="AW23" s="215"/>
      <c r="AX23" s="215"/>
      <c r="AY23" s="215"/>
      <c r="AZ23" s="215"/>
      <c r="BA23" s="215"/>
      <c r="BB23" s="215"/>
      <c r="BC23" s="215"/>
    </row>
    <row r="24" spans="1:55" s="220" customFormat="1" ht="15.95" customHeight="1" x14ac:dyDescent="0.25">
      <c r="A24" s="225"/>
      <c r="B24" s="642" t="s">
        <v>69</v>
      </c>
      <c r="C24" s="643">
        <v>18</v>
      </c>
      <c r="D24" s="644">
        <v>0</v>
      </c>
      <c r="E24" s="645">
        <v>0</v>
      </c>
      <c r="F24" s="646">
        <v>44</v>
      </c>
      <c r="G24" s="645">
        <v>2137.6845000000003</v>
      </c>
      <c r="H24" s="646">
        <v>6</v>
      </c>
      <c r="I24" s="645">
        <v>1384.35</v>
      </c>
      <c r="J24" s="646">
        <v>11</v>
      </c>
      <c r="K24" s="647">
        <v>1660.87</v>
      </c>
      <c r="L24" s="646">
        <v>8</v>
      </c>
      <c r="M24" s="647">
        <v>1791.3944999999999</v>
      </c>
      <c r="N24" s="646">
        <v>0</v>
      </c>
      <c r="O24" s="647">
        <v>0</v>
      </c>
      <c r="P24" s="646">
        <v>0</v>
      </c>
      <c r="Q24" s="647">
        <v>0</v>
      </c>
      <c r="R24" s="646">
        <v>0</v>
      </c>
      <c r="S24" s="647">
        <v>0</v>
      </c>
      <c r="T24" s="647"/>
      <c r="U24" s="646"/>
      <c r="V24" s="645"/>
      <c r="W24" s="646"/>
      <c r="X24" s="645"/>
      <c r="Y24" s="650">
        <f t="shared" si="0"/>
        <v>69</v>
      </c>
      <c r="Z24" s="651">
        <f t="shared" si="1"/>
        <v>134964.94400000002</v>
      </c>
      <c r="AA24" s="659">
        <f t="shared" si="3"/>
        <v>1956.0136811594205</v>
      </c>
      <c r="AB24" s="653">
        <f t="shared" si="2"/>
        <v>0.86250000000000004</v>
      </c>
      <c r="AC24" s="143">
        <f t="shared" si="4"/>
        <v>11</v>
      </c>
      <c r="AD24" s="298"/>
      <c r="AE24" s="143"/>
      <c r="AF24" s="304"/>
      <c r="AG24" s="215"/>
      <c r="AH24" s="215"/>
      <c r="AI24" s="215"/>
      <c r="AJ24" s="215"/>
      <c r="AK24" s="215"/>
      <c r="AL24" s="215"/>
      <c r="AM24" s="215"/>
      <c r="AN24" s="215"/>
      <c r="AO24" s="215"/>
      <c r="AP24" s="215"/>
      <c r="AQ24" s="215"/>
      <c r="AR24" s="215"/>
      <c r="AS24" s="215"/>
      <c r="AT24" s="215"/>
      <c r="AU24" s="215"/>
      <c r="AV24" s="215"/>
      <c r="AW24" s="215"/>
      <c r="AX24" s="215"/>
      <c r="AY24" s="215"/>
      <c r="AZ24" s="215"/>
      <c r="BA24" s="215"/>
      <c r="BB24" s="215"/>
      <c r="BC24" s="215"/>
    </row>
    <row r="25" spans="1:55" s="126" customFormat="1" ht="15.95" customHeight="1" x14ac:dyDescent="0.25">
      <c r="A25" s="225"/>
      <c r="B25" s="150" t="s">
        <v>63</v>
      </c>
      <c r="C25" s="151">
        <v>19</v>
      </c>
      <c r="D25" s="152">
        <v>0</v>
      </c>
      <c r="E25" s="153">
        <v>0</v>
      </c>
      <c r="F25" s="154">
        <v>38</v>
      </c>
      <c r="G25" s="153">
        <v>2256.009</v>
      </c>
      <c r="H25" s="154">
        <v>6</v>
      </c>
      <c r="I25" s="153">
        <v>1671.8</v>
      </c>
      <c r="J25" s="154">
        <v>11</v>
      </c>
      <c r="K25" s="155">
        <v>1660.87</v>
      </c>
      <c r="L25" s="154">
        <v>8</v>
      </c>
      <c r="M25" s="155">
        <v>1791.3944999999999</v>
      </c>
      <c r="N25" s="154">
        <v>0</v>
      </c>
      <c r="O25" s="155">
        <v>0</v>
      </c>
      <c r="P25" s="154">
        <v>0</v>
      </c>
      <c r="Q25" s="155">
        <v>0</v>
      </c>
      <c r="R25" s="154">
        <v>0</v>
      </c>
      <c r="S25" s="155">
        <v>0</v>
      </c>
      <c r="T25" s="155"/>
      <c r="U25" s="154"/>
      <c r="V25" s="153"/>
      <c r="W25" s="154"/>
      <c r="X25" s="153"/>
      <c r="Y25" s="156">
        <f t="shared" si="0"/>
        <v>63</v>
      </c>
      <c r="Z25" s="157">
        <f t="shared" si="1"/>
        <v>128359.868</v>
      </c>
      <c r="AA25" s="158">
        <f t="shared" si="3"/>
        <v>2037.4582222222223</v>
      </c>
      <c r="AB25" s="159">
        <f t="shared" si="2"/>
        <v>0.78749999999999998</v>
      </c>
      <c r="AC25" s="143">
        <f t="shared" si="4"/>
        <v>17</v>
      </c>
      <c r="AD25" s="298"/>
      <c r="AE25" s="143"/>
      <c r="AF25" s="304"/>
    </row>
    <row r="26" spans="1:55" s="146" customFormat="1" ht="15.95" customHeight="1" x14ac:dyDescent="0.25">
      <c r="A26" s="225"/>
      <c r="B26" s="136" t="s">
        <v>64</v>
      </c>
      <c r="C26" s="137">
        <v>20</v>
      </c>
      <c r="D26" s="138">
        <v>0</v>
      </c>
      <c r="E26" s="139">
        <v>0</v>
      </c>
      <c r="F26" s="140">
        <v>27</v>
      </c>
      <c r="G26" s="139">
        <v>2226</v>
      </c>
      <c r="H26" s="140">
        <v>2</v>
      </c>
      <c r="I26" s="139">
        <v>2238.27</v>
      </c>
      <c r="J26" s="140">
        <v>11</v>
      </c>
      <c r="K26" s="141">
        <v>1660.87</v>
      </c>
      <c r="L26" s="140">
        <v>13</v>
      </c>
      <c r="M26" s="141">
        <v>1975.5540000000001</v>
      </c>
      <c r="N26" s="140">
        <v>0</v>
      </c>
      <c r="O26" s="141">
        <v>0</v>
      </c>
      <c r="P26" s="591">
        <v>18</v>
      </c>
      <c r="Q26" s="592">
        <v>1867</v>
      </c>
      <c r="R26" s="140">
        <v>0</v>
      </c>
      <c r="S26" s="141">
        <v>0</v>
      </c>
      <c r="T26" s="141"/>
      <c r="U26" s="140"/>
      <c r="V26" s="139"/>
      <c r="W26" s="140"/>
      <c r="X26" s="139"/>
      <c r="Y26" s="142">
        <f t="shared" si="0"/>
        <v>71</v>
      </c>
      <c r="Z26" s="143">
        <f t="shared" si="1"/>
        <v>142136.31200000001</v>
      </c>
      <c r="AA26" s="329">
        <f t="shared" si="3"/>
        <v>2001.9198873239438</v>
      </c>
      <c r="AB26" s="148">
        <f t="shared" si="2"/>
        <v>0.88749999999999996</v>
      </c>
      <c r="AC26" s="143">
        <f t="shared" si="4"/>
        <v>9</v>
      </c>
      <c r="AD26" s="298"/>
      <c r="AE26" s="143"/>
      <c r="AF26" s="304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</row>
    <row r="27" spans="1:55" s="220" customFormat="1" ht="15.95" customHeight="1" x14ac:dyDescent="0.25">
      <c r="A27" s="225"/>
      <c r="B27" s="136" t="s">
        <v>65</v>
      </c>
      <c r="C27" s="137">
        <v>21</v>
      </c>
      <c r="D27" s="138">
        <v>0</v>
      </c>
      <c r="E27" s="139">
        <v>0</v>
      </c>
      <c r="F27" s="140">
        <v>30</v>
      </c>
      <c r="G27" s="139">
        <v>1923.5895</v>
      </c>
      <c r="H27" s="140">
        <v>2</v>
      </c>
      <c r="I27" s="139">
        <v>1780.18</v>
      </c>
      <c r="J27" s="140">
        <v>0</v>
      </c>
      <c r="K27" s="141">
        <v>0</v>
      </c>
      <c r="L27" s="140">
        <v>16</v>
      </c>
      <c r="M27" s="141">
        <v>1587.2220000000002</v>
      </c>
      <c r="N27" s="140">
        <v>0</v>
      </c>
      <c r="O27" s="141">
        <v>0</v>
      </c>
      <c r="P27" s="591">
        <v>18</v>
      </c>
      <c r="Q27" s="592">
        <v>1867</v>
      </c>
      <c r="R27" s="140">
        <v>0</v>
      </c>
      <c r="S27" s="141">
        <v>0</v>
      </c>
      <c r="T27" s="141"/>
      <c r="U27" s="140"/>
      <c r="V27" s="139"/>
      <c r="W27" s="140"/>
      <c r="X27" s="139"/>
      <c r="Y27" s="142">
        <f t="shared" si="0"/>
        <v>66</v>
      </c>
      <c r="Z27" s="143">
        <f t="shared" si="1"/>
        <v>120269.59700000001</v>
      </c>
      <c r="AA27" s="329">
        <f t="shared" si="3"/>
        <v>1822.2666212121214</v>
      </c>
      <c r="AB27" s="148">
        <f t="shared" si="2"/>
        <v>0.82499999999999996</v>
      </c>
      <c r="AC27" s="143">
        <f t="shared" si="4"/>
        <v>14</v>
      </c>
      <c r="AD27" s="298"/>
      <c r="AE27" s="143"/>
      <c r="AF27" s="304"/>
      <c r="AG27" s="215"/>
      <c r="AH27" s="215"/>
      <c r="AI27" s="215"/>
      <c r="AJ27" s="215"/>
      <c r="AK27" s="215"/>
      <c r="AL27" s="215"/>
      <c r="AM27" s="215"/>
      <c r="AN27" s="215"/>
      <c r="AO27" s="215"/>
      <c r="AP27" s="215"/>
      <c r="AQ27" s="215"/>
      <c r="AR27" s="215"/>
      <c r="AS27" s="215"/>
      <c r="AT27" s="215"/>
      <c r="AU27" s="215"/>
      <c r="AV27" s="215"/>
      <c r="AW27" s="215"/>
      <c r="AX27" s="215"/>
      <c r="AY27" s="215"/>
      <c r="AZ27" s="215"/>
      <c r="BA27" s="215"/>
      <c r="BB27" s="215"/>
      <c r="BC27" s="215"/>
    </row>
    <row r="28" spans="1:55" s="128" customFormat="1" ht="15.95" customHeight="1" x14ac:dyDescent="0.25">
      <c r="A28" s="225"/>
      <c r="B28" s="136" t="s">
        <v>66</v>
      </c>
      <c r="C28" s="137">
        <v>22</v>
      </c>
      <c r="D28" s="138">
        <v>0</v>
      </c>
      <c r="E28" s="139">
        <v>0</v>
      </c>
      <c r="F28" s="140">
        <v>30</v>
      </c>
      <c r="G28" s="139">
        <v>2012.9549999999999</v>
      </c>
      <c r="H28" s="140">
        <v>1</v>
      </c>
      <c r="I28" s="139">
        <v>1970</v>
      </c>
      <c r="J28" s="140">
        <v>0</v>
      </c>
      <c r="K28" s="141">
        <v>0</v>
      </c>
      <c r="L28" s="140">
        <v>13</v>
      </c>
      <c r="M28" s="141">
        <v>1525.7759999999998</v>
      </c>
      <c r="N28" s="140">
        <v>0</v>
      </c>
      <c r="O28" s="141">
        <v>0</v>
      </c>
      <c r="P28" s="591">
        <v>18</v>
      </c>
      <c r="Q28" s="592">
        <v>1857</v>
      </c>
      <c r="R28" s="140">
        <v>0</v>
      </c>
      <c r="S28" s="141">
        <v>0</v>
      </c>
      <c r="T28" s="141"/>
      <c r="U28" s="140"/>
      <c r="V28" s="139"/>
      <c r="W28" s="140"/>
      <c r="X28" s="139"/>
      <c r="Y28" s="142">
        <f t="shared" si="0"/>
        <v>62</v>
      </c>
      <c r="Z28" s="143">
        <f t="shared" si="1"/>
        <v>115619.73799999998</v>
      </c>
      <c r="AA28" s="147">
        <f t="shared" si="3"/>
        <v>1864.8344838709675</v>
      </c>
      <c r="AB28" s="148">
        <f t="shared" si="2"/>
        <v>0.77500000000000002</v>
      </c>
      <c r="AC28" s="143">
        <f t="shared" si="4"/>
        <v>18</v>
      </c>
      <c r="AD28" s="298"/>
      <c r="AE28" s="143"/>
      <c r="AF28" s="304"/>
      <c r="AG28" s="126"/>
      <c r="AH28" s="126"/>
      <c r="AI28" s="126"/>
      <c r="AJ28" s="126"/>
      <c r="AK28" s="126"/>
      <c r="AL28" s="126"/>
      <c r="AM28" s="126"/>
      <c r="AN28" s="126"/>
      <c r="AO28" s="126"/>
      <c r="AP28" s="126"/>
      <c r="AQ28" s="126"/>
      <c r="AR28" s="126"/>
      <c r="AS28" s="126"/>
      <c r="AT28" s="126"/>
      <c r="AU28" s="126"/>
      <c r="AV28" s="126"/>
      <c r="AW28" s="126"/>
      <c r="AX28" s="126"/>
      <c r="AY28" s="126"/>
      <c r="AZ28" s="126"/>
      <c r="BA28" s="126"/>
      <c r="BB28" s="126"/>
      <c r="BC28" s="126"/>
    </row>
    <row r="29" spans="1:55" s="215" customFormat="1" ht="15.95" customHeight="1" x14ac:dyDescent="0.25">
      <c r="A29" s="221"/>
      <c r="B29" s="136" t="s">
        <v>67</v>
      </c>
      <c r="C29" s="137">
        <v>23</v>
      </c>
      <c r="D29" s="138">
        <v>0</v>
      </c>
      <c r="E29" s="139">
        <v>0</v>
      </c>
      <c r="F29" s="140">
        <v>30</v>
      </c>
      <c r="G29" s="139">
        <v>2280.6839999999997</v>
      </c>
      <c r="H29" s="140">
        <v>1</v>
      </c>
      <c r="I29" s="139">
        <v>1431.22</v>
      </c>
      <c r="J29" s="140">
        <v>0</v>
      </c>
      <c r="K29" s="141">
        <v>0</v>
      </c>
      <c r="L29" s="140">
        <v>12</v>
      </c>
      <c r="M29" s="141">
        <v>1527.2565</v>
      </c>
      <c r="N29" s="140">
        <v>0</v>
      </c>
      <c r="O29" s="141">
        <v>0</v>
      </c>
      <c r="P29" s="591">
        <v>18</v>
      </c>
      <c r="Q29" s="592">
        <v>1867</v>
      </c>
      <c r="R29" s="140">
        <v>0</v>
      </c>
      <c r="S29" s="141">
        <v>0</v>
      </c>
      <c r="T29" s="141"/>
      <c r="U29" s="140"/>
      <c r="V29" s="139"/>
      <c r="W29" s="140"/>
      <c r="X29" s="139"/>
      <c r="Y29" s="142">
        <f t="shared" si="0"/>
        <v>61</v>
      </c>
      <c r="Z29" s="143">
        <f t="shared" si="1"/>
        <v>121784.818</v>
      </c>
      <c r="AA29" s="329">
        <f t="shared" si="3"/>
        <v>1996.4724262295081</v>
      </c>
      <c r="AB29" s="148">
        <f t="shared" si="2"/>
        <v>0.76249999999999996</v>
      </c>
      <c r="AC29" s="143">
        <f t="shared" si="4"/>
        <v>19</v>
      </c>
      <c r="AD29" s="298"/>
      <c r="AE29" s="143"/>
      <c r="AF29" s="304"/>
    </row>
    <row r="30" spans="1:55" s="215" customFormat="1" ht="15.95" customHeight="1" x14ac:dyDescent="0.25">
      <c r="A30" s="769"/>
      <c r="B30" s="136" t="s">
        <v>68</v>
      </c>
      <c r="C30" s="137">
        <v>24</v>
      </c>
      <c r="D30" s="138">
        <v>0</v>
      </c>
      <c r="E30" s="139">
        <v>0</v>
      </c>
      <c r="F30" s="140">
        <v>34</v>
      </c>
      <c r="G30" s="139">
        <v>2550.3134999999997</v>
      </c>
      <c r="H30" s="140">
        <v>6</v>
      </c>
      <c r="I30" s="139">
        <v>1458.7</v>
      </c>
      <c r="J30" s="140">
        <v>11</v>
      </c>
      <c r="K30" s="141">
        <v>1660.87</v>
      </c>
      <c r="L30" s="140">
        <v>10</v>
      </c>
      <c r="M30" s="141">
        <v>1403.556</v>
      </c>
      <c r="N30" s="140">
        <v>0</v>
      </c>
      <c r="O30" s="141">
        <v>0</v>
      </c>
      <c r="P30" s="140">
        <v>0</v>
      </c>
      <c r="Q30" s="141">
        <v>0</v>
      </c>
      <c r="R30" s="140">
        <v>0</v>
      </c>
      <c r="S30" s="141">
        <v>0</v>
      </c>
      <c r="T30" s="141"/>
      <c r="U30" s="140"/>
      <c r="V30" s="139"/>
      <c r="W30" s="140"/>
      <c r="X30" s="139"/>
      <c r="Y30" s="142">
        <f t="shared" si="0"/>
        <v>61</v>
      </c>
      <c r="Z30" s="143">
        <f t="shared" si="1"/>
        <v>127767.98899999997</v>
      </c>
      <c r="AA30" s="147">
        <f t="shared" si="3"/>
        <v>2094.5571967213109</v>
      </c>
      <c r="AB30" s="148">
        <f t="shared" si="2"/>
        <v>0.76249999999999996</v>
      </c>
      <c r="AC30" s="143">
        <f t="shared" si="4"/>
        <v>19</v>
      </c>
      <c r="AD30" s="298"/>
      <c r="AE30" s="143"/>
      <c r="AF30" s="304"/>
    </row>
    <row r="31" spans="1:55" s="126" customFormat="1" ht="16.149999999999999" customHeight="1" x14ac:dyDescent="0.25">
      <c r="A31" s="769"/>
      <c r="B31" s="136" t="s">
        <v>69</v>
      </c>
      <c r="C31" s="137">
        <v>25</v>
      </c>
      <c r="D31" s="138">
        <v>0</v>
      </c>
      <c r="E31" s="139">
        <v>0</v>
      </c>
      <c r="F31" s="140">
        <v>39</v>
      </c>
      <c r="G31" s="139">
        <v>2241.288</v>
      </c>
      <c r="H31" s="140">
        <v>7</v>
      </c>
      <c r="I31" s="139">
        <v>1584.77</v>
      </c>
      <c r="J31" s="140">
        <v>11</v>
      </c>
      <c r="K31" s="141">
        <v>1660.87</v>
      </c>
      <c r="L31" s="140">
        <v>12</v>
      </c>
      <c r="M31" s="141">
        <v>1503.7575000000002</v>
      </c>
      <c r="N31" s="140">
        <v>0</v>
      </c>
      <c r="O31" s="141">
        <v>0</v>
      </c>
      <c r="P31" s="140">
        <v>0</v>
      </c>
      <c r="Q31" s="141">
        <v>0</v>
      </c>
      <c r="R31" s="140">
        <v>0</v>
      </c>
      <c r="S31" s="141">
        <v>0</v>
      </c>
      <c r="T31" s="141"/>
      <c r="U31" s="140"/>
      <c r="V31" s="139"/>
      <c r="W31" s="140"/>
      <c r="X31" s="139"/>
      <c r="Y31" s="142">
        <f t="shared" si="0"/>
        <v>69</v>
      </c>
      <c r="Z31" s="143">
        <f t="shared" si="1"/>
        <v>134818.28200000001</v>
      </c>
      <c r="AA31" s="147">
        <f t="shared" si="3"/>
        <v>1953.8881449275364</v>
      </c>
      <c r="AB31" s="148">
        <f t="shared" si="2"/>
        <v>0.86250000000000004</v>
      </c>
      <c r="AC31" s="143">
        <f t="shared" si="4"/>
        <v>11</v>
      </c>
      <c r="AD31" s="298"/>
      <c r="AE31" s="143"/>
      <c r="AF31" s="304"/>
    </row>
    <row r="32" spans="1:55" s="169" customFormat="1" ht="15.6" customHeight="1" x14ac:dyDescent="0.25">
      <c r="A32" s="769"/>
      <c r="B32" s="150" t="s">
        <v>63</v>
      </c>
      <c r="C32" s="151">
        <v>26</v>
      </c>
      <c r="D32" s="152">
        <v>0</v>
      </c>
      <c r="E32" s="153">
        <v>0</v>
      </c>
      <c r="F32" s="154">
        <v>30</v>
      </c>
      <c r="G32" s="153">
        <v>2399.3445000000002</v>
      </c>
      <c r="H32" s="154">
        <v>1</v>
      </c>
      <c r="I32" s="153">
        <v>1659.43</v>
      </c>
      <c r="J32" s="154">
        <v>0</v>
      </c>
      <c r="K32" s="155">
        <v>0</v>
      </c>
      <c r="L32" s="154">
        <v>13</v>
      </c>
      <c r="M32" s="155">
        <v>1522.9515000000001</v>
      </c>
      <c r="N32" s="154">
        <v>0</v>
      </c>
      <c r="O32" s="155">
        <v>0</v>
      </c>
      <c r="P32" s="154">
        <v>0</v>
      </c>
      <c r="Q32" s="155">
        <v>0</v>
      </c>
      <c r="R32" s="154">
        <v>0</v>
      </c>
      <c r="S32" s="155">
        <v>0</v>
      </c>
      <c r="T32" s="155"/>
      <c r="U32" s="154"/>
      <c r="V32" s="153"/>
      <c r="W32" s="154"/>
      <c r="X32" s="153"/>
      <c r="Y32" s="156">
        <f t="shared" si="0"/>
        <v>44</v>
      </c>
      <c r="Z32" s="157">
        <f t="shared" si="1"/>
        <v>93438.1345</v>
      </c>
      <c r="AA32" s="158">
        <f t="shared" si="3"/>
        <v>2123.5939659090909</v>
      </c>
      <c r="AB32" s="159">
        <f t="shared" si="2"/>
        <v>0.55000000000000004</v>
      </c>
      <c r="AC32" s="143">
        <f t="shared" si="4"/>
        <v>36</v>
      </c>
      <c r="AD32" s="298"/>
      <c r="AE32" s="143"/>
      <c r="AF32" s="298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  <c r="BC32" s="160"/>
    </row>
    <row r="33" spans="1:56" s="128" customFormat="1" ht="15.95" customHeight="1" x14ac:dyDescent="0.25">
      <c r="A33" s="792"/>
      <c r="B33" s="136" t="s">
        <v>64</v>
      </c>
      <c r="C33" s="137">
        <v>27</v>
      </c>
      <c r="D33" s="138">
        <v>0</v>
      </c>
      <c r="E33" s="139">
        <v>0</v>
      </c>
      <c r="F33" s="140">
        <v>30</v>
      </c>
      <c r="G33" s="139">
        <v>2249.982</v>
      </c>
      <c r="H33" s="140">
        <v>2</v>
      </c>
      <c r="I33" s="139">
        <v>1759.79</v>
      </c>
      <c r="J33" s="140">
        <v>0</v>
      </c>
      <c r="K33" s="141">
        <v>0</v>
      </c>
      <c r="L33" s="140">
        <v>13</v>
      </c>
      <c r="M33" s="141">
        <v>1377.9675</v>
      </c>
      <c r="N33" s="140">
        <v>0</v>
      </c>
      <c r="O33" s="141">
        <v>0</v>
      </c>
      <c r="P33" s="591">
        <v>15</v>
      </c>
      <c r="Q33" s="592">
        <v>2052</v>
      </c>
      <c r="R33" s="140">
        <v>0</v>
      </c>
      <c r="S33" s="141">
        <v>0</v>
      </c>
      <c r="T33" s="141"/>
      <c r="U33" s="140"/>
      <c r="V33" s="139"/>
      <c r="W33" s="140"/>
      <c r="X33" s="139"/>
      <c r="Y33" s="142">
        <f t="shared" si="0"/>
        <v>60</v>
      </c>
      <c r="Z33" s="143">
        <f t="shared" si="1"/>
        <v>119712.61749999999</v>
      </c>
      <c r="AA33" s="329">
        <f t="shared" si="3"/>
        <v>1995.2102916666665</v>
      </c>
      <c r="AB33" s="148">
        <f t="shared" si="2"/>
        <v>0.75</v>
      </c>
      <c r="AC33" s="143">
        <f t="shared" si="4"/>
        <v>20</v>
      </c>
      <c r="AD33" s="298"/>
      <c r="AE33" s="143"/>
      <c r="AF33" s="298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</row>
    <row r="34" spans="1:56" s="128" customFormat="1" ht="15.95" customHeight="1" thickBot="1" x14ac:dyDescent="0.3">
      <c r="A34" s="792"/>
      <c r="B34" s="150" t="s">
        <v>65</v>
      </c>
      <c r="C34" s="151">
        <v>28</v>
      </c>
      <c r="D34" s="152">
        <v>0</v>
      </c>
      <c r="E34" s="153">
        <v>0</v>
      </c>
      <c r="F34" s="154">
        <v>29</v>
      </c>
      <c r="G34" s="153">
        <v>2081.5934999999999</v>
      </c>
      <c r="H34" s="154">
        <v>3</v>
      </c>
      <c r="I34" s="153">
        <v>1216.43</v>
      </c>
      <c r="J34" s="154">
        <v>0</v>
      </c>
      <c r="K34" s="155">
        <v>0</v>
      </c>
      <c r="L34" s="154">
        <v>13</v>
      </c>
      <c r="M34" s="155">
        <v>1377.9675</v>
      </c>
      <c r="N34" s="154">
        <v>0</v>
      </c>
      <c r="O34" s="155">
        <v>0</v>
      </c>
      <c r="P34" s="675">
        <v>15</v>
      </c>
      <c r="Q34" s="676">
        <v>2052</v>
      </c>
      <c r="R34" s="154">
        <v>0</v>
      </c>
      <c r="S34" s="155">
        <v>0</v>
      </c>
      <c r="T34" s="155"/>
      <c r="U34" s="154"/>
      <c r="V34" s="153"/>
      <c r="W34" s="154"/>
      <c r="X34" s="153"/>
      <c r="Y34" s="156">
        <f t="shared" si="0"/>
        <v>60</v>
      </c>
      <c r="Z34" s="157">
        <f t="shared" si="1"/>
        <v>112709.079</v>
      </c>
      <c r="AA34" s="158">
        <f t="shared" si="3"/>
        <v>1878.4846499999999</v>
      </c>
      <c r="AB34" s="159">
        <f t="shared" si="2"/>
        <v>0.75</v>
      </c>
      <c r="AC34" s="143">
        <f t="shared" si="4"/>
        <v>20</v>
      </c>
      <c r="AD34" s="298"/>
      <c r="AE34" s="143"/>
      <c r="AF34" s="298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7.100000000000001" customHeight="1" thickTop="1" x14ac:dyDescent="0.25">
      <c r="A35" s="171" t="s">
        <v>70</v>
      </c>
      <c r="B35" s="234"/>
      <c r="C35" s="234"/>
      <c r="D35" s="235">
        <f>SUM(D7:D34)</f>
        <v>180</v>
      </c>
      <c r="E35" s="236">
        <f>IF(D35=0,0,((D7*E7)+(D8*E8)+(D9*E9)+(D10*E10)+(D11*E11)+(D12*E12)+(D13*E13)+(D14*E14)+(D15*E15)+(D16*E16)+(D17*E17)+(D18*E18)+(D19*E19)+(D20*E20)+(D22*E22)+(D21*E21)+(D23*E23)+(D24*E24)+(D25*E25)+(D26*E26)+(D27*E27)+(D28*E28)+(D29*E29)+(D30*E30)+(D31*E31)+(D32*E32)+(D33*E33)+(D34*E34))/D35)</f>
        <v>2191.2150000000006</v>
      </c>
      <c r="F35" s="237">
        <f>SUM(F7:F34)</f>
        <v>870</v>
      </c>
      <c r="G35" s="236">
        <f>IF(F35=0,0,((F7*G7)+(F8*G8)+(F9*G9)+(F10*G10)+(F11*G11)+(F12*G12)+(F13*G13)+(F14*G14)+(F15*G15)+(F16*G16)+(F17*G17)+(F18*G18)+(F19*G19)+(F20*G20)+(F22*G22)+(F21*G21)+(F23*G23)+(F24*G24)+(F25*G25)+(F26*G26)+(F27*G27)+(F28*G28)+(F29*G29)+(F30*G30)+(F31*G31)+(F32*G32)+(F33*G33)+(F34*G34))/F35)</f>
        <v>2196.4461850574708</v>
      </c>
      <c r="H35" s="219">
        <f>SUM(H7:H34)</f>
        <v>101</v>
      </c>
      <c r="I35" s="236">
        <f>IF(H35=0,0,((H7*I7)+(H8*I8)+(H9*I9)+(H10*I10)+(H11*I11)+(H12*I12)+(H13*I13)+(H14*I14)+(H15*I15)+(H16*I16)+(H17*I17)+(H18*I18)+(H19*I19)+(H20*I20)+(H22*I22)+(H21*I21)+(H23*I23)+(H24*I24)+(H25*I25)+(H26*I26)+(H27*I27)+(H28*I28)+(H29*I29)+(H30*I30)+(H31*I31)+(H32*I32)+(H33*I33)+(H34*I34))/H35)</f>
        <v>1600.6995049504947</v>
      </c>
      <c r="J35" s="237">
        <f>SUM(J7:J34)</f>
        <v>184</v>
      </c>
      <c r="K35" s="236">
        <f>IF(J35=0,0,((J7*K7)+(J8*K8)+(J9*K9)+(J10*K10)+(J11*K11)+(J12*K12)+(J13*K13)+(J14*K14)+(J15*K15)+(J16*K16)+(J17*K17)+(J18*K18)+(J19*K19)+(J20*K20)+(J22*K22)+(J21*K21)+(J23*K23)+(J24*K24)+(J25*K25)+(J26*K26)+(J27*K27)+(J28*K28)+(J29*K29)+(J30*K30)+(J31*K31)+(J32*K32)+(J33*K33)+(J34*K34))/J35)</f>
        <v>2210.7378260869559</v>
      </c>
      <c r="L35" s="237">
        <f>SUM(L7:L34)</f>
        <v>273</v>
      </c>
      <c r="M35" s="236">
        <f>IF(L35=0,0,((L7*M7)+(L8*M8)+(L9*M9)+(L10*M10)+(L11*M11)+(L12*M12)+(L13*M13)+(L14*M14)+(L15*M15)+(L16*M16)+(L17*M17)+(L18*M18)+(L19*M19)+(L20*M20)+(L22*M22)+(L21*M21)+(L23*M23)+(L24*M24)+(L25*M25)+(L26*M26)+(L27*M27)+(L28*M28)+(L29*M29)+(L30*M30)+(L31*M31)+(L32*M32)+(L33*M33)+(L34*M34))/L35)</f>
        <v>1624.0025248168499</v>
      </c>
      <c r="N35" s="237">
        <f>SUM(N7:N34)</f>
        <v>0</v>
      </c>
      <c r="O35" s="236">
        <f>IF(N35=0,0,((N7*O7)+(N8*O8)+(N9*O9)+(N10*O10)+(N11*O11)+(N12*O12)+(N13*O13)+(N14*O14)+(N15*O15)+(N16*O16)+(N17*O17)+(N18*O18)+(N19*O19)+(N20*O20)+(N22*O22)+(N21*O21)+(N23*O23)+(N24*O24)+(N25*O25)+(N26*O26)+(N27*O27)+(N28*O28)+(N29*O29)+(N30*O30)+(N31*O31)+(N32*O32)+(N33*O33)+(N34*O34))/N35)</f>
        <v>0</v>
      </c>
      <c r="P35" s="237">
        <f>SUM(P7:P34)</f>
        <v>228</v>
      </c>
      <c r="Q35" s="236">
        <f>IF(P35=0,0,((P7*Q7)+(P8*Q8)+(P9*Q9)+(P10*Q10)+(P11*Q11)+(P12*Q12)+(P13*Q13)+(P14*Q14)+(P15*Q15)+(P16*Q16)+(P17*Q17)+(P18*Q18)+(P19*Q19)+(P20*Q20)+(P22*Q22)+(P21*Q21)+(P23*Q23)+(P24*Q24)+(P25*Q25)+(P26*Q26)+(P27*Q27)+(P28*Q28)+(P29*Q29)+(P30*Q30)+(P31*Q31)+(P32*Q32)+(P33*Q33)+(P34*Q34))/P35)</f>
        <v>1946.8221052631579</v>
      </c>
      <c r="R35" s="237">
        <f>SUM(R7:R34)</f>
        <v>0</v>
      </c>
      <c r="S35" s="236">
        <f>IF(R35=0,0,((R7*S7)+(R8*S8)+(R9*S9)+(R10*S10)+(R11*S11)+(R12*S12)+(R13*S13)+(R14*S14)+(R15*S15)+(R16*S16)+(R17*S17)+(R18*S18)+(R19*S19)+(R20*S20)+(R22*S22)+(R21*S21)+(R23*S23)+(R24*S24)+(R25*S25)+(R26*S26)+(R27*S27)+(R28*S28)+(R29*S29)+(R30*S30)+(R31*S31)+(R32*S32)+(R33*S33)+(R34*S34))/R35)</f>
        <v>0</v>
      </c>
      <c r="T35" s="236"/>
      <c r="U35" s="237"/>
      <c r="V35" s="236"/>
      <c r="W35" s="237"/>
      <c r="X35" s="236"/>
      <c r="Y35" s="237">
        <f>SUM(Y7:Y34)</f>
        <v>1836</v>
      </c>
      <c r="Z35" s="219">
        <f>SUM(Z7:Z34)</f>
        <v>3761001.4202749999</v>
      </c>
      <c r="AA35" s="219">
        <f>IF(Z35=0,0,Z35/Y35)</f>
        <v>2048.4757191040303</v>
      </c>
      <c r="AB35" s="238">
        <f>Y35/(AB6*D2)</f>
        <v>0.81964285714285712</v>
      </c>
      <c r="AC35" s="126"/>
      <c r="AD35" s="127"/>
      <c r="AE35" s="143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8" customFormat="1" ht="17.100000000000001" customHeight="1" thickBot="1" x14ac:dyDescent="0.3">
      <c r="A36" s="179" t="s">
        <v>71</v>
      </c>
      <c r="B36" s="180"/>
      <c r="C36" s="180"/>
      <c r="D36" s="771">
        <f>+E35*D35</f>
        <v>394418.70000000013</v>
      </c>
      <c r="E36" s="767"/>
      <c r="F36" s="766">
        <f>+G35*F35</f>
        <v>1910908.1809999996</v>
      </c>
      <c r="G36" s="767"/>
      <c r="H36" s="766">
        <f>+I35*H35</f>
        <v>161670.64999999997</v>
      </c>
      <c r="I36" s="767"/>
      <c r="J36" s="766">
        <f>+K35*J35</f>
        <v>406775.75999999989</v>
      </c>
      <c r="K36" s="767"/>
      <c r="L36" s="766">
        <f>+M35*L35</f>
        <v>443352.68927500001</v>
      </c>
      <c r="M36" s="767"/>
      <c r="N36" s="766">
        <f>+O35*N35</f>
        <v>0</v>
      </c>
      <c r="O36" s="767"/>
      <c r="P36" s="766">
        <f>+Q35*P35</f>
        <v>443875.44</v>
      </c>
      <c r="Q36" s="767"/>
      <c r="R36" s="766">
        <f>+S35*R35</f>
        <v>0</v>
      </c>
      <c r="S36" s="768"/>
      <c r="T36" s="181"/>
      <c r="U36" s="182"/>
      <c r="V36" s="181"/>
      <c r="W36" s="182"/>
      <c r="X36" s="181"/>
      <c r="Y36" s="183"/>
      <c r="Z36" s="184"/>
      <c r="AA36" s="184"/>
      <c r="AB36" s="185"/>
      <c r="AC36" s="126"/>
      <c r="AD36" s="127"/>
      <c r="AE36" s="143"/>
      <c r="AF36" s="126"/>
      <c r="AG36" s="126"/>
      <c r="AH36" s="126"/>
      <c r="AI36" s="126"/>
      <c r="AJ36" s="126"/>
      <c r="AK36" s="126"/>
      <c r="AL36" s="126"/>
      <c r="AM36" s="126"/>
      <c r="AN36" s="126"/>
      <c r="AO36" s="126"/>
      <c r="AP36" s="126"/>
      <c r="AQ36" s="126"/>
      <c r="AR36" s="126"/>
      <c r="AS36" s="126"/>
      <c r="AT36" s="126"/>
      <c r="AU36" s="126"/>
      <c r="AV36" s="126"/>
      <c r="AW36" s="126"/>
      <c r="AX36" s="126"/>
      <c r="AY36" s="126"/>
      <c r="AZ36" s="126"/>
      <c r="BA36" s="126"/>
      <c r="BB36" s="126"/>
      <c r="BC36" s="126"/>
    </row>
    <row r="37" spans="1:56" s="111" customFormat="1" ht="16.5" thickTop="1" x14ac:dyDescent="0.25">
      <c r="F37" s="211"/>
      <c r="L37" s="211"/>
      <c r="P37" s="211"/>
      <c r="Y37" s="211"/>
      <c r="Z37" s="211"/>
      <c r="AC37" s="112"/>
      <c r="AD37" s="113"/>
      <c r="AE37" s="143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  <c r="BD37" s="114"/>
    </row>
    <row r="38" spans="1:56" s="111" customFormat="1" ht="15.75" x14ac:dyDescent="0.25">
      <c r="AC38" s="112"/>
      <c r="AD38" s="113"/>
      <c r="AE38" s="126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  <c r="BD38" s="114"/>
    </row>
    <row r="39" spans="1:56" s="111" customFormat="1" ht="15.75" x14ac:dyDescent="0.25">
      <c r="A39" s="384"/>
      <c r="G39" s="226"/>
      <c r="Q39" s="226"/>
      <c r="AC39" s="112"/>
      <c r="AD39" s="113"/>
      <c r="AE39" s="126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4"/>
    </row>
    <row r="40" spans="1:56" s="111" customFormat="1" x14ac:dyDescent="0.2">
      <c r="A40" s="385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</sheetData>
  <mergeCells count="24">
    <mergeCell ref="A30:A32"/>
    <mergeCell ref="A33:A34"/>
    <mergeCell ref="D36:E36"/>
    <mergeCell ref="A16:A17"/>
    <mergeCell ref="R36:S36"/>
    <mergeCell ref="F36:G36"/>
    <mergeCell ref="H36:I36"/>
    <mergeCell ref="J36:K36"/>
    <mergeCell ref="L36:M36"/>
    <mergeCell ref="N36:O36"/>
    <mergeCell ref="P36:Q36"/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R5:S5"/>
    <mergeCell ref="U5:V5"/>
    <mergeCell ref="W5:X5"/>
  </mergeCells>
  <phoneticPr fontId="74" type="noConversion"/>
  <dataValidations disablePrompts="1" count="1">
    <dataValidation type="textLength" errorStyle="information" allowBlank="1" showInputMessage="1" showErrorMessage="1" error="XLBVal:2=0_x000d__x000a_" sqref="WUL983012:WUL983022 C65508:C65518 HZ65508:HZ65518 RV65508:RV65518 ABR65508:ABR65518 ALN65508:ALN65518 AVJ65508:AVJ65518 BFF65508:BFF65518 BPB65508:BPB65518 BYX65508:BYX65518 CIT65508:CIT65518 CSP65508:CSP65518 DCL65508:DCL65518 DMH65508:DMH65518 DWD65508:DWD65518 EFZ65508:EFZ65518 EPV65508:EPV65518 EZR65508:EZR65518 FJN65508:FJN65518 FTJ65508:FTJ65518 GDF65508:GDF65518 GNB65508:GNB65518 GWX65508:GWX65518 HGT65508:HGT65518 HQP65508:HQP65518 IAL65508:IAL65518 IKH65508:IKH65518 IUD65508:IUD65518 JDZ65508:JDZ65518 JNV65508:JNV65518 JXR65508:JXR65518 KHN65508:KHN65518 KRJ65508:KRJ65518 LBF65508:LBF65518 LLB65508:LLB65518 LUX65508:LUX65518 MET65508:MET65518 MOP65508:MOP65518 MYL65508:MYL65518 NIH65508:NIH65518 NSD65508:NSD65518 OBZ65508:OBZ65518 OLV65508:OLV65518 OVR65508:OVR65518 PFN65508:PFN65518 PPJ65508:PPJ65518 PZF65508:PZF65518 QJB65508:QJB65518 QSX65508:QSX65518 RCT65508:RCT65518 RMP65508:RMP65518 RWL65508:RWL65518 SGH65508:SGH65518 SQD65508:SQD65518 SZZ65508:SZZ65518 TJV65508:TJV65518 TTR65508:TTR65518 UDN65508:UDN65518 UNJ65508:UNJ65518 UXF65508:UXF65518 VHB65508:VHB65518 VQX65508:VQX65518 WAT65508:WAT65518 WKP65508:WKP65518 WUL65508:WUL65518 C131044:C131054 HZ131044:HZ131054 RV131044:RV131054 ABR131044:ABR131054 ALN131044:ALN131054 AVJ131044:AVJ131054 BFF131044:BFF131054 BPB131044:BPB131054 BYX131044:BYX131054 CIT131044:CIT131054 CSP131044:CSP131054 DCL131044:DCL131054 DMH131044:DMH131054 DWD131044:DWD131054 EFZ131044:EFZ131054 EPV131044:EPV131054 EZR131044:EZR131054 FJN131044:FJN131054 FTJ131044:FTJ131054 GDF131044:GDF131054 GNB131044:GNB131054 GWX131044:GWX131054 HGT131044:HGT131054 HQP131044:HQP131054 IAL131044:IAL131054 IKH131044:IKH131054 IUD131044:IUD131054 JDZ131044:JDZ131054 JNV131044:JNV131054 JXR131044:JXR131054 KHN131044:KHN131054 KRJ131044:KRJ131054 LBF131044:LBF131054 LLB131044:LLB131054 LUX131044:LUX131054 MET131044:MET131054 MOP131044:MOP131054 MYL131044:MYL131054 NIH131044:NIH131054 NSD131044:NSD131054 OBZ131044:OBZ131054 OLV131044:OLV131054 OVR131044:OVR131054 PFN131044:PFN131054 PPJ131044:PPJ131054 PZF131044:PZF131054 QJB131044:QJB131054 QSX131044:QSX131054 RCT131044:RCT131054 RMP131044:RMP131054 RWL131044:RWL131054 SGH131044:SGH131054 SQD131044:SQD131054 SZZ131044:SZZ131054 TJV131044:TJV131054 TTR131044:TTR131054 UDN131044:UDN131054 UNJ131044:UNJ131054 UXF131044:UXF131054 VHB131044:VHB131054 VQX131044:VQX131054 WAT131044:WAT131054 WKP131044:WKP131054 WUL131044:WUL131054 C196580:C196590 HZ196580:HZ196590 RV196580:RV196590 ABR196580:ABR196590 ALN196580:ALN196590 AVJ196580:AVJ196590 BFF196580:BFF196590 BPB196580:BPB196590 BYX196580:BYX196590 CIT196580:CIT196590 CSP196580:CSP196590 DCL196580:DCL196590 DMH196580:DMH196590 DWD196580:DWD196590 EFZ196580:EFZ196590 EPV196580:EPV196590 EZR196580:EZR196590 FJN196580:FJN196590 FTJ196580:FTJ196590 GDF196580:GDF196590 GNB196580:GNB196590 GWX196580:GWX196590 HGT196580:HGT196590 HQP196580:HQP196590 IAL196580:IAL196590 IKH196580:IKH196590 IUD196580:IUD196590 JDZ196580:JDZ196590 JNV196580:JNV196590 JXR196580:JXR196590 KHN196580:KHN196590 KRJ196580:KRJ196590 LBF196580:LBF196590 LLB196580:LLB196590 LUX196580:LUX196590 MET196580:MET196590 MOP196580:MOP196590 MYL196580:MYL196590 NIH196580:NIH196590 NSD196580:NSD196590 OBZ196580:OBZ196590 OLV196580:OLV196590 OVR196580:OVR196590 PFN196580:PFN196590 PPJ196580:PPJ196590 PZF196580:PZF196590 QJB196580:QJB196590 QSX196580:QSX196590 RCT196580:RCT196590 RMP196580:RMP196590 RWL196580:RWL196590 SGH196580:SGH196590 SQD196580:SQD196590 SZZ196580:SZZ196590 TJV196580:TJV196590 TTR196580:TTR196590 UDN196580:UDN196590 UNJ196580:UNJ196590 UXF196580:UXF196590 VHB196580:VHB196590 VQX196580:VQX196590 WAT196580:WAT196590 WKP196580:WKP196590 WUL196580:WUL196590 C262116:C262126 HZ262116:HZ262126 RV262116:RV262126 ABR262116:ABR262126 ALN262116:ALN262126 AVJ262116:AVJ262126 BFF262116:BFF262126 BPB262116:BPB262126 BYX262116:BYX262126 CIT262116:CIT262126 CSP262116:CSP262126 DCL262116:DCL262126 DMH262116:DMH262126 DWD262116:DWD262126 EFZ262116:EFZ262126 EPV262116:EPV262126 EZR262116:EZR262126 FJN262116:FJN262126 FTJ262116:FTJ262126 GDF262116:GDF262126 GNB262116:GNB262126 GWX262116:GWX262126 HGT262116:HGT262126 HQP262116:HQP262126 IAL262116:IAL262126 IKH262116:IKH262126 IUD262116:IUD262126 JDZ262116:JDZ262126 JNV262116:JNV262126 JXR262116:JXR262126 KHN262116:KHN262126 KRJ262116:KRJ262126 LBF262116:LBF262126 LLB262116:LLB262126 LUX262116:LUX262126 MET262116:MET262126 MOP262116:MOP262126 MYL262116:MYL262126 NIH262116:NIH262126 NSD262116:NSD262126 OBZ262116:OBZ262126 OLV262116:OLV262126 OVR262116:OVR262126 PFN262116:PFN262126 PPJ262116:PPJ262126 PZF262116:PZF262126 QJB262116:QJB262126 QSX262116:QSX262126 RCT262116:RCT262126 RMP262116:RMP262126 RWL262116:RWL262126 SGH262116:SGH262126 SQD262116:SQD262126 SZZ262116:SZZ262126 TJV262116:TJV262126 TTR262116:TTR262126 UDN262116:UDN262126 UNJ262116:UNJ262126 UXF262116:UXF262126 VHB262116:VHB262126 VQX262116:VQX262126 WAT262116:WAT262126 WKP262116:WKP262126 WUL262116:WUL262126 C327652:C327662 HZ327652:HZ327662 RV327652:RV327662 ABR327652:ABR327662 ALN327652:ALN327662 AVJ327652:AVJ327662 BFF327652:BFF327662 BPB327652:BPB327662 BYX327652:BYX327662 CIT327652:CIT327662 CSP327652:CSP327662 DCL327652:DCL327662 DMH327652:DMH327662 DWD327652:DWD327662 EFZ327652:EFZ327662 EPV327652:EPV327662 EZR327652:EZR327662 FJN327652:FJN327662 FTJ327652:FTJ327662 GDF327652:GDF327662 GNB327652:GNB327662 GWX327652:GWX327662 HGT327652:HGT327662 HQP327652:HQP327662 IAL327652:IAL327662 IKH327652:IKH327662 IUD327652:IUD327662 JDZ327652:JDZ327662 JNV327652:JNV327662 JXR327652:JXR327662 KHN327652:KHN327662 KRJ327652:KRJ327662 LBF327652:LBF327662 LLB327652:LLB327662 LUX327652:LUX327662 MET327652:MET327662 MOP327652:MOP327662 MYL327652:MYL327662 NIH327652:NIH327662 NSD327652:NSD327662 OBZ327652:OBZ327662 OLV327652:OLV327662 OVR327652:OVR327662 PFN327652:PFN327662 PPJ327652:PPJ327662 PZF327652:PZF327662 QJB327652:QJB327662 QSX327652:QSX327662 RCT327652:RCT327662 RMP327652:RMP327662 RWL327652:RWL327662 SGH327652:SGH327662 SQD327652:SQD327662 SZZ327652:SZZ327662 TJV327652:TJV327662 TTR327652:TTR327662 UDN327652:UDN327662 UNJ327652:UNJ327662 UXF327652:UXF327662 VHB327652:VHB327662 VQX327652:VQX327662 WAT327652:WAT327662 WKP327652:WKP327662 WUL327652:WUL327662 C393188:C393198 HZ393188:HZ393198 RV393188:RV393198 ABR393188:ABR393198 ALN393188:ALN393198 AVJ393188:AVJ393198 BFF393188:BFF393198 BPB393188:BPB393198 BYX393188:BYX393198 CIT393188:CIT393198 CSP393188:CSP393198 DCL393188:DCL393198 DMH393188:DMH393198 DWD393188:DWD393198 EFZ393188:EFZ393198 EPV393188:EPV393198 EZR393188:EZR393198 FJN393188:FJN393198 FTJ393188:FTJ393198 GDF393188:GDF393198 GNB393188:GNB393198 GWX393188:GWX393198 HGT393188:HGT393198 HQP393188:HQP393198 IAL393188:IAL393198 IKH393188:IKH393198 IUD393188:IUD393198 JDZ393188:JDZ393198 JNV393188:JNV393198 JXR393188:JXR393198 KHN393188:KHN393198 KRJ393188:KRJ393198 LBF393188:LBF393198 LLB393188:LLB393198 LUX393188:LUX393198 MET393188:MET393198 MOP393188:MOP393198 MYL393188:MYL393198 NIH393188:NIH393198 NSD393188:NSD393198 OBZ393188:OBZ393198 OLV393188:OLV393198 OVR393188:OVR393198 PFN393188:PFN393198 PPJ393188:PPJ393198 PZF393188:PZF393198 QJB393188:QJB393198 QSX393188:QSX393198 RCT393188:RCT393198 RMP393188:RMP393198 RWL393188:RWL393198 SGH393188:SGH393198 SQD393188:SQD393198 SZZ393188:SZZ393198 TJV393188:TJV393198 TTR393188:TTR393198 UDN393188:UDN393198 UNJ393188:UNJ393198 UXF393188:UXF393198 VHB393188:VHB393198 VQX393188:VQX393198 WAT393188:WAT393198 WKP393188:WKP393198 WUL393188:WUL393198 C458724:C458734 HZ458724:HZ458734 RV458724:RV458734 ABR458724:ABR458734 ALN458724:ALN458734 AVJ458724:AVJ458734 BFF458724:BFF458734 BPB458724:BPB458734 BYX458724:BYX458734 CIT458724:CIT458734 CSP458724:CSP458734 DCL458724:DCL458734 DMH458724:DMH458734 DWD458724:DWD458734 EFZ458724:EFZ458734 EPV458724:EPV458734 EZR458724:EZR458734 FJN458724:FJN458734 FTJ458724:FTJ458734 GDF458724:GDF458734 GNB458724:GNB458734 GWX458724:GWX458734 HGT458724:HGT458734 HQP458724:HQP458734 IAL458724:IAL458734 IKH458724:IKH458734 IUD458724:IUD458734 JDZ458724:JDZ458734 JNV458724:JNV458734 JXR458724:JXR458734 KHN458724:KHN458734 KRJ458724:KRJ458734 LBF458724:LBF458734 LLB458724:LLB458734 LUX458724:LUX458734 MET458724:MET458734 MOP458724:MOP458734 MYL458724:MYL458734 NIH458724:NIH458734 NSD458724:NSD458734 OBZ458724:OBZ458734 OLV458724:OLV458734 OVR458724:OVR458734 PFN458724:PFN458734 PPJ458724:PPJ458734 PZF458724:PZF458734 QJB458724:QJB458734 QSX458724:QSX458734 RCT458724:RCT458734 RMP458724:RMP458734 RWL458724:RWL458734 SGH458724:SGH458734 SQD458724:SQD458734 SZZ458724:SZZ458734 TJV458724:TJV458734 TTR458724:TTR458734 UDN458724:UDN458734 UNJ458724:UNJ458734 UXF458724:UXF458734 VHB458724:VHB458734 VQX458724:VQX458734 WAT458724:WAT458734 WKP458724:WKP458734 WUL458724:WUL458734 C524260:C524270 HZ524260:HZ524270 RV524260:RV524270 ABR524260:ABR524270 ALN524260:ALN524270 AVJ524260:AVJ524270 BFF524260:BFF524270 BPB524260:BPB524270 BYX524260:BYX524270 CIT524260:CIT524270 CSP524260:CSP524270 DCL524260:DCL524270 DMH524260:DMH524270 DWD524260:DWD524270 EFZ524260:EFZ524270 EPV524260:EPV524270 EZR524260:EZR524270 FJN524260:FJN524270 FTJ524260:FTJ524270 GDF524260:GDF524270 GNB524260:GNB524270 GWX524260:GWX524270 HGT524260:HGT524270 HQP524260:HQP524270 IAL524260:IAL524270 IKH524260:IKH524270 IUD524260:IUD524270 JDZ524260:JDZ524270 JNV524260:JNV524270 JXR524260:JXR524270 KHN524260:KHN524270 KRJ524260:KRJ524270 LBF524260:LBF524270 LLB524260:LLB524270 LUX524260:LUX524270 MET524260:MET524270 MOP524260:MOP524270 MYL524260:MYL524270 NIH524260:NIH524270 NSD524260:NSD524270 OBZ524260:OBZ524270 OLV524260:OLV524270 OVR524260:OVR524270 PFN524260:PFN524270 PPJ524260:PPJ524270 PZF524260:PZF524270 QJB524260:QJB524270 QSX524260:QSX524270 RCT524260:RCT524270 RMP524260:RMP524270 RWL524260:RWL524270 SGH524260:SGH524270 SQD524260:SQD524270 SZZ524260:SZZ524270 TJV524260:TJV524270 TTR524260:TTR524270 UDN524260:UDN524270 UNJ524260:UNJ524270 UXF524260:UXF524270 VHB524260:VHB524270 VQX524260:VQX524270 WAT524260:WAT524270 WKP524260:WKP524270 WUL524260:WUL524270 C589796:C589806 HZ589796:HZ589806 RV589796:RV589806 ABR589796:ABR589806 ALN589796:ALN589806 AVJ589796:AVJ589806 BFF589796:BFF589806 BPB589796:BPB589806 BYX589796:BYX589806 CIT589796:CIT589806 CSP589796:CSP589806 DCL589796:DCL589806 DMH589796:DMH589806 DWD589796:DWD589806 EFZ589796:EFZ589806 EPV589796:EPV589806 EZR589796:EZR589806 FJN589796:FJN589806 FTJ589796:FTJ589806 GDF589796:GDF589806 GNB589796:GNB589806 GWX589796:GWX589806 HGT589796:HGT589806 HQP589796:HQP589806 IAL589796:IAL589806 IKH589796:IKH589806 IUD589796:IUD589806 JDZ589796:JDZ589806 JNV589796:JNV589806 JXR589796:JXR589806 KHN589796:KHN589806 KRJ589796:KRJ589806 LBF589796:LBF589806 LLB589796:LLB589806 LUX589796:LUX589806 MET589796:MET589806 MOP589796:MOP589806 MYL589796:MYL589806 NIH589796:NIH589806 NSD589796:NSD589806 OBZ589796:OBZ589806 OLV589796:OLV589806 OVR589796:OVR589806 PFN589796:PFN589806 PPJ589796:PPJ589806 PZF589796:PZF589806 QJB589796:QJB589806 QSX589796:QSX589806 RCT589796:RCT589806 RMP589796:RMP589806 RWL589796:RWL589806 SGH589796:SGH589806 SQD589796:SQD589806 SZZ589796:SZZ589806 TJV589796:TJV589806 TTR589796:TTR589806 UDN589796:UDN589806 UNJ589796:UNJ589806 UXF589796:UXF589806 VHB589796:VHB589806 VQX589796:VQX589806 WAT589796:WAT589806 WKP589796:WKP589806 WUL589796:WUL589806 C655332:C655342 HZ655332:HZ655342 RV655332:RV655342 ABR655332:ABR655342 ALN655332:ALN655342 AVJ655332:AVJ655342 BFF655332:BFF655342 BPB655332:BPB655342 BYX655332:BYX655342 CIT655332:CIT655342 CSP655332:CSP655342 DCL655332:DCL655342 DMH655332:DMH655342 DWD655332:DWD655342 EFZ655332:EFZ655342 EPV655332:EPV655342 EZR655332:EZR655342 FJN655332:FJN655342 FTJ655332:FTJ655342 GDF655332:GDF655342 GNB655332:GNB655342 GWX655332:GWX655342 HGT655332:HGT655342 HQP655332:HQP655342 IAL655332:IAL655342 IKH655332:IKH655342 IUD655332:IUD655342 JDZ655332:JDZ655342 JNV655332:JNV655342 JXR655332:JXR655342 KHN655332:KHN655342 KRJ655332:KRJ655342 LBF655332:LBF655342 LLB655332:LLB655342 LUX655332:LUX655342 MET655332:MET655342 MOP655332:MOP655342 MYL655332:MYL655342 NIH655332:NIH655342 NSD655332:NSD655342 OBZ655332:OBZ655342 OLV655332:OLV655342 OVR655332:OVR655342 PFN655332:PFN655342 PPJ655332:PPJ655342 PZF655332:PZF655342 QJB655332:QJB655342 QSX655332:QSX655342 RCT655332:RCT655342 RMP655332:RMP655342 RWL655332:RWL655342 SGH655332:SGH655342 SQD655332:SQD655342 SZZ655332:SZZ655342 TJV655332:TJV655342 TTR655332:TTR655342 UDN655332:UDN655342 UNJ655332:UNJ655342 UXF655332:UXF655342 VHB655332:VHB655342 VQX655332:VQX655342 WAT655332:WAT655342 WKP655332:WKP655342 WUL655332:WUL655342 C720868:C720878 HZ720868:HZ720878 RV720868:RV720878 ABR720868:ABR720878 ALN720868:ALN720878 AVJ720868:AVJ720878 BFF720868:BFF720878 BPB720868:BPB720878 BYX720868:BYX720878 CIT720868:CIT720878 CSP720868:CSP720878 DCL720868:DCL720878 DMH720868:DMH720878 DWD720868:DWD720878 EFZ720868:EFZ720878 EPV720868:EPV720878 EZR720868:EZR720878 FJN720868:FJN720878 FTJ720868:FTJ720878 GDF720868:GDF720878 GNB720868:GNB720878 GWX720868:GWX720878 HGT720868:HGT720878 HQP720868:HQP720878 IAL720868:IAL720878 IKH720868:IKH720878 IUD720868:IUD720878 JDZ720868:JDZ720878 JNV720868:JNV720878 JXR720868:JXR720878 KHN720868:KHN720878 KRJ720868:KRJ720878 LBF720868:LBF720878 LLB720868:LLB720878 LUX720868:LUX720878 MET720868:MET720878 MOP720868:MOP720878 MYL720868:MYL720878 NIH720868:NIH720878 NSD720868:NSD720878 OBZ720868:OBZ720878 OLV720868:OLV720878 OVR720868:OVR720878 PFN720868:PFN720878 PPJ720868:PPJ720878 PZF720868:PZF720878 QJB720868:QJB720878 QSX720868:QSX720878 RCT720868:RCT720878 RMP720868:RMP720878 RWL720868:RWL720878 SGH720868:SGH720878 SQD720868:SQD720878 SZZ720868:SZZ720878 TJV720868:TJV720878 TTR720868:TTR720878 UDN720868:UDN720878 UNJ720868:UNJ720878 UXF720868:UXF720878 VHB720868:VHB720878 VQX720868:VQX720878 WAT720868:WAT720878 WKP720868:WKP720878 WUL720868:WUL720878 C786404:C786414 HZ786404:HZ786414 RV786404:RV786414 ABR786404:ABR786414 ALN786404:ALN786414 AVJ786404:AVJ786414 BFF786404:BFF786414 BPB786404:BPB786414 BYX786404:BYX786414 CIT786404:CIT786414 CSP786404:CSP786414 DCL786404:DCL786414 DMH786404:DMH786414 DWD786404:DWD786414 EFZ786404:EFZ786414 EPV786404:EPV786414 EZR786404:EZR786414 FJN786404:FJN786414 FTJ786404:FTJ786414 GDF786404:GDF786414 GNB786404:GNB786414 GWX786404:GWX786414 HGT786404:HGT786414 HQP786404:HQP786414 IAL786404:IAL786414 IKH786404:IKH786414 IUD786404:IUD786414 JDZ786404:JDZ786414 JNV786404:JNV786414 JXR786404:JXR786414 KHN786404:KHN786414 KRJ786404:KRJ786414 LBF786404:LBF786414 LLB786404:LLB786414 LUX786404:LUX786414 MET786404:MET786414 MOP786404:MOP786414 MYL786404:MYL786414 NIH786404:NIH786414 NSD786404:NSD786414 OBZ786404:OBZ786414 OLV786404:OLV786414 OVR786404:OVR786414 PFN786404:PFN786414 PPJ786404:PPJ786414 PZF786404:PZF786414 QJB786404:QJB786414 QSX786404:QSX786414 RCT786404:RCT786414 RMP786404:RMP786414 RWL786404:RWL786414 SGH786404:SGH786414 SQD786404:SQD786414 SZZ786404:SZZ786414 TJV786404:TJV786414 TTR786404:TTR786414 UDN786404:UDN786414 UNJ786404:UNJ786414 UXF786404:UXF786414 VHB786404:VHB786414 VQX786404:VQX786414 WAT786404:WAT786414 WKP786404:WKP786414 WUL786404:WUL786414 C851940:C851950 HZ851940:HZ851950 RV851940:RV851950 ABR851940:ABR851950 ALN851940:ALN851950 AVJ851940:AVJ851950 BFF851940:BFF851950 BPB851940:BPB851950 BYX851940:BYX851950 CIT851940:CIT851950 CSP851940:CSP851950 DCL851940:DCL851950 DMH851940:DMH851950 DWD851940:DWD851950 EFZ851940:EFZ851950 EPV851940:EPV851950 EZR851940:EZR851950 FJN851940:FJN851950 FTJ851940:FTJ851950 GDF851940:GDF851950 GNB851940:GNB851950 GWX851940:GWX851950 HGT851940:HGT851950 HQP851940:HQP851950 IAL851940:IAL851950 IKH851940:IKH851950 IUD851940:IUD851950 JDZ851940:JDZ851950 JNV851940:JNV851950 JXR851940:JXR851950 KHN851940:KHN851950 KRJ851940:KRJ851950 LBF851940:LBF851950 LLB851940:LLB851950 LUX851940:LUX851950 MET851940:MET851950 MOP851940:MOP851950 MYL851940:MYL851950 NIH851940:NIH851950 NSD851940:NSD851950 OBZ851940:OBZ851950 OLV851940:OLV851950 OVR851940:OVR851950 PFN851940:PFN851950 PPJ851940:PPJ851950 PZF851940:PZF851950 QJB851940:QJB851950 QSX851940:QSX851950 RCT851940:RCT851950 RMP851940:RMP851950 RWL851940:RWL851950 SGH851940:SGH851950 SQD851940:SQD851950 SZZ851940:SZZ851950 TJV851940:TJV851950 TTR851940:TTR851950 UDN851940:UDN851950 UNJ851940:UNJ851950 UXF851940:UXF851950 VHB851940:VHB851950 VQX851940:VQX851950 WAT851940:WAT851950 WKP851940:WKP851950 WUL851940:WUL851950 C917476:C917486 HZ917476:HZ917486 RV917476:RV917486 ABR917476:ABR917486 ALN917476:ALN917486 AVJ917476:AVJ917486 BFF917476:BFF917486 BPB917476:BPB917486 BYX917476:BYX917486 CIT917476:CIT917486 CSP917476:CSP917486 DCL917476:DCL917486 DMH917476:DMH917486 DWD917476:DWD917486 EFZ917476:EFZ917486 EPV917476:EPV917486 EZR917476:EZR917486 FJN917476:FJN917486 FTJ917476:FTJ917486 GDF917476:GDF917486 GNB917476:GNB917486 GWX917476:GWX917486 HGT917476:HGT917486 HQP917476:HQP917486 IAL917476:IAL917486 IKH917476:IKH917486 IUD917476:IUD917486 JDZ917476:JDZ917486 JNV917476:JNV917486 JXR917476:JXR917486 KHN917476:KHN917486 KRJ917476:KRJ917486 LBF917476:LBF917486 LLB917476:LLB917486 LUX917476:LUX917486 MET917476:MET917486 MOP917476:MOP917486 MYL917476:MYL917486 NIH917476:NIH917486 NSD917476:NSD917486 OBZ917476:OBZ917486 OLV917476:OLV917486 OVR917476:OVR917486 PFN917476:PFN917486 PPJ917476:PPJ917486 PZF917476:PZF917486 QJB917476:QJB917486 QSX917476:QSX917486 RCT917476:RCT917486 RMP917476:RMP917486 RWL917476:RWL917486 SGH917476:SGH917486 SQD917476:SQD917486 SZZ917476:SZZ917486 TJV917476:TJV917486 TTR917476:TTR917486 UDN917476:UDN917486 UNJ917476:UNJ917486 UXF917476:UXF917486 VHB917476:VHB917486 VQX917476:VQX917486 WAT917476:WAT917486 WKP917476:WKP917486 WUL917476:WUL917486 C983012:C983022 HZ983012:HZ983022 RV983012:RV983022 ABR983012:ABR983022 ALN983012:ALN983022 AVJ983012:AVJ983022 BFF983012:BFF983022 BPB983012:BPB983022 BYX983012:BYX983022 CIT983012:CIT983022 CSP983012:CSP983022 DCL983012:DCL983022 DMH983012:DMH983022 DWD983012:DWD983022 EFZ983012:EFZ983022 EPV983012:EPV983022 EZR983012:EZR983022 FJN983012:FJN983022 FTJ983012:FTJ983022 GDF983012:GDF983022 GNB983012:GNB983022 GWX983012:GWX983022 HGT983012:HGT983022 HQP983012:HQP983022 IAL983012:IAL983022 IKH983012:IKH983022 IUD983012:IUD983022 JDZ983012:JDZ983022 JNV983012:JNV983022 JXR983012:JXR983022 KHN983012:KHN983022 KRJ983012:KRJ983022 LBF983012:LBF983022 LLB983012:LLB983022 LUX983012:LUX983022 MET983012:MET983022 MOP983012:MOP983022 MYL983012:MYL983022 NIH983012:NIH983022 NSD983012:NSD983022 OBZ983012:OBZ983022 OLV983012:OLV983022 OVR983012:OVR983022 PFN983012:PFN983022 PPJ983012:PPJ983022 PZF983012:PZF983022 QJB983012:QJB983022 QSX983012:QSX983022 RCT983012:RCT983022 RMP983012:RMP983022 RWL983012:RWL983022 SGH983012:SGH983022 SQD983012:SQD983022 SZZ983012:SZZ983022 TJV983012:TJV983022 TTR983012:TTR983022 UDN983012:UDN983022 UNJ983012:UNJ983022 UXF983012:UXF983022 VHB983012:VHB983022 VQX983012:VQX983022 WAT983012:WAT983022 WKP983012:WKP983022 WUL28:WUL34 WKP28:WKP34 WAT28:WAT34 VQX28:VQX34 VHB28:VHB34 UXF28:UXF34 UNJ28:UNJ34 UDN28:UDN34 TTR28:TTR34 TJV28:TJV34 SZZ28:SZZ34 SQD28:SQD34 SGH28:SGH34 RWL28:RWL34 RMP28:RMP34 RCT28:RCT34 QSX28:QSX34 QJB28:QJB34 PZF28:PZF34 PPJ28:PPJ34 PFN28:PFN34 OVR28:OVR34 OLV28:OLV34 OBZ28:OBZ34 NSD28:NSD34 NIH28:NIH34 MYL28:MYL34 MOP28:MOP34 MET28:MET34 LUX28:LUX34 LLB28:LLB34 LBF28:LBF34 KRJ28:KRJ34 KHN28:KHN34 JXR28:JXR34 JNV28:JNV34 JDZ28:JDZ34 IUD28:IUD34 IKH28:IKH34 IAL28:IAL34 HQP28:HQP34 HGT28:HGT34 GWX28:GWX34 GNB28:GNB34 GDF28:GDF34 FTJ28:FTJ34 FJN28:FJN34 EZR28:EZR34 EPV28:EPV34 EFZ28:EFZ34 DWD28:DWD34 DMH28:DMH34 DCL28:DCL34 CSP28:CSP34 CIT28:CIT34 BYX28:BYX34 BPB28:BPB34 BFF28:BFF34 AVJ28:AVJ34 ALN28:ALN34 ABR28:ABR34 RV28:RV34 HZ28:HZ34" xr:uid="{00000000-0002-0000-12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6" orientation="landscape" horizontalDpi="300" verticalDpi="300" r:id="rId1"/>
  <colBreaks count="1" manualBreakCount="1">
    <brk id="28" max="1048575" man="1"/>
  </colBreaks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5">
    <pageSetUpPr fitToPage="1"/>
  </sheetPr>
  <dimension ref="B1:T36"/>
  <sheetViews>
    <sheetView view="pageBreakPreview" zoomScale="50" zoomScaleNormal="50" zoomScaleSheetLayoutView="50" workbookViewId="0">
      <pane xSplit="2" ySplit="6" topLeftCell="C13" activePane="bottomRight" state="frozen"/>
      <selection activeCell="G12" sqref="G12"/>
      <selection pane="topRight" activeCell="G12" sqref="G12"/>
      <selection pane="bottomLeft" activeCell="G12" sqref="G12"/>
      <selection pane="bottomRight" activeCell="J13" sqref="J13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3.855468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2.140625" style="5" bestFit="1" customWidth="1"/>
    <col min="20" max="16384" width="9.140625" style="5"/>
  </cols>
  <sheetData>
    <row r="1" spans="2:20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0" s="1" customFormat="1" ht="26.25" x14ac:dyDescent="0.4">
      <c r="B2" s="759" t="s">
        <v>138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0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0" ht="33" customHeight="1" outlineLevel="1" x14ac:dyDescent="0.35">
      <c r="B4" s="6" t="s">
        <v>1</v>
      </c>
      <c r="C4" s="7">
        <f>155*29</f>
        <v>4495</v>
      </c>
      <c r="D4" s="8"/>
      <c r="E4" s="9"/>
      <c r="F4" s="10"/>
      <c r="G4" s="7">
        <f>80*28</f>
        <v>2240</v>
      </c>
      <c r="H4" s="11"/>
      <c r="I4" s="11"/>
      <c r="J4" s="11"/>
      <c r="K4" s="7">
        <f>80*28</f>
        <v>2240</v>
      </c>
      <c r="L4" s="12"/>
      <c r="M4" s="12"/>
      <c r="N4" s="12"/>
      <c r="O4" s="12"/>
      <c r="P4" s="12"/>
      <c r="Q4" s="13"/>
    </row>
    <row r="5" spans="2:20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139</v>
      </c>
      <c r="P5" s="763"/>
      <c r="Q5" s="764"/>
    </row>
    <row r="6" spans="2:20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0" s="94" customFormat="1" ht="33" customHeight="1" outlineLevel="1" x14ac:dyDescent="0.3">
      <c r="B7" s="89" t="s">
        <v>37</v>
      </c>
      <c r="C7" s="90">
        <v>75</v>
      </c>
      <c r="D7" s="91">
        <f t="shared" ref="D7:D16" si="0">+IF(C$24=0,0,C7/C$24)</f>
        <v>9.1352009744214369E-2</v>
      </c>
      <c r="E7" s="92">
        <f t="shared" ref="E7:E16" si="1">IF(C7=0,0,F7/C7)</f>
        <v>1163.3662666666667</v>
      </c>
      <c r="F7" s="93">
        <v>87252.47</v>
      </c>
      <c r="G7" s="90">
        <v>118</v>
      </c>
      <c r="H7" s="91">
        <f t="shared" ref="H7:H16" si="2">+IF(G$24=0,0,G7/G$24)</f>
        <v>7.4447949526813884E-2</v>
      </c>
      <c r="I7" s="92">
        <f t="shared" ref="I7:I16" si="3">IF(G7=0,0,J7/G7)</f>
        <v>1682.9661016949153</v>
      </c>
      <c r="J7" s="93">
        <v>198590</v>
      </c>
      <c r="K7" s="90">
        <f>'DFebruary 2023'!D35</f>
        <v>180</v>
      </c>
      <c r="L7" s="91">
        <f>+IF(K$24=0,0,K7/K$24)</f>
        <v>9.8039215686274508E-2</v>
      </c>
      <c r="M7" s="92">
        <f>IF(K7=0,0,N7/K7)</f>
        <v>2191.2150000000006</v>
      </c>
      <c r="N7" s="93">
        <f>'DFebruary 2023'!D36</f>
        <v>394418.70000000013</v>
      </c>
      <c r="O7" s="90">
        <f t="shared" ref="O7:O23" si="4">K7-G7</f>
        <v>62</v>
      </c>
      <c r="P7" s="92">
        <f t="shared" ref="P7:P24" si="5">M7-I7</f>
        <v>508.24889830508528</v>
      </c>
      <c r="Q7" s="93">
        <f t="shared" ref="Q7:Q24" si="6">N7-J7</f>
        <v>195828.70000000013</v>
      </c>
      <c r="S7" s="210"/>
    </row>
    <row r="8" spans="2:20" s="94" customFormat="1" ht="33" customHeight="1" outlineLevel="1" x14ac:dyDescent="0.3">
      <c r="B8" s="89" t="s">
        <v>38</v>
      </c>
      <c r="C8" s="90">
        <v>419</v>
      </c>
      <c r="D8" s="91">
        <f t="shared" si="0"/>
        <v>0.510353227771011</v>
      </c>
      <c r="E8" s="92">
        <f t="shared" si="1"/>
        <v>1261.137016706444</v>
      </c>
      <c r="F8" s="93">
        <v>528416.41</v>
      </c>
      <c r="G8" s="90">
        <v>965</v>
      </c>
      <c r="H8" s="91">
        <f t="shared" si="2"/>
        <v>0.60883280757097791</v>
      </c>
      <c r="I8" s="92">
        <f t="shared" si="3"/>
        <v>2099.7730569948185</v>
      </c>
      <c r="J8" s="93">
        <v>2026281</v>
      </c>
      <c r="K8" s="90">
        <f>'DFebruary 2023'!F35</f>
        <v>870</v>
      </c>
      <c r="L8" s="91">
        <f t="shared" ref="L8:L16" si="7">+IF(K$24=0,0,K8/K$24)</f>
        <v>0.47385620915032678</v>
      </c>
      <c r="M8" s="92">
        <f>IF(K8=0,0,N8/K8)</f>
        <v>2196.4461850574708</v>
      </c>
      <c r="N8" s="93">
        <f>'DFebruary 2023'!F36</f>
        <v>1910908.1809999996</v>
      </c>
      <c r="O8" s="90">
        <f t="shared" si="4"/>
        <v>-95</v>
      </c>
      <c r="P8" s="92">
        <f t="shared" si="5"/>
        <v>96.673128062652268</v>
      </c>
      <c r="Q8" s="93">
        <f t="shared" si="6"/>
        <v>-115372.81900000037</v>
      </c>
      <c r="S8" s="210"/>
    </row>
    <row r="9" spans="2:20" s="94" customFormat="1" ht="20.25" outlineLevel="1" x14ac:dyDescent="0.3">
      <c r="B9" s="89" t="s">
        <v>44</v>
      </c>
      <c r="C9" s="90">
        <v>11</v>
      </c>
      <c r="D9" s="91">
        <f t="shared" si="0"/>
        <v>1.3398294762484775E-2</v>
      </c>
      <c r="E9" s="92">
        <f t="shared" si="1"/>
        <v>1403.9545454545455</v>
      </c>
      <c r="F9" s="93">
        <v>15443.5</v>
      </c>
      <c r="G9" s="90">
        <v>96</v>
      </c>
      <c r="H9" s="91">
        <f t="shared" si="2"/>
        <v>6.0567823343848581E-2</v>
      </c>
      <c r="I9" s="92">
        <f t="shared" si="3"/>
        <v>1619.9375</v>
      </c>
      <c r="J9" s="93">
        <v>155514</v>
      </c>
      <c r="K9" s="90">
        <f>'DFebruary 2023'!H35</f>
        <v>101</v>
      </c>
      <c r="L9" s="91">
        <f t="shared" si="7"/>
        <v>5.501089324618736E-2</v>
      </c>
      <c r="M9" s="92">
        <f>IF(K9=0,0,N9/K9)</f>
        <v>1600.6995049504947</v>
      </c>
      <c r="N9" s="93">
        <f>'DFebruary 2023'!H36</f>
        <v>161670.64999999997</v>
      </c>
      <c r="O9" s="90">
        <f t="shared" si="4"/>
        <v>5</v>
      </c>
      <c r="P9" s="92">
        <f t="shared" si="5"/>
        <v>-19.237995049505344</v>
      </c>
      <c r="Q9" s="93">
        <f t="shared" si="6"/>
        <v>6156.6499999999651</v>
      </c>
      <c r="S9" s="210"/>
    </row>
    <row r="10" spans="2:20" ht="33" customHeight="1" x14ac:dyDescent="0.35">
      <c r="B10" s="20" t="s">
        <v>36</v>
      </c>
      <c r="C10" s="55">
        <f>SUM(C7:C9)</f>
        <v>505</v>
      </c>
      <c r="D10" s="21">
        <f t="shared" si="0"/>
        <v>0.61510353227771009</v>
      </c>
      <c r="E10" s="58">
        <f t="shared" si="1"/>
        <v>1249.7274851485149</v>
      </c>
      <c r="F10" s="59">
        <f>SUM(F7:F9)</f>
        <v>631112.38</v>
      </c>
      <c r="G10" s="55">
        <f>SUM(G7:G9)</f>
        <v>1179</v>
      </c>
      <c r="H10" s="21">
        <f t="shared" si="2"/>
        <v>0.74384858044164037</v>
      </c>
      <c r="I10" s="58">
        <f t="shared" si="3"/>
        <v>2018.986429177269</v>
      </c>
      <c r="J10" s="59">
        <f>SUM(J7:J9)</f>
        <v>2380385</v>
      </c>
      <c r="K10" s="55">
        <f>SUM(K7:K9)</f>
        <v>1151</v>
      </c>
      <c r="L10" s="21">
        <f t="shared" si="7"/>
        <v>0.62690631808278863</v>
      </c>
      <c r="M10" s="58">
        <f>IF(K10=0,0,N10/K10)</f>
        <v>2143.3514604691568</v>
      </c>
      <c r="N10" s="59">
        <f>SUM(N7:N9)</f>
        <v>2466997.5309999995</v>
      </c>
      <c r="O10" s="55">
        <f t="shared" si="4"/>
        <v>-28</v>
      </c>
      <c r="P10" s="58">
        <f t="shared" si="5"/>
        <v>124.36503129188782</v>
      </c>
      <c r="Q10" s="59">
        <f t="shared" si="6"/>
        <v>86612.530999999493</v>
      </c>
      <c r="S10" s="210"/>
    </row>
    <row r="11" spans="2:20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si="1"/>
        <v>0</v>
      </c>
      <c r="F11" s="93">
        <v>0</v>
      </c>
      <c r="G11" s="90">
        <v>92</v>
      </c>
      <c r="H11" s="91">
        <f t="shared" si="2"/>
        <v>5.8044164037854888E-2</v>
      </c>
      <c r="I11" s="92">
        <f t="shared" si="3"/>
        <v>2363.663043478261</v>
      </c>
      <c r="J11" s="93">
        <v>217457</v>
      </c>
      <c r="K11" s="90">
        <f>'DFebruary 2023'!J35</f>
        <v>184</v>
      </c>
      <c r="L11" s="91">
        <f t="shared" si="7"/>
        <v>0.10021786492374728</v>
      </c>
      <c r="M11" s="92">
        <f t="shared" ref="M11:M16" si="8">IF(K11=0,0,N11/K11)</f>
        <v>2210.7378260869559</v>
      </c>
      <c r="N11" s="93">
        <f>'DFebruary 2023'!J36</f>
        <v>406775.75999999989</v>
      </c>
      <c r="O11" s="90">
        <f t="shared" si="4"/>
        <v>92</v>
      </c>
      <c r="P11" s="92">
        <f t="shared" si="5"/>
        <v>-152.92521739130507</v>
      </c>
      <c r="Q11" s="93">
        <f t="shared" si="6"/>
        <v>189318.75999999989</v>
      </c>
      <c r="S11" s="210"/>
    </row>
    <row r="12" spans="2:20" s="94" customFormat="1" ht="33" customHeight="1" x14ac:dyDescent="0.3">
      <c r="B12" s="89" t="s">
        <v>41</v>
      </c>
      <c r="C12" s="90">
        <v>10</v>
      </c>
      <c r="D12" s="91">
        <f t="shared" si="0"/>
        <v>1.2180267965895249E-2</v>
      </c>
      <c r="E12" s="92">
        <f t="shared" si="1"/>
        <v>826.94899999999996</v>
      </c>
      <c r="F12" s="93">
        <v>8269.49</v>
      </c>
      <c r="G12" s="90">
        <v>112</v>
      </c>
      <c r="H12" s="91">
        <f t="shared" si="2"/>
        <v>7.066246056782334E-2</v>
      </c>
      <c r="I12" s="92">
        <f t="shared" si="3"/>
        <v>1516.3214285714287</v>
      </c>
      <c r="J12" s="93">
        <v>169828</v>
      </c>
      <c r="K12" s="90">
        <f>'DFebruary 2023'!L35</f>
        <v>273</v>
      </c>
      <c r="L12" s="91">
        <f t="shared" si="7"/>
        <v>0.14869281045751634</v>
      </c>
      <c r="M12" s="92">
        <f t="shared" si="8"/>
        <v>1624.0025248168499</v>
      </c>
      <c r="N12" s="93">
        <f>'DFebruary 2023'!L36</f>
        <v>443352.68927500001</v>
      </c>
      <c r="O12" s="90">
        <f t="shared" si="4"/>
        <v>161</v>
      </c>
      <c r="P12" s="92">
        <f t="shared" si="5"/>
        <v>107.68109624542126</v>
      </c>
      <c r="Q12" s="93">
        <f t="shared" si="6"/>
        <v>273524.68927500001</v>
      </c>
      <c r="S12" s="210"/>
    </row>
    <row r="13" spans="2:20" ht="33" customHeight="1" x14ac:dyDescent="0.35">
      <c r="B13" s="20" t="s">
        <v>39</v>
      </c>
      <c r="C13" s="55">
        <f>SUM(C11:C12)</f>
        <v>10</v>
      </c>
      <c r="D13" s="21">
        <f t="shared" si="0"/>
        <v>1.2180267965895249E-2</v>
      </c>
      <c r="E13" s="58">
        <f t="shared" si="1"/>
        <v>826.94899999999996</v>
      </c>
      <c r="F13" s="59">
        <f>SUM(F11:F12)</f>
        <v>8269.49</v>
      </c>
      <c r="G13" s="55">
        <f>SUM(G11:G12)</f>
        <v>204</v>
      </c>
      <c r="H13" s="21">
        <f t="shared" si="2"/>
        <v>0.12870662460567822</v>
      </c>
      <c r="I13" s="58">
        <f t="shared" si="3"/>
        <v>1898.4558823529412</v>
      </c>
      <c r="J13" s="59">
        <f>SUM(J11:J12)</f>
        <v>387285</v>
      </c>
      <c r="K13" s="55">
        <f>SUM(K11:K12)</f>
        <v>457</v>
      </c>
      <c r="L13" s="21">
        <f t="shared" si="7"/>
        <v>0.24891067538126363</v>
      </c>
      <c r="M13" s="58">
        <f t="shared" si="8"/>
        <v>1860.2373069474834</v>
      </c>
      <c r="N13" s="59">
        <f>SUM(N11:N12)</f>
        <v>850128.4492749999</v>
      </c>
      <c r="O13" s="55">
        <f t="shared" si="4"/>
        <v>253</v>
      </c>
      <c r="P13" s="58">
        <f t="shared" si="5"/>
        <v>-38.218575405457841</v>
      </c>
      <c r="Q13" s="59">
        <f t="shared" si="6"/>
        <v>462843.4492749999</v>
      </c>
      <c r="S13" s="210"/>
    </row>
    <row r="14" spans="2:20" s="94" customFormat="1" ht="33" customHeight="1" x14ac:dyDescent="0.3">
      <c r="B14" s="89" t="s">
        <v>47</v>
      </c>
      <c r="C14" s="90">
        <v>77</v>
      </c>
      <c r="D14" s="91">
        <f t="shared" si="0"/>
        <v>9.3788063337393424E-2</v>
      </c>
      <c r="E14" s="92">
        <f t="shared" si="1"/>
        <v>1377.2418181818182</v>
      </c>
      <c r="F14" s="95">
        <v>106047.62</v>
      </c>
      <c r="G14" s="90">
        <v>0</v>
      </c>
      <c r="H14" s="91">
        <f t="shared" si="2"/>
        <v>0</v>
      </c>
      <c r="I14" s="92">
        <f t="shared" si="3"/>
        <v>0</v>
      </c>
      <c r="J14" s="95">
        <v>0</v>
      </c>
      <c r="K14" s="90">
        <f>'DFebruary 2023'!N35</f>
        <v>0</v>
      </c>
      <c r="L14" s="91">
        <f t="shared" si="7"/>
        <v>0</v>
      </c>
      <c r="M14" s="92">
        <f t="shared" si="8"/>
        <v>0</v>
      </c>
      <c r="N14" s="95">
        <f>'DFebruary 2023'!N36</f>
        <v>0</v>
      </c>
      <c r="O14" s="90">
        <f t="shared" si="4"/>
        <v>0</v>
      </c>
      <c r="P14" s="92">
        <f t="shared" si="5"/>
        <v>0</v>
      </c>
      <c r="Q14" s="96">
        <f t="shared" si="6"/>
        <v>0</v>
      </c>
      <c r="S14" s="210"/>
    </row>
    <row r="15" spans="2:20" s="94" customFormat="1" ht="33" customHeight="1" x14ac:dyDescent="0.3">
      <c r="B15" s="89" t="s">
        <v>43</v>
      </c>
      <c r="C15" s="90">
        <v>217</v>
      </c>
      <c r="D15" s="91">
        <f t="shared" si="0"/>
        <v>0.26431181485992694</v>
      </c>
      <c r="E15" s="92">
        <f t="shared" si="1"/>
        <v>1524.2021658986175</v>
      </c>
      <c r="F15" s="95">
        <v>330751.87</v>
      </c>
      <c r="G15" s="90">
        <v>199</v>
      </c>
      <c r="H15" s="91">
        <f t="shared" si="2"/>
        <v>0.12555205047318613</v>
      </c>
      <c r="I15" s="92">
        <f t="shared" si="3"/>
        <v>1923.3417085427136</v>
      </c>
      <c r="J15" s="95">
        <v>382745</v>
      </c>
      <c r="K15" s="90">
        <f>'DFebruary 2023'!P35</f>
        <v>228</v>
      </c>
      <c r="L15" s="91">
        <f t="shared" si="7"/>
        <v>0.12418300653594772</v>
      </c>
      <c r="M15" s="92">
        <f t="shared" si="8"/>
        <v>1946.8221052631579</v>
      </c>
      <c r="N15" s="95">
        <f>'DFebruary 2023'!P36</f>
        <v>443875.44</v>
      </c>
      <c r="O15" s="90">
        <f t="shared" si="4"/>
        <v>29</v>
      </c>
      <c r="P15" s="92">
        <f t="shared" si="5"/>
        <v>23.480396720444332</v>
      </c>
      <c r="Q15" s="96">
        <f t="shared" si="6"/>
        <v>61130.44</v>
      </c>
      <c r="S15" s="210"/>
    </row>
    <row r="16" spans="2:20" ht="33" customHeight="1" x14ac:dyDescent="0.35">
      <c r="B16" s="20" t="s">
        <v>42</v>
      </c>
      <c r="C16" s="55">
        <f>SUM(C14:C15)</f>
        <v>294</v>
      </c>
      <c r="D16" s="21">
        <f t="shared" si="0"/>
        <v>0.35809987819732036</v>
      </c>
      <c r="E16" s="58">
        <f t="shared" si="1"/>
        <v>1485.7125510204082</v>
      </c>
      <c r="F16" s="87">
        <f>SUM(F14:F15)</f>
        <v>436799.49</v>
      </c>
      <c r="G16" s="55">
        <f>SUM(G14:G15)</f>
        <v>199</v>
      </c>
      <c r="H16" s="21">
        <f t="shared" si="2"/>
        <v>0.12555205047318613</v>
      </c>
      <c r="I16" s="58">
        <f t="shared" si="3"/>
        <v>1923.3417085427136</v>
      </c>
      <c r="J16" s="87">
        <f>SUM(J14:J15)</f>
        <v>382745</v>
      </c>
      <c r="K16" s="55">
        <f>SUM(K14:K15)</f>
        <v>228</v>
      </c>
      <c r="L16" s="21">
        <f t="shared" si="7"/>
        <v>0.12418300653594772</v>
      </c>
      <c r="M16" s="58">
        <f t="shared" si="8"/>
        <v>1946.8221052631579</v>
      </c>
      <c r="N16" s="87">
        <f>SUM(N14:N15)</f>
        <v>443875.44</v>
      </c>
      <c r="O16" s="55">
        <f t="shared" si="4"/>
        <v>29</v>
      </c>
      <c r="P16" s="58">
        <f t="shared" si="5"/>
        <v>23.480396720444332</v>
      </c>
      <c r="Q16" s="88">
        <f t="shared" si="6"/>
        <v>61130.44</v>
      </c>
      <c r="S16" s="210"/>
      <c r="T16" s="223"/>
    </row>
    <row r="17" spans="2:19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4"/>
        <v>0</v>
      </c>
      <c r="P17" s="58">
        <f t="shared" si="5"/>
        <v>0</v>
      </c>
      <c r="Q17" s="88">
        <f t="shared" si="6"/>
        <v>0</v>
      </c>
      <c r="S17" s="210"/>
    </row>
    <row r="18" spans="2:19" ht="33" hidden="1" customHeight="1" x14ac:dyDescent="0.35">
      <c r="B18" s="22" t="s">
        <v>13</v>
      </c>
      <c r="C18" s="56">
        <f>C8+C9+C11+C12</f>
        <v>440</v>
      </c>
      <c r="D18" s="23">
        <f>+IF(C$24=0,0,C18/C$24)</f>
        <v>0.53593179049939099</v>
      </c>
      <c r="E18" s="60">
        <f>IF(C18=0,0,F18/C18)</f>
        <v>1254.8395454545455</v>
      </c>
      <c r="F18" s="61">
        <f>F8+F9+F11+F12</f>
        <v>552129.4</v>
      </c>
      <c r="G18" s="56">
        <f>G8+G9+G11+G12</f>
        <v>1265</v>
      </c>
      <c r="H18" s="23">
        <f>+IF(G$24=0,0,G18/G$24)</f>
        <v>0.79810725552050477</v>
      </c>
      <c r="I18" s="60">
        <f>IF(G18=0,0,J18/G18)</f>
        <v>2030.893280632411</v>
      </c>
      <c r="J18" s="61">
        <f>J8+J9+J11+J12</f>
        <v>2569080</v>
      </c>
      <c r="K18" s="56">
        <f>K8+K9+K11+K12</f>
        <v>1428</v>
      </c>
      <c r="L18" s="23">
        <f>+IF(K$24=0,0,K18/K$24)</f>
        <v>0.77777777777777779</v>
      </c>
      <c r="M18" s="60">
        <f>IF(K18=0,0,N18/K18)</f>
        <v>2046.7137817051816</v>
      </c>
      <c r="N18" s="61">
        <f>N8+N9+N11+N12</f>
        <v>2922707.2802749993</v>
      </c>
      <c r="O18" s="56">
        <f t="shared" si="4"/>
        <v>163</v>
      </c>
      <c r="P18" s="60">
        <f t="shared" si="5"/>
        <v>15.820501072770639</v>
      </c>
      <c r="Q18" s="66">
        <f t="shared" si="6"/>
        <v>353627.28027499933</v>
      </c>
      <c r="S18" s="210"/>
    </row>
    <row r="19" spans="2:19" ht="33" hidden="1" customHeight="1" x14ac:dyDescent="0.35">
      <c r="B19" s="22" t="s">
        <v>45</v>
      </c>
      <c r="C19" s="105">
        <f>C7+C14+C15</f>
        <v>369</v>
      </c>
      <c r="D19" s="106">
        <f>+IF(C$24=0,0,C19/C$24)</f>
        <v>0.44945188794153473</v>
      </c>
      <c r="E19" s="107">
        <f>IF(C19=0,0,F19/C19)</f>
        <v>1420.1950135501354</v>
      </c>
      <c r="F19" s="108">
        <f>F7+F14+F15</f>
        <v>524051.95999999996</v>
      </c>
      <c r="G19" s="105">
        <f>G7+G14+G15</f>
        <v>317</v>
      </c>
      <c r="H19" s="106">
        <f>+IF(G$24=0,0,G19/G$24)</f>
        <v>0.2</v>
      </c>
      <c r="I19" s="107">
        <f>IF(G19=0,0,J19/G19)</f>
        <v>1833.8643533123029</v>
      </c>
      <c r="J19" s="108">
        <f>J7+J14+J15</f>
        <v>581335</v>
      </c>
      <c r="K19" s="105">
        <f>K7+K14+K15</f>
        <v>408</v>
      </c>
      <c r="L19" s="106">
        <f>+IF(K$24=0,0,K19/K$24)</f>
        <v>0.22222222222222221</v>
      </c>
      <c r="M19" s="107">
        <f>IF(K19=0,0,N19/K19)</f>
        <v>2054.6425000000004</v>
      </c>
      <c r="N19" s="108">
        <f>N7+N14+N15</f>
        <v>838294.14000000013</v>
      </c>
      <c r="O19" s="56">
        <f t="shared" si="4"/>
        <v>91</v>
      </c>
      <c r="P19" s="60">
        <f t="shared" si="5"/>
        <v>220.77814668769747</v>
      </c>
      <c r="Q19" s="66">
        <f t="shared" si="6"/>
        <v>256959.14000000013</v>
      </c>
      <c r="S19" s="210"/>
    </row>
    <row r="20" spans="2:19" ht="33" customHeight="1" x14ac:dyDescent="0.35">
      <c r="B20" s="28" t="s">
        <v>16</v>
      </c>
      <c r="C20" s="56">
        <f>C18+C19</f>
        <v>809</v>
      </c>
      <c r="D20" s="23">
        <f>+IF(C$24=0,0,C20/C$24)</f>
        <v>0.98538367844092567</v>
      </c>
      <c r="E20" s="60">
        <f>IF(C20=0,0,F20/C20)</f>
        <v>1330.2612608158217</v>
      </c>
      <c r="F20" s="64">
        <f>F18+F19</f>
        <v>1076181.3599999999</v>
      </c>
      <c r="G20" s="56">
        <f>G18+G19</f>
        <v>1582</v>
      </c>
      <c r="H20" s="23">
        <f>+IF(G$24=0,0,G20/G$24)</f>
        <v>0.99810725552050472</v>
      </c>
      <c r="I20" s="60">
        <f>IF(G20=0,0,J20/G20)</f>
        <v>1991.4127686472818</v>
      </c>
      <c r="J20" s="64">
        <f>J18+J19</f>
        <v>3150415</v>
      </c>
      <c r="K20" s="56">
        <f>K18+K19</f>
        <v>1836</v>
      </c>
      <c r="L20" s="23">
        <f>+IF(K$24=0,0,K20/K$24)</f>
        <v>1</v>
      </c>
      <c r="M20" s="60">
        <f>IF(K20=0,0,N20/K20)</f>
        <v>2048.4757191040303</v>
      </c>
      <c r="N20" s="64">
        <f>N18+N19</f>
        <v>3761001.4202749995</v>
      </c>
      <c r="O20" s="56">
        <f t="shared" si="4"/>
        <v>254</v>
      </c>
      <c r="P20" s="60">
        <f t="shared" si="5"/>
        <v>57.062950456748467</v>
      </c>
      <c r="Q20" s="66">
        <f t="shared" si="6"/>
        <v>610586.42027499946</v>
      </c>
      <c r="S20" s="210"/>
    </row>
    <row r="21" spans="2:19" ht="33" customHeight="1" x14ac:dyDescent="0.35">
      <c r="B21" s="29" t="s">
        <v>17</v>
      </c>
      <c r="C21" s="24">
        <f>IF(C4=0,C20,C20/$C$4)</f>
        <v>0.17997775305895439</v>
      </c>
      <c r="D21" s="30"/>
      <c r="E21" s="35"/>
      <c r="F21" s="36"/>
      <c r="G21" s="24">
        <f>IF(G4=0,G20,G20/$G$4)</f>
        <v>0.70625000000000004</v>
      </c>
      <c r="H21" s="30"/>
      <c r="I21" s="35"/>
      <c r="J21" s="36"/>
      <c r="K21" s="24">
        <f>IF(K4=0,K20,K20/$K$4)</f>
        <v>0.81964285714285712</v>
      </c>
      <c r="L21" s="30"/>
      <c r="M21" s="35"/>
      <c r="N21" s="36"/>
      <c r="O21" s="54">
        <f t="shared" si="4"/>
        <v>0.11339285714285707</v>
      </c>
      <c r="P21" s="30">
        <f t="shared" si="5"/>
        <v>0</v>
      </c>
      <c r="Q21" s="31">
        <f t="shared" si="6"/>
        <v>0</v>
      </c>
      <c r="S21" s="210"/>
    </row>
    <row r="22" spans="2:19" ht="33" customHeight="1" x14ac:dyDescent="0.35">
      <c r="B22" s="25" t="s">
        <v>18</v>
      </c>
      <c r="C22" s="57">
        <v>12</v>
      </c>
      <c r="D22" s="26">
        <f>+IF(C$24=0,0,C22/C$24)</f>
        <v>1.4616321559074299E-2</v>
      </c>
      <c r="E22" s="65">
        <f>IF(C22=0,0,F22/C22)</f>
        <v>-422</v>
      </c>
      <c r="F22" s="63">
        <v>-5064</v>
      </c>
      <c r="G22" s="57">
        <v>3</v>
      </c>
      <c r="H22" s="26">
        <f>+IF(G$24=0,0,G22/G$24)</f>
        <v>1.8927444794952682E-3</v>
      </c>
      <c r="I22" s="65">
        <f>IF(G22=0,0,J22/G22)</f>
        <v>2092.3333333333335</v>
      </c>
      <c r="J22" s="63">
        <v>6277</v>
      </c>
      <c r="K22" s="57">
        <f>'DFebruary 2023'!R35</f>
        <v>0</v>
      </c>
      <c r="L22" s="26">
        <f>+IF(K$24=0,0,K22/K$24)</f>
        <v>0</v>
      </c>
      <c r="M22" s="65">
        <f>IF(K22=0,0,N22/K22)</f>
        <v>0</v>
      </c>
      <c r="N22" s="63">
        <v>0</v>
      </c>
      <c r="O22" s="57">
        <f t="shared" si="4"/>
        <v>-3</v>
      </c>
      <c r="P22" s="62">
        <f t="shared" si="5"/>
        <v>-2092.3333333333335</v>
      </c>
      <c r="Q22" s="63">
        <f t="shared" si="6"/>
        <v>-6277</v>
      </c>
      <c r="S22" s="210"/>
    </row>
    <row r="23" spans="2:19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4"/>
        <v>0</v>
      </c>
      <c r="P23" s="62">
        <f t="shared" si="5"/>
        <v>0</v>
      </c>
      <c r="Q23" s="72">
        <f t="shared" si="6"/>
        <v>0</v>
      </c>
      <c r="S23" s="210"/>
    </row>
    <row r="24" spans="2:19" ht="33" customHeight="1" x14ac:dyDescent="0.35">
      <c r="B24" s="22" t="s">
        <v>20</v>
      </c>
      <c r="C24" s="56">
        <f>C10+C13+C16+C22+C23</f>
        <v>821</v>
      </c>
      <c r="D24" s="23">
        <f>+IF(C$24=0,0,C24/C$24)</f>
        <v>1</v>
      </c>
      <c r="E24" s="60">
        <f>IF(C24=0,0,F24/C24)</f>
        <v>1304.6496467722288</v>
      </c>
      <c r="F24" s="64">
        <f>F10+F13+F16+F22+F23</f>
        <v>1071117.3599999999</v>
      </c>
      <c r="G24" s="56">
        <f>G10+G13+G16+G22+G23</f>
        <v>1585</v>
      </c>
      <c r="H24" s="23">
        <f>+IF(G$24=0,0,G24/G$24)</f>
        <v>1</v>
      </c>
      <c r="I24" s="60">
        <f>IF(G24=0,0,J24/G24)</f>
        <v>1991.6037854889589</v>
      </c>
      <c r="J24" s="64">
        <f>J10+J13+J16+J22+J23</f>
        <v>3156692</v>
      </c>
      <c r="K24" s="56">
        <f>K10+K13+K16+K22+K23</f>
        <v>1836</v>
      </c>
      <c r="L24" s="23">
        <f>+IF(K$24=0,0,K24/K$24)</f>
        <v>1</v>
      </c>
      <c r="M24" s="60">
        <f>IF(K24=0,0,N24/K24)</f>
        <v>2048.4757191040303</v>
      </c>
      <c r="N24" s="64">
        <f>N10+N13+N16+N22+N23</f>
        <v>3761001.4202749995</v>
      </c>
      <c r="O24" s="56">
        <f>O10+O13+O16+O22+O23</f>
        <v>251</v>
      </c>
      <c r="P24" s="60">
        <f t="shared" si="5"/>
        <v>56.871933615071384</v>
      </c>
      <c r="Q24" s="64">
        <f t="shared" si="6"/>
        <v>604309.42027499946</v>
      </c>
      <c r="S24" s="210"/>
    </row>
    <row r="25" spans="2:19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2.8555847317346179E-2</v>
      </c>
      <c r="Q25" s="38">
        <f>IF(J24=0,(N24-J24),(N24-J24)/J24)</f>
        <v>0.19143756193984066</v>
      </c>
    </row>
    <row r="26" spans="2:19" ht="33" customHeight="1" x14ac:dyDescent="0.35">
      <c r="B26" s="40" t="s">
        <v>21</v>
      </c>
      <c r="C26" s="41">
        <f>IF(C4=0,C24,C24/C4)</f>
        <v>0.18264738598442715</v>
      </c>
      <c r="D26" s="30"/>
      <c r="E26" s="30"/>
      <c r="F26" s="31"/>
      <c r="G26" s="41">
        <f>IF(G4=0,G24,G24/G4)</f>
        <v>0.7075892857142857</v>
      </c>
      <c r="H26" s="30"/>
      <c r="I26" s="30"/>
      <c r="J26" s="31"/>
      <c r="K26" s="41">
        <f>IF(K4=0,K24,K24/K4)</f>
        <v>0.81964285714285712</v>
      </c>
      <c r="L26" s="30"/>
      <c r="M26" s="30"/>
      <c r="N26" s="31"/>
      <c r="O26" s="41">
        <f>K26-G26</f>
        <v>0.11205357142857142</v>
      </c>
      <c r="P26" s="30"/>
      <c r="Q26" s="31"/>
    </row>
    <row r="27" spans="2:19" ht="33" customHeight="1" x14ac:dyDescent="0.35">
      <c r="B27" s="42" t="s">
        <v>22</v>
      </c>
      <c r="C27" s="43">
        <f>IF(C4=0,0,F$24/C$4)</f>
        <v>238.29084760845382</v>
      </c>
      <c r="D27" s="44"/>
      <c r="E27" s="45"/>
      <c r="F27" s="46"/>
      <c r="G27" s="43">
        <f>IF(G4=0,0,J$24/G$4)</f>
        <v>1409.2375</v>
      </c>
      <c r="H27" s="44"/>
      <c r="I27" s="45"/>
      <c r="J27" s="46"/>
      <c r="K27" s="43">
        <f>IF(K4=0,0,N$24/K$4)</f>
        <v>1679.0184911941963</v>
      </c>
      <c r="L27" s="44"/>
      <c r="M27" s="45"/>
      <c r="N27" s="46"/>
      <c r="O27" s="43">
        <f>K27-G27</f>
        <v>269.7809911941963</v>
      </c>
      <c r="P27" s="45"/>
      <c r="Q27" s="46"/>
    </row>
    <row r="28" spans="2:19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19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19" x14ac:dyDescent="0.35">
      <c r="B30" s="358"/>
      <c r="Q30" s="86"/>
    </row>
    <row r="31" spans="2:19" x14ac:dyDescent="0.35">
      <c r="B31" s="358"/>
      <c r="Q31" s="86"/>
    </row>
    <row r="32" spans="2:19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38"/>
  <dimension ref="A1:BD53"/>
  <sheetViews>
    <sheetView view="pageBreakPreview" topLeftCell="A4" zoomScale="60" zoomScaleNormal="100" workbookViewId="0">
      <selection activeCell="R41" sqref="R41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9.7109375" style="111" bestFit="1" customWidth="1"/>
    <col min="29" max="29" width="9.140625" style="112"/>
    <col min="30" max="30" width="9.140625" style="113"/>
    <col min="31" max="31" width="8.85546875" style="112"/>
    <col min="32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65">
        <f>'Annual 2022l2023'!C3</f>
        <v>44690</v>
      </c>
      <c r="F1" s="765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31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76"/>
      <c r="C4" s="777"/>
      <c r="D4" s="778" t="s">
        <v>140</v>
      </c>
      <c r="E4" s="779"/>
      <c r="F4" s="779"/>
      <c r="G4" s="779"/>
      <c r="H4" s="779"/>
      <c r="I4" s="779"/>
      <c r="J4" s="779"/>
      <c r="K4" s="779"/>
      <c r="L4" s="779"/>
      <c r="M4" s="779"/>
      <c r="N4" s="779"/>
      <c r="O4" s="779"/>
      <c r="P4" s="779"/>
      <c r="Q4" s="779"/>
      <c r="R4" s="779"/>
      <c r="S4" s="779"/>
      <c r="T4" s="779"/>
      <c r="U4" s="779"/>
      <c r="V4" s="779"/>
      <c r="W4" s="779"/>
      <c r="X4" s="779"/>
      <c r="Y4" s="779"/>
      <c r="Z4" s="779"/>
      <c r="AA4" s="779"/>
      <c r="AB4" s="780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81" t="s">
        <v>50</v>
      </c>
      <c r="E5" s="784"/>
      <c r="F5" s="782" t="s">
        <v>51</v>
      </c>
      <c r="G5" s="782"/>
      <c r="H5" s="773" t="s">
        <v>52</v>
      </c>
      <c r="I5" s="773"/>
      <c r="J5" s="783" t="s">
        <v>53</v>
      </c>
      <c r="K5" s="773"/>
      <c r="L5" s="783" t="s">
        <v>54</v>
      </c>
      <c r="M5" s="773"/>
      <c r="N5" s="783" t="s">
        <v>55</v>
      </c>
      <c r="O5" s="773"/>
      <c r="P5" s="783" t="s">
        <v>56</v>
      </c>
      <c r="Q5" s="773"/>
      <c r="R5" s="783" t="s">
        <v>57</v>
      </c>
      <c r="S5" s="773"/>
      <c r="T5" s="122"/>
      <c r="U5" s="774"/>
      <c r="V5" s="775"/>
      <c r="W5" s="774"/>
      <c r="X5" s="775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126" customFormat="1" ht="15.75" customHeight="1" x14ac:dyDescent="0.25">
      <c r="A7" s="421"/>
      <c r="B7" s="187" t="s">
        <v>66</v>
      </c>
      <c r="C7" s="188">
        <v>1</v>
      </c>
      <c r="D7" s="189">
        <v>0</v>
      </c>
      <c r="E7" s="190">
        <v>0</v>
      </c>
      <c r="F7" s="191">
        <v>35</v>
      </c>
      <c r="G7" s="190">
        <v>2185.7639999999997</v>
      </c>
      <c r="H7" s="191">
        <v>3</v>
      </c>
      <c r="I7" s="190">
        <v>1243.9100000000001</v>
      </c>
      <c r="J7" s="191">
        <v>0</v>
      </c>
      <c r="K7" s="192">
        <v>0</v>
      </c>
      <c r="L7" s="191">
        <v>14</v>
      </c>
      <c r="M7" s="192">
        <v>1847.9580000000001</v>
      </c>
      <c r="N7" s="191">
        <v>0</v>
      </c>
      <c r="O7" s="192">
        <v>0</v>
      </c>
      <c r="P7" s="191">
        <v>0</v>
      </c>
      <c r="Q7" s="192">
        <v>0</v>
      </c>
      <c r="R7" s="191">
        <v>1</v>
      </c>
      <c r="S7" s="192">
        <v>0</v>
      </c>
      <c r="T7" s="192"/>
      <c r="U7" s="191"/>
      <c r="V7" s="190"/>
      <c r="W7" s="191"/>
      <c r="X7" s="190"/>
      <c r="Y7" s="193">
        <f t="shared" ref="Y7:Y37" si="0">SUM(D7,F7,H7,J7,L7,U7,W7,N7,P7,R7)</f>
        <v>53</v>
      </c>
      <c r="Z7" s="194">
        <f t="shared" ref="Z7:Z37" si="1">((D7*E7)+(F7*G7)+(H7*I7)+(J7*K7)+(L7*M7)+(U7*V7)+(W7*X7)+(N7*O7)+(P7*Q7)+(R7*S7))</f>
        <v>106104.88199999998</v>
      </c>
      <c r="AA7" s="195">
        <f>IF(Z7=0,0,Z7/Y7)</f>
        <v>2001.978905660377</v>
      </c>
      <c r="AB7" s="196">
        <f t="shared" ref="AB7:AB37" si="2">Y7/$AB$6</f>
        <v>0.66249999999999998</v>
      </c>
      <c r="AC7" s="143"/>
      <c r="AD7" s="227"/>
      <c r="AE7" s="143"/>
    </row>
    <row r="8" spans="1:55" s="126" customFormat="1" ht="15.95" customHeight="1" x14ac:dyDescent="0.25">
      <c r="A8" s="419"/>
      <c r="B8" s="136" t="s">
        <v>67</v>
      </c>
      <c r="C8" s="137">
        <v>2</v>
      </c>
      <c r="D8" s="138">
        <v>0</v>
      </c>
      <c r="E8" s="139">
        <v>0</v>
      </c>
      <c r="F8" s="140">
        <v>37</v>
      </c>
      <c r="G8" s="139">
        <v>2164.9320000000002</v>
      </c>
      <c r="H8" s="140">
        <v>1</v>
      </c>
      <c r="I8" s="139">
        <v>1942.52</v>
      </c>
      <c r="J8" s="140">
        <v>0</v>
      </c>
      <c r="K8" s="141">
        <v>0</v>
      </c>
      <c r="L8" s="140">
        <v>17</v>
      </c>
      <c r="M8" s="141">
        <v>1811.46</v>
      </c>
      <c r="N8" s="140">
        <v>0</v>
      </c>
      <c r="O8" s="141">
        <v>0</v>
      </c>
      <c r="P8" s="140">
        <v>0</v>
      </c>
      <c r="Q8" s="141">
        <v>0</v>
      </c>
      <c r="R8" s="140">
        <v>1</v>
      </c>
      <c r="S8" s="141">
        <v>0</v>
      </c>
      <c r="T8" s="141"/>
      <c r="U8" s="140"/>
      <c r="V8" s="139"/>
      <c r="W8" s="140"/>
      <c r="X8" s="139"/>
      <c r="Y8" s="142">
        <f t="shared" si="0"/>
        <v>56</v>
      </c>
      <c r="Z8" s="143">
        <f t="shared" si="1"/>
        <v>112839.82400000002</v>
      </c>
      <c r="AA8" s="144">
        <f t="shared" ref="AA8:AA33" si="3">IF(Z8=0,0,Z8/Y8)</f>
        <v>2014.9968571428576</v>
      </c>
      <c r="AB8" s="145">
        <f t="shared" si="2"/>
        <v>0.7</v>
      </c>
      <c r="AC8" s="143"/>
      <c r="AD8" s="227"/>
      <c r="AE8" s="143"/>
    </row>
    <row r="9" spans="1:55" s="215" customFormat="1" ht="15.95" customHeight="1" x14ac:dyDescent="0.25">
      <c r="A9" s="426"/>
      <c r="B9" s="136" t="s">
        <v>68</v>
      </c>
      <c r="C9" s="137">
        <v>3</v>
      </c>
      <c r="D9" s="138">
        <v>0</v>
      </c>
      <c r="E9" s="139">
        <v>0</v>
      </c>
      <c r="F9" s="140">
        <v>32</v>
      </c>
      <c r="G9" s="139">
        <v>2317.308</v>
      </c>
      <c r="H9" s="140">
        <v>2</v>
      </c>
      <c r="I9" s="139">
        <v>2041.05</v>
      </c>
      <c r="J9" s="140">
        <v>11</v>
      </c>
      <c r="K9" s="141">
        <v>1660.87</v>
      </c>
      <c r="L9" s="140">
        <v>17</v>
      </c>
      <c r="M9" s="141">
        <v>1783.7714999999998</v>
      </c>
      <c r="N9" s="140">
        <v>0</v>
      </c>
      <c r="O9" s="141">
        <v>0</v>
      </c>
      <c r="P9" s="140">
        <v>0</v>
      </c>
      <c r="Q9" s="141">
        <v>0</v>
      </c>
      <c r="R9" s="140">
        <v>1</v>
      </c>
      <c r="S9" s="141">
        <v>0</v>
      </c>
      <c r="T9" s="141"/>
      <c r="U9" s="140"/>
      <c r="V9" s="139"/>
      <c r="W9" s="140"/>
      <c r="X9" s="139"/>
      <c r="Y9" s="142">
        <f t="shared" si="0"/>
        <v>63</v>
      </c>
      <c r="Z9" s="143">
        <f t="shared" si="1"/>
        <v>126829.64150000001</v>
      </c>
      <c r="AA9" s="144">
        <f t="shared" si="3"/>
        <v>2013.1689126984129</v>
      </c>
      <c r="AB9" s="145">
        <f t="shared" si="2"/>
        <v>0.78749999999999998</v>
      </c>
      <c r="AC9" s="143"/>
      <c r="AD9" s="227"/>
      <c r="AE9" s="143"/>
    </row>
    <row r="10" spans="1:55" s="215" customFormat="1" ht="15.95" customHeight="1" x14ac:dyDescent="0.25">
      <c r="A10" s="426"/>
      <c r="B10" s="136" t="s">
        <v>69</v>
      </c>
      <c r="C10" s="137">
        <v>4</v>
      </c>
      <c r="D10" s="138">
        <v>0</v>
      </c>
      <c r="E10" s="139">
        <v>0</v>
      </c>
      <c r="F10" s="140">
        <v>35</v>
      </c>
      <c r="G10" s="139">
        <v>2294.145</v>
      </c>
      <c r="H10" s="140">
        <v>5</v>
      </c>
      <c r="I10" s="139">
        <v>1555.72</v>
      </c>
      <c r="J10" s="140">
        <v>11</v>
      </c>
      <c r="K10" s="141">
        <v>1660.87</v>
      </c>
      <c r="L10" s="140">
        <v>13</v>
      </c>
      <c r="M10" s="141">
        <v>1842.5391923076916</v>
      </c>
      <c r="N10" s="140">
        <v>0</v>
      </c>
      <c r="O10" s="141">
        <v>0</v>
      </c>
      <c r="P10" s="140">
        <v>0</v>
      </c>
      <c r="Q10" s="141">
        <v>0</v>
      </c>
      <c r="R10" s="140">
        <v>1</v>
      </c>
      <c r="S10" s="141">
        <v>0</v>
      </c>
      <c r="T10" s="141"/>
      <c r="U10" s="140"/>
      <c r="V10" s="139"/>
      <c r="W10" s="140"/>
      <c r="X10" s="139"/>
      <c r="Y10" s="142">
        <f t="shared" si="0"/>
        <v>65</v>
      </c>
      <c r="Z10" s="143">
        <f t="shared" si="1"/>
        <v>130296.25449999998</v>
      </c>
      <c r="AA10" s="144">
        <f t="shared" si="3"/>
        <v>2004.5577615384611</v>
      </c>
      <c r="AB10" s="145">
        <f t="shared" si="2"/>
        <v>0.8125</v>
      </c>
      <c r="AC10" s="143"/>
      <c r="AD10" s="227"/>
      <c r="AE10" s="143"/>
    </row>
    <row r="11" spans="1:55" s="222" customFormat="1" ht="15.95" customHeight="1" x14ac:dyDescent="0.25">
      <c r="A11" s="289" t="s">
        <v>162</v>
      </c>
      <c r="B11" s="150" t="s">
        <v>63</v>
      </c>
      <c r="C11" s="151">
        <v>5</v>
      </c>
      <c r="D11" s="152">
        <v>0</v>
      </c>
      <c r="E11" s="153">
        <v>0</v>
      </c>
      <c r="F11" s="154">
        <v>35</v>
      </c>
      <c r="G11" s="153">
        <v>2373.7980000000002</v>
      </c>
      <c r="H11" s="154">
        <v>2</v>
      </c>
      <c r="I11" s="153">
        <v>1535.54555555555</v>
      </c>
      <c r="J11" s="154">
        <v>11</v>
      </c>
      <c r="K11" s="155">
        <v>1660.87</v>
      </c>
      <c r="L11" s="154">
        <v>17</v>
      </c>
      <c r="M11" s="155">
        <v>1589.2657941176415</v>
      </c>
      <c r="N11" s="154">
        <v>0</v>
      </c>
      <c r="O11" s="155">
        <v>0</v>
      </c>
      <c r="P11" s="154">
        <v>0</v>
      </c>
      <c r="Q11" s="155">
        <v>0</v>
      </c>
      <c r="R11" s="154">
        <v>1</v>
      </c>
      <c r="S11" s="155">
        <v>0</v>
      </c>
      <c r="T11" s="155"/>
      <c r="U11" s="154"/>
      <c r="V11" s="153"/>
      <c r="W11" s="154"/>
      <c r="X11" s="153"/>
      <c r="Y11" s="156">
        <f t="shared" si="0"/>
        <v>66</v>
      </c>
      <c r="Z11" s="157">
        <f t="shared" si="1"/>
        <v>131441.10961111099</v>
      </c>
      <c r="AA11" s="197">
        <f t="shared" si="3"/>
        <v>1991.5319638047119</v>
      </c>
      <c r="AB11" s="198">
        <f t="shared" si="2"/>
        <v>0.82499999999999996</v>
      </c>
      <c r="AC11" s="143"/>
      <c r="AD11" s="227"/>
      <c r="AE11" s="143"/>
      <c r="AF11" s="215"/>
      <c r="AG11" s="215"/>
      <c r="AH11" s="215"/>
      <c r="AI11" s="215"/>
      <c r="AJ11" s="215"/>
      <c r="AK11" s="215"/>
      <c r="AL11" s="215"/>
      <c r="AM11" s="215"/>
      <c r="AN11" s="215"/>
      <c r="AO11" s="215"/>
      <c r="AP11" s="215"/>
      <c r="AQ11" s="215"/>
      <c r="AR11" s="215"/>
      <c r="AS11" s="215"/>
      <c r="AT11" s="215"/>
      <c r="AU11" s="215"/>
      <c r="AV11" s="215"/>
      <c r="AW11" s="215"/>
      <c r="AX11" s="215"/>
      <c r="AY11" s="215"/>
      <c r="AZ11" s="215"/>
      <c r="BA11" s="215"/>
      <c r="BB11" s="215"/>
    </row>
    <row r="12" spans="1:55" s="215" customFormat="1" ht="15.95" customHeight="1" x14ac:dyDescent="0.25">
      <c r="A12" s="426"/>
      <c r="B12" s="136" t="s">
        <v>64</v>
      </c>
      <c r="C12" s="137">
        <v>6</v>
      </c>
      <c r="D12" s="138">
        <v>0</v>
      </c>
      <c r="E12" s="139">
        <v>0</v>
      </c>
      <c r="F12" s="140">
        <v>42</v>
      </c>
      <c r="G12" s="139">
        <v>2135.2485000000001</v>
      </c>
      <c r="H12" s="140">
        <v>1</v>
      </c>
      <c r="I12" s="139">
        <v>1243.9100000000001</v>
      </c>
      <c r="J12" s="140">
        <v>11</v>
      </c>
      <c r="K12" s="141">
        <v>1660.87</v>
      </c>
      <c r="L12" s="140">
        <v>12</v>
      </c>
      <c r="M12" s="141">
        <v>1275.1431</v>
      </c>
      <c r="N12" s="140">
        <v>0</v>
      </c>
      <c r="O12" s="141">
        <v>0</v>
      </c>
      <c r="P12" s="140">
        <v>0</v>
      </c>
      <c r="Q12" s="141">
        <v>0</v>
      </c>
      <c r="R12" s="140">
        <v>1</v>
      </c>
      <c r="S12" s="141">
        <v>0</v>
      </c>
      <c r="T12" s="141"/>
      <c r="U12" s="140"/>
      <c r="V12" s="139"/>
      <c r="W12" s="140"/>
      <c r="X12" s="139"/>
      <c r="Y12" s="142">
        <f t="shared" si="0"/>
        <v>67</v>
      </c>
      <c r="Z12" s="143">
        <f>((D12*E12)+(F12*G12)+(H12*I12)+(J12*K12)+(L12*M12)+(U12*V12)+(W12*X12)+(N12*O12)+(P12*Q12)+(R12*S12))</f>
        <v>124495.63420000001</v>
      </c>
      <c r="AA12" s="329">
        <f t="shared" si="3"/>
        <v>1858.1437940298511</v>
      </c>
      <c r="AB12" s="148">
        <f t="shared" si="2"/>
        <v>0.83750000000000002</v>
      </c>
      <c r="AC12" s="143"/>
      <c r="AD12" s="227"/>
      <c r="AE12" s="143"/>
    </row>
    <row r="13" spans="1:55" s="215" customFormat="1" ht="15.75" customHeight="1" x14ac:dyDescent="0.25">
      <c r="A13" s="426"/>
      <c r="B13" s="136" t="s">
        <v>65</v>
      </c>
      <c r="C13" s="137">
        <v>7</v>
      </c>
      <c r="D13" s="138">
        <v>0</v>
      </c>
      <c r="E13" s="139">
        <v>0</v>
      </c>
      <c r="F13" s="140">
        <v>45</v>
      </c>
      <c r="G13" s="139">
        <v>1908.2384999999999</v>
      </c>
      <c r="H13" s="140">
        <v>1</v>
      </c>
      <c r="I13" s="139">
        <v>1216.43</v>
      </c>
      <c r="J13" s="140">
        <v>0</v>
      </c>
      <c r="K13" s="141">
        <v>0</v>
      </c>
      <c r="L13" s="140">
        <v>14</v>
      </c>
      <c r="M13" s="141">
        <v>1170.2786666666655</v>
      </c>
      <c r="N13" s="140">
        <v>0</v>
      </c>
      <c r="O13" s="141">
        <v>0</v>
      </c>
      <c r="P13" s="140">
        <v>0</v>
      </c>
      <c r="Q13" s="141">
        <v>0</v>
      </c>
      <c r="R13" s="140">
        <v>1</v>
      </c>
      <c r="S13" s="141">
        <v>0</v>
      </c>
      <c r="T13" s="141"/>
      <c r="U13" s="140"/>
      <c r="V13" s="139"/>
      <c r="W13" s="140"/>
      <c r="X13" s="139"/>
      <c r="Y13" s="142">
        <f t="shared" si="0"/>
        <v>61</v>
      </c>
      <c r="Z13" s="143">
        <f>((D13*E13)+(F13*G13)+(H13*I13)+(J13*K13)+(L13*M13)+(U13*V13)+(W13*X13)+(N13*O13)+(P13*Q13)+(R13*S13))</f>
        <v>103471.0638333333</v>
      </c>
      <c r="AA13" s="329">
        <f t="shared" si="3"/>
        <v>1696.2469480874313</v>
      </c>
      <c r="AB13" s="148">
        <f t="shared" si="2"/>
        <v>0.76249999999999996</v>
      </c>
      <c r="AC13" s="143"/>
      <c r="AD13" s="227"/>
      <c r="AE13" s="143"/>
    </row>
    <row r="14" spans="1:55" s="126" customFormat="1" ht="15.95" customHeight="1" x14ac:dyDescent="0.25">
      <c r="A14" s="419"/>
      <c r="B14" s="136" t="s">
        <v>66</v>
      </c>
      <c r="C14" s="137">
        <v>8</v>
      </c>
      <c r="D14" s="138">
        <v>0</v>
      </c>
      <c r="E14" s="139">
        <v>0</v>
      </c>
      <c r="F14" s="140">
        <v>45</v>
      </c>
      <c r="G14" s="139">
        <v>1876.0664999999999</v>
      </c>
      <c r="H14" s="140">
        <v>3</v>
      </c>
      <c r="I14" s="139">
        <v>1225.5899999999999</v>
      </c>
      <c r="J14" s="140">
        <v>0</v>
      </c>
      <c r="K14" s="141">
        <v>0</v>
      </c>
      <c r="L14" s="140">
        <v>13</v>
      </c>
      <c r="M14" s="141">
        <v>1096.1488125000001</v>
      </c>
      <c r="N14" s="140">
        <v>0</v>
      </c>
      <c r="O14" s="141">
        <v>0</v>
      </c>
      <c r="P14" s="140">
        <v>0</v>
      </c>
      <c r="Q14" s="141">
        <v>0</v>
      </c>
      <c r="R14" s="140">
        <v>1</v>
      </c>
      <c r="S14" s="141">
        <v>0</v>
      </c>
      <c r="T14" s="141"/>
      <c r="U14" s="140"/>
      <c r="V14" s="139"/>
      <c r="W14" s="140"/>
      <c r="X14" s="139"/>
      <c r="Y14" s="142">
        <f t="shared" si="0"/>
        <v>62</v>
      </c>
      <c r="Z14" s="143">
        <f t="shared" si="1"/>
        <v>102349.6970625</v>
      </c>
      <c r="AA14" s="329">
        <f t="shared" si="3"/>
        <v>1650.8015655241934</v>
      </c>
      <c r="AB14" s="148">
        <f t="shared" si="2"/>
        <v>0.77500000000000002</v>
      </c>
      <c r="AC14" s="143"/>
      <c r="AD14" s="227"/>
      <c r="AE14" s="143"/>
    </row>
    <row r="15" spans="1:55" s="126" customFormat="1" ht="15.95" customHeight="1" x14ac:dyDescent="0.25">
      <c r="A15" s="419"/>
      <c r="B15" s="136" t="s">
        <v>67</v>
      </c>
      <c r="C15" s="137">
        <v>9</v>
      </c>
      <c r="D15" s="138">
        <v>0</v>
      </c>
      <c r="E15" s="139">
        <v>0</v>
      </c>
      <c r="F15" s="140">
        <v>40</v>
      </c>
      <c r="G15" s="139">
        <v>1915.41</v>
      </c>
      <c r="H15" s="140">
        <v>3</v>
      </c>
      <c r="I15" s="139">
        <v>1592.64</v>
      </c>
      <c r="J15" s="140">
        <v>0</v>
      </c>
      <c r="K15" s="141">
        <v>0</v>
      </c>
      <c r="L15" s="140">
        <v>15</v>
      </c>
      <c r="M15" s="141">
        <v>1127.5074999999931</v>
      </c>
      <c r="N15" s="140">
        <v>0</v>
      </c>
      <c r="O15" s="141">
        <v>0</v>
      </c>
      <c r="P15" s="140">
        <v>0</v>
      </c>
      <c r="Q15" s="141">
        <v>0</v>
      </c>
      <c r="R15" s="140">
        <v>1</v>
      </c>
      <c r="S15" s="141">
        <v>0</v>
      </c>
      <c r="T15" s="141"/>
      <c r="U15" s="140"/>
      <c r="V15" s="139"/>
      <c r="W15" s="140"/>
      <c r="X15" s="139"/>
      <c r="Y15" s="142">
        <f t="shared" si="0"/>
        <v>59</v>
      </c>
      <c r="Z15" s="143">
        <f t="shared" si="1"/>
        <v>98306.932499999908</v>
      </c>
      <c r="AA15" s="147">
        <f>IF(Z15=0,0,Z15/Y15)</f>
        <v>1666.2191949152527</v>
      </c>
      <c r="AB15" s="148">
        <f t="shared" si="2"/>
        <v>0.73750000000000004</v>
      </c>
      <c r="AC15" s="143"/>
      <c r="AD15" s="227"/>
      <c r="AE15" s="143"/>
    </row>
    <row r="16" spans="1:55" s="215" customFormat="1" ht="15.95" customHeight="1" x14ac:dyDescent="0.25">
      <c r="A16" s="426"/>
      <c r="B16" s="136" t="s">
        <v>68</v>
      </c>
      <c r="C16" s="137">
        <v>10</v>
      </c>
      <c r="D16" s="138">
        <v>0</v>
      </c>
      <c r="E16" s="139">
        <v>0</v>
      </c>
      <c r="F16" s="140">
        <v>40</v>
      </c>
      <c r="G16" s="139">
        <v>1971.7845000000002</v>
      </c>
      <c r="H16" s="140">
        <v>3</v>
      </c>
      <c r="I16" s="139">
        <v>1852.61</v>
      </c>
      <c r="J16" s="140">
        <v>11</v>
      </c>
      <c r="K16" s="141">
        <v>1660.87</v>
      </c>
      <c r="L16" s="140">
        <v>15</v>
      </c>
      <c r="M16" s="141">
        <v>1087.9365</v>
      </c>
      <c r="N16" s="140">
        <v>0</v>
      </c>
      <c r="O16" s="141">
        <v>0</v>
      </c>
      <c r="P16" s="140">
        <v>0</v>
      </c>
      <c r="Q16" s="141">
        <v>0</v>
      </c>
      <c r="R16" s="140">
        <v>1</v>
      </c>
      <c r="S16" s="141">
        <v>0</v>
      </c>
      <c r="T16" s="141"/>
      <c r="U16" s="140"/>
      <c r="V16" s="139"/>
      <c r="W16" s="140"/>
      <c r="X16" s="139"/>
      <c r="Y16" s="142">
        <f t="shared" si="0"/>
        <v>70</v>
      </c>
      <c r="Z16" s="143">
        <f t="shared" si="1"/>
        <v>119017.8275</v>
      </c>
      <c r="AA16" s="147">
        <f>IF(Z16=0,0,Z16/Y16)</f>
        <v>1700.2546785714285</v>
      </c>
      <c r="AB16" s="148">
        <f t="shared" si="2"/>
        <v>0.875</v>
      </c>
      <c r="AC16" s="143"/>
      <c r="AD16" s="227"/>
      <c r="AE16" s="143"/>
    </row>
    <row r="17" spans="1:55" s="216" customFormat="1" ht="15.75" customHeight="1" x14ac:dyDescent="0.25">
      <c r="A17" s="426"/>
      <c r="B17" s="136" t="s">
        <v>69</v>
      </c>
      <c r="C17" s="137">
        <v>11</v>
      </c>
      <c r="D17" s="138">
        <v>0</v>
      </c>
      <c r="E17" s="139">
        <v>0</v>
      </c>
      <c r="F17" s="140">
        <v>40</v>
      </c>
      <c r="G17" s="139">
        <v>2260.5135</v>
      </c>
      <c r="H17" s="140">
        <v>5</v>
      </c>
      <c r="I17" s="139">
        <v>1633.17</v>
      </c>
      <c r="J17" s="140">
        <v>11</v>
      </c>
      <c r="K17" s="141">
        <v>1660.87</v>
      </c>
      <c r="L17" s="140">
        <v>15</v>
      </c>
      <c r="M17" s="141">
        <v>1107.5609999999999</v>
      </c>
      <c r="N17" s="140">
        <v>0</v>
      </c>
      <c r="O17" s="141">
        <v>0</v>
      </c>
      <c r="P17" s="140">
        <v>0</v>
      </c>
      <c r="Q17" s="141">
        <v>0</v>
      </c>
      <c r="R17" s="140">
        <v>1</v>
      </c>
      <c r="S17" s="141">
        <v>0</v>
      </c>
      <c r="T17" s="141"/>
      <c r="U17" s="140"/>
      <c r="V17" s="139"/>
      <c r="W17" s="140"/>
      <c r="X17" s="139"/>
      <c r="Y17" s="142">
        <f t="shared" si="0"/>
        <v>72</v>
      </c>
      <c r="Z17" s="143">
        <f t="shared" si="1"/>
        <v>133469.37500000003</v>
      </c>
      <c r="AA17" s="147">
        <f t="shared" si="3"/>
        <v>1853.7413194444448</v>
      </c>
      <c r="AB17" s="148">
        <f t="shared" si="2"/>
        <v>0.9</v>
      </c>
      <c r="AC17" s="143"/>
      <c r="AD17" s="227"/>
      <c r="AE17" s="143"/>
      <c r="AF17" s="215"/>
      <c r="AG17" s="215"/>
      <c r="AH17" s="215"/>
      <c r="AI17" s="215"/>
      <c r="AJ17" s="215"/>
      <c r="AK17" s="215"/>
      <c r="AL17" s="215"/>
      <c r="AM17" s="215"/>
      <c r="AN17" s="215"/>
      <c r="AO17" s="215"/>
      <c r="AP17" s="215"/>
      <c r="AQ17" s="215"/>
      <c r="AR17" s="215"/>
      <c r="AS17" s="215"/>
      <c r="AT17" s="215"/>
      <c r="AU17" s="215"/>
      <c r="AV17" s="215"/>
      <c r="AW17" s="215"/>
      <c r="AX17" s="215"/>
      <c r="AY17" s="215"/>
      <c r="AZ17" s="215"/>
      <c r="BA17" s="215"/>
      <c r="BB17" s="215"/>
    </row>
    <row r="18" spans="1:55" s="126" customFormat="1" ht="15.75" customHeight="1" x14ac:dyDescent="0.25">
      <c r="A18" s="419"/>
      <c r="B18" s="150" t="s">
        <v>63</v>
      </c>
      <c r="C18" s="151">
        <v>12</v>
      </c>
      <c r="D18" s="152">
        <v>0</v>
      </c>
      <c r="E18" s="153">
        <v>0</v>
      </c>
      <c r="F18" s="154">
        <v>25</v>
      </c>
      <c r="G18" s="153">
        <v>2042.817</v>
      </c>
      <c r="H18" s="154">
        <v>2</v>
      </c>
      <c r="I18" s="153">
        <v>1585.53</v>
      </c>
      <c r="J18" s="154">
        <v>11</v>
      </c>
      <c r="K18" s="155">
        <v>1660.87</v>
      </c>
      <c r="L18" s="154">
        <v>15</v>
      </c>
      <c r="M18" s="155">
        <v>1530.1754999999998</v>
      </c>
      <c r="N18" s="154">
        <v>0</v>
      </c>
      <c r="O18" s="155">
        <v>0</v>
      </c>
      <c r="P18" s="154">
        <v>0</v>
      </c>
      <c r="Q18" s="155">
        <v>0</v>
      </c>
      <c r="R18" s="154">
        <v>1</v>
      </c>
      <c r="S18" s="155">
        <v>0</v>
      </c>
      <c r="T18" s="155"/>
      <c r="U18" s="154"/>
      <c r="V18" s="153"/>
      <c r="W18" s="154"/>
      <c r="X18" s="153"/>
      <c r="Y18" s="156">
        <f t="shared" si="0"/>
        <v>54</v>
      </c>
      <c r="Z18" s="157">
        <f t="shared" si="1"/>
        <v>95463.687499999985</v>
      </c>
      <c r="AA18" s="158">
        <f t="shared" si="3"/>
        <v>1767.8460648148146</v>
      </c>
      <c r="AB18" s="159">
        <f t="shared" si="2"/>
        <v>0.67500000000000004</v>
      </c>
      <c r="AC18" s="143"/>
      <c r="AD18" s="227"/>
      <c r="AE18" s="143"/>
    </row>
    <row r="19" spans="1:55" s="126" customFormat="1" ht="15.95" customHeight="1" x14ac:dyDescent="0.25">
      <c r="A19" s="149"/>
      <c r="B19" s="136" t="s">
        <v>64</v>
      </c>
      <c r="C19" s="137">
        <v>13</v>
      </c>
      <c r="D19" s="138">
        <v>0</v>
      </c>
      <c r="E19" s="139">
        <v>0</v>
      </c>
      <c r="F19" s="140">
        <v>25</v>
      </c>
      <c r="G19" s="139">
        <v>2050.9124999999999</v>
      </c>
      <c r="H19" s="140">
        <v>1</v>
      </c>
      <c r="I19" s="139">
        <v>1481.66</v>
      </c>
      <c r="J19" s="140">
        <v>11</v>
      </c>
      <c r="K19" s="141">
        <v>1660.87</v>
      </c>
      <c r="L19" s="140">
        <v>15</v>
      </c>
      <c r="M19" s="141">
        <v>1530.1754999999998</v>
      </c>
      <c r="N19" s="140">
        <v>0</v>
      </c>
      <c r="O19" s="141">
        <v>0</v>
      </c>
      <c r="P19" s="591">
        <v>15</v>
      </c>
      <c r="Q19" s="592">
        <v>2052</v>
      </c>
      <c r="R19" s="140">
        <v>1</v>
      </c>
      <c r="S19" s="141">
        <v>0</v>
      </c>
      <c r="T19" s="141"/>
      <c r="U19" s="140"/>
      <c r="V19" s="139"/>
      <c r="W19" s="140"/>
      <c r="X19" s="139"/>
      <c r="Y19" s="142">
        <f t="shared" si="0"/>
        <v>68</v>
      </c>
      <c r="Z19" s="143">
        <f t="shared" si="1"/>
        <v>124756.675</v>
      </c>
      <c r="AA19" s="329">
        <f t="shared" si="3"/>
        <v>1834.6569852941177</v>
      </c>
      <c r="AB19" s="148">
        <f t="shared" si="2"/>
        <v>0.85</v>
      </c>
      <c r="AC19" s="143"/>
      <c r="AD19" s="227"/>
      <c r="AE19" s="143"/>
    </row>
    <row r="20" spans="1:55" s="215" customFormat="1" ht="15.95" customHeight="1" x14ac:dyDescent="0.25">
      <c r="A20" s="213"/>
      <c r="B20" s="136" t="s">
        <v>65</v>
      </c>
      <c r="C20" s="137">
        <v>14</v>
      </c>
      <c r="D20" s="138">
        <v>0</v>
      </c>
      <c r="E20" s="139">
        <v>0</v>
      </c>
      <c r="F20" s="140">
        <v>29</v>
      </c>
      <c r="G20" s="139">
        <v>2137.9994999999999</v>
      </c>
      <c r="H20" s="140">
        <v>1</v>
      </c>
      <c r="I20" s="139">
        <v>2439.5700000000002</v>
      </c>
      <c r="J20" s="140">
        <v>8</v>
      </c>
      <c r="K20" s="141">
        <v>1984.35</v>
      </c>
      <c r="L20" s="140">
        <v>15</v>
      </c>
      <c r="M20" s="139">
        <v>1243.9349999999999</v>
      </c>
      <c r="N20" s="140">
        <v>0</v>
      </c>
      <c r="O20" s="141">
        <v>0</v>
      </c>
      <c r="P20" s="591">
        <v>15</v>
      </c>
      <c r="Q20" s="592">
        <v>2052</v>
      </c>
      <c r="R20" s="140">
        <v>1</v>
      </c>
      <c r="S20" s="141">
        <v>0</v>
      </c>
      <c r="T20" s="141"/>
      <c r="U20" s="140"/>
      <c r="V20" s="139"/>
      <c r="W20" s="140"/>
      <c r="X20" s="139"/>
      <c r="Y20" s="142">
        <f t="shared" si="0"/>
        <v>69</v>
      </c>
      <c r="Z20" s="143">
        <f t="shared" si="1"/>
        <v>129755.38049999998</v>
      </c>
      <c r="AA20" s="329">
        <f t="shared" si="3"/>
        <v>1880.512760869565</v>
      </c>
      <c r="AB20" s="148">
        <f t="shared" si="2"/>
        <v>0.86250000000000004</v>
      </c>
      <c r="AC20" s="143"/>
      <c r="AD20" s="227"/>
      <c r="AE20" s="143"/>
    </row>
    <row r="21" spans="1:55" s="215" customFormat="1" ht="15.95" customHeight="1" x14ac:dyDescent="0.25">
      <c r="A21" s="213"/>
      <c r="B21" s="136" t="s">
        <v>66</v>
      </c>
      <c r="C21" s="137">
        <v>15</v>
      </c>
      <c r="D21" s="138">
        <v>0</v>
      </c>
      <c r="E21" s="139">
        <v>0</v>
      </c>
      <c r="F21" s="140">
        <v>30</v>
      </c>
      <c r="G21" s="139">
        <v>2105.7750000000001</v>
      </c>
      <c r="H21" s="140">
        <v>2</v>
      </c>
      <c r="I21" s="139">
        <v>1623.03</v>
      </c>
      <c r="J21" s="140">
        <v>8</v>
      </c>
      <c r="K21" s="141">
        <v>1984.35</v>
      </c>
      <c r="L21" s="140">
        <v>15</v>
      </c>
      <c r="M21" s="141">
        <v>1621.5674999999999</v>
      </c>
      <c r="N21" s="140">
        <v>0</v>
      </c>
      <c r="O21" s="141">
        <v>0</v>
      </c>
      <c r="P21" s="591">
        <v>15</v>
      </c>
      <c r="Q21" s="592">
        <v>2052</v>
      </c>
      <c r="R21" s="140">
        <v>1</v>
      </c>
      <c r="S21" s="141">
        <v>0</v>
      </c>
      <c r="T21" s="141"/>
      <c r="U21" s="140"/>
      <c r="V21" s="139"/>
      <c r="W21" s="140"/>
      <c r="X21" s="139"/>
      <c r="Y21" s="142">
        <f t="shared" si="0"/>
        <v>71</v>
      </c>
      <c r="Z21" s="143">
        <f t="shared" si="1"/>
        <v>137397.6225</v>
      </c>
      <c r="AA21" s="329">
        <f t="shared" si="3"/>
        <v>1935.1777816901408</v>
      </c>
      <c r="AB21" s="148">
        <f t="shared" si="2"/>
        <v>0.88749999999999996</v>
      </c>
      <c r="AC21" s="143"/>
      <c r="AD21" s="227"/>
      <c r="AE21" s="143"/>
    </row>
    <row r="22" spans="1:55" s="128" customFormat="1" ht="15.95" customHeight="1" x14ac:dyDescent="0.25">
      <c r="A22" s="149"/>
      <c r="B22" s="136" t="s">
        <v>67</v>
      </c>
      <c r="C22" s="137">
        <v>16</v>
      </c>
      <c r="D22" s="138">
        <v>0</v>
      </c>
      <c r="E22" s="139">
        <v>0</v>
      </c>
      <c r="F22" s="140">
        <v>29</v>
      </c>
      <c r="G22" s="139">
        <v>1833.8145</v>
      </c>
      <c r="H22" s="140">
        <v>2</v>
      </c>
      <c r="I22" s="139">
        <v>1598.99</v>
      </c>
      <c r="J22" s="140">
        <v>0</v>
      </c>
      <c r="K22" s="141">
        <v>0</v>
      </c>
      <c r="L22" s="140">
        <v>15</v>
      </c>
      <c r="M22" s="141">
        <v>1621.5674999999999</v>
      </c>
      <c r="N22" s="140">
        <v>0</v>
      </c>
      <c r="O22" s="141">
        <v>0</v>
      </c>
      <c r="P22" s="591">
        <v>15</v>
      </c>
      <c r="Q22" s="592">
        <v>2052</v>
      </c>
      <c r="R22" s="140">
        <v>1</v>
      </c>
      <c r="S22" s="141">
        <v>0</v>
      </c>
      <c r="T22" s="141"/>
      <c r="U22" s="140"/>
      <c r="V22" s="139"/>
      <c r="W22" s="140"/>
      <c r="X22" s="139"/>
      <c r="Y22" s="142">
        <f t="shared" si="0"/>
        <v>62</v>
      </c>
      <c r="Z22" s="143">
        <f t="shared" si="1"/>
        <v>111482.113</v>
      </c>
      <c r="AA22" s="147">
        <f t="shared" si="3"/>
        <v>1798.0985967741935</v>
      </c>
      <c r="AB22" s="148">
        <f t="shared" si="2"/>
        <v>0.77500000000000002</v>
      </c>
      <c r="AC22" s="143"/>
      <c r="AD22" s="227"/>
      <c r="AE22" s="143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</row>
    <row r="23" spans="1:55" s="128" customFormat="1" ht="15.95" customHeight="1" x14ac:dyDescent="0.25">
      <c r="A23" s="209"/>
      <c r="B23" s="136" t="s">
        <v>68</v>
      </c>
      <c r="C23" s="137">
        <v>17</v>
      </c>
      <c r="D23" s="138">
        <v>0</v>
      </c>
      <c r="E23" s="139">
        <v>0</v>
      </c>
      <c r="F23" s="140">
        <v>36</v>
      </c>
      <c r="G23" s="139">
        <v>1893.0975000000001</v>
      </c>
      <c r="H23" s="140">
        <v>1</v>
      </c>
      <c r="I23" s="139">
        <v>1243.9100000000001</v>
      </c>
      <c r="J23" s="140">
        <v>12</v>
      </c>
      <c r="K23" s="141">
        <v>1660.87</v>
      </c>
      <c r="L23" s="140">
        <v>20</v>
      </c>
      <c r="M23" s="141">
        <v>1361.4825000000001</v>
      </c>
      <c r="N23" s="140">
        <v>0</v>
      </c>
      <c r="O23" s="141">
        <v>0</v>
      </c>
      <c r="P23" s="140">
        <v>0</v>
      </c>
      <c r="Q23" s="141">
        <v>0</v>
      </c>
      <c r="R23" s="140">
        <v>1</v>
      </c>
      <c r="S23" s="141">
        <v>0</v>
      </c>
      <c r="T23" s="141"/>
      <c r="U23" s="140"/>
      <c r="V23" s="139"/>
      <c r="W23" s="140"/>
      <c r="X23" s="139"/>
      <c r="Y23" s="142">
        <f t="shared" si="0"/>
        <v>70</v>
      </c>
      <c r="Z23" s="143">
        <f t="shared" si="1"/>
        <v>116555.51000000001</v>
      </c>
      <c r="AA23" s="147">
        <f t="shared" si="3"/>
        <v>1665.0787142857143</v>
      </c>
      <c r="AB23" s="148">
        <f t="shared" si="2"/>
        <v>0.875</v>
      </c>
      <c r="AC23" s="143"/>
      <c r="AD23" s="227"/>
      <c r="AE23" s="143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</row>
    <row r="24" spans="1:55" s="126" customFormat="1" ht="15.95" customHeight="1" x14ac:dyDescent="0.25">
      <c r="A24" s="318"/>
      <c r="B24" s="136" t="s">
        <v>69</v>
      </c>
      <c r="C24" s="137">
        <v>18</v>
      </c>
      <c r="D24" s="138">
        <v>0</v>
      </c>
      <c r="E24" s="139">
        <v>0</v>
      </c>
      <c r="F24" s="140">
        <v>41</v>
      </c>
      <c r="G24" s="139">
        <v>2375.1315000000004</v>
      </c>
      <c r="H24" s="140">
        <v>0</v>
      </c>
      <c r="I24" s="139">
        <v>0</v>
      </c>
      <c r="J24" s="140">
        <v>12</v>
      </c>
      <c r="K24" s="141">
        <v>1660.87</v>
      </c>
      <c r="L24" s="140">
        <v>21</v>
      </c>
      <c r="M24" s="141">
        <v>1431.1079999999999</v>
      </c>
      <c r="N24" s="140">
        <v>0</v>
      </c>
      <c r="O24" s="141">
        <v>0</v>
      </c>
      <c r="P24" s="140">
        <v>0</v>
      </c>
      <c r="Q24" s="141">
        <v>0</v>
      </c>
      <c r="R24" s="140">
        <v>1</v>
      </c>
      <c r="S24" s="141">
        <v>0</v>
      </c>
      <c r="T24" s="141"/>
      <c r="U24" s="140"/>
      <c r="V24" s="139"/>
      <c r="W24" s="140"/>
      <c r="X24" s="139"/>
      <c r="Y24" s="142">
        <f t="shared" si="0"/>
        <v>75</v>
      </c>
      <c r="Z24" s="143">
        <f t="shared" si="1"/>
        <v>147364.09950000001</v>
      </c>
      <c r="AA24" s="147">
        <f t="shared" si="3"/>
        <v>1964.8546600000002</v>
      </c>
      <c r="AB24" s="148">
        <f t="shared" si="2"/>
        <v>0.9375</v>
      </c>
      <c r="AC24" s="143"/>
      <c r="AD24" s="227"/>
      <c r="AE24" s="143"/>
    </row>
    <row r="25" spans="1:55" s="146" customFormat="1" ht="15.95" customHeight="1" x14ac:dyDescent="0.25">
      <c r="A25" s="318"/>
      <c r="B25" s="150" t="s">
        <v>63</v>
      </c>
      <c r="C25" s="151">
        <v>19</v>
      </c>
      <c r="D25" s="152">
        <v>0</v>
      </c>
      <c r="E25" s="153">
        <v>0</v>
      </c>
      <c r="F25" s="154">
        <v>36</v>
      </c>
      <c r="G25" s="153">
        <v>2322.6105000000002</v>
      </c>
      <c r="H25" s="154">
        <v>0</v>
      </c>
      <c r="I25" s="153">
        <v>0</v>
      </c>
      <c r="J25" s="154">
        <v>11</v>
      </c>
      <c r="K25" s="155">
        <v>1660.87</v>
      </c>
      <c r="L25" s="154">
        <v>21</v>
      </c>
      <c r="M25" s="155">
        <v>1459.9515000000001</v>
      </c>
      <c r="N25" s="154">
        <v>0</v>
      </c>
      <c r="O25" s="155">
        <v>0</v>
      </c>
      <c r="P25" s="154">
        <v>0</v>
      </c>
      <c r="Q25" s="155">
        <v>0</v>
      </c>
      <c r="R25" s="154">
        <v>1</v>
      </c>
      <c r="S25" s="155">
        <v>0</v>
      </c>
      <c r="T25" s="155"/>
      <c r="U25" s="154"/>
      <c r="V25" s="153"/>
      <c r="W25" s="154"/>
      <c r="X25" s="153"/>
      <c r="Y25" s="156">
        <f t="shared" si="0"/>
        <v>69</v>
      </c>
      <c r="Z25" s="157">
        <f t="shared" si="1"/>
        <v>132542.5295</v>
      </c>
      <c r="AA25" s="158">
        <f t="shared" si="3"/>
        <v>1920.9062246376811</v>
      </c>
      <c r="AB25" s="159">
        <f t="shared" si="2"/>
        <v>0.86250000000000004</v>
      </c>
      <c r="AC25" s="143"/>
      <c r="AD25" s="227"/>
      <c r="AE25" s="143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</row>
    <row r="26" spans="1:55" s="128" customFormat="1" ht="15.75" customHeight="1" x14ac:dyDescent="0.25">
      <c r="A26" s="309"/>
      <c r="B26" s="136" t="s">
        <v>64</v>
      </c>
      <c r="C26" s="137">
        <v>20</v>
      </c>
      <c r="D26" s="138">
        <v>0</v>
      </c>
      <c r="E26" s="139">
        <v>0</v>
      </c>
      <c r="F26" s="140">
        <v>35</v>
      </c>
      <c r="G26" s="139">
        <v>2520.9974999999999</v>
      </c>
      <c r="H26" s="140">
        <v>0</v>
      </c>
      <c r="I26" s="139">
        <v>0</v>
      </c>
      <c r="J26" s="140">
        <v>11</v>
      </c>
      <c r="K26" s="141">
        <v>1660.87</v>
      </c>
      <c r="L26" s="140">
        <v>21</v>
      </c>
      <c r="M26" s="141">
        <v>1571.5350000000001</v>
      </c>
      <c r="N26" s="140">
        <v>0</v>
      </c>
      <c r="O26" s="141">
        <v>0</v>
      </c>
      <c r="P26" s="140">
        <v>0</v>
      </c>
      <c r="Q26" s="141">
        <v>0</v>
      </c>
      <c r="R26" s="140">
        <v>1</v>
      </c>
      <c r="S26" s="141">
        <v>0</v>
      </c>
      <c r="T26" s="141"/>
      <c r="U26" s="140"/>
      <c r="V26" s="139"/>
      <c r="W26" s="140"/>
      <c r="X26" s="139"/>
      <c r="Y26" s="142">
        <f t="shared" si="0"/>
        <v>68</v>
      </c>
      <c r="Z26" s="143">
        <f t="shared" si="1"/>
        <v>139506.71749999997</v>
      </c>
      <c r="AA26" s="329">
        <f t="shared" si="3"/>
        <v>2051.5693749999996</v>
      </c>
      <c r="AB26" s="148">
        <f t="shared" si="2"/>
        <v>0.85</v>
      </c>
      <c r="AC26" s="143"/>
      <c r="AD26" s="227"/>
      <c r="AE26" s="143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</row>
    <row r="27" spans="1:55" s="128" customFormat="1" ht="15.95" customHeight="1" x14ac:dyDescent="0.25">
      <c r="A27" s="351" t="s">
        <v>74</v>
      </c>
      <c r="B27" s="281" t="s">
        <v>65</v>
      </c>
      <c r="C27" s="282">
        <v>21</v>
      </c>
      <c r="D27" s="283">
        <v>0</v>
      </c>
      <c r="E27" s="284">
        <v>0</v>
      </c>
      <c r="F27" s="285">
        <v>25</v>
      </c>
      <c r="G27" s="284">
        <v>2102.0475000000001</v>
      </c>
      <c r="H27" s="285">
        <v>0</v>
      </c>
      <c r="I27" s="284">
        <v>0</v>
      </c>
      <c r="J27" s="285">
        <v>0</v>
      </c>
      <c r="K27" s="344">
        <v>0</v>
      </c>
      <c r="L27" s="285">
        <v>21</v>
      </c>
      <c r="M27" s="344">
        <v>1711.9515000000001</v>
      </c>
      <c r="N27" s="285">
        <v>0</v>
      </c>
      <c r="O27" s="344">
        <v>0</v>
      </c>
      <c r="P27" s="285">
        <v>0</v>
      </c>
      <c r="Q27" s="344">
        <v>0</v>
      </c>
      <c r="R27" s="285">
        <v>1</v>
      </c>
      <c r="S27" s="344">
        <v>0</v>
      </c>
      <c r="T27" s="344"/>
      <c r="U27" s="285"/>
      <c r="V27" s="284"/>
      <c r="W27" s="285"/>
      <c r="X27" s="284"/>
      <c r="Y27" s="286">
        <f t="shared" si="0"/>
        <v>47</v>
      </c>
      <c r="Z27" s="345">
        <f t="shared" si="1"/>
        <v>88502.168999999994</v>
      </c>
      <c r="AA27" s="346">
        <f t="shared" si="3"/>
        <v>1883.0248723404254</v>
      </c>
      <c r="AB27" s="287">
        <f t="shared" si="2"/>
        <v>0.58750000000000002</v>
      </c>
      <c r="AC27" s="143"/>
      <c r="AD27" s="227"/>
      <c r="AE27" s="143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366"/>
      <c r="B28" s="136" t="s">
        <v>66</v>
      </c>
      <c r="C28" s="137">
        <v>22</v>
      </c>
      <c r="D28" s="138">
        <v>0</v>
      </c>
      <c r="E28" s="139">
        <v>0</v>
      </c>
      <c r="F28" s="140">
        <v>25</v>
      </c>
      <c r="G28" s="139">
        <v>2177.4480000000003</v>
      </c>
      <c r="H28" s="140">
        <v>0</v>
      </c>
      <c r="I28" s="139">
        <v>0</v>
      </c>
      <c r="J28" s="140">
        <v>0</v>
      </c>
      <c r="K28" s="141">
        <v>0</v>
      </c>
      <c r="L28" s="140">
        <v>15</v>
      </c>
      <c r="M28" s="141">
        <v>1588.692</v>
      </c>
      <c r="N28" s="140">
        <v>0</v>
      </c>
      <c r="O28" s="141">
        <v>0</v>
      </c>
      <c r="P28" s="140">
        <v>0</v>
      </c>
      <c r="Q28" s="141">
        <v>0</v>
      </c>
      <c r="R28" s="140">
        <v>1</v>
      </c>
      <c r="S28" s="141">
        <v>0</v>
      </c>
      <c r="T28" s="141"/>
      <c r="U28" s="140"/>
      <c r="V28" s="139"/>
      <c r="W28" s="140"/>
      <c r="X28" s="139"/>
      <c r="Y28" s="142">
        <f t="shared" si="0"/>
        <v>41</v>
      </c>
      <c r="Z28" s="143">
        <f t="shared" si="1"/>
        <v>78266.580000000016</v>
      </c>
      <c r="AA28" s="329">
        <f t="shared" si="3"/>
        <v>1908.9409756097566</v>
      </c>
      <c r="AB28" s="148">
        <f t="shared" si="2"/>
        <v>0.51249999999999996</v>
      </c>
      <c r="AC28" s="143"/>
      <c r="AD28" s="227"/>
      <c r="AE28" s="143"/>
    </row>
    <row r="29" spans="1:55" s="126" customFormat="1" ht="15.95" customHeight="1" x14ac:dyDescent="0.25">
      <c r="A29" s="318"/>
      <c r="B29" s="136" t="s">
        <v>67</v>
      </c>
      <c r="C29" s="137">
        <v>23</v>
      </c>
      <c r="D29" s="138">
        <v>0</v>
      </c>
      <c r="E29" s="139">
        <v>0</v>
      </c>
      <c r="F29" s="140">
        <v>12</v>
      </c>
      <c r="G29" s="139">
        <v>2324.2799999999997</v>
      </c>
      <c r="H29" s="140">
        <v>0</v>
      </c>
      <c r="I29" s="139">
        <v>0</v>
      </c>
      <c r="J29" s="140">
        <v>0</v>
      </c>
      <c r="K29" s="141">
        <v>0</v>
      </c>
      <c r="L29" s="140">
        <v>12</v>
      </c>
      <c r="M29" s="141">
        <v>1465.4325000000001</v>
      </c>
      <c r="N29" s="140">
        <v>0</v>
      </c>
      <c r="O29" s="141">
        <v>0</v>
      </c>
      <c r="P29" s="140">
        <v>0</v>
      </c>
      <c r="Q29" s="141">
        <v>0</v>
      </c>
      <c r="R29" s="140">
        <v>1</v>
      </c>
      <c r="S29" s="141">
        <v>0</v>
      </c>
      <c r="T29" s="141"/>
      <c r="U29" s="140"/>
      <c r="V29" s="139"/>
      <c r="W29" s="140"/>
      <c r="X29" s="139"/>
      <c r="Y29" s="142">
        <f t="shared" si="0"/>
        <v>25</v>
      </c>
      <c r="Z29" s="143">
        <f t="shared" si="1"/>
        <v>45476.55</v>
      </c>
      <c r="AA29" s="147">
        <f t="shared" si="3"/>
        <v>1819.0620000000001</v>
      </c>
      <c r="AB29" s="148">
        <f t="shared" si="2"/>
        <v>0.3125</v>
      </c>
      <c r="AC29" s="143"/>
      <c r="AD29" s="227"/>
      <c r="AE29" s="143"/>
    </row>
    <row r="30" spans="1:55" s="126" customFormat="1" ht="20.25" customHeight="1" x14ac:dyDescent="0.25">
      <c r="A30" s="318"/>
      <c r="B30" s="136" t="s">
        <v>68</v>
      </c>
      <c r="C30" s="137">
        <v>24</v>
      </c>
      <c r="D30" s="138">
        <v>0</v>
      </c>
      <c r="E30" s="139">
        <v>0</v>
      </c>
      <c r="F30" s="140">
        <v>12</v>
      </c>
      <c r="G30" s="139">
        <v>2159.4719999999998</v>
      </c>
      <c r="H30" s="140">
        <v>0</v>
      </c>
      <c r="I30" s="139">
        <v>0</v>
      </c>
      <c r="J30" s="140">
        <v>21</v>
      </c>
      <c r="K30" s="141">
        <v>1668.7603703703701</v>
      </c>
      <c r="L30" s="140">
        <v>15</v>
      </c>
      <c r="M30" s="141">
        <v>1970.7134999999998</v>
      </c>
      <c r="N30" s="140">
        <v>0</v>
      </c>
      <c r="O30" s="141">
        <v>0</v>
      </c>
      <c r="P30" s="140">
        <v>2</v>
      </c>
      <c r="Q30" s="141">
        <v>2304</v>
      </c>
      <c r="R30" s="140">
        <v>1</v>
      </c>
      <c r="S30" s="141">
        <v>0</v>
      </c>
      <c r="T30" s="141"/>
      <c r="U30" s="140"/>
      <c r="V30" s="139"/>
      <c r="W30" s="140"/>
      <c r="X30" s="139"/>
      <c r="Y30" s="142">
        <f t="shared" si="0"/>
        <v>51</v>
      </c>
      <c r="Z30" s="143">
        <f t="shared" si="1"/>
        <v>95126.334277777758</v>
      </c>
      <c r="AA30" s="147">
        <f t="shared" si="3"/>
        <v>1865.2222407407403</v>
      </c>
      <c r="AB30" s="148">
        <f t="shared" si="2"/>
        <v>0.63749999999999996</v>
      </c>
      <c r="AC30" s="143"/>
      <c r="AD30" s="227"/>
      <c r="AE30" s="143"/>
    </row>
    <row r="31" spans="1:55" s="217" customFormat="1" ht="15.95" customHeight="1" x14ac:dyDescent="0.25">
      <c r="A31" s="232"/>
      <c r="B31" s="136" t="s">
        <v>69</v>
      </c>
      <c r="C31" s="137">
        <v>25</v>
      </c>
      <c r="D31" s="138">
        <v>0</v>
      </c>
      <c r="E31" s="139">
        <v>0</v>
      </c>
      <c r="F31" s="140">
        <v>12</v>
      </c>
      <c r="G31" s="139">
        <v>2259.3059999999996</v>
      </c>
      <c r="H31" s="140">
        <v>2</v>
      </c>
      <c r="I31" s="139">
        <v>2104.2600000000002</v>
      </c>
      <c r="J31" s="140">
        <v>21</v>
      </c>
      <c r="K31" s="141">
        <v>1668.7603703703701</v>
      </c>
      <c r="L31" s="140">
        <v>12</v>
      </c>
      <c r="M31" s="141">
        <v>1528.4325000000001</v>
      </c>
      <c r="N31" s="140">
        <v>0</v>
      </c>
      <c r="O31" s="141">
        <v>0</v>
      </c>
      <c r="P31" s="140">
        <v>25</v>
      </c>
      <c r="Q31" s="141">
        <v>2304</v>
      </c>
      <c r="R31" s="140">
        <v>1</v>
      </c>
      <c r="S31" s="141">
        <v>0</v>
      </c>
      <c r="T31" s="141"/>
      <c r="U31" s="140"/>
      <c r="V31" s="139"/>
      <c r="W31" s="140"/>
      <c r="X31" s="139"/>
      <c r="Y31" s="142">
        <f t="shared" si="0"/>
        <v>73</v>
      </c>
      <c r="Z31" s="143">
        <f t="shared" si="1"/>
        <v>142305.34977777777</v>
      </c>
      <c r="AA31" s="147">
        <f t="shared" si="3"/>
        <v>1949.3883531202434</v>
      </c>
      <c r="AB31" s="148">
        <f t="shared" si="2"/>
        <v>0.91249999999999998</v>
      </c>
      <c r="AC31" s="143"/>
      <c r="AD31" s="227"/>
      <c r="AE31" s="143"/>
      <c r="AF31" s="215"/>
      <c r="AG31" s="215"/>
      <c r="AH31" s="215"/>
      <c r="AI31" s="215"/>
      <c r="AJ31" s="215"/>
      <c r="AK31" s="215"/>
      <c r="AL31" s="215"/>
      <c r="AM31" s="215"/>
      <c r="AN31" s="215"/>
      <c r="AO31" s="215"/>
      <c r="AP31" s="215"/>
      <c r="AQ31" s="215"/>
      <c r="AR31" s="215"/>
      <c r="AS31" s="215"/>
      <c r="AT31" s="215"/>
      <c r="AU31" s="215"/>
      <c r="AV31" s="215"/>
      <c r="AW31" s="215"/>
      <c r="AX31" s="215"/>
      <c r="AY31" s="215"/>
      <c r="AZ31" s="215"/>
      <c r="BA31" s="215"/>
      <c r="BB31" s="215"/>
      <c r="BC31" s="216"/>
    </row>
    <row r="32" spans="1:55" s="220" customFormat="1" ht="15.95" customHeight="1" x14ac:dyDescent="0.25">
      <c r="A32" s="232"/>
      <c r="B32" s="150" t="s">
        <v>63</v>
      </c>
      <c r="C32" s="151">
        <v>26</v>
      </c>
      <c r="D32" s="152">
        <v>0</v>
      </c>
      <c r="E32" s="153">
        <v>0</v>
      </c>
      <c r="F32" s="154">
        <v>18</v>
      </c>
      <c r="G32" s="153">
        <v>2181.2910000000002</v>
      </c>
      <c r="H32" s="154">
        <v>2</v>
      </c>
      <c r="I32" s="153">
        <v>2131.7399999999998</v>
      </c>
      <c r="J32" s="154">
        <v>11</v>
      </c>
      <c r="K32" s="155">
        <v>1660.87</v>
      </c>
      <c r="L32" s="154">
        <v>12</v>
      </c>
      <c r="M32" s="155">
        <v>1556.1315</v>
      </c>
      <c r="N32" s="154">
        <v>0</v>
      </c>
      <c r="O32" s="155">
        <v>0</v>
      </c>
      <c r="P32" s="154">
        <v>32</v>
      </c>
      <c r="Q32" s="155">
        <v>2304</v>
      </c>
      <c r="R32" s="154">
        <v>0</v>
      </c>
      <c r="S32" s="155">
        <v>0</v>
      </c>
      <c r="T32" s="155"/>
      <c r="U32" s="154"/>
      <c r="V32" s="153"/>
      <c r="W32" s="154"/>
      <c r="X32" s="153"/>
      <c r="Y32" s="156">
        <f t="shared" si="0"/>
        <v>75</v>
      </c>
      <c r="Z32" s="157">
        <f t="shared" si="1"/>
        <v>154197.86600000001</v>
      </c>
      <c r="AA32" s="158">
        <f t="shared" si="3"/>
        <v>2055.9715466666667</v>
      </c>
      <c r="AB32" s="159">
        <f t="shared" si="2"/>
        <v>0.9375</v>
      </c>
      <c r="AC32" s="143"/>
      <c r="AD32" s="227"/>
      <c r="AE32" s="143"/>
      <c r="AF32" s="215"/>
      <c r="AG32" s="215"/>
      <c r="AH32" s="215"/>
      <c r="AI32" s="215"/>
      <c r="AJ32" s="215"/>
      <c r="AK32" s="215"/>
      <c r="AL32" s="215"/>
      <c r="AM32" s="215"/>
      <c r="AN32" s="215"/>
      <c r="AO32" s="215"/>
      <c r="AP32" s="215"/>
      <c r="AQ32" s="215"/>
      <c r="AR32" s="215"/>
      <c r="AS32" s="215"/>
      <c r="AT32" s="215"/>
      <c r="AU32" s="215"/>
      <c r="AV32" s="215"/>
      <c r="AW32" s="215"/>
      <c r="AX32" s="215"/>
      <c r="AY32" s="215"/>
      <c r="AZ32" s="215"/>
      <c r="BA32" s="215"/>
      <c r="BB32" s="215"/>
      <c r="BC32" s="215"/>
    </row>
    <row r="33" spans="1:56" s="128" customFormat="1" ht="15.95" customHeight="1" x14ac:dyDescent="0.25">
      <c r="A33" s="309"/>
      <c r="B33" s="136" t="s">
        <v>64</v>
      </c>
      <c r="C33" s="137">
        <v>27</v>
      </c>
      <c r="D33" s="138">
        <v>0</v>
      </c>
      <c r="E33" s="139">
        <v>0</v>
      </c>
      <c r="F33" s="140">
        <v>18</v>
      </c>
      <c r="G33" s="139">
        <v>2248.1759999999999</v>
      </c>
      <c r="H33" s="140">
        <v>0</v>
      </c>
      <c r="I33" s="139">
        <v>0</v>
      </c>
      <c r="J33" s="140">
        <v>11</v>
      </c>
      <c r="K33" s="141">
        <v>1660.87</v>
      </c>
      <c r="L33" s="140">
        <v>12</v>
      </c>
      <c r="M33" s="141">
        <v>1712</v>
      </c>
      <c r="N33" s="140">
        <v>0</v>
      </c>
      <c r="O33" s="141">
        <v>0</v>
      </c>
      <c r="P33" s="140">
        <v>32</v>
      </c>
      <c r="Q33" s="141">
        <v>2304</v>
      </c>
      <c r="R33" s="140">
        <v>0</v>
      </c>
      <c r="S33" s="141">
        <v>0</v>
      </c>
      <c r="T33" s="141"/>
      <c r="U33" s="140"/>
      <c r="V33" s="139"/>
      <c r="W33" s="140"/>
      <c r="X33" s="139"/>
      <c r="Y33" s="142">
        <f t="shared" si="0"/>
        <v>73</v>
      </c>
      <c r="Z33" s="143">
        <f t="shared" si="1"/>
        <v>153008.73800000001</v>
      </c>
      <c r="AA33" s="329">
        <f t="shared" si="3"/>
        <v>2096.0101095890413</v>
      </c>
      <c r="AB33" s="148">
        <f t="shared" si="2"/>
        <v>0.91249999999999998</v>
      </c>
      <c r="AC33" s="143"/>
      <c r="AD33" s="227"/>
      <c r="AE33" s="143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</row>
    <row r="34" spans="1:56" s="128" customFormat="1" ht="15.95" customHeight="1" x14ac:dyDescent="0.25">
      <c r="A34" s="206"/>
      <c r="B34" s="136" t="s">
        <v>65</v>
      </c>
      <c r="C34" s="137">
        <v>28</v>
      </c>
      <c r="D34" s="138">
        <v>0</v>
      </c>
      <c r="E34" s="139">
        <v>0</v>
      </c>
      <c r="F34" s="140">
        <v>19</v>
      </c>
      <c r="G34" s="139">
        <v>2040.3600000000001</v>
      </c>
      <c r="H34" s="140">
        <v>1</v>
      </c>
      <c r="I34" s="139">
        <v>2104</v>
      </c>
      <c r="J34" s="140">
        <v>0</v>
      </c>
      <c r="K34" s="141">
        <v>0</v>
      </c>
      <c r="L34" s="140">
        <v>10</v>
      </c>
      <c r="M34" s="141">
        <v>1547</v>
      </c>
      <c r="N34" s="140">
        <v>0</v>
      </c>
      <c r="O34" s="141">
        <v>0</v>
      </c>
      <c r="P34" s="140">
        <v>32</v>
      </c>
      <c r="Q34" s="141">
        <v>2304</v>
      </c>
      <c r="R34" s="140">
        <v>0</v>
      </c>
      <c r="S34" s="141">
        <v>0</v>
      </c>
      <c r="T34" s="141"/>
      <c r="U34" s="140"/>
      <c r="V34" s="139"/>
      <c r="W34" s="140"/>
      <c r="X34" s="139"/>
      <c r="Y34" s="142">
        <f t="shared" si="0"/>
        <v>62</v>
      </c>
      <c r="Z34" s="143">
        <f t="shared" si="1"/>
        <v>130068.84</v>
      </c>
      <c r="AA34" s="329">
        <f>IF(Z34=0,0,Z34/Y34)</f>
        <v>2097.8845161290324</v>
      </c>
      <c r="AB34" s="148">
        <f t="shared" si="2"/>
        <v>0.77500000000000002</v>
      </c>
      <c r="AC34" s="143"/>
      <c r="AD34" s="227"/>
      <c r="AE34" s="143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5.95" customHeight="1" x14ac:dyDescent="0.25">
      <c r="A35" s="206"/>
      <c r="B35" s="136" t="s">
        <v>66</v>
      </c>
      <c r="C35" s="137">
        <v>29</v>
      </c>
      <c r="D35" s="138">
        <v>0</v>
      </c>
      <c r="E35" s="139">
        <v>0</v>
      </c>
      <c r="F35" s="140">
        <v>15</v>
      </c>
      <c r="G35" s="139">
        <v>2187.8009999999999</v>
      </c>
      <c r="H35" s="140">
        <v>1</v>
      </c>
      <c r="I35" s="139">
        <v>2041</v>
      </c>
      <c r="J35" s="140">
        <v>0</v>
      </c>
      <c r="K35" s="141">
        <v>0</v>
      </c>
      <c r="L35" s="140">
        <v>15</v>
      </c>
      <c r="M35" s="141">
        <v>1547</v>
      </c>
      <c r="N35" s="140">
        <v>0</v>
      </c>
      <c r="O35" s="141">
        <v>0</v>
      </c>
      <c r="P35" s="140">
        <v>32</v>
      </c>
      <c r="Q35" s="141">
        <v>2304</v>
      </c>
      <c r="R35" s="140">
        <v>0</v>
      </c>
      <c r="S35" s="141">
        <v>0</v>
      </c>
      <c r="T35" s="141"/>
      <c r="U35" s="140"/>
      <c r="V35" s="139"/>
      <c r="W35" s="140"/>
      <c r="X35" s="139"/>
      <c r="Y35" s="142">
        <f t="shared" si="0"/>
        <v>63</v>
      </c>
      <c r="Z35" s="143">
        <f t="shared" si="1"/>
        <v>131791.01500000001</v>
      </c>
      <c r="AA35" s="329">
        <f>IF(Z35=0,0,Z35/Y35)</f>
        <v>2091.9208730158734</v>
      </c>
      <c r="AB35" s="148">
        <f t="shared" si="2"/>
        <v>0.78749999999999998</v>
      </c>
      <c r="AC35" s="143"/>
      <c r="AD35" s="227"/>
      <c r="AE35" s="143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6" customFormat="1" ht="15.95" customHeight="1" x14ac:dyDescent="0.25">
      <c r="A36" s="309"/>
      <c r="B36" s="136" t="s">
        <v>67</v>
      </c>
      <c r="C36" s="137">
        <v>30</v>
      </c>
      <c r="D36" s="138">
        <v>0</v>
      </c>
      <c r="E36" s="139">
        <v>0</v>
      </c>
      <c r="F36" s="140">
        <v>19</v>
      </c>
      <c r="G36" s="139">
        <v>2019.5174999999999</v>
      </c>
      <c r="H36" s="140">
        <v>1</v>
      </c>
      <c r="I36" s="139">
        <v>2744.26</v>
      </c>
      <c r="J36" s="140">
        <v>0</v>
      </c>
      <c r="K36" s="141">
        <v>0</v>
      </c>
      <c r="L36" s="140">
        <v>15</v>
      </c>
      <c r="M36" s="141">
        <v>1547</v>
      </c>
      <c r="N36" s="140">
        <v>0</v>
      </c>
      <c r="O36" s="141">
        <v>0</v>
      </c>
      <c r="P36" s="140">
        <v>32</v>
      </c>
      <c r="Q36" s="141">
        <v>2304</v>
      </c>
      <c r="R36" s="140">
        <v>0</v>
      </c>
      <c r="S36" s="141">
        <v>0</v>
      </c>
      <c r="T36" s="141"/>
      <c r="U36" s="140"/>
      <c r="V36" s="139"/>
      <c r="W36" s="140"/>
      <c r="X36" s="139"/>
      <c r="Y36" s="142">
        <f t="shared" si="0"/>
        <v>67</v>
      </c>
      <c r="Z36" s="143">
        <f t="shared" si="1"/>
        <v>138048.0925</v>
      </c>
      <c r="AA36" s="147">
        <f>IF(Z36=0,0,Z36/Y36)</f>
        <v>2060.4192910447759</v>
      </c>
      <c r="AB36" s="148">
        <f t="shared" si="2"/>
        <v>0.83750000000000002</v>
      </c>
      <c r="AC36" s="143"/>
      <c r="AD36" s="227"/>
      <c r="AE36" s="143"/>
    </row>
    <row r="37" spans="1:56" s="128" customFormat="1" ht="16.5" thickBot="1" x14ac:dyDescent="0.3">
      <c r="A37" s="309"/>
      <c r="B37" s="136" t="s">
        <v>68</v>
      </c>
      <c r="C37" s="137">
        <v>31</v>
      </c>
      <c r="D37" s="138">
        <v>0</v>
      </c>
      <c r="E37" s="139">
        <v>0</v>
      </c>
      <c r="F37" s="140">
        <v>26</v>
      </c>
      <c r="G37" s="139">
        <v>2109.3344999999999</v>
      </c>
      <c r="H37" s="140">
        <v>1</v>
      </c>
      <c r="I37" s="139">
        <v>2771.74</v>
      </c>
      <c r="J37" s="140">
        <v>0</v>
      </c>
      <c r="K37" s="141">
        <v>0</v>
      </c>
      <c r="L37" s="140">
        <v>16</v>
      </c>
      <c r="M37" s="141">
        <v>1547</v>
      </c>
      <c r="N37" s="140">
        <v>0</v>
      </c>
      <c r="O37" s="141">
        <v>0</v>
      </c>
      <c r="P37" s="140">
        <v>0</v>
      </c>
      <c r="Q37" s="141">
        <v>0</v>
      </c>
      <c r="R37" s="140">
        <v>0</v>
      </c>
      <c r="S37" s="141">
        <v>0</v>
      </c>
      <c r="T37" s="141"/>
      <c r="U37" s="140"/>
      <c r="V37" s="139"/>
      <c r="W37" s="140"/>
      <c r="X37" s="139"/>
      <c r="Y37" s="142">
        <f t="shared" si="0"/>
        <v>43</v>
      </c>
      <c r="Z37" s="143">
        <f t="shared" si="1"/>
        <v>82366.437000000005</v>
      </c>
      <c r="AA37" s="147">
        <f>IF(Z37=0,0,Z37/Y37)</f>
        <v>1915.498534883721</v>
      </c>
      <c r="AB37" s="148">
        <f t="shared" si="2"/>
        <v>0.53749999999999998</v>
      </c>
      <c r="AC37" s="143"/>
      <c r="AD37" s="227"/>
      <c r="AE37" s="143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</row>
    <row r="38" spans="1:56" s="128" customFormat="1" ht="17.100000000000001" customHeight="1" thickTop="1" x14ac:dyDescent="0.25">
      <c r="A38" s="233" t="s">
        <v>70</v>
      </c>
      <c r="B38" s="234"/>
      <c r="C38" s="234"/>
      <c r="D38" s="235">
        <f>SUM(D7:D37)</f>
        <v>0</v>
      </c>
      <c r="E38" s="236">
        <f>IF(D38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+(D37*E37))/D38)</f>
        <v>0</v>
      </c>
      <c r="F38" s="237">
        <f>SUM(F7:F37)</f>
        <v>913</v>
      </c>
      <c r="G38" s="236">
        <f>IF(F38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+(F37*G37))/F38)</f>
        <v>2136.3968526834615</v>
      </c>
      <c r="H38" s="219">
        <f>SUM(H7:H37)</f>
        <v>46</v>
      </c>
      <c r="I38" s="236">
        <f>IF(H38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+(H37*I37))/H38)</f>
        <v>1699.0867632850238</v>
      </c>
      <c r="J38" s="237">
        <f>SUM(J7:J37)</f>
        <v>214</v>
      </c>
      <c r="K38" s="236">
        <f>IF(J38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+(J37*K37))/J38)</f>
        <v>1686.6039979231568</v>
      </c>
      <c r="L38" s="237">
        <f>SUM(L7:L37)</f>
        <v>475</v>
      </c>
      <c r="M38" s="236">
        <f>IF(L38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+(L37*M37))/L38)</f>
        <v>1513.7157370438592</v>
      </c>
      <c r="N38" s="237">
        <f>SUM(N7:N37)</f>
        <v>0</v>
      </c>
      <c r="O38" s="236">
        <f>IF(N38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+(N37*O37))/N38)</f>
        <v>0</v>
      </c>
      <c r="P38" s="237">
        <f>SUM(P7:P37)</f>
        <v>247</v>
      </c>
      <c r="Q38" s="236">
        <f>IF(P38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+(P37*Q37))/P38)</f>
        <v>2242.7854251012145</v>
      </c>
      <c r="R38" s="237">
        <f>SUM(R7:R37)</f>
        <v>25</v>
      </c>
      <c r="S38" s="236">
        <f>IF(R38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+(R37*S37))/R38)</f>
        <v>0</v>
      </c>
      <c r="T38" s="236"/>
      <c r="U38" s="237"/>
      <c r="V38" s="236"/>
      <c r="W38" s="237"/>
      <c r="X38" s="236"/>
      <c r="Y38" s="237">
        <f>SUM(Y7:Y37)</f>
        <v>1920</v>
      </c>
      <c r="Z38" s="218">
        <f>SUM(Z7:Z37)</f>
        <v>3662604.5482624988</v>
      </c>
      <c r="AA38" s="219">
        <f>IF(Z38=0,0,Z38/Y38)</f>
        <v>1907.6065355533849</v>
      </c>
      <c r="AB38" s="238">
        <f>Y38/(AB6*D2)</f>
        <v>0.77419354838709675</v>
      </c>
      <c r="AC38" s="126"/>
      <c r="AD38" s="127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28" customFormat="1" ht="17.100000000000001" customHeight="1" thickBot="1" x14ac:dyDescent="0.3">
      <c r="A39" s="179" t="s">
        <v>71</v>
      </c>
      <c r="B39" s="240"/>
      <c r="C39" s="240"/>
      <c r="D39" s="785">
        <f>+E38*D38</f>
        <v>0</v>
      </c>
      <c r="E39" s="786"/>
      <c r="F39" s="787">
        <f>+G38*F38</f>
        <v>1950530.3265000004</v>
      </c>
      <c r="G39" s="786"/>
      <c r="H39" s="787">
        <f>+I38*H38</f>
        <v>78157.9911111111</v>
      </c>
      <c r="I39" s="786"/>
      <c r="J39" s="787">
        <f>+K38*J38</f>
        <v>360933.25555555557</v>
      </c>
      <c r="K39" s="786"/>
      <c r="L39" s="787">
        <f>+M38*L38</f>
        <v>719014.97509583319</v>
      </c>
      <c r="M39" s="786"/>
      <c r="N39" s="787">
        <f>+O38*N38</f>
        <v>0</v>
      </c>
      <c r="O39" s="786"/>
      <c r="P39" s="787">
        <f>+Q38*P38</f>
        <v>553968</v>
      </c>
      <c r="Q39" s="786"/>
      <c r="R39" s="787">
        <f>+S38*R38</f>
        <v>0</v>
      </c>
      <c r="S39" s="788"/>
      <c r="T39" s="181"/>
      <c r="U39" s="182"/>
      <c r="V39" s="181"/>
      <c r="W39" s="182"/>
      <c r="X39" s="181"/>
      <c r="Y39" s="241"/>
      <c r="Z39" s="242"/>
      <c r="AA39" s="242"/>
      <c r="AB39" s="243"/>
      <c r="AC39" s="126"/>
      <c r="AD39" s="127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  <c r="BC39" s="126"/>
    </row>
    <row r="40" spans="1:56" s="111" customFormat="1" ht="13.5" thickTop="1" x14ac:dyDescent="0.2">
      <c r="F40" s="211"/>
      <c r="G40" s="211"/>
      <c r="M40" s="211"/>
      <c r="P40" s="211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P41" s="211"/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A42" s="385"/>
      <c r="G42" s="226"/>
      <c r="Q42" s="226"/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9:56" s="111" customFormat="1" x14ac:dyDescent="0.2"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9:56" s="111" customFormat="1" x14ac:dyDescent="0.2"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  <row r="53" spans="29:56" s="111" customFormat="1" x14ac:dyDescent="0.2">
      <c r="AC53" s="112"/>
      <c r="AD53" s="113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4"/>
    </row>
  </sheetData>
  <mergeCells count="21"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  <mergeCell ref="D39:E39"/>
    <mergeCell ref="R5:S5"/>
    <mergeCell ref="R39:S39"/>
    <mergeCell ref="F39:G39"/>
    <mergeCell ref="H39:I39"/>
    <mergeCell ref="J39:K39"/>
    <mergeCell ref="L39:M39"/>
    <mergeCell ref="N39:O39"/>
    <mergeCell ref="P39:Q39"/>
  </mergeCells>
  <phoneticPr fontId="74" type="noConversion"/>
  <dataValidations count="1">
    <dataValidation type="textLength" errorStyle="information" allowBlank="1" showInputMessage="1" showErrorMessage="1" error="XLBVal:2=0_x000d__x000a_" sqref="C27:C37 HZ27:HZ37 RV27:RV37 ABR27:ABR37 ALN27:ALN37 AVJ27:AVJ37 BFF27:BFF37 BPB27:BPB37 BYX27:BYX37 CIT27:CIT37 CSP27:CSP37 DCL27:DCL37 DMH27:DMH37 DWD27:DWD37 EFZ27:EFZ37 EPV27:EPV37 EZR27:EZR37 FJN27:FJN37 FTJ27:FTJ37 GDF27:GDF37 GNB27:GNB37 GWX27:GWX37 HGT27:HGT37 HQP27:HQP37 IAL27:IAL37 IKH27:IKH37 IUD27:IUD37 JDZ27:JDZ37 JNV27:JNV37 JXR27:JXR37 KHN27:KHN37 KRJ27:KRJ37 LBF27:LBF37 LLB27:LLB37 LUX27:LUX37 MET27:MET37 MOP27:MOP37 MYL27:MYL37 NIH27:NIH37 NSD27:NSD37 OBZ27:OBZ37 OLV27:OLV37 OVR27:OVR37 PFN27:PFN37 PPJ27:PPJ37 PZF27:PZF37 QJB27:QJB37 QSX27:QSX37 RCT27:RCT37 RMP27:RMP37 RWL27:RWL37 SGH27:SGH37 SQD27:SQD37 SZZ27:SZZ37 TJV27:TJV37 TTR27:TTR37 UDN27:UDN37 UNJ27:UNJ37 UXF27:UXF37 VHB27:VHB37 VQX27:VQX37 WAT27:WAT37 WKP27:WKP37 WUL27:WUL37 C65511:C65521 HZ65511:HZ65521 RV65511:RV65521 ABR65511:ABR65521 ALN65511:ALN65521 AVJ65511:AVJ65521 BFF65511:BFF65521 BPB65511:BPB65521 BYX65511:BYX65521 CIT65511:CIT65521 CSP65511:CSP65521 DCL65511:DCL65521 DMH65511:DMH65521 DWD65511:DWD65521 EFZ65511:EFZ65521 EPV65511:EPV65521 EZR65511:EZR65521 FJN65511:FJN65521 FTJ65511:FTJ65521 GDF65511:GDF65521 GNB65511:GNB65521 GWX65511:GWX65521 HGT65511:HGT65521 HQP65511:HQP65521 IAL65511:IAL65521 IKH65511:IKH65521 IUD65511:IUD65521 JDZ65511:JDZ65521 JNV65511:JNV65521 JXR65511:JXR65521 KHN65511:KHN65521 KRJ65511:KRJ65521 LBF65511:LBF65521 LLB65511:LLB65521 LUX65511:LUX65521 MET65511:MET65521 MOP65511:MOP65521 MYL65511:MYL65521 NIH65511:NIH65521 NSD65511:NSD65521 OBZ65511:OBZ65521 OLV65511:OLV65521 OVR65511:OVR65521 PFN65511:PFN65521 PPJ65511:PPJ65521 PZF65511:PZF65521 QJB65511:QJB65521 QSX65511:QSX65521 RCT65511:RCT65521 RMP65511:RMP65521 RWL65511:RWL65521 SGH65511:SGH65521 SQD65511:SQD65521 SZZ65511:SZZ65521 TJV65511:TJV65521 TTR65511:TTR65521 UDN65511:UDN65521 UNJ65511:UNJ65521 UXF65511:UXF65521 VHB65511:VHB65521 VQX65511:VQX65521 WAT65511:WAT65521 WKP65511:WKP65521 WUL65511:WUL65521 C131047:C131057 HZ131047:HZ131057 RV131047:RV131057 ABR131047:ABR131057 ALN131047:ALN131057 AVJ131047:AVJ131057 BFF131047:BFF131057 BPB131047:BPB131057 BYX131047:BYX131057 CIT131047:CIT131057 CSP131047:CSP131057 DCL131047:DCL131057 DMH131047:DMH131057 DWD131047:DWD131057 EFZ131047:EFZ131057 EPV131047:EPV131057 EZR131047:EZR131057 FJN131047:FJN131057 FTJ131047:FTJ131057 GDF131047:GDF131057 GNB131047:GNB131057 GWX131047:GWX131057 HGT131047:HGT131057 HQP131047:HQP131057 IAL131047:IAL131057 IKH131047:IKH131057 IUD131047:IUD131057 JDZ131047:JDZ131057 JNV131047:JNV131057 JXR131047:JXR131057 KHN131047:KHN131057 KRJ131047:KRJ131057 LBF131047:LBF131057 LLB131047:LLB131057 LUX131047:LUX131057 MET131047:MET131057 MOP131047:MOP131057 MYL131047:MYL131057 NIH131047:NIH131057 NSD131047:NSD131057 OBZ131047:OBZ131057 OLV131047:OLV131057 OVR131047:OVR131057 PFN131047:PFN131057 PPJ131047:PPJ131057 PZF131047:PZF131057 QJB131047:QJB131057 QSX131047:QSX131057 RCT131047:RCT131057 RMP131047:RMP131057 RWL131047:RWL131057 SGH131047:SGH131057 SQD131047:SQD131057 SZZ131047:SZZ131057 TJV131047:TJV131057 TTR131047:TTR131057 UDN131047:UDN131057 UNJ131047:UNJ131057 UXF131047:UXF131057 VHB131047:VHB131057 VQX131047:VQX131057 WAT131047:WAT131057 WKP131047:WKP131057 WUL131047:WUL131057 C196583:C196593 HZ196583:HZ196593 RV196583:RV196593 ABR196583:ABR196593 ALN196583:ALN196593 AVJ196583:AVJ196593 BFF196583:BFF196593 BPB196583:BPB196593 BYX196583:BYX196593 CIT196583:CIT196593 CSP196583:CSP196593 DCL196583:DCL196593 DMH196583:DMH196593 DWD196583:DWD196593 EFZ196583:EFZ196593 EPV196583:EPV196593 EZR196583:EZR196593 FJN196583:FJN196593 FTJ196583:FTJ196593 GDF196583:GDF196593 GNB196583:GNB196593 GWX196583:GWX196593 HGT196583:HGT196593 HQP196583:HQP196593 IAL196583:IAL196593 IKH196583:IKH196593 IUD196583:IUD196593 JDZ196583:JDZ196593 JNV196583:JNV196593 JXR196583:JXR196593 KHN196583:KHN196593 KRJ196583:KRJ196593 LBF196583:LBF196593 LLB196583:LLB196593 LUX196583:LUX196593 MET196583:MET196593 MOP196583:MOP196593 MYL196583:MYL196593 NIH196583:NIH196593 NSD196583:NSD196593 OBZ196583:OBZ196593 OLV196583:OLV196593 OVR196583:OVR196593 PFN196583:PFN196593 PPJ196583:PPJ196593 PZF196583:PZF196593 QJB196583:QJB196593 QSX196583:QSX196593 RCT196583:RCT196593 RMP196583:RMP196593 RWL196583:RWL196593 SGH196583:SGH196593 SQD196583:SQD196593 SZZ196583:SZZ196593 TJV196583:TJV196593 TTR196583:TTR196593 UDN196583:UDN196593 UNJ196583:UNJ196593 UXF196583:UXF196593 VHB196583:VHB196593 VQX196583:VQX196593 WAT196583:WAT196593 WKP196583:WKP196593 WUL196583:WUL196593 C262119:C262129 HZ262119:HZ262129 RV262119:RV262129 ABR262119:ABR262129 ALN262119:ALN262129 AVJ262119:AVJ262129 BFF262119:BFF262129 BPB262119:BPB262129 BYX262119:BYX262129 CIT262119:CIT262129 CSP262119:CSP262129 DCL262119:DCL262129 DMH262119:DMH262129 DWD262119:DWD262129 EFZ262119:EFZ262129 EPV262119:EPV262129 EZR262119:EZR262129 FJN262119:FJN262129 FTJ262119:FTJ262129 GDF262119:GDF262129 GNB262119:GNB262129 GWX262119:GWX262129 HGT262119:HGT262129 HQP262119:HQP262129 IAL262119:IAL262129 IKH262119:IKH262129 IUD262119:IUD262129 JDZ262119:JDZ262129 JNV262119:JNV262129 JXR262119:JXR262129 KHN262119:KHN262129 KRJ262119:KRJ262129 LBF262119:LBF262129 LLB262119:LLB262129 LUX262119:LUX262129 MET262119:MET262129 MOP262119:MOP262129 MYL262119:MYL262129 NIH262119:NIH262129 NSD262119:NSD262129 OBZ262119:OBZ262129 OLV262119:OLV262129 OVR262119:OVR262129 PFN262119:PFN262129 PPJ262119:PPJ262129 PZF262119:PZF262129 QJB262119:QJB262129 QSX262119:QSX262129 RCT262119:RCT262129 RMP262119:RMP262129 RWL262119:RWL262129 SGH262119:SGH262129 SQD262119:SQD262129 SZZ262119:SZZ262129 TJV262119:TJV262129 TTR262119:TTR262129 UDN262119:UDN262129 UNJ262119:UNJ262129 UXF262119:UXF262129 VHB262119:VHB262129 VQX262119:VQX262129 WAT262119:WAT262129 WKP262119:WKP262129 WUL262119:WUL262129 C327655:C327665 HZ327655:HZ327665 RV327655:RV327665 ABR327655:ABR327665 ALN327655:ALN327665 AVJ327655:AVJ327665 BFF327655:BFF327665 BPB327655:BPB327665 BYX327655:BYX327665 CIT327655:CIT327665 CSP327655:CSP327665 DCL327655:DCL327665 DMH327655:DMH327665 DWD327655:DWD327665 EFZ327655:EFZ327665 EPV327655:EPV327665 EZR327655:EZR327665 FJN327655:FJN327665 FTJ327655:FTJ327665 GDF327655:GDF327665 GNB327655:GNB327665 GWX327655:GWX327665 HGT327655:HGT327665 HQP327655:HQP327665 IAL327655:IAL327665 IKH327655:IKH327665 IUD327655:IUD327665 JDZ327655:JDZ327665 JNV327655:JNV327665 JXR327655:JXR327665 KHN327655:KHN327665 KRJ327655:KRJ327665 LBF327655:LBF327665 LLB327655:LLB327665 LUX327655:LUX327665 MET327655:MET327665 MOP327655:MOP327665 MYL327655:MYL327665 NIH327655:NIH327665 NSD327655:NSD327665 OBZ327655:OBZ327665 OLV327655:OLV327665 OVR327655:OVR327665 PFN327655:PFN327665 PPJ327655:PPJ327665 PZF327655:PZF327665 QJB327655:QJB327665 QSX327655:QSX327665 RCT327655:RCT327665 RMP327655:RMP327665 RWL327655:RWL327665 SGH327655:SGH327665 SQD327655:SQD327665 SZZ327655:SZZ327665 TJV327655:TJV327665 TTR327655:TTR327665 UDN327655:UDN327665 UNJ327655:UNJ327665 UXF327655:UXF327665 VHB327655:VHB327665 VQX327655:VQX327665 WAT327655:WAT327665 WKP327655:WKP327665 WUL327655:WUL327665 C393191:C393201 HZ393191:HZ393201 RV393191:RV393201 ABR393191:ABR393201 ALN393191:ALN393201 AVJ393191:AVJ393201 BFF393191:BFF393201 BPB393191:BPB393201 BYX393191:BYX393201 CIT393191:CIT393201 CSP393191:CSP393201 DCL393191:DCL393201 DMH393191:DMH393201 DWD393191:DWD393201 EFZ393191:EFZ393201 EPV393191:EPV393201 EZR393191:EZR393201 FJN393191:FJN393201 FTJ393191:FTJ393201 GDF393191:GDF393201 GNB393191:GNB393201 GWX393191:GWX393201 HGT393191:HGT393201 HQP393191:HQP393201 IAL393191:IAL393201 IKH393191:IKH393201 IUD393191:IUD393201 JDZ393191:JDZ393201 JNV393191:JNV393201 JXR393191:JXR393201 KHN393191:KHN393201 KRJ393191:KRJ393201 LBF393191:LBF393201 LLB393191:LLB393201 LUX393191:LUX393201 MET393191:MET393201 MOP393191:MOP393201 MYL393191:MYL393201 NIH393191:NIH393201 NSD393191:NSD393201 OBZ393191:OBZ393201 OLV393191:OLV393201 OVR393191:OVR393201 PFN393191:PFN393201 PPJ393191:PPJ393201 PZF393191:PZF393201 QJB393191:QJB393201 QSX393191:QSX393201 RCT393191:RCT393201 RMP393191:RMP393201 RWL393191:RWL393201 SGH393191:SGH393201 SQD393191:SQD393201 SZZ393191:SZZ393201 TJV393191:TJV393201 TTR393191:TTR393201 UDN393191:UDN393201 UNJ393191:UNJ393201 UXF393191:UXF393201 VHB393191:VHB393201 VQX393191:VQX393201 WAT393191:WAT393201 WKP393191:WKP393201 WUL393191:WUL393201 C458727:C458737 HZ458727:HZ458737 RV458727:RV458737 ABR458727:ABR458737 ALN458727:ALN458737 AVJ458727:AVJ458737 BFF458727:BFF458737 BPB458727:BPB458737 BYX458727:BYX458737 CIT458727:CIT458737 CSP458727:CSP458737 DCL458727:DCL458737 DMH458727:DMH458737 DWD458727:DWD458737 EFZ458727:EFZ458737 EPV458727:EPV458737 EZR458727:EZR458737 FJN458727:FJN458737 FTJ458727:FTJ458737 GDF458727:GDF458737 GNB458727:GNB458737 GWX458727:GWX458737 HGT458727:HGT458737 HQP458727:HQP458737 IAL458727:IAL458737 IKH458727:IKH458737 IUD458727:IUD458737 JDZ458727:JDZ458737 JNV458727:JNV458737 JXR458727:JXR458737 KHN458727:KHN458737 KRJ458727:KRJ458737 LBF458727:LBF458737 LLB458727:LLB458737 LUX458727:LUX458737 MET458727:MET458737 MOP458727:MOP458737 MYL458727:MYL458737 NIH458727:NIH458737 NSD458727:NSD458737 OBZ458727:OBZ458737 OLV458727:OLV458737 OVR458727:OVR458737 PFN458727:PFN458737 PPJ458727:PPJ458737 PZF458727:PZF458737 QJB458727:QJB458737 QSX458727:QSX458737 RCT458727:RCT458737 RMP458727:RMP458737 RWL458727:RWL458737 SGH458727:SGH458737 SQD458727:SQD458737 SZZ458727:SZZ458737 TJV458727:TJV458737 TTR458727:TTR458737 UDN458727:UDN458737 UNJ458727:UNJ458737 UXF458727:UXF458737 VHB458727:VHB458737 VQX458727:VQX458737 WAT458727:WAT458737 WKP458727:WKP458737 WUL458727:WUL458737 C524263:C524273 HZ524263:HZ524273 RV524263:RV524273 ABR524263:ABR524273 ALN524263:ALN524273 AVJ524263:AVJ524273 BFF524263:BFF524273 BPB524263:BPB524273 BYX524263:BYX524273 CIT524263:CIT524273 CSP524263:CSP524273 DCL524263:DCL524273 DMH524263:DMH524273 DWD524263:DWD524273 EFZ524263:EFZ524273 EPV524263:EPV524273 EZR524263:EZR524273 FJN524263:FJN524273 FTJ524263:FTJ524273 GDF524263:GDF524273 GNB524263:GNB524273 GWX524263:GWX524273 HGT524263:HGT524273 HQP524263:HQP524273 IAL524263:IAL524273 IKH524263:IKH524273 IUD524263:IUD524273 JDZ524263:JDZ524273 JNV524263:JNV524273 JXR524263:JXR524273 KHN524263:KHN524273 KRJ524263:KRJ524273 LBF524263:LBF524273 LLB524263:LLB524273 LUX524263:LUX524273 MET524263:MET524273 MOP524263:MOP524273 MYL524263:MYL524273 NIH524263:NIH524273 NSD524263:NSD524273 OBZ524263:OBZ524273 OLV524263:OLV524273 OVR524263:OVR524273 PFN524263:PFN524273 PPJ524263:PPJ524273 PZF524263:PZF524273 QJB524263:QJB524273 QSX524263:QSX524273 RCT524263:RCT524273 RMP524263:RMP524273 RWL524263:RWL524273 SGH524263:SGH524273 SQD524263:SQD524273 SZZ524263:SZZ524273 TJV524263:TJV524273 TTR524263:TTR524273 UDN524263:UDN524273 UNJ524263:UNJ524273 UXF524263:UXF524273 VHB524263:VHB524273 VQX524263:VQX524273 WAT524263:WAT524273 WKP524263:WKP524273 WUL524263:WUL524273 C589799:C589809 HZ589799:HZ589809 RV589799:RV589809 ABR589799:ABR589809 ALN589799:ALN589809 AVJ589799:AVJ589809 BFF589799:BFF589809 BPB589799:BPB589809 BYX589799:BYX589809 CIT589799:CIT589809 CSP589799:CSP589809 DCL589799:DCL589809 DMH589799:DMH589809 DWD589799:DWD589809 EFZ589799:EFZ589809 EPV589799:EPV589809 EZR589799:EZR589809 FJN589799:FJN589809 FTJ589799:FTJ589809 GDF589799:GDF589809 GNB589799:GNB589809 GWX589799:GWX589809 HGT589799:HGT589809 HQP589799:HQP589809 IAL589799:IAL589809 IKH589799:IKH589809 IUD589799:IUD589809 JDZ589799:JDZ589809 JNV589799:JNV589809 JXR589799:JXR589809 KHN589799:KHN589809 KRJ589799:KRJ589809 LBF589799:LBF589809 LLB589799:LLB589809 LUX589799:LUX589809 MET589799:MET589809 MOP589799:MOP589809 MYL589799:MYL589809 NIH589799:NIH589809 NSD589799:NSD589809 OBZ589799:OBZ589809 OLV589799:OLV589809 OVR589799:OVR589809 PFN589799:PFN589809 PPJ589799:PPJ589809 PZF589799:PZF589809 QJB589799:QJB589809 QSX589799:QSX589809 RCT589799:RCT589809 RMP589799:RMP589809 RWL589799:RWL589809 SGH589799:SGH589809 SQD589799:SQD589809 SZZ589799:SZZ589809 TJV589799:TJV589809 TTR589799:TTR589809 UDN589799:UDN589809 UNJ589799:UNJ589809 UXF589799:UXF589809 VHB589799:VHB589809 VQX589799:VQX589809 WAT589799:WAT589809 WKP589799:WKP589809 WUL589799:WUL589809 C655335:C655345 HZ655335:HZ655345 RV655335:RV655345 ABR655335:ABR655345 ALN655335:ALN655345 AVJ655335:AVJ655345 BFF655335:BFF655345 BPB655335:BPB655345 BYX655335:BYX655345 CIT655335:CIT655345 CSP655335:CSP655345 DCL655335:DCL655345 DMH655335:DMH655345 DWD655335:DWD655345 EFZ655335:EFZ655345 EPV655335:EPV655345 EZR655335:EZR655345 FJN655335:FJN655345 FTJ655335:FTJ655345 GDF655335:GDF655345 GNB655335:GNB655345 GWX655335:GWX655345 HGT655335:HGT655345 HQP655335:HQP655345 IAL655335:IAL655345 IKH655335:IKH655345 IUD655335:IUD655345 JDZ655335:JDZ655345 JNV655335:JNV655345 JXR655335:JXR655345 KHN655335:KHN655345 KRJ655335:KRJ655345 LBF655335:LBF655345 LLB655335:LLB655345 LUX655335:LUX655345 MET655335:MET655345 MOP655335:MOP655345 MYL655335:MYL655345 NIH655335:NIH655345 NSD655335:NSD655345 OBZ655335:OBZ655345 OLV655335:OLV655345 OVR655335:OVR655345 PFN655335:PFN655345 PPJ655335:PPJ655345 PZF655335:PZF655345 QJB655335:QJB655345 QSX655335:QSX655345 RCT655335:RCT655345 RMP655335:RMP655345 RWL655335:RWL655345 SGH655335:SGH655345 SQD655335:SQD655345 SZZ655335:SZZ655345 TJV655335:TJV655345 TTR655335:TTR655345 UDN655335:UDN655345 UNJ655335:UNJ655345 UXF655335:UXF655345 VHB655335:VHB655345 VQX655335:VQX655345 WAT655335:WAT655345 WKP655335:WKP655345 WUL655335:WUL655345 C720871:C720881 HZ720871:HZ720881 RV720871:RV720881 ABR720871:ABR720881 ALN720871:ALN720881 AVJ720871:AVJ720881 BFF720871:BFF720881 BPB720871:BPB720881 BYX720871:BYX720881 CIT720871:CIT720881 CSP720871:CSP720881 DCL720871:DCL720881 DMH720871:DMH720881 DWD720871:DWD720881 EFZ720871:EFZ720881 EPV720871:EPV720881 EZR720871:EZR720881 FJN720871:FJN720881 FTJ720871:FTJ720881 GDF720871:GDF720881 GNB720871:GNB720881 GWX720871:GWX720881 HGT720871:HGT720881 HQP720871:HQP720881 IAL720871:IAL720881 IKH720871:IKH720881 IUD720871:IUD720881 JDZ720871:JDZ720881 JNV720871:JNV720881 JXR720871:JXR720881 KHN720871:KHN720881 KRJ720871:KRJ720881 LBF720871:LBF720881 LLB720871:LLB720881 LUX720871:LUX720881 MET720871:MET720881 MOP720871:MOP720881 MYL720871:MYL720881 NIH720871:NIH720881 NSD720871:NSD720881 OBZ720871:OBZ720881 OLV720871:OLV720881 OVR720871:OVR720881 PFN720871:PFN720881 PPJ720871:PPJ720881 PZF720871:PZF720881 QJB720871:QJB720881 QSX720871:QSX720881 RCT720871:RCT720881 RMP720871:RMP720881 RWL720871:RWL720881 SGH720871:SGH720881 SQD720871:SQD720881 SZZ720871:SZZ720881 TJV720871:TJV720881 TTR720871:TTR720881 UDN720871:UDN720881 UNJ720871:UNJ720881 UXF720871:UXF720881 VHB720871:VHB720881 VQX720871:VQX720881 WAT720871:WAT720881 WKP720871:WKP720881 WUL720871:WUL720881 C786407:C786417 HZ786407:HZ786417 RV786407:RV786417 ABR786407:ABR786417 ALN786407:ALN786417 AVJ786407:AVJ786417 BFF786407:BFF786417 BPB786407:BPB786417 BYX786407:BYX786417 CIT786407:CIT786417 CSP786407:CSP786417 DCL786407:DCL786417 DMH786407:DMH786417 DWD786407:DWD786417 EFZ786407:EFZ786417 EPV786407:EPV786417 EZR786407:EZR786417 FJN786407:FJN786417 FTJ786407:FTJ786417 GDF786407:GDF786417 GNB786407:GNB786417 GWX786407:GWX786417 HGT786407:HGT786417 HQP786407:HQP786417 IAL786407:IAL786417 IKH786407:IKH786417 IUD786407:IUD786417 JDZ786407:JDZ786417 JNV786407:JNV786417 JXR786407:JXR786417 KHN786407:KHN786417 KRJ786407:KRJ786417 LBF786407:LBF786417 LLB786407:LLB786417 LUX786407:LUX786417 MET786407:MET786417 MOP786407:MOP786417 MYL786407:MYL786417 NIH786407:NIH786417 NSD786407:NSD786417 OBZ786407:OBZ786417 OLV786407:OLV786417 OVR786407:OVR786417 PFN786407:PFN786417 PPJ786407:PPJ786417 PZF786407:PZF786417 QJB786407:QJB786417 QSX786407:QSX786417 RCT786407:RCT786417 RMP786407:RMP786417 RWL786407:RWL786417 SGH786407:SGH786417 SQD786407:SQD786417 SZZ786407:SZZ786417 TJV786407:TJV786417 TTR786407:TTR786417 UDN786407:UDN786417 UNJ786407:UNJ786417 UXF786407:UXF786417 VHB786407:VHB786417 VQX786407:VQX786417 WAT786407:WAT786417 WKP786407:WKP786417 WUL786407:WUL786417 C851943:C851953 HZ851943:HZ851953 RV851943:RV851953 ABR851943:ABR851953 ALN851943:ALN851953 AVJ851943:AVJ851953 BFF851943:BFF851953 BPB851943:BPB851953 BYX851943:BYX851953 CIT851943:CIT851953 CSP851943:CSP851953 DCL851943:DCL851953 DMH851943:DMH851953 DWD851943:DWD851953 EFZ851943:EFZ851953 EPV851943:EPV851953 EZR851943:EZR851953 FJN851943:FJN851953 FTJ851943:FTJ851953 GDF851943:GDF851953 GNB851943:GNB851953 GWX851943:GWX851953 HGT851943:HGT851953 HQP851943:HQP851953 IAL851943:IAL851953 IKH851943:IKH851953 IUD851943:IUD851953 JDZ851943:JDZ851953 JNV851943:JNV851953 JXR851943:JXR851953 KHN851943:KHN851953 KRJ851943:KRJ851953 LBF851943:LBF851953 LLB851943:LLB851953 LUX851943:LUX851953 MET851943:MET851953 MOP851943:MOP851953 MYL851943:MYL851953 NIH851943:NIH851953 NSD851943:NSD851953 OBZ851943:OBZ851953 OLV851943:OLV851953 OVR851943:OVR851953 PFN851943:PFN851953 PPJ851943:PPJ851953 PZF851943:PZF851953 QJB851943:QJB851953 QSX851943:QSX851953 RCT851943:RCT851953 RMP851943:RMP851953 RWL851943:RWL851953 SGH851943:SGH851953 SQD851943:SQD851953 SZZ851943:SZZ851953 TJV851943:TJV851953 TTR851943:TTR851953 UDN851943:UDN851953 UNJ851943:UNJ851953 UXF851943:UXF851953 VHB851943:VHB851953 VQX851943:VQX851953 WAT851943:WAT851953 WKP851943:WKP851953 WUL851943:WUL851953 C917479:C917489 HZ917479:HZ917489 RV917479:RV917489 ABR917479:ABR917489 ALN917479:ALN917489 AVJ917479:AVJ917489 BFF917479:BFF917489 BPB917479:BPB917489 BYX917479:BYX917489 CIT917479:CIT917489 CSP917479:CSP917489 DCL917479:DCL917489 DMH917479:DMH917489 DWD917479:DWD917489 EFZ917479:EFZ917489 EPV917479:EPV917489 EZR917479:EZR917489 FJN917479:FJN917489 FTJ917479:FTJ917489 GDF917479:GDF917489 GNB917479:GNB917489 GWX917479:GWX917489 HGT917479:HGT917489 HQP917479:HQP917489 IAL917479:IAL917489 IKH917479:IKH917489 IUD917479:IUD917489 JDZ917479:JDZ917489 JNV917479:JNV917489 JXR917479:JXR917489 KHN917479:KHN917489 KRJ917479:KRJ917489 LBF917479:LBF917489 LLB917479:LLB917489 LUX917479:LUX917489 MET917479:MET917489 MOP917479:MOP917489 MYL917479:MYL917489 NIH917479:NIH917489 NSD917479:NSD917489 OBZ917479:OBZ917489 OLV917479:OLV917489 OVR917479:OVR917489 PFN917479:PFN917489 PPJ917479:PPJ917489 PZF917479:PZF917489 QJB917479:QJB917489 QSX917479:QSX917489 RCT917479:RCT917489 RMP917479:RMP917489 RWL917479:RWL917489 SGH917479:SGH917489 SQD917479:SQD917489 SZZ917479:SZZ917489 TJV917479:TJV917489 TTR917479:TTR917489 UDN917479:UDN917489 UNJ917479:UNJ917489 UXF917479:UXF917489 VHB917479:VHB917489 VQX917479:VQX917489 WAT917479:WAT917489 WKP917479:WKP917489 WUL917479:WUL917489 C983015:C983025 HZ983015:HZ983025 RV983015:RV983025 ABR983015:ABR983025 ALN983015:ALN983025 AVJ983015:AVJ983025 BFF983015:BFF983025 BPB983015:BPB983025 BYX983015:BYX983025 CIT983015:CIT983025 CSP983015:CSP983025 DCL983015:DCL983025 DMH983015:DMH983025 DWD983015:DWD983025 EFZ983015:EFZ983025 EPV983015:EPV983025 EZR983015:EZR983025 FJN983015:FJN983025 FTJ983015:FTJ983025 GDF983015:GDF983025 GNB983015:GNB983025 GWX983015:GWX983025 HGT983015:HGT983025 HQP983015:HQP983025 IAL983015:IAL983025 IKH983015:IKH983025 IUD983015:IUD983025 JDZ983015:JDZ983025 JNV983015:JNV983025 JXR983015:JXR983025 KHN983015:KHN983025 KRJ983015:KRJ983025 LBF983015:LBF983025 LLB983015:LLB983025 LUX983015:LUX983025 MET983015:MET983025 MOP983015:MOP983025 MYL983015:MYL983025 NIH983015:NIH983025 NSD983015:NSD983025 OBZ983015:OBZ983025 OLV983015:OLV983025 OVR983015:OVR983025 PFN983015:PFN983025 PPJ983015:PPJ983025 PZF983015:PZF983025 QJB983015:QJB983025 QSX983015:QSX983025 RCT983015:RCT983025 RMP983015:RMP983025 RWL983015:RWL983025 SGH983015:SGH983025 SQD983015:SQD983025 SZZ983015:SZZ983025 TJV983015:TJV983025 TTR983015:TTR983025 UDN983015:UDN983025 UNJ983015:UNJ983025 UXF983015:UXF983025 VHB983015:VHB983025 VQX983015:VQX983025 WAT983015:WAT983025 WKP983015:WKP983025 WUL983015:WUL983025" xr:uid="{00000000-0002-0000-14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7" orientation="landscape" horizontalDpi="300" verticalDpi="300" r:id="rId1"/>
  <colBreaks count="1" manualBreakCount="1">
    <brk id="28" max="1048575" man="1"/>
  </colBreaks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6">
    <pageSetUpPr fitToPage="1"/>
  </sheetPr>
  <dimension ref="B1:U36"/>
  <sheetViews>
    <sheetView view="pageBreakPreview" zoomScale="50" zoomScaleNormal="50" zoomScaleSheetLayoutView="50" workbookViewId="0">
      <pane xSplit="2" ySplit="6" topLeftCell="C7" activePane="bottomRight" state="frozen"/>
      <selection activeCell="G12" sqref="G12"/>
      <selection pane="topRight" activeCell="G12" sqref="G12"/>
      <selection pane="bottomLeft" activeCell="G12" sqref="G12"/>
      <selection pane="bottomRight" activeCell="G7" sqref="G7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5.85546875" style="5" bestFit="1" customWidth="1"/>
    <col min="4" max="4" width="15.7109375" style="5" customWidth="1"/>
    <col min="5" max="5" width="23.28515625" style="5" bestFit="1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21.28515625" style="5" bestFit="1" customWidth="1"/>
    <col min="11" max="11" width="17.28515625" style="5" bestFit="1" customWidth="1" outlineLevel="1"/>
    <col min="12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3.28515625" style="5" bestFit="1" customWidth="1"/>
    <col min="20" max="16384" width="9.140625" style="5"/>
  </cols>
  <sheetData>
    <row r="1" spans="2:19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19" s="1" customFormat="1" ht="26.25" x14ac:dyDescent="0.4">
      <c r="B2" s="759" t="s">
        <v>141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19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19" ht="33" customHeight="1" outlineLevel="1" x14ac:dyDescent="0.35">
      <c r="B4" s="6" t="s">
        <v>1</v>
      </c>
      <c r="C4" s="7">
        <f>155*31</f>
        <v>4805</v>
      </c>
      <c r="D4" s="8"/>
      <c r="E4" s="9"/>
      <c r="F4" s="10"/>
      <c r="G4" s="7">
        <f>80*31</f>
        <v>2480</v>
      </c>
      <c r="H4" s="11"/>
      <c r="I4" s="11"/>
      <c r="J4" s="11"/>
      <c r="K4" s="7">
        <f>80*31</f>
        <v>2480</v>
      </c>
      <c r="L4" s="12"/>
      <c r="M4" s="12"/>
      <c r="N4" s="12"/>
      <c r="O4" s="12"/>
      <c r="P4" s="12"/>
      <c r="Q4" s="13"/>
    </row>
    <row r="5" spans="2:19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19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19" s="94" customFormat="1" ht="33" customHeight="1" outlineLevel="1" x14ac:dyDescent="0.3">
      <c r="B7" s="89" t="s">
        <v>37</v>
      </c>
      <c r="C7" s="90">
        <v>46</v>
      </c>
      <c r="D7" s="91">
        <f t="shared" ref="D7:D16" si="0">+IF(C$24=0,0,C7/C$24)</f>
        <v>3.3848417954378221E-2</v>
      </c>
      <c r="E7" s="92">
        <f>IF(C7=0,0,F7/C7)</f>
        <v>1508.7000000000003</v>
      </c>
      <c r="F7" s="93">
        <v>69400.200000000012</v>
      </c>
      <c r="G7" s="90">
        <v>132</v>
      </c>
      <c r="H7" s="91">
        <f t="shared" ref="H7:H16" si="1">+IF(G$24=0,0,G7/G$24)</f>
        <v>6.4896755162241887E-2</v>
      </c>
      <c r="I7" s="92">
        <f>IF(G7=0,0,J7/G7)</f>
        <v>2577.810606060606</v>
      </c>
      <c r="J7" s="93">
        <v>340271</v>
      </c>
      <c r="K7" s="90">
        <f>'DMarch 2023'!D38</f>
        <v>0</v>
      </c>
      <c r="L7" s="91">
        <f>+IF(K$24=0,0,K7/K$24)</f>
        <v>0</v>
      </c>
      <c r="M7" s="92">
        <f>IF(K7=0,0,N7/K7)</f>
        <v>0</v>
      </c>
      <c r="N7" s="93">
        <f>'DMarch 2023'!D39</f>
        <v>0</v>
      </c>
      <c r="O7" s="90">
        <f t="shared" ref="O7:O24" si="2">K7-G7</f>
        <v>-132</v>
      </c>
      <c r="P7" s="92">
        <f t="shared" ref="P7:P24" si="3">M7-I7</f>
        <v>-2577.810606060606</v>
      </c>
      <c r="Q7" s="93">
        <f t="shared" ref="Q7:Q24" si="4">N7-J7</f>
        <v>-340271</v>
      </c>
      <c r="S7" s="210"/>
    </row>
    <row r="8" spans="2:19" s="94" customFormat="1" ht="33" customHeight="1" outlineLevel="1" x14ac:dyDescent="0.3">
      <c r="B8" s="89" t="s">
        <v>38</v>
      </c>
      <c r="C8" s="90">
        <v>727</v>
      </c>
      <c r="D8" s="91">
        <f t="shared" si="0"/>
        <v>0.53495217071376011</v>
      </c>
      <c r="E8" s="92">
        <f>IF(C8=0,0,F8/C8)</f>
        <v>1183.123218707015</v>
      </c>
      <c r="F8" s="93">
        <v>860130.57999999984</v>
      </c>
      <c r="G8" s="90">
        <v>923</v>
      </c>
      <c r="H8" s="91">
        <f t="shared" si="1"/>
        <v>0.45378564405113075</v>
      </c>
      <c r="I8" s="92">
        <f>IF(G8=0,0,J8/G8)</f>
        <v>2037.646803900325</v>
      </c>
      <c r="J8" s="93">
        <v>1880748</v>
      </c>
      <c r="K8" s="90">
        <f>'DMarch 2023'!F38</f>
        <v>913</v>
      </c>
      <c r="L8" s="91">
        <f t="shared" ref="L8:L16" si="5">+IF(K$24=0,0,K8/K$24)</f>
        <v>0.47552083333333334</v>
      </c>
      <c r="M8" s="92">
        <f>IF(K8=0,0,N8/K8)</f>
        <v>2136.3968526834615</v>
      </c>
      <c r="N8" s="93">
        <f>'DMarch 2023'!F39</f>
        <v>1950530.3265000004</v>
      </c>
      <c r="O8" s="90">
        <f t="shared" si="2"/>
        <v>-10</v>
      </c>
      <c r="P8" s="92">
        <f t="shared" si="3"/>
        <v>98.750048783136435</v>
      </c>
      <c r="Q8" s="93">
        <f t="shared" si="4"/>
        <v>69782.326500000432</v>
      </c>
      <c r="S8" s="210"/>
    </row>
    <row r="9" spans="2:19" s="94" customFormat="1" ht="20.25" outlineLevel="1" x14ac:dyDescent="0.3">
      <c r="B9" s="89" t="s">
        <v>44</v>
      </c>
      <c r="C9" s="90">
        <v>57</v>
      </c>
      <c r="D9" s="91">
        <f t="shared" si="0"/>
        <v>4.194260485651214E-2</v>
      </c>
      <c r="E9" s="92">
        <f>IF(C9=0,0,F9/C9)</f>
        <v>1343.3601754385968</v>
      </c>
      <c r="F9" s="93">
        <v>76571.530000000013</v>
      </c>
      <c r="G9" s="90">
        <v>76</v>
      </c>
      <c r="H9" s="91">
        <f t="shared" si="1"/>
        <v>3.7364798426745331E-2</v>
      </c>
      <c r="I9" s="92">
        <f>IF(G9=0,0,J9/G9)</f>
        <v>1637.7631578947369</v>
      </c>
      <c r="J9" s="93">
        <v>124470</v>
      </c>
      <c r="K9" s="90">
        <f>'DMarch 2023'!H38</f>
        <v>46</v>
      </c>
      <c r="L9" s="91">
        <f t="shared" si="5"/>
        <v>2.3958333333333335E-2</v>
      </c>
      <c r="M9" s="92">
        <f>IF(K9=0,0,N9/K9)</f>
        <v>1699.0867632850238</v>
      </c>
      <c r="N9" s="93">
        <f>'DMarch 2023'!H39</f>
        <v>78157.9911111111</v>
      </c>
      <c r="O9" s="90">
        <f t="shared" si="2"/>
        <v>-30</v>
      </c>
      <c r="P9" s="92">
        <f t="shared" si="3"/>
        <v>61.323605390286957</v>
      </c>
      <c r="Q9" s="93">
        <f t="shared" si="4"/>
        <v>-46312.0088888889</v>
      </c>
      <c r="S9" s="210"/>
    </row>
    <row r="10" spans="2:19" ht="33" customHeight="1" x14ac:dyDescent="0.35">
      <c r="B10" s="20" t="s">
        <v>36</v>
      </c>
      <c r="C10" s="55">
        <f>SUM(C7:C9)</f>
        <v>830</v>
      </c>
      <c r="D10" s="21">
        <f t="shared" si="0"/>
        <v>0.61074319352465045</v>
      </c>
      <c r="E10" s="58">
        <f>IF(C10=0,0,F10/C10)</f>
        <v>1212.1714578313251</v>
      </c>
      <c r="F10" s="59">
        <f>SUM(F7:F9)</f>
        <v>1006102.3099999998</v>
      </c>
      <c r="G10" s="55">
        <f>SUM(G7:G9)</f>
        <v>1131</v>
      </c>
      <c r="H10" s="21">
        <f t="shared" si="1"/>
        <v>0.55604719764011801</v>
      </c>
      <c r="I10" s="58">
        <f>IF(G10=0,0,J10/G10)</f>
        <v>2073.8187444739169</v>
      </c>
      <c r="J10" s="59">
        <f>SUM(J7:J9)</f>
        <v>2345489</v>
      </c>
      <c r="K10" s="55">
        <f>SUM(K7:K9)</f>
        <v>959</v>
      </c>
      <c r="L10" s="21">
        <f t="shared" si="5"/>
        <v>0.49947916666666664</v>
      </c>
      <c r="M10" s="58">
        <f>IF(K10=0,0,N10/K10)</f>
        <v>2115.4205605955281</v>
      </c>
      <c r="N10" s="59">
        <f>SUM(N7:N9)</f>
        <v>2028688.3176111116</v>
      </c>
      <c r="O10" s="55">
        <f t="shared" si="2"/>
        <v>-172</v>
      </c>
      <c r="P10" s="58">
        <f t="shared" si="3"/>
        <v>41.601816121611137</v>
      </c>
      <c r="Q10" s="59">
        <f t="shared" si="4"/>
        <v>-316800.68238888844</v>
      </c>
      <c r="S10" s="210"/>
    </row>
    <row r="11" spans="2:19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ref="E11:E16" si="6">IF(C11=0,0,F11/C11)</f>
        <v>0</v>
      </c>
      <c r="F11" s="93">
        <v>0</v>
      </c>
      <c r="G11" s="90">
        <v>52</v>
      </c>
      <c r="H11" s="91">
        <f t="shared" si="1"/>
        <v>2.5565388397246803E-2</v>
      </c>
      <c r="I11" s="92">
        <f t="shared" ref="I11:I16" si="7">IF(G11=0,0,J11/G11)</f>
        <v>2073.4423076923076</v>
      </c>
      <c r="J11" s="93">
        <v>107819</v>
      </c>
      <c r="K11" s="90">
        <f>'DMarch 2023'!J38</f>
        <v>214</v>
      </c>
      <c r="L11" s="91">
        <f t="shared" si="5"/>
        <v>0.11145833333333334</v>
      </c>
      <c r="M11" s="92">
        <f t="shared" ref="M11:M16" si="8">IF(K11=0,0,N11/K11)</f>
        <v>1686.6039979231568</v>
      </c>
      <c r="N11" s="93">
        <f>'DMarch 2023'!J39</f>
        <v>360933.25555555557</v>
      </c>
      <c r="O11" s="90">
        <f t="shared" si="2"/>
        <v>162</v>
      </c>
      <c r="P11" s="92">
        <f t="shared" si="3"/>
        <v>-386.83830976915078</v>
      </c>
      <c r="Q11" s="93">
        <f t="shared" si="4"/>
        <v>253114.25555555557</v>
      </c>
      <c r="S11" s="210"/>
    </row>
    <row r="12" spans="2:19" s="94" customFormat="1" ht="33" customHeight="1" x14ac:dyDescent="0.3">
      <c r="B12" s="89" t="s">
        <v>41</v>
      </c>
      <c r="C12" s="90">
        <v>18</v>
      </c>
      <c r="D12" s="91">
        <f t="shared" si="0"/>
        <v>1.3245033112582781E-2</v>
      </c>
      <c r="E12" s="92">
        <f t="shared" si="6"/>
        <v>1388.2088888888886</v>
      </c>
      <c r="F12" s="93">
        <v>24987.759999999995</v>
      </c>
      <c r="G12" s="90">
        <v>131</v>
      </c>
      <c r="H12" s="91">
        <f t="shared" si="1"/>
        <v>6.4405113077679446E-2</v>
      </c>
      <c r="I12" s="92">
        <f t="shared" si="7"/>
        <v>1395.1984732824428</v>
      </c>
      <c r="J12" s="93">
        <v>182771</v>
      </c>
      <c r="K12" s="90">
        <f>'DMarch 2023'!L38</f>
        <v>475</v>
      </c>
      <c r="L12" s="91">
        <f t="shared" si="5"/>
        <v>0.24739583333333334</v>
      </c>
      <c r="M12" s="92">
        <f t="shared" si="8"/>
        <v>1513.7157370438592</v>
      </c>
      <c r="N12" s="93">
        <f>'DMarch 2023'!L39</f>
        <v>719014.97509583319</v>
      </c>
      <c r="O12" s="90">
        <f t="shared" si="2"/>
        <v>344</v>
      </c>
      <c r="P12" s="92">
        <f t="shared" si="3"/>
        <v>118.51726376141642</v>
      </c>
      <c r="Q12" s="93">
        <f t="shared" si="4"/>
        <v>536243.97509583319</v>
      </c>
      <c r="S12" s="210"/>
    </row>
    <row r="13" spans="2:19" ht="33" customHeight="1" x14ac:dyDescent="0.35">
      <c r="B13" s="20" t="s">
        <v>39</v>
      </c>
      <c r="C13" s="55">
        <f>SUM(C11:C12)</f>
        <v>18</v>
      </c>
      <c r="D13" s="21">
        <f t="shared" si="0"/>
        <v>1.3245033112582781E-2</v>
      </c>
      <c r="E13" s="58">
        <f t="shared" si="6"/>
        <v>1388.2088888888886</v>
      </c>
      <c r="F13" s="59">
        <f>SUM(F11:F12)</f>
        <v>24987.759999999995</v>
      </c>
      <c r="G13" s="55">
        <f>SUM(G11:G12)</f>
        <v>183</v>
      </c>
      <c r="H13" s="21">
        <f t="shared" si="1"/>
        <v>8.9970501474926259E-2</v>
      </c>
      <c r="I13" s="58">
        <f t="shared" si="7"/>
        <v>1587.9234972677596</v>
      </c>
      <c r="J13" s="59">
        <f>SUM(J11:J12)</f>
        <v>290590</v>
      </c>
      <c r="K13" s="55">
        <f>SUM(K11:K12)</f>
        <v>689</v>
      </c>
      <c r="L13" s="21">
        <f t="shared" si="5"/>
        <v>0.35885416666666664</v>
      </c>
      <c r="M13" s="58">
        <f t="shared" si="8"/>
        <v>1567.4139777233511</v>
      </c>
      <c r="N13" s="59">
        <f>SUM(N11:N12)</f>
        <v>1079948.2306513889</v>
      </c>
      <c r="O13" s="55">
        <f t="shared" si="2"/>
        <v>506</v>
      </c>
      <c r="P13" s="58">
        <f t="shared" si="3"/>
        <v>-20.509519544408477</v>
      </c>
      <c r="Q13" s="59">
        <f t="shared" si="4"/>
        <v>789358.23065138888</v>
      </c>
      <c r="S13" s="210"/>
    </row>
    <row r="14" spans="2:19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6"/>
        <v>0</v>
      </c>
      <c r="F14" s="95">
        <v>0</v>
      </c>
      <c r="G14" s="90">
        <v>272</v>
      </c>
      <c r="H14" s="91">
        <f t="shared" si="1"/>
        <v>0.13372664700098327</v>
      </c>
      <c r="I14" s="92">
        <f t="shared" si="7"/>
        <v>1915.6838235294117</v>
      </c>
      <c r="J14" s="95">
        <v>521066</v>
      </c>
      <c r="K14" s="90">
        <f>'DMarch 2023'!N38</f>
        <v>0</v>
      </c>
      <c r="L14" s="91">
        <f t="shared" si="5"/>
        <v>0</v>
      </c>
      <c r="M14" s="92">
        <f t="shared" si="8"/>
        <v>0</v>
      </c>
      <c r="N14" s="95">
        <f>'DMarch 2023'!N39</f>
        <v>0</v>
      </c>
      <c r="O14" s="90">
        <f t="shared" si="2"/>
        <v>-272</v>
      </c>
      <c r="P14" s="92">
        <f t="shared" si="3"/>
        <v>-1915.6838235294117</v>
      </c>
      <c r="Q14" s="96">
        <f t="shared" si="4"/>
        <v>-521066</v>
      </c>
      <c r="S14" s="210"/>
    </row>
    <row r="15" spans="2:19" s="94" customFormat="1" ht="33" customHeight="1" x14ac:dyDescent="0.3">
      <c r="B15" s="89" t="s">
        <v>43</v>
      </c>
      <c r="C15" s="90">
        <v>483</v>
      </c>
      <c r="D15" s="91">
        <f t="shared" si="0"/>
        <v>0.35540838852097129</v>
      </c>
      <c r="E15" s="92">
        <f t="shared" si="6"/>
        <v>1739.1740372670806</v>
      </c>
      <c r="F15" s="95">
        <v>840021.05999999994</v>
      </c>
      <c r="G15" s="90">
        <v>424</v>
      </c>
      <c r="H15" s="91">
        <f t="shared" si="1"/>
        <v>0.20845624385447395</v>
      </c>
      <c r="I15" s="92">
        <f t="shared" si="7"/>
        <v>2051.3632075471696</v>
      </c>
      <c r="J15" s="95">
        <v>869778</v>
      </c>
      <c r="K15" s="90">
        <f>'DMarch 2023'!P38</f>
        <v>247</v>
      </c>
      <c r="L15" s="91">
        <f t="shared" si="5"/>
        <v>0.12864583333333332</v>
      </c>
      <c r="M15" s="92">
        <f t="shared" si="8"/>
        <v>2242.7854251012145</v>
      </c>
      <c r="N15" s="95">
        <f>'DMarch 2023'!P39</f>
        <v>553968</v>
      </c>
      <c r="O15" s="90">
        <f t="shared" si="2"/>
        <v>-177</v>
      </c>
      <c r="P15" s="92">
        <f t="shared" si="3"/>
        <v>191.42221755404489</v>
      </c>
      <c r="Q15" s="96">
        <f t="shared" si="4"/>
        <v>-315810</v>
      </c>
      <c r="S15" s="210"/>
    </row>
    <row r="16" spans="2:19" ht="33" customHeight="1" x14ac:dyDescent="0.35">
      <c r="B16" s="20" t="s">
        <v>42</v>
      </c>
      <c r="C16" s="55">
        <f>SUM(C14:C15)</f>
        <v>483</v>
      </c>
      <c r="D16" s="21">
        <f t="shared" si="0"/>
        <v>0.35540838852097129</v>
      </c>
      <c r="E16" s="58">
        <f t="shared" si="6"/>
        <v>1739.1740372670806</v>
      </c>
      <c r="F16" s="87">
        <f>SUM(F14:F15)</f>
        <v>840021.05999999994</v>
      </c>
      <c r="G16" s="55">
        <f>SUM(G14:G15)</f>
        <v>696</v>
      </c>
      <c r="H16" s="21">
        <f t="shared" si="1"/>
        <v>0.34218289085545722</v>
      </c>
      <c r="I16" s="58">
        <f t="shared" si="7"/>
        <v>1998.33908045977</v>
      </c>
      <c r="J16" s="87">
        <f>SUM(J14:J15)</f>
        <v>1390844</v>
      </c>
      <c r="K16" s="55">
        <f>SUM(K14:K15)</f>
        <v>247</v>
      </c>
      <c r="L16" s="21">
        <f t="shared" si="5"/>
        <v>0.12864583333333332</v>
      </c>
      <c r="M16" s="58">
        <f t="shared" si="8"/>
        <v>2242.7854251012145</v>
      </c>
      <c r="N16" s="87">
        <f>SUM(N14:N15)</f>
        <v>553968</v>
      </c>
      <c r="O16" s="55">
        <f t="shared" si="2"/>
        <v>-449</v>
      </c>
      <c r="P16" s="58">
        <f t="shared" si="3"/>
        <v>244.44634464144451</v>
      </c>
      <c r="Q16" s="88">
        <f t="shared" si="4"/>
        <v>-836876</v>
      </c>
      <c r="S16" s="210"/>
    </row>
    <row r="17" spans="2:21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S17" s="210"/>
    </row>
    <row r="18" spans="2:21" ht="33" hidden="1" customHeight="1" x14ac:dyDescent="0.35">
      <c r="B18" s="22" t="s">
        <v>13</v>
      </c>
      <c r="C18" s="56">
        <f>C8+C9+C11+C12</f>
        <v>802</v>
      </c>
      <c r="D18" s="23">
        <f>+IF(C$24=0,0,C18/C$24)</f>
        <v>0.59013980868285509</v>
      </c>
      <c r="E18" s="60">
        <f>IF(C18=0,0,F18/C18)</f>
        <v>1199.1145511221944</v>
      </c>
      <c r="F18" s="61">
        <f>F8+F9+F11+F12</f>
        <v>961689.86999999988</v>
      </c>
      <c r="G18" s="56">
        <f>G8+G9+G11+G12</f>
        <v>1182</v>
      </c>
      <c r="H18" s="23">
        <f>+IF(G$24=0,0,G18/G$24)</f>
        <v>0.58112094395280234</v>
      </c>
      <c r="I18" s="60">
        <f>IF(G18=0,0,J18/G18)</f>
        <v>1942.3079526226734</v>
      </c>
      <c r="J18" s="61">
        <f>J8+J9+J11+J12</f>
        <v>2295808</v>
      </c>
      <c r="K18" s="56">
        <f>K8+K9+K11+K12</f>
        <v>1648</v>
      </c>
      <c r="L18" s="23">
        <f>+IF(K$24=0,0,K18/K$24)</f>
        <v>0.85833333333333328</v>
      </c>
      <c r="M18" s="60">
        <f>IF(K18=0,0,N18/K18)</f>
        <v>1886.3085851107405</v>
      </c>
      <c r="N18" s="61">
        <f>N8+N9+N11+N12</f>
        <v>3108636.5482625002</v>
      </c>
      <c r="O18" s="56">
        <f t="shared" si="2"/>
        <v>466</v>
      </c>
      <c r="P18" s="60">
        <f t="shared" si="3"/>
        <v>-55.99936751193286</v>
      </c>
      <c r="Q18" s="66">
        <f t="shared" si="4"/>
        <v>812828.5482625002</v>
      </c>
      <c r="S18" s="210"/>
    </row>
    <row r="19" spans="2:21" ht="33" hidden="1" customHeight="1" x14ac:dyDescent="0.35">
      <c r="B19" s="22" t="s">
        <v>45</v>
      </c>
      <c r="C19" s="105">
        <f>C7+C14+C15</f>
        <v>529</v>
      </c>
      <c r="D19" s="106">
        <f>+IF(C$24=0,0,C19/C$24)</f>
        <v>0.38925680647534955</v>
      </c>
      <c r="E19" s="107">
        <f>IF(C19=0,0,F19/C19)</f>
        <v>1719.1328166351607</v>
      </c>
      <c r="F19" s="108">
        <f>F7+F14+F15</f>
        <v>909421.26</v>
      </c>
      <c r="G19" s="105">
        <f>G7+G14+G15</f>
        <v>828</v>
      </c>
      <c r="H19" s="106">
        <f>+IF(G$24=0,0,G19/G$24)</f>
        <v>0.40707964601769914</v>
      </c>
      <c r="I19" s="107">
        <f>IF(G19=0,0,J19/G19)</f>
        <v>2090.7185990338166</v>
      </c>
      <c r="J19" s="108">
        <f>J7+J14+J15</f>
        <v>1731115</v>
      </c>
      <c r="K19" s="105">
        <f>K7+K14+K15</f>
        <v>247</v>
      </c>
      <c r="L19" s="106">
        <f>+IF(K$24=0,0,K19/K$24)</f>
        <v>0.12864583333333332</v>
      </c>
      <c r="M19" s="107">
        <f>IF(K19=0,0,N19/K19)</f>
        <v>2242.7854251012145</v>
      </c>
      <c r="N19" s="108">
        <f>N7+N14+N15</f>
        <v>553968</v>
      </c>
      <c r="O19" s="56">
        <f t="shared" si="2"/>
        <v>-581</v>
      </c>
      <c r="P19" s="60">
        <f t="shared" si="3"/>
        <v>152.06682606739787</v>
      </c>
      <c r="Q19" s="66">
        <f t="shared" si="4"/>
        <v>-1177147</v>
      </c>
      <c r="S19" s="210"/>
    </row>
    <row r="20" spans="2:21" ht="33" customHeight="1" x14ac:dyDescent="0.35">
      <c r="B20" s="28" t="s">
        <v>16</v>
      </c>
      <c r="C20" s="56">
        <f>C18+C19</f>
        <v>1331</v>
      </c>
      <c r="D20" s="23">
        <f>+IF(C$24=0,0,C20/C$24)</f>
        <v>0.97939661515820453</v>
      </c>
      <c r="E20" s="60">
        <f>IF(C20=0,0,F20/C20)</f>
        <v>1405.7934861006761</v>
      </c>
      <c r="F20" s="64">
        <f>F18+F19</f>
        <v>1871111.13</v>
      </c>
      <c r="G20" s="56">
        <f>G18+G19</f>
        <v>2010</v>
      </c>
      <c r="H20" s="23">
        <f>+IF(G$24=0,0,G20/G$24)</f>
        <v>0.98820058997050142</v>
      </c>
      <c r="I20" s="60">
        <f>IF(G20=0,0,J20/G20)</f>
        <v>2003.4442786069651</v>
      </c>
      <c r="J20" s="64">
        <f>J18+J19</f>
        <v>4026923</v>
      </c>
      <c r="K20" s="56">
        <f>K18+K19</f>
        <v>1895</v>
      </c>
      <c r="L20" s="23">
        <f>+IF(K$24=0,0,K20/K$24)</f>
        <v>0.98697916666666663</v>
      </c>
      <c r="M20" s="60">
        <f>IF(K20=0,0,N20/K20)</f>
        <v>1932.7728486873352</v>
      </c>
      <c r="N20" s="64">
        <f>N18+N19</f>
        <v>3662604.5482625002</v>
      </c>
      <c r="O20" s="56">
        <f t="shared" si="2"/>
        <v>-115</v>
      </c>
      <c r="P20" s="60">
        <f t="shared" si="3"/>
        <v>-70.671429919629873</v>
      </c>
      <c r="Q20" s="66">
        <f t="shared" si="4"/>
        <v>-364318.4517374998</v>
      </c>
      <c r="S20" s="210"/>
    </row>
    <row r="21" spans="2:21" ht="33" customHeight="1" x14ac:dyDescent="0.35">
      <c r="B21" s="29" t="s">
        <v>17</v>
      </c>
      <c r="C21" s="24">
        <f>IF(C4=0,C20,C20/$C$4)</f>
        <v>0.27700312174817898</v>
      </c>
      <c r="D21" s="30"/>
      <c r="E21" s="35"/>
      <c r="F21" s="36"/>
      <c r="G21" s="24">
        <f>IF(G4=0,G20,G20/$G$4)</f>
        <v>0.81048387096774188</v>
      </c>
      <c r="H21" s="30"/>
      <c r="I21" s="35"/>
      <c r="J21" s="36"/>
      <c r="K21" s="24">
        <f>IF(K4=0,K20,K20/$K$4)</f>
        <v>0.76411290322580649</v>
      </c>
      <c r="L21" s="30"/>
      <c r="M21" s="35"/>
      <c r="N21" s="36"/>
      <c r="O21" s="54">
        <f t="shared" si="2"/>
        <v>-4.6370967741935387E-2</v>
      </c>
      <c r="P21" s="30">
        <f t="shared" si="3"/>
        <v>0</v>
      </c>
      <c r="Q21" s="31">
        <f t="shared" si="4"/>
        <v>0</v>
      </c>
      <c r="S21" s="313"/>
    </row>
    <row r="22" spans="2:21" ht="33" customHeight="1" x14ac:dyDescent="0.35">
      <c r="B22" s="25" t="s">
        <v>18</v>
      </c>
      <c r="C22" s="57">
        <v>28</v>
      </c>
      <c r="D22" s="26">
        <f>+IF(C$24=0,0,C22/C$24)</f>
        <v>2.0603384841795438E-2</v>
      </c>
      <c r="E22" s="65">
        <f>IF(C22=0,0,F22/C22)</f>
        <v>-731.65107142857141</v>
      </c>
      <c r="F22" s="308">
        <v>-20486.23</v>
      </c>
      <c r="G22" s="57">
        <v>24</v>
      </c>
      <c r="H22" s="26">
        <f>+IF(G$24=0,0,G22/G$24)</f>
        <v>1.1799410029498525E-2</v>
      </c>
      <c r="I22" s="65">
        <f>IF(G22=0,0,J22/G22)</f>
        <v>619.33333333333337</v>
      </c>
      <c r="J22" s="308">
        <v>14864</v>
      </c>
      <c r="K22" s="57">
        <f>'DMarch 2023'!R38</f>
        <v>25</v>
      </c>
      <c r="L22" s="26">
        <f>+IF(K$24=0,0,K22/K$24)</f>
        <v>1.3020833333333334E-2</v>
      </c>
      <c r="M22" s="65">
        <f>IF(K22=0,0,N22/K22)</f>
        <v>0</v>
      </c>
      <c r="N22" s="63">
        <v>0</v>
      </c>
      <c r="O22" s="57">
        <f t="shared" si="2"/>
        <v>1</v>
      </c>
      <c r="P22" s="62">
        <f t="shared" si="3"/>
        <v>-619.33333333333337</v>
      </c>
      <c r="Q22" s="63">
        <f t="shared" si="4"/>
        <v>-14864</v>
      </c>
      <c r="S22" s="210"/>
    </row>
    <row r="23" spans="2:21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308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308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  <c r="S23" s="210"/>
    </row>
    <row r="24" spans="2:21" ht="33" customHeight="1" x14ac:dyDescent="0.35">
      <c r="B24" s="22" t="s">
        <v>20</v>
      </c>
      <c r="C24" s="56">
        <f>C10+C13+C16+C22+C23</f>
        <v>1359</v>
      </c>
      <c r="D24" s="23">
        <f>+IF(C$24=0,0,C24/C$24)</f>
        <v>1</v>
      </c>
      <c r="E24" s="60">
        <f>IF(C24=0,0,F24/C24)</f>
        <v>1361.7548933039</v>
      </c>
      <c r="F24" s="64">
        <f>F10+F13+F16+F22+F23</f>
        <v>1850624.9</v>
      </c>
      <c r="G24" s="56">
        <f>G10+G13+G16+G22+G23</f>
        <v>2034</v>
      </c>
      <c r="H24" s="23">
        <f>+IF(G$24=0,0,G24/G$24)</f>
        <v>1</v>
      </c>
      <c r="I24" s="60">
        <f>IF(G24=0,0,J24/G24)</f>
        <v>1987.1125860373647</v>
      </c>
      <c r="J24" s="64">
        <f>J10+J13+J16+J22+J23</f>
        <v>4041787</v>
      </c>
      <c r="K24" s="56">
        <f>K10+K13+K16+K22+K23</f>
        <v>1920</v>
      </c>
      <c r="L24" s="23">
        <f>+IF(K$24=0,0,K24/K$24)</f>
        <v>1</v>
      </c>
      <c r="M24" s="60">
        <f>IF(K24=0,0,N24/K24)</f>
        <v>1907.6065355533856</v>
      </c>
      <c r="N24" s="64">
        <f>N10+N13+N16+N22+N23</f>
        <v>3662604.5482625002</v>
      </c>
      <c r="O24" s="56">
        <f t="shared" si="2"/>
        <v>-114</v>
      </c>
      <c r="P24" s="60">
        <f t="shared" si="3"/>
        <v>-79.506050483979152</v>
      </c>
      <c r="Q24" s="64">
        <f t="shared" si="4"/>
        <v>-379182.4517374998</v>
      </c>
      <c r="S24" s="210"/>
      <c r="U24" s="312"/>
    </row>
    <row r="25" spans="2:21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-4.001084339288874E-2</v>
      </c>
      <c r="Q25" s="38">
        <f>IF(J24=0,(N24-J24),(N24-J24)/J24)</f>
        <v>-9.3815545385617746E-2</v>
      </c>
    </row>
    <row r="26" spans="2:21" ht="33" customHeight="1" x14ac:dyDescent="0.35">
      <c r="B26" s="40" t="s">
        <v>21</v>
      </c>
      <c r="C26" s="41">
        <f>IF(C4=0,C24,C24/C4)</f>
        <v>0.28283038501560875</v>
      </c>
      <c r="D26" s="30"/>
      <c r="E26" s="30"/>
      <c r="F26" s="31"/>
      <c r="G26" s="41">
        <f>IF(G4=0,G24,G24/G4)</f>
        <v>0.82016129032258067</v>
      </c>
      <c r="H26" s="30"/>
      <c r="I26" s="30"/>
      <c r="J26" s="31"/>
      <c r="K26" s="41">
        <f>IF(K4=0,K24,K24/K4)</f>
        <v>0.77419354838709675</v>
      </c>
      <c r="L26" s="30"/>
      <c r="M26" s="30"/>
      <c r="N26" s="31"/>
      <c r="O26" s="41">
        <f>K26-G26</f>
        <v>-4.5967741935483919E-2</v>
      </c>
      <c r="P26" s="30"/>
      <c r="Q26" s="31"/>
    </row>
    <row r="27" spans="2:21" ht="33" customHeight="1" x14ac:dyDescent="0.35">
      <c r="B27" s="42" t="s">
        <v>22</v>
      </c>
      <c r="C27" s="43">
        <f>IF(C4=0,0,F$24/C$4)</f>
        <v>385.14566077003121</v>
      </c>
      <c r="D27" s="44"/>
      <c r="E27" s="45"/>
      <c r="F27" s="46"/>
      <c r="G27" s="43">
        <f>IF(G4=0,0,J$24/G$4)</f>
        <v>1629.7528225806452</v>
      </c>
      <c r="H27" s="44"/>
      <c r="I27" s="45"/>
      <c r="J27" s="46"/>
      <c r="K27" s="43">
        <f>IF(K4=0,0,N$24/K$4)</f>
        <v>1476.8566726864919</v>
      </c>
      <c r="L27" s="44"/>
      <c r="M27" s="45"/>
      <c r="N27" s="46"/>
      <c r="O27" s="43">
        <f>K27-G27</f>
        <v>-152.89614989415327</v>
      </c>
      <c r="P27" s="45"/>
      <c r="Q27" s="46"/>
    </row>
    <row r="28" spans="2:21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1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21" x14ac:dyDescent="0.35">
      <c r="B30" s="358"/>
      <c r="Q30" s="86"/>
    </row>
    <row r="31" spans="2:21" x14ac:dyDescent="0.35">
      <c r="B31" s="358"/>
      <c r="Q31" s="86"/>
    </row>
    <row r="32" spans="2:21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0" orientation="landscape" errors="blank" horizontalDpi="300" verticalDpi="300" r:id="rId1"/>
  <headerFoot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7027A-6DEF-4B8E-91CC-B5FA855620FE}">
  <sheetPr codeName="Sheet8"/>
  <dimension ref="A2:X137"/>
  <sheetViews>
    <sheetView zoomScale="70" zoomScaleNormal="70" zoomScaleSheetLayoutView="80" workbookViewId="0">
      <pane xSplit="2" ySplit="6" topLeftCell="C79" activePane="bottomRight" state="frozen"/>
      <selection pane="topRight" activeCell="C1" sqref="C1"/>
      <selection pane="bottomLeft" activeCell="A4" sqref="A4"/>
      <selection pane="bottomRight" activeCell="O86" sqref="O86"/>
    </sheetView>
  </sheetViews>
  <sheetFormatPr defaultColWidth="9.140625" defaultRowHeight="15" outlineLevelRow="2" x14ac:dyDescent="0.25"/>
  <cols>
    <col min="1" max="1" width="12.85546875" style="297" customWidth="1"/>
    <col min="2" max="2" width="11.7109375" style="297" bestFit="1" customWidth="1"/>
    <col min="3" max="14" width="18.28515625" style="297" customWidth="1"/>
    <col min="15" max="15" width="16.140625" style="297" bestFit="1" customWidth="1"/>
    <col min="16" max="16" width="13.28515625" style="297" bestFit="1" customWidth="1"/>
    <col min="17" max="17" width="10.42578125" style="297" bestFit="1" customWidth="1"/>
    <col min="18" max="18" width="9.140625" style="297"/>
    <col min="19" max="19" width="13.42578125" style="430" bestFit="1" customWidth="1"/>
    <col min="20" max="20" width="11.28515625" style="430" bestFit="1" customWidth="1"/>
    <col min="21" max="21" width="10.140625" style="297" bestFit="1" customWidth="1"/>
    <col min="22" max="16384" width="9.140625" style="297"/>
  </cols>
  <sheetData>
    <row r="2" spans="1:21" x14ac:dyDescent="0.25">
      <c r="C2" s="748" t="s">
        <v>166</v>
      </c>
      <c r="D2" s="748"/>
      <c r="E2" s="748"/>
      <c r="F2" s="748"/>
      <c r="G2" s="748"/>
      <c r="H2" s="748"/>
      <c r="I2" s="748"/>
      <c r="J2" s="748"/>
      <c r="K2" s="748"/>
      <c r="L2" s="748"/>
      <c r="M2" s="748"/>
      <c r="N2" s="748"/>
      <c r="O2" s="748"/>
    </row>
    <row r="3" spans="1:21" x14ac:dyDescent="0.25">
      <c r="C3" s="748"/>
      <c r="D3" s="748"/>
      <c r="E3" s="748"/>
      <c r="F3" s="748"/>
      <c r="G3" s="748"/>
      <c r="H3" s="748"/>
      <c r="I3" s="748"/>
      <c r="J3" s="748"/>
      <c r="K3" s="748"/>
      <c r="L3" s="748"/>
      <c r="M3" s="748"/>
      <c r="N3" s="748"/>
      <c r="O3" s="748"/>
    </row>
    <row r="4" spans="1:21" x14ac:dyDescent="0.25">
      <c r="C4" s="748"/>
      <c r="D4" s="748"/>
      <c r="E4" s="748"/>
      <c r="F4" s="748"/>
      <c r="G4" s="748"/>
      <c r="H4" s="748"/>
      <c r="I4" s="748"/>
      <c r="J4" s="748"/>
      <c r="K4" s="748"/>
      <c r="L4" s="748"/>
      <c r="M4" s="748"/>
      <c r="N4" s="748"/>
      <c r="O4" s="748"/>
    </row>
    <row r="5" spans="1:21" ht="15.75" thickBot="1" x14ac:dyDescent="0.3"/>
    <row r="6" spans="1:21" ht="16.5" thickTop="1" thickBot="1" x14ac:dyDescent="0.3">
      <c r="A6" s="749" t="s">
        <v>167</v>
      </c>
      <c r="B6" s="750"/>
      <c r="C6" s="431" t="s">
        <v>168</v>
      </c>
      <c r="D6" s="432" t="s">
        <v>169</v>
      </c>
      <c r="E6" s="432" t="s">
        <v>170</v>
      </c>
      <c r="F6" s="432" t="s">
        <v>171</v>
      </c>
      <c r="G6" s="432" t="s">
        <v>172</v>
      </c>
      <c r="H6" s="432" t="s">
        <v>173</v>
      </c>
      <c r="I6" s="432" t="s">
        <v>174</v>
      </c>
      <c r="J6" s="432" t="s">
        <v>175</v>
      </c>
      <c r="K6" s="432" t="s">
        <v>176</v>
      </c>
      <c r="L6" s="432" t="s">
        <v>177</v>
      </c>
      <c r="M6" s="432" t="s">
        <v>95</v>
      </c>
      <c r="N6" s="433" t="s">
        <v>178</v>
      </c>
      <c r="O6" s="434" t="s">
        <v>97</v>
      </c>
      <c r="P6" s="435" t="s">
        <v>179</v>
      </c>
    </row>
    <row r="7" spans="1:21" ht="15.75" hidden="1" outlineLevel="1" thickTop="1" x14ac:dyDescent="0.25">
      <c r="A7" s="751" t="s">
        <v>161</v>
      </c>
      <c r="B7" s="436" t="s">
        <v>180</v>
      </c>
      <c r="C7" s="437">
        <v>0</v>
      </c>
      <c r="D7" s="438">
        <v>15</v>
      </c>
      <c r="E7" s="438">
        <v>22</v>
      </c>
      <c r="F7" s="438">
        <v>0</v>
      </c>
      <c r="G7" s="438">
        <v>30</v>
      </c>
      <c r="H7" s="438">
        <v>86</v>
      </c>
      <c r="I7" s="438">
        <v>241</v>
      </c>
      <c r="J7" s="438">
        <v>49</v>
      </c>
      <c r="K7" s="438">
        <v>218</v>
      </c>
      <c r="L7" s="438">
        <v>65</v>
      </c>
      <c r="M7" s="438">
        <v>104</v>
      </c>
      <c r="N7" s="439">
        <v>0</v>
      </c>
      <c r="O7" s="440">
        <f t="shared" ref="O7:O27" si="0">SUM(C7:N7)</f>
        <v>830</v>
      </c>
      <c r="P7" s="441">
        <f>IF(O$84=0,O$84,O7/O$84)</f>
        <v>2.17967908821135E-2</v>
      </c>
    </row>
    <row r="8" spans="1:21" hidden="1" outlineLevel="1" x14ac:dyDescent="0.25">
      <c r="A8" s="751"/>
      <c r="B8" s="442" t="s">
        <v>181</v>
      </c>
      <c r="C8" s="443">
        <v>0</v>
      </c>
      <c r="D8" s="444">
        <v>2</v>
      </c>
      <c r="E8" s="444">
        <v>32</v>
      </c>
      <c r="F8" s="444">
        <v>16</v>
      </c>
      <c r="G8" s="444">
        <v>60</v>
      </c>
      <c r="H8" s="444">
        <v>33</v>
      </c>
      <c r="I8" s="444">
        <v>107</v>
      </c>
      <c r="J8" s="444">
        <v>20</v>
      </c>
      <c r="K8" s="438">
        <v>154</v>
      </c>
      <c r="L8" s="444">
        <v>101</v>
      </c>
      <c r="M8" s="444">
        <v>0</v>
      </c>
      <c r="N8" s="445">
        <v>0</v>
      </c>
      <c r="O8" s="440">
        <f t="shared" si="0"/>
        <v>525</v>
      </c>
      <c r="P8" s="441">
        <f>IF(O$85=0,O$85,O8/O$85)</f>
        <v>1.3891828958509737E-2</v>
      </c>
    </row>
    <row r="9" spans="1:21" hidden="1" outlineLevel="1" x14ac:dyDescent="0.25">
      <c r="A9" s="751"/>
      <c r="B9" s="442" t="s">
        <v>182</v>
      </c>
      <c r="C9" s="443">
        <v>0</v>
      </c>
      <c r="D9" s="444">
        <v>0</v>
      </c>
      <c r="E9" s="444">
        <v>220</v>
      </c>
      <c r="F9" s="444">
        <v>135</v>
      </c>
      <c r="G9" s="444">
        <v>47</v>
      </c>
      <c r="H9" s="444">
        <v>1</v>
      </c>
      <c r="I9" s="444">
        <v>0</v>
      </c>
      <c r="J9" s="444">
        <v>45</v>
      </c>
      <c r="K9" s="438">
        <v>158</v>
      </c>
      <c r="L9" s="444">
        <v>21</v>
      </c>
      <c r="M9" s="444">
        <v>11</v>
      </c>
      <c r="N9" s="445">
        <v>7</v>
      </c>
      <c r="O9" s="446">
        <f t="shared" si="0"/>
        <v>645</v>
      </c>
      <c r="P9" s="447">
        <f>IF(O$86=0,O$86,O9/O$86)</f>
        <v>1.7783782293418621E-2</v>
      </c>
    </row>
    <row r="10" spans="1:21" hidden="1" outlineLevel="1" x14ac:dyDescent="0.25">
      <c r="A10" s="751"/>
      <c r="B10" s="500" t="s">
        <v>183</v>
      </c>
      <c r="C10" s="437">
        <v>6</v>
      </c>
      <c r="D10" s="438">
        <v>16</v>
      </c>
      <c r="E10" s="438">
        <v>150</v>
      </c>
      <c r="F10" s="438">
        <v>102</v>
      </c>
      <c r="G10" s="438">
        <v>138</v>
      </c>
      <c r="H10" s="438">
        <v>168</v>
      </c>
      <c r="I10" s="438">
        <v>207</v>
      </c>
      <c r="J10" s="438">
        <v>81</v>
      </c>
      <c r="K10" s="438">
        <v>115</v>
      </c>
      <c r="L10" s="438">
        <v>0</v>
      </c>
      <c r="M10" s="438">
        <v>0</v>
      </c>
      <c r="N10" s="439">
        <v>0</v>
      </c>
      <c r="O10" s="440">
        <f t="shared" si="0"/>
        <v>983</v>
      </c>
      <c r="P10" s="441">
        <f>IF(O$87=0,O$87,O10/O$87)</f>
        <v>3.7980063364500424E-2</v>
      </c>
      <c r="Q10" s="450"/>
    </row>
    <row r="11" spans="1:21" hidden="1" outlineLevel="1" x14ac:dyDescent="0.25">
      <c r="A11" s="751"/>
      <c r="B11" s="501" t="s">
        <v>184</v>
      </c>
      <c r="C11" s="443">
        <f>'July 2022'!C7</f>
        <v>0</v>
      </c>
      <c r="D11" s="444">
        <f>' August 2022'!C7</f>
        <v>0</v>
      </c>
      <c r="E11" s="444">
        <f>'September 2022'!C7</f>
        <v>0</v>
      </c>
      <c r="F11" s="444">
        <f>'October 2022'!C7</f>
        <v>0</v>
      </c>
      <c r="G11" s="444">
        <f>'November 2022'!C7</f>
        <v>0</v>
      </c>
      <c r="H11" s="444">
        <f>'December 2022'!C7</f>
        <v>11</v>
      </c>
      <c r="I11" s="444">
        <f>'January 2023'!C7</f>
        <v>9</v>
      </c>
      <c r="J11" s="444">
        <f>'February 2023'!C7</f>
        <v>75</v>
      </c>
      <c r="K11" s="444">
        <f>'March 2023'!C7</f>
        <v>46</v>
      </c>
      <c r="L11" s="444">
        <f>'April 2023'!C7</f>
        <v>94</v>
      </c>
      <c r="M11" s="444">
        <f>'May 2023'!C7</f>
        <v>11</v>
      </c>
      <c r="N11" s="445">
        <f>'June 2023'!C7</f>
        <v>16</v>
      </c>
      <c r="O11" s="446">
        <f t="shared" si="0"/>
        <v>262</v>
      </c>
      <c r="P11" s="447">
        <f>IF(O$88=0,O$88,O11/O$88)</f>
        <v>1.9456408733105598E-2</v>
      </c>
      <c r="Q11" s="450"/>
    </row>
    <row r="12" spans="1:21" hidden="1" outlineLevel="1" x14ac:dyDescent="0.25">
      <c r="A12" s="751"/>
      <c r="B12" s="501" t="s">
        <v>197</v>
      </c>
      <c r="C12" s="443">
        <f>'July 2022'!G7</f>
        <v>0</v>
      </c>
      <c r="D12" s="444">
        <f>' August 2022'!G7</f>
        <v>21</v>
      </c>
      <c r="E12" s="444">
        <f>'September 2022'!G7</f>
        <v>38</v>
      </c>
      <c r="F12" s="444">
        <f>'October 2022'!G7</f>
        <v>11</v>
      </c>
      <c r="G12" s="444">
        <f>'November 2022'!G7</f>
        <v>499</v>
      </c>
      <c r="H12" s="444">
        <f>'December 2022'!G7</f>
        <v>45</v>
      </c>
      <c r="I12" s="444">
        <f>'January 2023'!G7</f>
        <v>50</v>
      </c>
      <c r="J12" s="444">
        <f>'February 2023'!G7</f>
        <v>118</v>
      </c>
      <c r="K12" s="444">
        <f>'March 2023'!G7</f>
        <v>132</v>
      </c>
      <c r="L12" s="444">
        <f>'April 2023'!G7</f>
        <v>0</v>
      </c>
      <c r="M12" s="543">
        <f>'May 2023'!G7</f>
        <v>0</v>
      </c>
      <c r="N12" s="544">
        <f>'June 2023'!G7</f>
        <v>0</v>
      </c>
      <c r="O12" s="446">
        <f t="shared" si="0"/>
        <v>914</v>
      </c>
      <c r="P12" s="447">
        <f>IF(O$89=0,O$89,O12/O$89)</f>
        <v>5.6458088825745878E-2</v>
      </c>
      <c r="Q12" s="450"/>
    </row>
    <row r="13" spans="1:21" ht="15.75" hidden="1" outlineLevel="1" thickBot="1" x14ac:dyDescent="0.3">
      <c r="A13" s="752"/>
      <c r="B13" s="451" t="s">
        <v>198</v>
      </c>
      <c r="C13" s="452">
        <f>'July 2022'!K7</f>
        <v>0</v>
      </c>
      <c r="D13" s="453">
        <f>' August 2022'!K7</f>
        <v>0</v>
      </c>
      <c r="E13" s="453">
        <f>'September 2022'!K7</f>
        <v>0</v>
      </c>
      <c r="F13" s="453">
        <f>'October 2022'!K7</f>
        <v>0</v>
      </c>
      <c r="G13" s="453">
        <f>'November 2022'!K7</f>
        <v>79</v>
      </c>
      <c r="H13" s="453">
        <f>'December 2022'!K7</f>
        <v>102.5</v>
      </c>
      <c r="I13" s="453">
        <f>'January 2023'!K7</f>
        <v>0</v>
      </c>
      <c r="J13" s="453">
        <f>'February 2023'!K7</f>
        <v>180</v>
      </c>
      <c r="K13" s="453">
        <f>'March 2023'!K7</f>
        <v>0</v>
      </c>
      <c r="L13" s="453">
        <f>'April 2023'!K7</f>
        <v>0</v>
      </c>
      <c r="M13" s="453">
        <f>'May 2023'!K7</f>
        <v>0</v>
      </c>
      <c r="N13" s="454">
        <f>'June 2023'!K7</f>
        <v>0</v>
      </c>
      <c r="O13" s="455">
        <f t="shared" si="0"/>
        <v>361.5</v>
      </c>
      <c r="P13" s="456">
        <f>IF(O$90=0,O$90,O13/O$90)</f>
        <v>1.9232303886361823E-2</v>
      </c>
      <c r="Q13" s="450"/>
    </row>
    <row r="14" spans="1:21" ht="15.75" hidden="1" outlineLevel="1" thickTop="1" x14ac:dyDescent="0.25">
      <c r="A14" s="751" t="s">
        <v>185</v>
      </c>
      <c r="B14" s="457" t="s">
        <v>180</v>
      </c>
      <c r="C14" s="458">
        <v>678</v>
      </c>
      <c r="D14" s="459">
        <v>748</v>
      </c>
      <c r="E14" s="459">
        <v>488</v>
      </c>
      <c r="F14" s="459">
        <v>779</v>
      </c>
      <c r="G14" s="459">
        <v>864</v>
      </c>
      <c r="H14" s="459">
        <v>1927</v>
      </c>
      <c r="I14" s="459">
        <v>1446</v>
      </c>
      <c r="J14" s="459">
        <v>1309</v>
      </c>
      <c r="K14" s="459">
        <v>1237</v>
      </c>
      <c r="L14" s="459">
        <v>1387</v>
      </c>
      <c r="M14" s="459">
        <v>897</v>
      </c>
      <c r="N14" s="460">
        <v>665</v>
      </c>
      <c r="O14" s="461">
        <f t="shared" si="0"/>
        <v>12425</v>
      </c>
      <c r="P14" s="462">
        <f>IF(O$84=0,O$84,O14/O$84)</f>
        <v>0.3262953333858557</v>
      </c>
      <c r="R14" s="463"/>
      <c r="U14" s="464"/>
    </row>
    <row r="15" spans="1:21" hidden="1" outlineLevel="1" x14ac:dyDescent="0.25">
      <c r="A15" s="751"/>
      <c r="B15" s="442" t="s">
        <v>181</v>
      </c>
      <c r="C15" s="443">
        <v>762</v>
      </c>
      <c r="D15" s="444">
        <v>693</v>
      </c>
      <c r="E15" s="444">
        <v>828</v>
      </c>
      <c r="F15" s="444">
        <v>714</v>
      </c>
      <c r="G15" s="444">
        <v>848</v>
      </c>
      <c r="H15" s="444">
        <v>1933</v>
      </c>
      <c r="I15" s="444">
        <v>1152</v>
      </c>
      <c r="J15" s="444">
        <v>1282</v>
      </c>
      <c r="K15" s="438">
        <v>1087</v>
      </c>
      <c r="L15" s="444">
        <v>1105</v>
      </c>
      <c r="M15" s="444">
        <v>715</v>
      </c>
      <c r="N15" s="439">
        <v>615</v>
      </c>
      <c r="O15" s="440">
        <f t="shared" si="0"/>
        <v>11734</v>
      </c>
      <c r="P15" s="441">
        <f>IF(O$85=0,O$85,O15/O$85)</f>
        <v>0.31048899237933952</v>
      </c>
      <c r="R15" s="463"/>
      <c r="U15" s="464"/>
    </row>
    <row r="16" spans="1:21" hidden="1" outlineLevel="1" x14ac:dyDescent="0.25">
      <c r="A16" s="751"/>
      <c r="B16" s="442" t="s">
        <v>182</v>
      </c>
      <c r="C16" s="443">
        <v>806</v>
      </c>
      <c r="D16" s="444">
        <v>734</v>
      </c>
      <c r="E16" s="444">
        <v>897</v>
      </c>
      <c r="F16" s="444">
        <v>949</v>
      </c>
      <c r="G16" s="444">
        <v>1278</v>
      </c>
      <c r="H16" s="444">
        <v>1964</v>
      </c>
      <c r="I16" s="444">
        <v>1175</v>
      </c>
      <c r="J16" s="444">
        <v>1181</v>
      </c>
      <c r="K16" s="438">
        <v>1412</v>
      </c>
      <c r="L16" s="444">
        <v>954</v>
      </c>
      <c r="M16" s="444">
        <v>682</v>
      </c>
      <c r="N16" s="439">
        <v>442</v>
      </c>
      <c r="O16" s="440">
        <f t="shared" si="0"/>
        <v>12474</v>
      </c>
      <c r="P16" s="441">
        <f>IF(O$86=0,O$86,O16/O$86)</f>
        <v>0.34393007802806802</v>
      </c>
      <c r="R16" s="463"/>
      <c r="U16" s="464"/>
    </row>
    <row r="17" spans="1:20" hidden="1" outlineLevel="1" x14ac:dyDescent="0.25">
      <c r="A17" s="751"/>
      <c r="B17" s="500" t="s">
        <v>183</v>
      </c>
      <c r="C17" s="437">
        <v>813</v>
      </c>
      <c r="D17" s="438">
        <v>865</v>
      </c>
      <c r="E17" s="438">
        <v>530</v>
      </c>
      <c r="F17" s="438">
        <v>815</v>
      </c>
      <c r="G17" s="438">
        <v>1058</v>
      </c>
      <c r="H17" s="438">
        <v>1869</v>
      </c>
      <c r="I17" s="438">
        <v>1323</v>
      </c>
      <c r="J17" s="438">
        <v>1513</v>
      </c>
      <c r="K17" s="438">
        <v>733</v>
      </c>
      <c r="L17" s="438">
        <v>16</v>
      </c>
      <c r="M17" s="438">
        <v>0</v>
      </c>
      <c r="N17" s="439">
        <v>9</v>
      </c>
      <c r="O17" s="440">
        <f t="shared" si="0"/>
        <v>9544</v>
      </c>
      <c r="P17" s="441">
        <f>IF(O$87=0,O$87,O17/O$87)</f>
        <v>0.36875048296113128</v>
      </c>
      <c r="Q17" s="450"/>
    </row>
    <row r="18" spans="1:20" hidden="1" outlineLevel="1" x14ac:dyDescent="0.25">
      <c r="A18" s="751"/>
      <c r="B18" s="501" t="s">
        <v>184</v>
      </c>
      <c r="C18" s="443">
        <f>'July 2022'!C8</f>
        <v>70</v>
      </c>
      <c r="D18" s="444">
        <f>' August 2022'!C8</f>
        <v>282</v>
      </c>
      <c r="E18" s="444">
        <f>'September 2022'!C8</f>
        <v>155</v>
      </c>
      <c r="F18" s="444">
        <f>'October 2022'!C8</f>
        <v>0</v>
      </c>
      <c r="G18" s="444">
        <f>'November 2022'!C8</f>
        <v>66</v>
      </c>
      <c r="H18" s="444">
        <f>'December 2022'!C8</f>
        <v>954</v>
      </c>
      <c r="I18" s="444">
        <f>'January 2023'!C8</f>
        <v>333</v>
      </c>
      <c r="J18" s="444">
        <f>'February 2023'!C8</f>
        <v>419</v>
      </c>
      <c r="K18" s="444">
        <f>'March 2023'!C8</f>
        <v>727</v>
      </c>
      <c r="L18" s="444">
        <f>'April 2023'!C8</f>
        <v>1288</v>
      </c>
      <c r="M18" s="444">
        <f>'May 2023'!C8</f>
        <v>600</v>
      </c>
      <c r="N18" s="445">
        <f>'June 2023'!C8</f>
        <v>566</v>
      </c>
      <c r="O18" s="446">
        <f t="shared" ref="O18:O20" si="1">SUM(C18:N18)</f>
        <v>5460</v>
      </c>
      <c r="P18" s="447">
        <f>IF(O$88=0,O$88,O18/O$88)</f>
        <v>0.40546561710975793</v>
      </c>
      <c r="Q18" s="450"/>
    </row>
    <row r="19" spans="1:20" hidden="1" outlineLevel="1" x14ac:dyDescent="0.25">
      <c r="A19" s="751"/>
      <c r="B19" s="501" t="s">
        <v>197</v>
      </c>
      <c r="C19" s="443">
        <f>'July 2022'!G8</f>
        <v>364</v>
      </c>
      <c r="D19" s="444">
        <f>' August 2022'!G8</f>
        <v>576</v>
      </c>
      <c r="E19" s="444">
        <f>'September 2022'!G8</f>
        <v>856</v>
      </c>
      <c r="F19" s="444">
        <f>'October 2022'!G8</f>
        <v>803</v>
      </c>
      <c r="G19" s="444">
        <f>'November 2022'!G8</f>
        <v>727</v>
      </c>
      <c r="H19" s="444">
        <f>'December 2022'!G8</f>
        <v>1115</v>
      </c>
      <c r="I19" s="444">
        <f>'January 2023'!G8</f>
        <v>899</v>
      </c>
      <c r="J19" s="444">
        <f>'February 2023'!G8</f>
        <v>965</v>
      </c>
      <c r="K19" s="444">
        <f>'March 2023'!G8</f>
        <v>923</v>
      </c>
      <c r="L19" s="444">
        <f>'April 2023'!G8</f>
        <v>1303</v>
      </c>
      <c r="M19" s="543">
        <f>'May 2023'!G10</f>
        <v>600</v>
      </c>
      <c r="N19" s="544">
        <f>'June 2023'!G10</f>
        <v>466</v>
      </c>
      <c r="O19" s="446">
        <f t="shared" si="1"/>
        <v>9597</v>
      </c>
      <c r="P19" s="447">
        <f>IF(O$89=0,O$89,O19/O$89)</f>
        <v>0.59280993267033166</v>
      </c>
      <c r="Q19" s="450"/>
    </row>
    <row r="20" spans="1:20" ht="15.75" hidden="1" outlineLevel="1" thickBot="1" x14ac:dyDescent="0.3">
      <c r="A20" s="752"/>
      <c r="B20" s="451" t="s">
        <v>198</v>
      </c>
      <c r="C20" s="452">
        <f>'July 2022'!K8</f>
        <v>672</v>
      </c>
      <c r="D20" s="453">
        <f>' August 2022'!K8</f>
        <v>656</v>
      </c>
      <c r="E20" s="453">
        <f>'September 2022'!K8</f>
        <v>757</v>
      </c>
      <c r="F20" s="453">
        <f>'October 2022'!K8</f>
        <v>745</v>
      </c>
      <c r="G20" s="453">
        <f>'November 2022'!K8</f>
        <v>952</v>
      </c>
      <c r="H20" s="453">
        <f>'December 2022'!K8</f>
        <v>1260</v>
      </c>
      <c r="I20" s="453">
        <f>'January 2023'!K8</f>
        <v>671</v>
      </c>
      <c r="J20" s="453">
        <f>'February 2023'!K8</f>
        <v>870</v>
      </c>
      <c r="K20" s="453">
        <f>'March 2023'!K8</f>
        <v>913</v>
      </c>
      <c r="L20" s="453">
        <f>'April 2023'!K8</f>
        <v>934</v>
      </c>
      <c r="M20" s="453">
        <f>'May 2023'!K8</f>
        <v>738</v>
      </c>
      <c r="N20" s="454">
        <f>'June 2023'!K8</f>
        <v>734</v>
      </c>
      <c r="O20" s="455">
        <f t="shared" si="1"/>
        <v>9902</v>
      </c>
      <c r="P20" s="456">
        <f>IF(O$90=0,O$90,O20/O$90)</f>
        <v>0.52680020216529677</v>
      </c>
      <c r="Q20" s="450"/>
    </row>
    <row r="21" spans="1:20" ht="15.75" hidden="1" outlineLevel="1" thickTop="1" x14ac:dyDescent="0.25">
      <c r="A21" s="751" t="s">
        <v>186</v>
      </c>
      <c r="B21" s="457" t="s">
        <v>180</v>
      </c>
      <c r="C21" s="458">
        <v>29</v>
      </c>
      <c r="D21" s="459">
        <v>24</v>
      </c>
      <c r="E21" s="459">
        <v>31</v>
      </c>
      <c r="F21" s="459">
        <v>28</v>
      </c>
      <c r="G21" s="459">
        <v>62</v>
      </c>
      <c r="H21" s="459">
        <v>45</v>
      </c>
      <c r="I21" s="459">
        <v>34</v>
      </c>
      <c r="J21" s="459">
        <v>5</v>
      </c>
      <c r="K21" s="459">
        <v>57</v>
      </c>
      <c r="L21" s="459">
        <v>45</v>
      </c>
      <c r="M21" s="459">
        <v>16</v>
      </c>
      <c r="N21" s="460">
        <v>21</v>
      </c>
      <c r="O21" s="461">
        <f t="shared" si="0"/>
        <v>397</v>
      </c>
      <c r="P21" s="462">
        <f>IF(O$84=0,O$84,O21/O$84)</f>
        <v>1.0425693952047061E-2</v>
      </c>
    </row>
    <row r="22" spans="1:20" hidden="1" outlineLevel="1" x14ac:dyDescent="0.25">
      <c r="A22" s="751"/>
      <c r="B22" s="442" t="s">
        <v>181</v>
      </c>
      <c r="C22" s="443">
        <v>27</v>
      </c>
      <c r="D22" s="444">
        <v>27</v>
      </c>
      <c r="E22" s="444">
        <v>44</v>
      </c>
      <c r="F22" s="444">
        <v>47</v>
      </c>
      <c r="G22" s="444">
        <v>56</v>
      </c>
      <c r="H22" s="444">
        <v>24</v>
      </c>
      <c r="I22" s="444">
        <v>26</v>
      </c>
      <c r="J22" s="444">
        <v>1</v>
      </c>
      <c r="K22" s="438">
        <v>16</v>
      </c>
      <c r="L22" s="444">
        <v>10</v>
      </c>
      <c r="M22" s="444">
        <v>8</v>
      </c>
      <c r="N22" s="445">
        <v>10</v>
      </c>
      <c r="O22" s="440">
        <f t="shared" si="0"/>
        <v>296</v>
      </c>
      <c r="P22" s="441">
        <f>IF(O$85=0,O$85,O22/O$85)</f>
        <v>7.8323454699407279E-3</v>
      </c>
    </row>
    <row r="23" spans="1:20" hidden="1" outlineLevel="1" x14ac:dyDescent="0.25">
      <c r="A23" s="751"/>
      <c r="B23" s="442" t="s">
        <v>182</v>
      </c>
      <c r="C23" s="443">
        <v>13</v>
      </c>
      <c r="D23" s="444">
        <v>24</v>
      </c>
      <c r="E23" s="444">
        <v>2</v>
      </c>
      <c r="F23" s="444">
        <v>18</v>
      </c>
      <c r="G23" s="444">
        <v>25</v>
      </c>
      <c r="H23" s="444">
        <v>6</v>
      </c>
      <c r="I23" s="444">
        <v>4</v>
      </c>
      <c r="J23" s="444">
        <v>5</v>
      </c>
      <c r="K23" s="438">
        <v>10</v>
      </c>
      <c r="L23" s="444">
        <v>12</v>
      </c>
      <c r="M23" s="444">
        <v>7</v>
      </c>
      <c r="N23" s="445">
        <v>17</v>
      </c>
      <c r="O23" s="440">
        <f t="shared" si="0"/>
        <v>143</v>
      </c>
      <c r="P23" s="441">
        <f>IF(O$86=0,O$86,O23/O$86)</f>
        <v>3.9427610355951366E-3</v>
      </c>
    </row>
    <row r="24" spans="1:20" hidden="1" outlineLevel="1" x14ac:dyDescent="0.25">
      <c r="A24" s="751"/>
      <c r="B24" s="500" t="s">
        <v>183</v>
      </c>
      <c r="C24" s="437">
        <v>31</v>
      </c>
      <c r="D24" s="438">
        <v>19</v>
      </c>
      <c r="E24" s="438">
        <v>25</v>
      </c>
      <c r="F24" s="438">
        <v>15</v>
      </c>
      <c r="G24" s="438">
        <v>32</v>
      </c>
      <c r="H24" s="438">
        <v>71</v>
      </c>
      <c r="I24" s="438">
        <v>50</v>
      </c>
      <c r="J24" s="438">
        <v>22</v>
      </c>
      <c r="K24" s="438">
        <v>13</v>
      </c>
      <c r="L24" s="438">
        <v>0</v>
      </c>
      <c r="M24" s="438">
        <v>0</v>
      </c>
      <c r="N24" s="439">
        <v>0</v>
      </c>
      <c r="O24" s="440">
        <f t="shared" si="0"/>
        <v>278</v>
      </c>
      <c r="P24" s="441">
        <f>IF(O$87=0,O$87,O24/O$87)</f>
        <v>1.0741055559848544E-2</v>
      </c>
      <c r="Q24" s="450"/>
    </row>
    <row r="25" spans="1:20" hidden="1" outlineLevel="1" x14ac:dyDescent="0.25">
      <c r="A25" s="751"/>
      <c r="B25" s="501" t="s">
        <v>184</v>
      </c>
      <c r="C25" s="443">
        <f>'July 2022'!C9</f>
        <v>0</v>
      </c>
      <c r="D25" s="444">
        <f>' August 2022'!C9</f>
        <v>51</v>
      </c>
      <c r="E25" s="444">
        <f>'September 2022'!C9</f>
        <v>18</v>
      </c>
      <c r="F25" s="444">
        <f>'October 2022'!C9</f>
        <v>0</v>
      </c>
      <c r="G25" s="444">
        <f>'November 2022'!C9</f>
        <v>11</v>
      </c>
      <c r="H25" s="444">
        <f>'December 2022'!C9</f>
        <v>114</v>
      </c>
      <c r="I25" s="444">
        <f>'January 2023'!C9</f>
        <v>14</v>
      </c>
      <c r="J25" s="444">
        <f>'February 2023'!C9</f>
        <v>11</v>
      </c>
      <c r="K25" s="444">
        <f>'March 2023'!C9</f>
        <v>57</v>
      </c>
      <c r="L25" s="444">
        <f>'April 2023'!C9</f>
        <v>129</v>
      </c>
      <c r="M25" s="444">
        <f>'May 2023'!C9</f>
        <v>34</v>
      </c>
      <c r="N25" s="445">
        <f>'June 2023'!C9</f>
        <v>33</v>
      </c>
      <c r="O25" s="446">
        <f t="shared" si="0"/>
        <v>472</v>
      </c>
      <c r="P25" s="447">
        <f>IF(O$88=0,O$88,O25/O$88)</f>
        <v>3.5051240160403979E-2</v>
      </c>
      <c r="Q25" s="450"/>
    </row>
    <row r="26" spans="1:20" hidden="1" outlineLevel="1" x14ac:dyDescent="0.25">
      <c r="A26" s="751"/>
      <c r="B26" s="501" t="s">
        <v>197</v>
      </c>
      <c r="C26" s="443">
        <f>'July 2022'!G9</f>
        <v>15</v>
      </c>
      <c r="D26" s="444">
        <f>' August 2022'!G9</f>
        <v>37</v>
      </c>
      <c r="E26" s="444">
        <f>'September 2022'!G9</f>
        <v>54</v>
      </c>
      <c r="F26" s="444">
        <f>'October 2022'!G9</f>
        <v>64</v>
      </c>
      <c r="G26" s="444">
        <f>'November 2022'!G9</f>
        <v>70</v>
      </c>
      <c r="H26" s="444">
        <f>'December 2022'!G9</f>
        <v>34</v>
      </c>
      <c r="I26" s="444">
        <f>'January 2023'!G9</f>
        <v>43</v>
      </c>
      <c r="J26" s="444">
        <f>'February 2023'!G9</f>
        <v>96</v>
      </c>
      <c r="K26" s="444">
        <f>'March 2023'!G9</f>
        <v>76</v>
      </c>
      <c r="L26" s="444">
        <f>'April 2023'!G9</f>
        <v>92</v>
      </c>
      <c r="M26" s="543">
        <f>'May 2023'!G9</f>
        <v>0</v>
      </c>
      <c r="N26" s="544">
        <f>'June 2023'!G9</f>
        <v>0</v>
      </c>
      <c r="O26" s="446">
        <f t="shared" si="0"/>
        <v>581</v>
      </c>
      <c r="P26" s="447">
        <f>IF(O$89=0,O$89,O26/O$89)</f>
        <v>3.5888566310457719E-2</v>
      </c>
      <c r="Q26" s="450"/>
    </row>
    <row r="27" spans="1:20" ht="15.75" hidden="1" outlineLevel="1" thickBot="1" x14ac:dyDescent="0.3">
      <c r="A27" s="752"/>
      <c r="B27" s="451" t="s">
        <v>198</v>
      </c>
      <c r="C27" s="452">
        <f>'July 2022'!K9</f>
        <v>14</v>
      </c>
      <c r="D27" s="453">
        <f>' August 2022'!K9</f>
        <v>21</v>
      </c>
      <c r="E27" s="453">
        <f>'September 2022'!K9</f>
        <v>21</v>
      </c>
      <c r="F27" s="453">
        <f>'October 2022'!K9</f>
        <v>23</v>
      </c>
      <c r="G27" s="453">
        <f>'November 2022'!K9</f>
        <v>24</v>
      </c>
      <c r="H27" s="453">
        <f>'December 2022'!K9</f>
        <v>2</v>
      </c>
      <c r="I27" s="453">
        <f>'January 2023'!K9</f>
        <v>36</v>
      </c>
      <c r="J27" s="453">
        <f>'February 2023'!K9</f>
        <v>101</v>
      </c>
      <c r="K27" s="453">
        <f>'March 2023'!K9</f>
        <v>46</v>
      </c>
      <c r="L27" s="453">
        <f>'April 2023'!K9</f>
        <v>91</v>
      </c>
      <c r="M27" s="453">
        <f>'May 2023'!K9</f>
        <v>30</v>
      </c>
      <c r="N27" s="454">
        <f>'June 2023'!K9</f>
        <v>19</v>
      </c>
      <c r="O27" s="455">
        <f t="shared" si="0"/>
        <v>428</v>
      </c>
      <c r="P27" s="456">
        <f>IF(O$90=0,O$90,O27/O$90)</f>
        <v>2.2770196579150373E-2</v>
      </c>
      <c r="Q27" s="450"/>
    </row>
    <row r="28" spans="1:20" ht="15.75" collapsed="1" thickTop="1" x14ac:dyDescent="0.25">
      <c r="A28" s="753" t="s">
        <v>185</v>
      </c>
      <c r="B28" s="470" t="s">
        <v>180</v>
      </c>
      <c r="C28" s="471">
        <f t="shared" ref="C28:O28" si="2">C7+C14+C21</f>
        <v>707</v>
      </c>
      <c r="D28" s="472">
        <f t="shared" si="2"/>
        <v>787</v>
      </c>
      <c r="E28" s="472">
        <f t="shared" si="2"/>
        <v>541</v>
      </c>
      <c r="F28" s="472">
        <f t="shared" si="2"/>
        <v>807</v>
      </c>
      <c r="G28" s="472">
        <f t="shared" si="2"/>
        <v>956</v>
      </c>
      <c r="H28" s="472">
        <f t="shared" si="2"/>
        <v>2058</v>
      </c>
      <c r="I28" s="472">
        <f t="shared" si="2"/>
        <v>1721</v>
      </c>
      <c r="J28" s="472">
        <f t="shared" si="2"/>
        <v>1363</v>
      </c>
      <c r="K28" s="472">
        <f t="shared" si="2"/>
        <v>1512</v>
      </c>
      <c r="L28" s="472">
        <f t="shared" si="2"/>
        <v>1497</v>
      </c>
      <c r="M28" s="472">
        <f t="shared" si="2"/>
        <v>1017</v>
      </c>
      <c r="N28" s="473">
        <f t="shared" si="2"/>
        <v>686</v>
      </c>
      <c r="O28" s="474">
        <f t="shared" si="2"/>
        <v>13652</v>
      </c>
      <c r="P28" s="475">
        <f>IF(O$84=0,O$84,O28/O$84)</f>
        <v>0.35851781822001627</v>
      </c>
      <c r="R28" s="476"/>
      <c r="T28" s="450"/>
    </row>
    <row r="29" spans="1:20" x14ac:dyDescent="0.25">
      <c r="A29" s="753"/>
      <c r="B29" s="477" t="s">
        <v>181</v>
      </c>
      <c r="C29" s="478">
        <f t="shared" ref="C29:O29" si="3">C8+C15+C22</f>
        <v>789</v>
      </c>
      <c r="D29" s="479">
        <f t="shared" si="3"/>
        <v>722</v>
      </c>
      <c r="E29" s="479">
        <f t="shared" si="3"/>
        <v>904</v>
      </c>
      <c r="F29" s="479">
        <f t="shared" si="3"/>
        <v>777</v>
      </c>
      <c r="G29" s="479">
        <f t="shared" si="3"/>
        <v>964</v>
      </c>
      <c r="H29" s="479">
        <f t="shared" si="3"/>
        <v>1990</v>
      </c>
      <c r="I29" s="479">
        <f t="shared" si="3"/>
        <v>1285</v>
      </c>
      <c r="J29" s="479">
        <f t="shared" si="3"/>
        <v>1303</v>
      </c>
      <c r="K29" s="479">
        <f t="shared" si="3"/>
        <v>1257</v>
      </c>
      <c r="L29" s="479">
        <f t="shared" si="3"/>
        <v>1216</v>
      </c>
      <c r="M29" s="479">
        <f t="shared" si="3"/>
        <v>723</v>
      </c>
      <c r="N29" s="480">
        <f t="shared" si="3"/>
        <v>625</v>
      </c>
      <c r="O29" s="481">
        <f t="shared" si="3"/>
        <v>12555</v>
      </c>
      <c r="P29" s="482">
        <f>IF(O$85=0,O$85,O29/O$85)</f>
        <v>0.33221316680779001</v>
      </c>
      <c r="R29" s="476"/>
      <c r="T29" s="450"/>
    </row>
    <row r="30" spans="1:20" x14ac:dyDescent="0.25">
      <c r="A30" s="753"/>
      <c r="B30" s="477" t="s">
        <v>182</v>
      </c>
      <c r="C30" s="478">
        <f t="shared" ref="C30:O30" si="4">C9+C16+C23</f>
        <v>819</v>
      </c>
      <c r="D30" s="483">
        <f t="shared" si="4"/>
        <v>758</v>
      </c>
      <c r="E30" s="483">
        <f t="shared" si="4"/>
        <v>1119</v>
      </c>
      <c r="F30" s="483">
        <f t="shared" si="4"/>
        <v>1102</v>
      </c>
      <c r="G30" s="483">
        <f t="shared" si="4"/>
        <v>1350</v>
      </c>
      <c r="H30" s="483">
        <f t="shared" si="4"/>
        <v>1971</v>
      </c>
      <c r="I30" s="483">
        <f t="shared" si="4"/>
        <v>1179</v>
      </c>
      <c r="J30" s="483">
        <f t="shared" si="4"/>
        <v>1231</v>
      </c>
      <c r="K30" s="479">
        <f t="shared" si="4"/>
        <v>1580</v>
      </c>
      <c r="L30" s="479">
        <f t="shared" si="4"/>
        <v>987</v>
      </c>
      <c r="M30" s="479">
        <f t="shared" si="4"/>
        <v>700</v>
      </c>
      <c r="N30" s="480">
        <f t="shared" si="4"/>
        <v>466</v>
      </c>
      <c r="O30" s="481">
        <f t="shared" si="4"/>
        <v>13262</v>
      </c>
      <c r="P30" s="482">
        <f>IF(O$86=0,O$86,O30/O$86)</f>
        <v>0.36565662135708182</v>
      </c>
      <c r="R30" s="476"/>
      <c r="T30" s="450"/>
    </row>
    <row r="31" spans="1:20" x14ac:dyDescent="0.25">
      <c r="A31" s="753"/>
      <c r="B31" s="515" t="s">
        <v>183</v>
      </c>
      <c r="C31" s="478">
        <f t="shared" ref="C31:O31" si="5">C10+C17+C24</f>
        <v>850</v>
      </c>
      <c r="D31" s="479">
        <f t="shared" si="5"/>
        <v>900</v>
      </c>
      <c r="E31" s="479">
        <f t="shared" si="5"/>
        <v>705</v>
      </c>
      <c r="F31" s="479">
        <f t="shared" si="5"/>
        <v>932</v>
      </c>
      <c r="G31" s="479">
        <f t="shared" si="5"/>
        <v>1228</v>
      </c>
      <c r="H31" s="479">
        <f t="shared" si="5"/>
        <v>2108</v>
      </c>
      <c r="I31" s="479">
        <f t="shared" si="5"/>
        <v>1580</v>
      </c>
      <c r="J31" s="479">
        <f t="shared" si="5"/>
        <v>1616</v>
      </c>
      <c r="K31" s="479">
        <f t="shared" si="5"/>
        <v>861</v>
      </c>
      <c r="L31" s="479">
        <f t="shared" si="5"/>
        <v>16</v>
      </c>
      <c r="M31" s="479">
        <f t="shared" si="5"/>
        <v>0</v>
      </c>
      <c r="N31" s="480">
        <f t="shared" si="5"/>
        <v>9</v>
      </c>
      <c r="O31" s="481">
        <f t="shared" si="5"/>
        <v>10805</v>
      </c>
      <c r="P31" s="482">
        <f>IF(O$87=0,O$87,O31/O$87)</f>
        <v>0.41747160188548027</v>
      </c>
      <c r="Q31" s="450"/>
      <c r="R31" s="476"/>
    </row>
    <row r="32" spans="1:20" x14ac:dyDescent="0.25">
      <c r="A32" s="753"/>
      <c r="B32" s="519" t="s">
        <v>184</v>
      </c>
      <c r="C32" s="478">
        <f t="shared" ref="C32:O32" si="6">C11+C18+C25</f>
        <v>70</v>
      </c>
      <c r="D32" s="479">
        <f t="shared" si="6"/>
        <v>333</v>
      </c>
      <c r="E32" s="479">
        <f t="shared" si="6"/>
        <v>173</v>
      </c>
      <c r="F32" s="479">
        <f t="shared" si="6"/>
        <v>0</v>
      </c>
      <c r="G32" s="479">
        <f t="shared" si="6"/>
        <v>77</v>
      </c>
      <c r="H32" s="479">
        <f t="shared" si="6"/>
        <v>1079</v>
      </c>
      <c r="I32" s="479">
        <f t="shared" si="6"/>
        <v>356</v>
      </c>
      <c r="J32" s="479">
        <f t="shared" si="6"/>
        <v>505</v>
      </c>
      <c r="K32" s="479">
        <f t="shared" si="6"/>
        <v>830</v>
      </c>
      <c r="L32" s="479">
        <f t="shared" si="6"/>
        <v>1511</v>
      </c>
      <c r="M32" s="479">
        <f t="shared" si="6"/>
        <v>645</v>
      </c>
      <c r="N32" s="480">
        <f t="shared" si="6"/>
        <v>615</v>
      </c>
      <c r="O32" s="481">
        <f t="shared" si="6"/>
        <v>6194</v>
      </c>
      <c r="P32" s="482">
        <f>IF(O$88=0,O$88,O32/O$88)</f>
        <v>0.45997326600326749</v>
      </c>
      <c r="Q32" s="450"/>
      <c r="R32" s="476"/>
    </row>
    <row r="33" spans="1:18" x14ac:dyDescent="0.25">
      <c r="A33" s="753"/>
      <c r="B33" s="519" t="s">
        <v>197</v>
      </c>
      <c r="C33" s="478">
        <f t="shared" ref="C33:O33" si="7">C12+C19+C26</f>
        <v>379</v>
      </c>
      <c r="D33" s="479">
        <f t="shared" si="7"/>
        <v>634</v>
      </c>
      <c r="E33" s="479">
        <f t="shared" si="7"/>
        <v>948</v>
      </c>
      <c r="F33" s="479">
        <f t="shared" si="7"/>
        <v>878</v>
      </c>
      <c r="G33" s="479">
        <f t="shared" si="7"/>
        <v>1296</v>
      </c>
      <c r="H33" s="479">
        <f t="shared" si="7"/>
        <v>1194</v>
      </c>
      <c r="I33" s="479">
        <f t="shared" si="7"/>
        <v>992</v>
      </c>
      <c r="J33" s="479">
        <f t="shared" si="7"/>
        <v>1179</v>
      </c>
      <c r="K33" s="479">
        <f t="shared" si="7"/>
        <v>1131</v>
      </c>
      <c r="L33" s="479">
        <f t="shared" si="7"/>
        <v>1395</v>
      </c>
      <c r="M33" s="448">
        <f t="shared" si="7"/>
        <v>600</v>
      </c>
      <c r="N33" s="449">
        <f t="shared" si="7"/>
        <v>466</v>
      </c>
      <c r="O33" s="481">
        <f t="shared" si="7"/>
        <v>11092</v>
      </c>
      <c r="P33" s="482">
        <f>IF(O$89=0,O$89,O33/O$89)</f>
        <v>0.68515658780653532</v>
      </c>
      <c r="Q33" s="450"/>
      <c r="R33" s="476"/>
    </row>
    <row r="34" spans="1:18" ht="15.75" thickBot="1" x14ac:dyDescent="0.3">
      <c r="A34" s="754"/>
      <c r="B34" s="451" t="s">
        <v>198</v>
      </c>
      <c r="C34" s="545">
        <f t="shared" ref="C34:O34" si="8">C13+C20+C27</f>
        <v>686</v>
      </c>
      <c r="D34" s="546">
        <f t="shared" si="8"/>
        <v>677</v>
      </c>
      <c r="E34" s="546">
        <f t="shared" si="8"/>
        <v>778</v>
      </c>
      <c r="F34" s="546">
        <f t="shared" si="8"/>
        <v>768</v>
      </c>
      <c r="G34" s="546">
        <f t="shared" si="8"/>
        <v>1055</v>
      </c>
      <c r="H34" s="546">
        <f t="shared" si="8"/>
        <v>1364.5</v>
      </c>
      <c r="I34" s="546">
        <f t="shared" si="8"/>
        <v>707</v>
      </c>
      <c r="J34" s="546">
        <f t="shared" si="8"/>
        <v>1151</v>
      </c>
      <c r="K34" s="546">
        <f t="shared" si="8"/>
        <v>959</v>
      </c>
      <c r="L34" s="546">
        <f t="shared" si="8"/>
        <v>1025</v>
      </c>
      <c r="M34" s="546">
        <f t="shared" si="8"/>
        <v>768</v>
      </c>
      <c r="N34" s="547">
        <f t="shared" si="8"/>
        <v>753</v>
      </c>
      <c r="O34" s="548">
        <f t="shared" si="8"/>
        <v>10691.5</v>
      </c>
      <c r="P34" s="549">
        <f>IF(O$90=0,O$90,O34/O$90)</f>
        <v>0.5688027026308089</v>
      </c>
      <c r="Q34" s="450"/>
    </row>
    <row r="35" spans="1:18" ht="15.75" hidden="1" outlineLevel="2" thickTop="1" x14ac:dyDescent="0.25">
      <c r="A35" s="755" t="s">
        <v>40</v>
      </c>
      <c r="B35" s="457" t="s">
        <v>180</v>
      </c>
      <c r="C35" s="458">
        <v>127</v>
      </c>
      <c r="D35" s="459">
        <v>170</v>
      </c>
      <c r="E35" s="459">
        <v>162</v>
      </c>
      <c r="F35" s="459">
        <v>442</v>
      </c>
      <c r="G35" s="459">
        <v>569</v>
      </c>
      <c r="H35" s="459">
        <v>174</v>
      </c>
      <c r="I35" s="459">
        <v>315</v>
      </c>
      <c r="J35" s="459">
        <v>175</v>
      </c>
      <c r="K35" s="459">
        <v>321</v>
      </c>
      <c r="L35" s="459">
        <v>218</v>
      </c>
      <c r="M35" s="459">
        <v>162</v>
      </c>
      <c r="N35" s="460">
        <v>289</v>
      </c>
      <c r="O35" s="461">
        <f t="shared" ref="O35:O36" si="9">SUM(C35:N35)</f>
        <v>3124</v>
      </c>
      <c r="P35" s="462">
        <f>IF(O$84=0,O$84,O35/O$84)</f>
        <v>8.2039969537015159E-2</v>
      </c>
    </row>
    <row r="36" spans="1:18" hidden="1" outlineLevel="2" x14ac:dyDescent="0.25">
      <c r="A36" s="751"/>
      <c r="B36" s="442" t="s">
        <v>181</v>
      </c>
      <c r="C36" s="443">
        <v>56</v>
      </c>
      <c r="D36" s="444">
        <v>83</v>
      </c>
      <c r="E36" s="444">
        <v>314</v>
      </c>
      <c r="F36" s="444">
        <v>541</v>
      </c>
      <c r="G36" s="444">
        <v>402</v>
      </c>
      <c r="H36" s="444">
        <v>26</v>
      </c>
      <c r="I36" s="444">
        <v>124</v>
      </c>
      <c r="J36" s="444">
        <v>416</v>
      </c>
      <c r="K36" s="438">
        <v>313</v>
      </c>
      <c r="L36" s="444">
        <v>208</v>
      </c>
      <c r="M36" s="444">
        <v>240</v>
      </c>
      <c r="N36" s="445">
        <v>100</v>
      </c>
      <c r="O36" s="440">
        <f t="shared" si="9"/>
        <v>2823</v>
      </c>
      <c r="P36" s="441">
        <f>IF(O$85=0,O$85,O36/O$85)</f>
        <v>7.4698348856900937E-2</v>
      </c>
    </row>
    <row r="37" spans="1:18" hidden="1" outlineLevel="2" x14ac:dyDescent="0.25">
      <c r="A37" s="751"/>
      <c r="B37" s="442" t="s">
        <v>182</v>
      </c>
      <c r="C37" s="443">
        <v>64</v>
      </c>
      <c r="D37" s="444">
        <v>64</v>
      </c>
      <c r="E37" s="444">
        <v>269</v>
      </c>
      <c r="F37" s="444">
        <v>193</v>
      </c>
      <c r="G37" s="444">
        <v>102</v>
      </c>
      <c r="H37" s="444">
        <v>20</v>
      </c>
      <c r="I37" s="444">
        <v>150</v>
      </c>
      <c r="J37" s="444">
        <v>386</v>
      </c>
      <c r="K37" s="438">
        <v>268</v>
      </c>
      <c r="L37" s="444">
        <v>157</v>
      </c>
      <c r="M37" s="444">
        <v>67</v>
      </c>
      <c r="N37" s="445">
        <v>18</v>
      </c>
      <c r="O37" s="440">
        <f t="shared" ref="O37:O45" si="10">SUM(C37:N37)</f>
        <v>1758</v>
      </c>
      <c r="P37" s="441">
        <f>IF(O$86=0,O$86,O37/O$86)</f>
        <v>4.8471146157875872E-2</v>
      </c>
    </row>
    <row r="38" spans="1:18" hidden="1" outlineLevel="2" x14ac:dyDescent="0.25">
      <c r="A38" s="751"/>
      <c r="B38" s="500" t="s">
        <v>183</v>
      </c>
      <c r="C38" s="437">
        <v>87</v>
      </c>
      <c r="D38" s="438">
        <v>123</v>
      </c>
      <c r="E38" s="438">
        <v>234</v>
      </c>
      <c r="F38" s="438">
        <v>152</v>
      </c>
      <c r="G38" s="438">
        <v>152</v>
      </c>
      <c r="H38" s="438">
        <v>116</v>
      </c>
      <c r="I38" s="438">
        <v>92</v>
      </c>
      <c r="J38" s="438">
        <v>224</v>
      </c>
      <c r="K38" s="438">
        <v>134</v>
      </c>
      <c r="L38" s="438">
        <v>0</v>
      </c>
      <c r="M38" s="438">
        <v>0</v>
      </c>
      <c r="N38" s="439">
        <v>0</v>
      </c>
      <c r="O38" s="440">
        <f t="shared" si="10"/>
        <v>1314</v>
      </c>
      <c r="P38" s="441">
        <f>IF(O$87=0,O$87,O38/O$87)</f>
        <v>5.0768874121010742E-2</v>
      </c>
      <c r="Q38" s="450"/>
    </row>
    <row r="39" spans="1:18" hidden="1" outlineLevel="2" x14ac:dyDescent="0.25">
      <c r="A39" s="751"/>
      <c r="B39" s="501" t="s">
        <v>184</v>
      </c>
      <c r="C39" s="443">
        <f>'July 2022'!C11</f>
        <v>0</v>
      </c>
      <c r="D39" s="444">
        <f>' August 2022'!C11</f>
        <v>0</v>
      </c>
      <c r="E39" s="444">
        <f>'September 2022'!C11</f>
        <v>0</v>
      </c>
      <c r="F39" s="444">
        <f>'October 2022'!C11</f>
        <v>0</v>
      </c>
      <c r="G39" s="444">
        <f>'November 2022'!C11</f>
        <v>0</v>
      </c>
      <c r="H39" s="444">
        <f>'December 2022'!C11</f>
        <v>18</v>
      </c>
      <c r="I39" s="444">
        <f>'January 2023'!C11</f>
        <v>8</v>
      </c>
      <c r="J39" s="444">
        <f>'February 2023'!C11</f>
        <v>0</v>
      </c>
      <c r="K39" s="444">
        <f>'March 2023'!C11</f>
        <v>0</v>
      </c>
      <c r="L39" s="444">
        <f>'April 2023'!C11</f>
        <v>4</v>
      </c>
      <c r="M39" s="444">
        <f>'May 2023'!C11</f>
        <v>0</v>
      </c>
      <c r="N39" s="445">
        <f>'June 2023'!C11</f>
        <v>0</v>
      </c>
      <c r="O39" s="440">
        <f t="shared" ref="O39:O40" si="11">SUM(C39:N39)</f>
        <v>30</v>
      </c>
      <c r="P39" s="441">
        <f>IF(O$88=0,O$88,O39/O$88)</f>
        <v>2.2278330610426261E-3</v>
      </c>
      <c r="Q39" s="450"/>
    </row>
    <row r="40" spans="1:18" hidden="1" outlineLevel="2" x14ac:dyDescent="0.25">
      <c r="A40" s="751"/>
      <c r="B40" s="501" t="s">
        <v>197</v>
      </c>
      <c r="C40" s="443">
        <f>'July 2022'!G11</f>
        <v>2</v>
      </c>
      <c r="D40" s="444">
        <f>' August 2022'!G11</f>
        <v>4</v>
      </c>
      <c r="E40" s="444">
        <f>'September 2022'!G11</f>
        <v>38</v>
      </c>
      <c r="F40" s="444">
        <f>'October 2022'!G11</f>
        <v>10</v>
      </c>
      <c r="G40" s="444">
        <f>'November 2022'!G11</f>
        <v>187</v>
      </c>
      <c r="H40" s="444">
        <f>'December 2022'!G11</f>
        <v>23</v>
      </c>
      <c r="I40" s="444">
        <f>'January 2023'!G11</f>
        <v>46</v>
      </c>
      <c r="J40" s="444">
        <f>'February 2023'!G11</f>
        <v>92</v>
      </c>
      <c r="K40" s="444">
        <f>'March 2023'!G11</f>
        <v>52</v>
      </c>
      <c r="L40" s="444">
        <f>'April 2023'!G11</f>
        <v>42</v>
      </c>
      <c r="M40" s="543">
        <f>'May 2023'!G11</f>
        <v>0</v>
      </c>
      <c r="N40" s="544">
        <f>'June 2023'!G11</f>
        <v>0</v>
      </c>
      <c r="O40" s="440">
        <f t="shared" si="11"/>
        <v>496</v>
      </c>
      <c r="P40" s="441">
        <f>IF(O$89=0,O$89,O40/O$89)</f>
        <v>3.0638087590339119E-2</v>
      </c>
      <c r="Q40" s="450"/>
    </row>
    <row r="41" spans="1:18" ht="15.75" hidden="1" outlineLevel="2" thickBot="1" x14ac:dyDescent="0.3">
      <c r="A41" s="752"/>
      <c r="B41" s="451" t="s">
        <v>198</v>
      </c>
      <c r="C41" s="452">
        <f>'July 2022'!K11</f>
        <v>70</v>
      </c>
      <c r="D41" s="453">
        <f>' August 2022'!K11</f>
        <v>67</v>
      </c>
      <c r="E41" s="453">
        <f>'September 2022'!K11</f>
        <v>115</v>
      </c>
      <c r="F41" s="453">
        <f>'October 2022'!K11</f>
        <v>254</v>
      </c>
      <c r="G41" s="453">
        <f>'November 2022'!K11</f>
        <v>333</v>
      </c>
      <c r="H41" s="453">
        <f>'December 2022'!K11</f>
        <v>130</v>
      </c>
      <c r="I41" s="453">
        <f>'January 2023'!K11</f>
        <v>238</v>
      </c>
      <c r="J41" s="453">
        <f>'February 2023'!K11</f>
        <v>184</v>
      </c>
      <c r="K41" s="453">
        <f>'March 2023'!K11</f>
        <v>214</v>
      </c>
      <c r="L41" s="453">
        <f>'April 2023'!K11</f>
        <v>137</v>
      </c>
      <c r="M41" s="453">
        <f>'May 2023'!K11</f>
        <v>153</v>
      </c>
      <c r="N41" s="454">
        <f>'June 2023'!K11</f>
        <v>64</v>
      </c>
      <c r="O41" s="455">
        <f t="shared" si="10"/>
        <v>1959</v>
      </c>
      <c r="P41" s="456">
        <f>IF(O$90=0,O$90,O41/O$90)</f>
        <v>0.10422153060410183</v>
      </c>
      <c r="Q41" s="450"/>
    </row>
    <row r="42" spans="1:18" ht="15.75" hidden="1" outlineLevel="2" thickTop="1" x14ac:dyDescent="0.25">
      <c r="A42" s="755" t="s">
        <v>54</v>
      </c>
      <c r="B42" s="457" t="s">
        <v>180</v>
      </c>
      <c r="C42" s="458">
        <v>272</v>
      </c>
      <c r="D42" s="459">
        <v>430</v>
      </c>
      <c r="E42" s="459">
        <v>381</v>
      </c>
      <c r="F42" s="459">
        <v>722</v>
      </c>
      <c r="G42" s="459">
        <v>1078</v>
      </c>
      <c r="H42" s="459">
        <v>853</v>
      </c>
      <c r="I42" s="459">
        <v>1580</v>
      </c>
      <c r="J42" s="459">
        <v>1348</v>
      </c>
      <c r="K42" s="459">
        <v>797</v>
      </c>
      <c r="L42" s="459">
        <v>678</v>
      </c>
      <c r="M42" s="459">
        <v>189</v>
      </c>
      <c r="N42" s="460">
        <v>161</v>
      </c>
      <c r="O42" s="461">
        <f t="shared" si="10"/>
        <v>8489</v>
      </c>
      <c r="P42" s="462">
        <f>IF(O$84=0,O$84,O42/O$84)</f>
        <v>0.22293127445573677</v>
      </c>
    </row>
    <row r="43" spans="1:18" hidden="1" outlineLevel="2" x14ac:dyDescent="0.25">
      <c r="A43" s="751"/>
      <c r="B43" s="442" t="s">
        <v>181</v>
      </c>
      <c r="C43" s="443">
        <v>313</v>
      </c>
      <c r="D43" s="444">
        <v>337</v>
      </c>
      <c r="E43" s="444">
        <v>404</v>
      </c>
      <c r="F43" s="444">
        <v>906</v>
      </c>
      <c r="G43" s="444">
        <v>985</v>
      </c>
      <c r="H43" s="444">
        <v>812</v>
      </c>
      <c r="I43" s="444">
        <v>1127</v>
      </c>
      <c r="J43" s="444">
        <v>1112</v>
      </c>
      <c r="K43" s="438">
        <v>724</v>
      </c>
      <c r="L43" s="444">
        <v>619</v>
      </c>
      <c r="M43" s="444">
        <v>205</v>
      </c>
      <c r="N43" s="445">
        <v>162</v>
      </c>
      <c r="O43" s="440">
        <f t="shared" si="10"/>
        <v>7706</v>
      </c>
      <c r="P43" s="441">
        <f>IF(O$85=0,O$85,O43/O$85)</f>
        <v>0.20390558848433532</v>
      </c>
    </row>
    <row r="44" spans="1:18" hidden="1" outlineLevel="2" x14ac:dyDescent="0.25">
      <c r="A44" s="751"/>
      <c r="B44" s="442" t="s">
        <v>182</v>
      </c>
      <c r="C44" s="443">
        <v>354</v>
      </c>
      <c r="D44" s="444">
        <v>363</v>
      </c>
      <c r="E44" s="444">
        <v>373</v>
      </c>
      <c r="F44" s="444">
        <v>540</v>
      </c>
      <c r="G44" s="444">
        <v>740</v>
      </c>
      <c r="H44" s="444">
        <v>696</v>
      </c>
      <c r="I44" s="444">
        <v>871</v>
      </c>
      <c r="J44" s="444">
        <v>593</v>
      </c>
      <c r="K44" s="438">
        <v>630</v>
      </c>
      <c r="L44" s="444">
        <v>476</v>
      </c>
      <c r="M44" s="444">
        <v>206</v>
      </c>
      <c r="N44" s="445">
        <v>103</v>
      </c>
      <c r="O44" s="440">
        <f t="shared" si="10"/>
        <v>5945</v>
      </c>
      <c r="P44" s="441">
        <f>IF(O$86=0,O$86,O44/O$86)</f>
        <v>0.16391408640988173</v>
      </c>
    </row>
    <row r="45" spans="1:18" hidden="1" outlineLevel="2" x14ac:dyDescent="0.25">
      <c r="A45" s="751"/>
      <c r="B45" s="500" t="s">
        <v>183</v>
      </c>
      <c r="C45" s="437">
        <v>324</v>
      </c>
      <c r="D45" s="438">
        <v>347</v>
      </c>
      <c r="E45" s="438">
        <v>250</v>
      </c>
      <c r="F45" s="438">
        <v>598</v>
      </c>
      <c r="G45" s="438">
        <v>532</v>
      </c>
      <c r="H45" s="438">
        <v>643</v>
      </c>
      <c r="I45" s="438">
        <v>717</v>
      </c>
      <c r="J45" s="438">
        <v>845</v>
      </c>
      <c r="K45" s="438">
        <v>402</v>
      </c>
      <c r="L45" s="438">
        <v>0</v>
      </c>
      <c r="M45" s="438">
        <v>0</v>
      </c>
      <c r="N45" s="439">
        <v>0</v>
      </c>
      <c r="O45" s="440">
        <f t="shared" si="10"/>
        <v>4658</v>
      </c>
      <c r="P45" s="441">
        <f>IF(O$87=0,O$87,O45/O$87)</f>
        <v>0.17997063596321769</v>
      </c>
      <c r="Q45" s="450"/>
    </row>
    <row r="46" spans="1:18" hidden="1" outlineLevel="2" x14ac:dyDescent="0.25">
      <c r="A46" s="751"/>
      <c r="B46" s="501" t="s">
        <v>184</v>
      </c>
      <c r="C46" s="443">
        <f>'July 2022'!C12</f>
        <v>0</v>
      </c>
      <c r="D46" s="444">
        <f>' August 2022'!C12</f>
        <v>4</v>
      </c>
      <c r="E46" s="444">
        <f>'September 2022'!C12</f>
        <v>0</v>
      </c>
      <c r="F46" s="444">
        <f>'October 2022'!C12</f>
        <v>0</v>
      </c>
      <c r="G46" s="444">
        <f>'November 2022'!C12</f>
        <v>4</v>
      </c>
      <c r="H46" s="444">
        <f>'December 2022'!C12</f>
        <v>13</v>
      </c>
      <c r="I46" s="444">
        <f>'January 2023'!C12</f>
        <v>3</v>
      </c>
      <c r="J46" s="444">
        <f>'February 2023'!C12</f>
        <v>10</v>
      </c>
      <c r="K46" s="444">
        <f>'March 2023'!C12</f>
        <v>18</v>
      </c>
      <c r="L46" s="444">
        <f>'April 2023'!C12</f>
        <v>74</v>
      </c>
      <c r="M46" s="444">
        <f>'May 2023'!C12</f>
        <v>36</v>
      </c>
      <c r="N46" s="445">
        <f>'June 2023'!C12</f>
        <v>63</v>
      </c>
      <c r="O46" s="446">
        <f t="shared" ref="O46:O48" si="12">SUM(C46:N46)</f>
        <v>225</v>
      </c>
      <c r="P46" s="447">
        <f>IF(O$88=0,O$88,O46/O$88)</f>
        <v>1.6708747957819695E-2</v>
      </c>
      <c r="Q46" s="450"/>
    </row>
    <row r="47" spans="1:18" hidden="1" outlineLevel="2" x14ac:dyDescent="0.25">
      <c r="A47" s="751"/>
      <c r="B47" s="501" t="s">
        <v>197</v>
      </c>
      <c r="C47" s="443">
        <f>'July 2022'!G12</f>
        <v>11</v>
      </c>
      <c r="D47" s="444">
        <f>' August 2022'!G12</f>
        <v>40</v>
      </c>
      <c r="E47" s="444">
        <f>'September 2022'!G12</f>
        <v>78</v>
      </c>
      <c r="F47" s="444">
        <f>'October 2022'!G12</f>
        <v>63</v>
      </c>
      <c r="G47" s="444">
        <f>'November 2022'!G12</f>
        <v>67</v>
      </c>
      <c r="H47" s="444">
        <f>'December 2022'!G12</f>
        <v>73</v>
      </c>
      <c r="I47" s="444">
        <f>'January 2023'!G12</f>
        <v>60</v>
      </c>
      <c r="J47" s="444">
        <f>'February 2023'!G12</f>
        <v>112</v>
      </c>
      <c r="K47" s="444">
        <f>'March 2023'!G12</f>
        <v>131</v>
      </c>
      <c r="L47" s="444">
        <f>'April 2023'!G12</f>
        <v>214</v>
      </c>
      <c r="M47" s="543">
        <f>'May 2023'!G12</f>
        <v>205</v>
      </c>
      <c r="N47" s="544">
        <f>'June 2023'!G12</f>
        <v>205</v>
      </c>
      <c r="O47" s="446">
        <f t="shared" si="12"/>
        <v>1259</v>
      </c>
      <c r="P47" s="447">
        <f>IF(O$89=0,O$89,O47/O$89)</f>
        <v>7.7768855395639019E-2</v>
      </c>
      <c r="Q47" s="450"/>
    </row>
    <row r="48" spans="1:18" ht="15.75" hidden="1" outlineLevel="2" thickBot="1" x14ac:dyDescent="0.3">
      <c r="A48" s="752"/>
      <c r="B48" s="451" t="s">
        <v>198</v>
      </c>
      <c r="C48" s="452">
        <f>'July 2022'!K12</f>
        <v>107</v>
      </c>
      <c r="D48" s="453">
        <f>' August 2022'!K12</f>
        <v>93</v>
      </c>
      <c r="E48" s="453">
        <f>'September 2022'!K12</f>
        <v>250</v>
      </c>
      <c r="F48" s="453">
        <f>'October 2022'!K12</f>
        <v>384</v>
      </c>
      <c r="G48" s="453">
        <f>'November 2022'!K12</f>
        <v>342</v>
      </c>
      <c r="H48" s="453">
        <f>'December 2022'!K12</f>
        <v>398</v>
      </c>
      <c r="I48" s="453">
        <f>'January 2023'!K12</f>
        <v>348</v>
      </c>
      <c r="J48" s="453">
        <f>'February 2023'!K12</f>
        <v>273</v>
      </c>
      <c r="K48" s="453">
        <f>'March 2023'!K12</f>
        <v>475</v>
      </c>
      <c r="L48" s="453">
        <f>'April 2023'!K12</f>
        <v>547</v>
      </c>
      <c r="M48" s="453">
        <f>'May 2023'!K12</f>
        <v>212</v>
      </c>
      <c r="N48" s="454">
        <f>'June 2023'!K12</f>
        <v>209</v>
      </c>
      <c r="O48" s="455">
        <f t="shared" si="12"/>
        <v>3638</v>
      </c>
      <c r="P48" s="456">
        <f>IF(O$90=0,O$90,O48/O$90)</f>
        <v>0.19354667092277816</v>
      </c>
      <c r="Q48" s="484"/>
      <c r="R48" s="450">
        <f>Q48/O45</f>
        <v>0</v>
      </c>
    </row>
    <row r="49" spans="1:20" ht="15.75" collapsed="1" thickTop="1" x14ac:dyDescent="0.25">
      <c r="A49" s="745" t="s">
        <v>187</v>
      </c>
      <c r="B49" s="470" t="s">
        <v>180</v>
      </c>
      <c r="C49" s="471">
        <f t="shared" ref="C49:N49" si="13">+C35+C42</f>
        <v>399</v>
      </c>
      <c r="D49" s="472">
        <f t="shared" si="13"/>
        <v>600</v>
      </c>
      <c r="E49" s="472">
        <f t="shared" si="13"/>
        <v>543</v>
      </c>
      <c r="F49" s="472">
        <f t="shared" si="13"/>
        <v>1164</v>
      </c>
      <c r="G49" s="472">
        <f t="shared" si="13"/>
        <v>1647</v>
      </c>
      <c r="H49" s="472">
        <f t="shared" si="13"/>
        <v>1027</v>
      </c>
      <c r="I49" s="472">
        <f t="shared" si="13"/>
        <v>1895</v>
      </c>
      <c r="J49" s="472">
        <f t="shared" si="13"/>
        <v>1523</v>
      </c>
      <c r="K49" s="472">
        <f t="shared" si="13"/>
        <v>1118</v>
      </c>
      <c r="L49" s="472">
        <f t="shared" si="13"/>
        <v>896</v>
      </c>
      <c r="M49" s="472">
        <f t="shared" si="13"/>
        <v>351</v>
      </c>
      <c r="N49" s="473">
        <f t="shared" si="13"/>
        <v>450</v>
      </c>
      <c r="O49" s="474">
        <f>O35+O42</f>
        <v>11613</v>
      </c>
      <c r="P49" s="475">
        <f>IF(O$84=0,O$84,O49/O$84)</f>
        <v>0.30497124399275188</v>
      </c>
      <c r="R49" s="463"/>
      <c r="T49" s="485"/>
    </row>
    <row r="50" spans="1:20" x14ac:dyDescent="0.25">
      <c r="A50" s="746"/>
      <c r="B50" s="477" t="s">
        <v>181</v>
      </c>
      <c r="C50" s="478">
        <f t="shared" ref="C50:N50" si="14">+C36+C43</f>
        <v>369</v>
      </c>
      <c r="D50" s="479">
        <f t="shared" si="14"/>
        <v>420</v>
      </c>
      <c r="E50" s="479">
        <f t="shared" si="14"/>
        <v>718</v>
      </c>
      <c r="F50" s="479">
        <f t="shared" si="14"/>
        <v>1447</v>
      </c>
      <c r="G50" s="479">
        <f t="shared" si="14"/>
        <v>1387</v>
      </c>
      <c r="H50" s="479">
        <f t="shared" si="14"/>
        <v>838</v>
      </c>
      <c r="I50" s="479">
        <f t="shared" si="14"/>
        <v>1251</v>
      </c>
      <c r="J50" s="479">
        <f t="shared" si="14"/>
        <v>1528</v>
      </c>
      <c r="K50" s="479">
        <f t="shared" si="14"/>
        <v>1037</v>
      </c>
      <c r="L50" s="479">
        <f t="shared" si="14"/>
        <v>827</v>
      </c>
      <c r="M50" s="479">
        <f t="shared" si="14"/>
        <v>445</v>
      </c>
      <c r="N50" s="480">
        <f t="shared" si="14"/>
        <v>262</v>
      </c>
      <c r="O50" s="481">
        <f>+O36+O43</f>
        <v>10529</v>
      </c>
      <c r="P50" s="482">
        <f>IF(O$85=0,O$85,O50/O$85)</f>
        <v>0.27860393734123623</v>
      </c>
    </row>
    <row r="51" spans="1:20" x14ac:dyDescent="0.25">
      <c r="A51" s="746"/>
      <c r="B51" s="477" t="s">
        <v>182</v>
      </c>
      <c r="C51" s="478">
        <f t="shared" ref="C51:N51" si="15">+C37+C44</f>
        <v>418</v>
      </c>
      <c r="D51" s="479">
        <f t="shared" si="15"/>
        <v>427</v>
      </c>
      <c r="E51" s="479">
        <f t="shared" si="15"/>
        <v>642</v>
      </c>
      <c r="F51" s="479">
        <f t="shared" si="15"/>
        <v>733</v>
      </c>
      <c r="G51" s="479">
        <f t="shared" si="15"/>
        <v>842</v>
      </c>
      <c r="H51" s="479">
        <f t="shared" si="15"/>
        <v>716</v>
      </c>
      <c r="I51" s="479">
        <f t="shared" si="15"/>
        <v>1021</v>
      </c>
      <c r="J51" s="479">
        <f t="shared" si="15"/>
        <v>979</v>
      </c>
      <c r="K51" s="479">
        <f t="shared" si="15"/>
        <v>898</v>
      </c>
      <c r="L51" s="479">
        <f t="shared" si="15"/>
        <v>633</v>
      </c>
      <c r="M51" s="479">
        <f t="shared" si="15"/>
        <v>273</v>
      </c>
      <c r="N51" s="480">
        <f t="shared" si="15"/>
        <v>121</v>
      </c>
      <c r="O51" s="481">
        <f>+O37+O44</f>
        <v>7703</v>
      </c>
      <c r="P51" s="482">
        <f>IF(O$86=0,O$86,O51/O$86)</f>
        <v>0.2123852325677576</v>
      </c>
    </row>
    <row r="52" spans="1:20" x14ac:dyDescent="0.25">
      <c r="A52" s="746"/>
      <c r="B52" s="515" t="s">
        <v>183</v>
      </c>
      <c r="C52" s="478">
        <f t="shared" ref="C52:N52" si="16">+C38+C45</f>
        <v>411</v>
      </c>
      <c r="D52" s="479">
        <f t="shared" si="16"/>
        <v>470</v>
      </c>
      <c r="E52" s="479">
        <f t="shared" si="16"/>
        <v>484</v>
      </c>
      <c r="F52" s="479">
        <f t="shared" si="16"/>
        <v>750</v>
      </c>
      <c r="G52" s="479">
        <f t="shared" si="16"/>
        <v>684</v>
      </c>
      <c r="H52" s="479">
        <f t="shared" si="16"/>
        <v>759</v>
      </c>
      <c r="I52" s="479">
        <f t="shared" si="16"/>
        <v>809</v>
      </c>
      <c r="J52" s="479">
        <f t="shared" si="16"/>
        <v>1069</v>
      </c>
      <c r="K52" s="479">
        <f t="shared" si="16"/>
        <v>536</v>
      </c>
      <c r="L52" s="479">
        <f t="shared" si="16"/>
        <v>0</v>
      </c>
      <c r="M52" s="479">
        <f t="shared" si="16"/>
        <v>0</v>
      </c>
      <c r="N52" s="480">
        <f t="shared" si="16"/>
        <v>0</v>
      </c>
      <c r="O52" s="481">
        <f>+O38+O45</f>
        <v>5972</v>
      </c>
      <c r="P52" s="482">
        <f>IF(O$87=0,O$87,O52/O$87)</f>
        <v>0.23073951008422841</v>
      </c>
      <c r="Q52" s="450"/>
    </row>
    <row r="53" spans="1:20" x14ac:dyDescent="0.25">
      <c r="A53" s="746"/>
      <c r="B53" s="515" t="s">
        <v>184</v>
      </c>
      <c r="C53" s="478">
        <f t="shared" ref="C53:O53" si="17">+C39+C46</f>
        <v>0</v>
      </c>
      <c r="D53" s="479">
        <f t="shared" si="17"/>
        <v>4</v>
      </c>
      <c r="E53" s="479">
        <f t="shared" si="17"/>
        <v>0</v>
      </c>
      <c r="F53" s="479">
        <f t="shared" si="17"/>
        <v>0</v>
      </c>
      <c r="G53" s="479">
        <f t="shared" si="17"/>
        <v>4</v>
      </c>
      <c r="H53" s="479">
        <f t="shared" si="17"/>
        <v>31</v>
      </c>
      <c r="I53" s="479">
        <f t="shared" si="17"/>
        <v>11</v>
      </c>
      <c r="J53" s="479">
        <f t="shared" si="17"/>
        <v>10</v>
      </c>
      <c r="K53" s="479">
        <f t="shared" si="17"/>
        <v>18</v>
      </c>
      <c r="L53" s="479">
        <f t="shared" si="17"/>
        <v>78</v>
      </c>
      <c r="M53" s="479">
        <f t="shared" si="17"/>
        <v>36</v>
      </c>
      <c r="N53" s="480">
        <f t="shared" si="17"/>
        <v>63</v>
      </c>
      <c r="O53" s="481">
        <f t="shared" si="17"/>
        <v>255</v>
      </c>
      <c r="P53" s="482">
        <f>IF(O$88=0,O$88,O53/O$88)</f>
        <v>1.8936581018862319E-2</v>
      </c>
      <c r="Q53" s="450"/>
    </row>
    <row r="54" spans="1:20" x14ac:dyDescent="0.25">
      <c r="A54" s="746"/>
      <c r="B54" s="515" t="s">
        <v>197</v>
      </c>
      <c r="C54" s="478">
        <f t="shared" ref="C54:O54" si="18">+C40+C47</f>
        <v>13</v>
      </c>
      <c r="D54" s="479">
        <f t="shared" si="18"/>
        <v>44</v>
      </c>
      <c r="E54" s="479">
        <f t="shared" si="18"/>
        <v>116</v>
      </c>
      <c r="F54" s="479">
        <f t="shared" si="18"/>
        <v>73</v>
      </c>
      <c r="G54" s="479">
        <f t="shared" si="18"/>
        <v>254</v>
      </c>
      <c r="H54" s="479">
        <f t="shared" si="18"/>
        <v>96</v>
      </c>
      <c r="I54" s="479">
        <f t="shared" si="18"/>
        <v>106</v>
      </c>
      <c r="J54" s="479">
        <f t="shared" si="18"/>
        <v>204</v>
      </c>
      <c r="K54" s="479">
        <f t="shared" si="18"/>
        <v>183</v>
      </c>
      <c r="L54" s="479">
        <f t="shared" si="18"/>
        <v>256</v>
      </c>
      <c r="M54" s="448">
        <f t="shared" si="18"/>
        <v>205</v>
      </c>
      <c r="N54" s="449">
        <f t="shared" si="18"/>
        <v>205</v>
      </c>
      <c r="O54" s="481">
        <f t="shared" si="18"/>
        <v>1755</v>
      </c>
      <c r="P54" s="482">
        <f>IF(O$89=0,O$89,O54/O$89)</f>
        <v>0.10840694298597814</v>
      </c>
      <c r="Q54" s="450"/>
    </row>
    <row r="55" spans="1:20" ht="15.75" thickBot="1" x14ac:dyDescent="0.3">
      <c r="A55" s="747"/>
      <c r="B55" s="451" t="s">
        <v>198</v>
      </c>
      <c r="C55" s="452">
        <f t="shared" ref="C55:O55" si="19">+C41+C48</f>
        <v>177</v>
      </c>
      <c r="D55" s="453">
        <f t="shared" si="19"/>
        <v>160</v>
      </c>
      <c r="E55" s="453">
        <f t="shared" si="19"/>
        <v>365</v>
      </c>
      <c r="F55" s="453">
        <f t="shared" si="19"/>
        <v>638</v>
      </c>
      <c r="G55" s="453">
        <f t="shared" si="19"/>
        <v>675</v>
      </c>
      <c r="H55" s="453">
        <f t="shared" si="19"/>
        <v>528</v>
      </c>
      <c r="I55" s="453">
        <f t="shared" si="19"/>
        <v>586</v>
      </c>
      <c r="J55" s="453">
        <f t="shared" si="19"/>
        <v>457</v>
      </c>
      <c r="K55" s="453">
        <f t="shared" si="19"/>
        <v>689</v>
      </c>
      <c r="L55" s="453">
        <f t="shared" si="19"/>
        <v>684</v>
      </c>
      <c r="M55" s="453">
        <f t="shared" si="19"/>
        <v>365</v>
      </c>
      <c r="N55" s="454">
        <f t="shared" si="19"/>
        <v>273</v>
      </c>
      <c r="O55" s="455">
        <f t="shared" si="19"/>
        <v>5597</v>
      </c>
      <c r="P55" s="456">
        <f>IF(O$90=0,O$90,O55/O$90)</f>
        <v>0.29776820152687999</v>
      </c>
      <c r="Q55" s="450"/>
    </row>
    <row r="56" spans="1:20" ht="15.75" hidden="1" outlineLevel="2" thickTop="1" x14ac:dyDescent="0.25">
      <c r="A56" s="751" t="s">
        <v>47</v>
      </c>
      <c r="B56" s="457" t="s">
        <v>180</v>
      </c>
      <c r="C56" s="458">
        <v>0</v>
      </c>
      <c r="D56" s="459">
        <v>3</v>
      </c>
      <c r="E56" s="459">
        <v>130</v>
      </c>
      <c r="F56" s="459">
        <v>0</v>
      </c>
      <c r="G56" s="459">
        <v>0</v>
      </c>
      <c r="H56" s="459">
        <v>0</v>
      </c>
      <c r="I56" s="459">
        <v>0</v>
      </c>
      <c r="J56" s="459">
        <v>143</v>
      </c>
      <c r="K56" s="459">
        <v>248</v>
      </c>
      <c r="L56" s="459">
        <v>0</v>
      </c>
      <c r="M56" s="459">
        <v>0</v>
      </c>
      <c r="N56" s="460">
        <v>191</v>
      </c>
      <c r="O56" s="461">
        <f t="shared" ref="O56:O69" si="20">SUM(C56:N56)</f>
        <v>715</v>
      </c>
      <c r="P56" s="462">
        <f>IF(O$84=0,O$84,O56/O$84)</f>
        <v>1.8776753591218255E-2</v>
      </c>
    </row>
    <row r="57" spans="1:20" hidden="1" outlineLevel="2" x14ac:dyDescent="0.25">
      <c r="A57" s="751"/>
      <c r="B57" s="442" t="s">
        <v>181</v>
      </c>
      <c r="C57" s="443">
        <v>0</v>
      </c>
      <c r="D57" s="444">
        <v>0</v>
      </c>
      <c r="E57" s="444">
        <v>103</v>
      </c>
      <c r="F57" s="444">
        <v>0</v>
      </c>
      <c r="G57" s="444">
        <v>0</v>
      </c>
      <c r="H57" s="444">
        <v>0</v>
      </c>
      <c r="I57" s="444">
        <v>0</v>
      </c>
      <c r="J57" s="444">
        <v>17</v>
      </c>
      <c r="K57" s="438">
        <v>381</v>
      </c>
      <c r="L57" s="444">
        <v>0</v>
      </c>
      <c r="M57" s="444">
        <v>99</v>
      </c>
      <c r="N57" s="445">
        <v>0</v>
      </c>
      <c r="O57" s="440">
        <f t="shared" si="20"/>
        <v>600</v>
      </c>
      <c r="P57" s="441">
        <f>IF(O$85=0,O$85,O57/O$85)</f>
        <v>1.5876375952582556E-2</v>
      </c>
    </row>
    <row r="58" spans="1:20" hidden="1" outlineLevel="2" x14ac:dyDescent="0.25">
      <c r="A58" s="751"/>
      <c r="B58" s="442" t="s">
        <v>182</v>
      </c>
      <c r="C58" s="443">
        <v>0</v>
      </c>
      <c r="D58" s="444">
        <v>137</v>
      </c>
      <c r="E58" s="444">
        <v>0</v>
      </c>
      <c r="F58" s="444">
        <v>97</v>
      </c>
      <c r="G58" s="444">
        <v>0</v>
      </c>
      <c r="H58" s="444">
        <v>336</v>
      </c>
      <c r="I58" s="444">
        <v>95</v>
      </c>
      <c r="J58" s="444">
        <v>0</v>
      </c>
      <c r="K58" s="438">
        <v>0</v>
      </c>
      <c r="L58" s="444">
        <v>0</v>
      </c>
      <c r="M58" s="444">
        <v>85</v>
      </c>
      <c r="N58" s="445">
        <v>70</v>
      </c>
      <c r="O58" s="440">
        <f>SUM(C58:N58)</f>
        <v>820</v>
      </c>
      <c r="P58" s="441">
        <f>IF(O$86=0,O$86,O58/O$86)</f>
        <v>2.2608839504811271E-2</v>
      </c>
    </row>
    <row r="59" spans="1:20" hidden="1" outlineLevel="2" x14ac:dyDescent="0.25">
      <c r="A59" s="751"/>
      <c r="B59" s="500" t="s">
        <v>183</v>
      </c>
      <c r="C59" s="437">
        <v>0</v>
      </c>
      <c r="D59" s="438">
        <v>0</v>
      </c>
      <c r="E59" s="438">
        <v>143</v>
      </c>
      <c r="F59" s="438">
        <v>0</v>
      </c>
      <c r="G59" s="438">
        <v>0</v>
      </c>
      <c r="H59" s="438">
        <v>0</v>
      </c>
      <c r="I59" s="438">
        <v>0</v>
      </c>
      <c r="J59" s="438">
        <v>0</v>
      </c>
      <c r="K59" s="438">
        <v>152</v>
      </c>
      <c r="L59" s="438">
        <v>0</v>
      </c>
      <c r="M59" s="438">
        <v>0</v>
      </c>
      <c r="N59" s="439">
        <v>0</v>
      </c>
      <c r="O59" s="440">
        <f>SUM(C59:N59)</f>
        <v>295</v>
      </c>
      <c r="P59" s="441">
        <f>IF(O$87=0,O$87,O59/O$87)</f>
        <v>1.1397882698400433E-2</v>
      </c>
      <c r="Q59" s="450"/>
    </row>
    <row r="60" spans="1:20" hidden="1" outlineLevel="2" x14ac:dyDescent="0.25">
      <c r="A60" s="751"/>
      <c r="B60" s="501" t="s">
        <v>184</v>
      </c>
      <c r="C60" s="443">
        <f>'July 2022'!C14</f>
        <v>0</v>
      </c>
      <c r="D60" s="444">
        <f>' August 2022'!C14</f>
        <v>0</v>
      </c>
      <c r="E60" s="444">
        <f>'September 2022'!C14</f>
        <v>0</v>
      </c>
      <c r="F60" s="444">
        <f>'October 2022'!C14</f>
        <v>0</v>
      </c>
      <c r="G60" s="444">
        <f>'November 2022'!C14</f>
        <v>0</v>
      </c>
      <c r="H60" s="444">
        <f>'December 2022'!C14</f>
        <v>0</v>
      </c>
      <c r="I60" s="444">
        <f>'January 2023'!C14</f>
        <v>0</v>
      </c>
      <c r="J60" s="444">
        <f>'February 2023'!C14</f>
        <v>77</v>
      </c>
      <c r="K60" s="444">
        <f>'March 2023'!C14</f>
        <v>0</v>
      </c>
      <c r="L60" s="444">
        <f>'April 2023'!C14</f>
        <v>0</v>
      </c>
      <c r="M60" s="444">
        <f>'May 2023'!C14</f>
        <v>0</v>
      </c>
      <c r="N60" s="445">
        <f>'June 2023'!C14</f>
        <v>0</v>
      </c>
      <c r="O60" s="446">
        <f t="shared" ref="O60:O62" si="21">SUM(C60:N60)</f>
        <v>77</v>
      </c>
      <c r="P60" s="447">
        <f>IF(O$88=0,O$88,O60/O$88)</f>
        <v>5.7181048566760729E-3</v>
      </c>
      <c r="Q60" s="450"/>
    </row>
    <row r="61" spans="1:20" hidden="1" outlineLevel="2" x14ac:dyDescent="0.25">
      <c r="A61" s="751"/>
      <c r="B61" s="501" t="s">
        <v>197</v>
      </c>
      <c r="C61" s="443">
        <f>'July 2022'!G14</f>
        <v>0</v>
      </c>
      <c r="D61" s="444">
        <f>' August 2022'!G14</f>
        <v>71</v>
      </c>
      <c r="E61" s="444">
        <f>'September 2022'!G14</f>
        <v>130</v>
      </c>
      <c r="F61" s="444">
        <f>'October 2022'!G14</f>
        <v>0</v>
      </c>
      <c r="G61" s="444">
        <f>'November 2022'!G14</f>
        <v>0</v>
      </c>
      <c r="H61" s="444">
        <f>'December 2022'!G14</f>
        <v>27</v>
      </c>
      <c r="I61" s="444">
        <f>'January 2023'!G14</f>
        <v>113</v>
      </c>
      <c r="J61" s="444">
        <f>'February 2023'!G14</f>
        <v>0</v>
      </c>
      <c r="K61" s="444">
        <f>'March 2023'!G14</f>
        <v>272</v>
      </c>
      <c r="L61" s="444">
        <f>'April 2023'!G14</f>
        <v>48</v>
      </c>
      <c r="M61" s="543">
        <f>'May 2023'!G14</f>
        <v>0</v>
      </c>
      <c r="N61" s="544">
        <f>'June 2023'!G14</f>
        <v>0</v>
      </c>
      <c r="O61" s="446">
        <f t="shared" si="21"/>
        <v>661</v>
      </c>
      <c r="P61" s="447">
        <f>IF(O$89=0,O$89,O61/O$89)</f>
        <v>4.0830193341157575E-2</v>
      </c>
      <c r="Q61" s="450"/>
    </row>
    <row r="62" spans="1:20" ht="15.75" hidden="1" outlineLevel="2" thickBot="1" x14ac:dyDescent="0.3">
      <c r="A62" s="752"/>
      <c r="B62" s="451" t="s">
        <v>198</v>
      </c>
      <c r="C62" s="452">
        <f>'July 2022'!K14</f>
        <v>135</v>
      </c>
      <c r="D62" s="453">
        <f>' August 2022'!K14</f>
        <v>145</v>
      </c>
      <c r="E62" s="453">
        <f>'September 2022'!K14</f>
        <v>102</v>
      </c>
      <c r="F62" s="453">
        <f>'October 2022'!K14</f>
        <v>0</v>
      </c>
      <c r="G62" s="453">
        <f>'November 2022'!K14</f>
        <v>0</v>
      </c>
      <c r="H62" s="453">
        <f>'December 2022'!K14</f>
        <v>0</v>
      </c>
      <c r="I62" s="453">
        <f>'January 2023'!K14</f>
        <v>0</v>
      </c>
      <c r="J62" s="453">
        <f>'February 2023'!K14</f>
        <v>0</v>
      </c>
      <c r="K62" s="453">
        <f>'March 2023'!K14</f>
        <v>0</v>
      </c>
      <c r="L62" s="453">
        <f>'April 2023'!K14</f>
        <v>0</v>
      </c>
      <c r="M62" s="453">
        <f>'May 2023'!K14</f>
        <v>0</v>
      </c>
      <c r="N62" s="454">
        <f>'June 2023'!K14</f>
        <v>0</v>
      </c>
      <c r="O62" s="455">
        <f t="shared" si="21"/>
        <v>382</v>
      </c>
      <c r="P62" s="456">
        <f>IF(O$90=0,O$90,O62/O$90)</f>
        <v>2.0322932460830473E-2</v>
      </c>
      <c r="Q62" s="450"/>
    </row>
    <row r="63" spans="1:20" ht="15.75" hidden="1" outlineLevel="2" thickTop="1" x14ac:dyDescent="0.25">
      <c r="A63" s="755" t="s">
        <v>43</v>
      </c>
      <c r="B63" s="457" t="s">
        <v>180</v>
      </c>
      <c r="C63" s="458">
        <v>1044</v>
      </c>
      <c r="D63" s="459">
        <v>749</v>
      </c>
      <c r="E63" s="459">
        <v>1292</v>
      </c>
      <c r="F63" s="459">
        <v>1699</v>
      </c>
      <c r="G63" s="459">
        <v>1360</v>
      </c>
      <c r="H63" s="459">
        <v>832</v>
      </c>
      <c r="I63" s="459">
        <v>561</v>
      </c>
      <c r="J63" s="459">
        <v>941</v>
      </c>
      <c r="K63" s="459">
        <v>984</v>
      </c>
      <c r="L63" s="459">
        <v>962</v>
      </c>
      <c r="M63" s="459">
        <v>955</v>
      </c>
      <c r="N63" s="460">
        <v>335</v>
      </c>
      <c r="O63" s="461">
        <f t="shared" si="20"/>
        <v>11714</v>
      </c>
      <c r="P63" s="462">
        <f>IF(O$84=0,O$84,O63/O$84)</f>
        <v>0.30762362456997294</v>
      </c>
    </row>
    <row r="64" spans="1:20" hidden="1" outlineLevel="2" x14ac:dyDescent="0.25">
      <c r="A64" s="751"/>
      <c r="B64" s="442" t="s">
        <v>181</v>
      </c>
      <c r="C64" s="443">
        <v>940</v>
      </c>
      <c r="D64" s="444">
        <v>1396</v>
      </c>
      <c r="E64" s="444">
        <v>700</v>
      </c>
      <c r="F64" s="444">
        <v>1487</v>
      </c>
      <c r="G64" s="444">
        <v>1713</v>
      </c>
      <c r="H64" s="444">
        <v>888</v>
      </c>
      <c r="I64" s="444">
        <v>1159</v>
      </c>
      <c r="J64" s="444">
        <v>908</v>
      </c>
      <c r="K64" s="438">
        <v>837</v>
      </c>
      <c r="L64" s="444">
        <v>1005</v>
      </c>
      <c r="M64" s="444">
        <v>1495</v>
      </c>
      <c r="N64" s="445">
        <v>1158</v>
      </c>
      <c r="O64" s="440">
        <f t="shared" si="20"/>
        <v>13686</v>
      </c>
      <c r="P64" s="441">
        <f>IF(O$85=0,O$85,O64/O$85)</f>
        <v>0.36214013547840812</v>
      </c>
    </row>
    <row r="65" spans="1:18" hidden="1" outlineLevel="2" x14ac:dyDescent="0.25">
      <c r="A65" s="751"/>
      <c r="B65" s="442" t="s">
        <v>182</v>
      </c>
      <c r="C65" s="443">
        <v>482</v>
      </c>
      <c r="D65" s="444">
        <v>1418</v>
      </c>
      <c r="E65" s="444">
        <v>1124</v>
      </c>
      <c r="F65" s="444">
        <v>1202</v>
      </c>
      <c r="G65" s="444">
        <v>1181</v>
      </c>
      <c r="H65" s="444">
        <v>510</v>
      </c>
      <c r="I65" s="444">
        <v>1515</v>
      </c>
      <c r="J65" s="444">
        <v>1062</v>
      </c>
      <c r="K65" s="438">
        <v>1221</v>
      </c>
      <c r="L65" s="444">
        <v>894</v>
      </c>
      <c r="M65" s="444">
        <v>1762</v>
      </c>
      <c r="N65" s="445">
        <v>1679</v>
      </c>
      <c r="O65" s="440">
        <f>SUM(C65:N65)</f>
        <v>14050</v>
      </c>
      <c r="P65" s="441">
        <f>IF(O$86=0,O$86,O65/O$86)</f>
        <v>0.38738316468609557</v>
      </c>
    </row>
    <row r="66" spans="1:18" hidden="1" outlineLevel="2" x14ac:dyDescent="0.25">
      <c r="A66" s="751"/>
      <c r="B66" s="500" t="s">
        <v>183</v>
      </c>
      <c r="C66" s="437">
        <v>483</v>
      </c>
      <c r="D66" s="438">
        <v>655</v>
      </c>
      <c r="E66" s="438">
        <v>1422</v>
      </c>
      <c r="F66" s="438">
        <v>1327</v>
      </c>
      <c r="G66" s="438">
        <v>1344</v>
      </c>
      <c r="H66" s="438">
        <v>249</v>
      </c>
      <c r="I66" s="438">
        <v>1685</v>
      </c>
      <c r="J66" s="438">
        <v>1113</v>
      </c>
      <c r="K66" s="438">
        <v>247</v>
      </c>
      <c r="L66" s="438">
        <v>0</v>
      </c>
      <c r="M66" s="438">
        <v>0</v>
      </c>
      <c r="N66" s="439">
        <v>0</v>
      </c>
      <c r="O66" s="440">
        <f t="shared" si="20"/>
        <v>8525</v>
      </c>
      <c r="P66" s="441">
        <f>IF(O$87=0,O$87,O66/O$87)</f>
        <v>0.32937949153852097</v>
      </c>
      <c r="Q66" s="450"/>
    </row>
    <row r="67" spans="1:18" hidden="1" outlineLevel="2" x14ac:dyDescent="0.25">
      <c r="A67" s="751"/>
      <c r="B67" s="501" t="s">
        <v>184</v>
      </c>
      <c r="C67" s="443">
        <f>'July 2022'!C15</f>
        <v>9</v>
      </c>
      <c r="D67" s="444">
        <f>' August 2022'!C15</f>
        <v>30</v>
      </c>
      <c r="E67" s="444">
        <f>'September 2022'!C15</f>
        <v>259</v>
      </c>
      <c r="F67" s="444">
        <f>'October 2022'!C15</f>
        <v>2166</v>
      </c>
      <c r="G67" s="444">
        <f>'November 2022'!C15</f>
        <v>2144</v>
      </c>
      <c r="H67" s="444">
        <f>'December 2022'!C15</f>
        <v>65</v>
      </c>
      <c r="I67" s="444">
        <f>'January 2023'!C15</f>
        <v>87</v>
      </c>
      <c r="J67" s="444">
        <f>'February 2023'!C15</f>
        <v>217</v>
      </c>
      <c r="K67" s="444">
        <f>'March 2023'!C15</f>
        <v>483</v>
      </c>
      <c r="L67" s="444">
        <f>'April 2023'!C15</f>
        <v>299</v>
      </c>
      <c r="M67" s="444">
        <f>'May 2023'!C15</f>
        <v>693</v>
      </c>
      <c r="N67" s="445">
        <f>'June 2023'!C15</f>
        <v>333</v>
      </c>
      <c r="O67" s="440">
        <f t="shared" si="20"/>
        <v>6785</v>
      </c>
      <c r="P67" s="441">
        <f>IF(O$88=0,O$88,O67/O$88)</f>
        <v>0.50386157730580727</v>
      </c>
      <c r="Q67" s="450"/>
    </row>
    <row r="68" spans="1:18" hidden="1" outlineLevel="2" x14ac:dyDescent="0.25">
      <c r="A68" s="751"/>
      <c r="B68" s="501" t="s">
        <v>197</v>
      </c>
      <c r="C68" s="443">
        <f>'July 2022'!G15</f>
        <v>12</v>
      </c>
      <c r="D68" s="444">
        <f>' August 2022'!G15</f>
        <v>124</v>
      </c>
      <c r="E68" s="444">
        <f>'September 2022'!G15</f>
        <v>267</v>
      </c>
      <c r="F68" s="444">
        <f>'October 2022'!G15</f>
        <v>281</v>
      </c>
      <c r="G68" s="444">
        <f>'November 2022'!G15</f>
        <v>273</v>
      </c>
      <c r="H68" s="444">
        <f>'December 2022'!G15</f>
        <v>165</v>
      </c>
      <c r="I68" s="444">
        <f>'January 2023'!G15</f>
        <v>45</v>
      </c>
      <c r="J68" s="444">
        <f>'February 2023'!G15</f>
        <v>199</v>
      </c>
      <c r="K68" s="444">
        <f>'March 2023'!G15</f>
        <v>424</v>
      </c>
      <c r="L68" s="444">
        <f>'April 2023'!G15</f>
        <v>70</v>
      </c>
      <c r="M68" s="543">
        <f>'May 2023'!G15</f>
        <v>405</v>
      </c>
      <c r="N68" s="544">
        <f>'June 2023'!G15</f>
        <v>317</v>
      </c>
      <c r="O68" s="440">
        <f t="shared" si="20"/>
        <v>2582</v>
      </c>
      <c r="P68" s="441">
        <f>IF(O$89=0,O$89,O68/O$89)</f>
        <v>0.15949101241583791</v>
      </c>
      <c r="Q68" s="450"/>
    </row>
    <row r="69" spans="1:18" ht="15.75" hidden="1" outlineLevel="2" thickBot="1" x14ac:dyDescent="0.3">
      <c r="A69" s="752"/>
      <c r="B69" s="451" t="s">
        <v>198</v>
      </c>
      <c r="C69" s="452">
        <f>'July 2022'!K15</f>
        <v>61</v>
      </c>
      <c r="D69" s="453">
        <f>' August 2022'!K15</f>
        <v>81</v>
      </c>
      <c r="E69" s="453">
        <f>'September 2022'!K15</f>
        <v>89</v>
      </c>
      <c r="F69" s="453">
        <f>'October 2022'!K15</f>
        <v>331</v>
      </c>
      <c r="G69" s="453">
        <f>'November 2022'!K15</f>
        <v>140</v>
      </c>
      <c r="H69" s="453">
        <f>'December 2022'!K15</f>
        <v>24</v>
      </c>
      <c r="I69" s="453">
        <f>'January 2023'!K15</f>
        <v>462</v>
      </c>
      <c r="J69" s="453">
        <f>'February 2023'!K15</f>
        <v>228</v>
      </c>
      <c r="K69" s="453">
        <f>'March 2023'!K15</f>
        <v>247</v>
      </c>
      <c r="L69" s="453">
        <f>'April 2023'!K15</f>
        <v>75</v>
      </c>
      <c r="M69" s="453">
        <f>'May 2023'!K15</f>
        <v>105</v>
      </c>
      <c r="N69" s="454">
        <f>'June 2023'!K15</f>
        <v>120</v>
      </c>
      <c r="O69" s="548">
        <f t="shared" si="20"/>
        <v>1963</v>
      </c>
      <c r="P69" s="549">
        <f>IF(O$90=0,O$90,O69/O$90)</f>
        <v>0.1044343361796079</v>
      </c>
      <c r="Q69" s="450"/>
    </row>
    <row r="70" spans="1:18" ht="15.75" collapsed="1" thickTop="1" x14ac:dyDescent="0.25">
      <c r="A70" s="745" t="s">
        <v>196</v>
      </c>
      <c r="B70" s="470" t="s">
        <v>180</v>
      </c>
      <c r="C70" s="471">
        <f t="shared" ref="C70:O70" si="22">C56+C63</f>
        <v>1044</v>
      </c>
      <c r="D70" s="472">
        <f t="shared" si="22"/>
        <v>752</v>
      </c>
      <c r="E70" s="472">
        <f t="shared" si="22"/>
        <v>1422</v>
      </c>
      <c r="F70" s="472">
        <f t="shared" si="22"/>
        <v>1699</v>
      </c>
      <c r="G70" s="472">
        <f t="shared" si="22"/>
        <v>1360</v>
      </c>
      <c r="H70" s="472">
        <f t="shared" si="22"/>
        <v>832</v>
      </c>
      <c r="I70" s="472">
        <f t="shared" si="22"/>
        <v>561</v>
      </c>
      <c r="J70" s="472">
        <f t="shared" si="22"/>
        <v>1084</v>
      </c>
      <c r="K70" s="472">
        <f t="shared" si="22"/>
        <v>1232</v>
      </c>
      <c r="L70" s="472">
        <f t="shared" si="22"/>
        <v>962</v>
      </c>
      <c r="M70" s="472">
        <f t="shared" si="22"/>
        <v>955</v>
      </c>
      <c r="N70" s="473">
        <f t="shared" si="22"/>
        <v>526</v>
      </c>
      <c r="O70" s="474">
        <f t="shared" si="22"/>
        <v>12429</v>
      </c>
      <c r="P70" s="475">
        <f>IF(O$84=0,O$84,O70/O$84)</f>
        <v>0.32640037816119122</v>
      </c>
    </row>
    <row r="71" spans="1:18" x14ac:dyDescent="0.25">
      <c r="A71" s="746"/>
      <c r="B71" s="477" t="s">
        <v>181</v>
      </c>
      <c r="C71" s="478">
        <f t="shared" ref="C71:O71" si="23">C57+C64</f>
        <v>940</v>
      </c>
      <c r="D71" s="483">
        <f t="shared" si="23"/>
        <v>1396</v>
      </c>
      <c r="E71" s="483">
        <f t="shared" si="23"/>
        <v>803</v>
      </c>
      <c r="F71" s="483">
        <f t="shared" si="23"/>
        <v>1487</v>
      </c>
      <c r="G71" s="483">
        <f t="shared" si="23"/>
        <v>1713</v>
      </c>
      <c r="H71" s="483">
        <f t="shared" si="23"/>
        <v>888</v>
      </c>
      <c r="I71" s="483">
        <f t="shared" si="23"/>
        <v>1159</v>
      </c>
      <c r="J71" s="483">
        <f t="shared" si="23"/>
        <v>925</v>
      </c>
      <c r="K71" s="479">
        <f t="shared" si="23"/>
        <v>1218</v>
      </c>
      <c r="L71" s="483">
        <f t="shared" si="23"/>
        <v>1005</v>
      </c>
      <c r="M71" s="483">
        <f t="shared" si="23"/>
        <v>1594</v>
      </c>
      <c r="N71" s="487">
        <f t="shared" si="23"/>
        <v>1158</v>
      </c>
      <c r="O71" s="481">
        <f t="shared" si="23"/>
        <v>14286</v>
      </c>
      <c r="P71" s="482">
        <f>IF(O$85=0,O$85,O71/O$85)</f>
        <v>0.37801651143099069</v>
      </c>
    </row>
    <row r="72" spans="1:18" x14ac:dyDescent="0.25">
      <c r="A72" s="746"/>
      <c r="B72" s="477" t="s">
        <v>182</v>
      </c>
      <c r="C72" s="478">
        <f t="shared" ref="C72:O72" si="24">C58+C65</f>
        <v>482</v>
      </c>
      <c r="D72" s="483">
        <f t="shared" si="24"/>
        <v>1555</v>
      </c>
      <c r="E72" s="483">
        <f t="shared" si="24"/>
        <v>1124</v>
      </c>
      <c r="F72" s="483">
        <f t="shared" si="24"/>
        <v>1299</v>
      </c>
      <c r="G72" s="483">
        <f t="shared" si="24"/>
        <v>1181</v>
      </c>
      <c r="H72" s="483">
        <f t="shared" si="24"/>
        <v>846</v>
      </c>
      <c r="I72" s="483">
        <f t="shared" si="24"/>
        <v>1610</v>
      </c>
      <c r="J72" s="483">
        <f t="shared" si="24"/>
        <v>1062</v>
      </c>
      <c r="K72" s="479">
        <f t="shared" si="24"/>
        <v>1221</v>
      </c>
      <c r="L72" s="483">
        <f t="shared" si="24"/>
        <v>894</v>
      </c>
      <c r="M72" s="483">
        <f t="shared" si="24"/>
        <v>1847</v>
      </c>
      <c r="N72" s="487">
        <f t="shared" si="24"/>
        <v>1749</v>
      </c>
      <c r="O72" s="481">
        <f t="shared" si="24"/>
        <v>14870</v>
      </c>
      <c r="P72" s="482">
        <f>IF(O$86=0,O$86,O72/O$86)</f>
        <v>0.40999200419090681</v>
      </c>
    </row>
    <row r="73" spans="1:18" x14ac:dyDescent="0.25">
      <c r="A73" s="746"/>
      <c r="B73" s="515" t="s">
        <v>183</v>
      </c>
      <c r="C73" s="478">
        <f>C59+C66</f>
        <v>483</v>
      </c>
      <c r="D73" s="479">
        <f t="shared" ref="D73:O73" si="25">D59+D66</f>
        <v>655</v>
      </c>
      <c r="E73" s="479">
        <f t="shared" si="25"/>
        <v>1565</v>
      </c>
      <c r="F73" s="479">
        <f t="shared" si="25"/>
        <v>1327</v>
      </c>
      <c r="G73" s="479">
        <f t="shared" si="25"/>
        <v>1344</v>
      </c>
      <c r="H73" s="479">
        <f t="shared" si="25"/>
        <v>249</v>
      </c>
      <c r="I73" s="479">
        <f t="shared" si="25"/>
        <v>1685</v>
      </c>
      <c r="J73" s="479">
        <f t="shared" si="25"/>
        <v>1113</v>
      </c>
      <c r="K73" s="479">
        <f t="shared" si="25"/>
        <v>399</v>
      </c>
      <c r="L73" s="479">
        <f t="shared" si="25"/>
        <v>0</v>
      </c>
      <c r="M73" s="479">
        <f t="shared" si="25"/>
        <v>0</v>
      </c>
      <c r="N73" s="480">
        <f t="shared" si="25"/>
        <v>0</v>
      </c>
      <c r="O73" s="481">
        <f t="shared" si="25"/>
        <v>8820</v>
      </c>
      <c r="P73" s="509">
        <f>IF(O$87=0,O$87,O73/O$87)</f>
        <v>0.34077737423692139</v>
      </c>
      <c r="Q73" s="450"/>
      <c r="R73" s="484">
        <f>+O73-O72</f>
        <v>-6050</v>
      </c>
    </row>
    <row r="74" spans="1:18" x14ac:dyDescent="0.25">
      <c r="A74" s="746"/>
      <c r="B74" s="515" t="s">
        <v>184</v>
      </c>
      <c r="C74" s="478">
        <f t="shared" ref="C74:O74" si="26">C60+C67</f>
        <v>9</v>
      </c>
      <c r="D74" s="479">
        <f t="shared" si="26"/>
        <v>30</v>
      </c>
      <c r="E74" s="479">
        <f t="shared" si="26"/>
        <v>259</v>
      </c>
      <c r="F74" s="479">
        <f t="shared" si="26"/>
        <v>2166</v>
      </c>
      <c r="G74" s="479">
        <f t="shared" si="26"/>
        <v>2144</v>
      </c>
      <c r="H74" s="479">
        <f t="shared" si="26"/>
        <v>65</v>
      </c>
      <c r="I74" s="479">
        <f t="shared" si="26"/>
        <v>87</v>
      </c>
      <c r="J74" s="479">
        <f t="shared" si="26"/>
        <v>294</v>
      </c>
      <c r="K74" s="479">
        <f t="shared" si="26"/>
        <v>483</v>
      </c>
      <c r="L74" s="479">
        <f t="shared" si="26"/>
        <v>299</v>
      </c>
      <c r="M74" s="479">
        <f t="shared" si="26"/>
        <v>693</v>
      </c>
      <c r="N74" s="480">
        <f t="shared" si="26"/>
        <v>333</v>
      </c>
      <c r="O74" s="481">
        <f t="shared" si="26"/>
        <v>6862</v>
      </c>
      <c r="P74" s="509">
        <f>IF(O$88=0,O$88,O74/O$88)</f>
        <v>0.50957968216248328</v>
      </c>
      <c r="Q74" s="450"/>
      <c r="R74" s="484"/>
    </row>
    <row r="75" spans="1:18" x14ac:dyDescent="0.25">
      <c r="A75" s="746"/>
      <c r="B75" s="515" t="s">
        <v>197</v>
      </c>
      <c r="C75" s="478">
        <f t="shared" ref="C75:O75" si="27">C61+C68</f>
        <v>12</v>
      </c>
      <c r="D75" s="479">
        <f t="shared" si="27"/>
        <v>195</v>
      </c>
      <c r="E75" s="479">
        <f t="shared" si="27"/>
        <v>397</v>
      </c>
      <c r="F75" s="479">
        <f t="shared" si="27"/>
        <v>281</v>
      </c>
      <c r="G75" s="479">
        <f t="shared" si="27"/>
        <v>273</v>
      </c>
      <c r="H75" s="479">
        <f t="shared" si="27"/>
        <v>192</v>
      </c>
      <c r="I75" s="479">
        <f t="shared" si="27"/>
        <v>158</v>
      </c>
      <c r="J75" s="479">
        <f t="shared" si="27"/>
        <v>199</v>
      </c>
      <c r="K75" s="479">
        <f t="shared" si="27"/>
        <v>696</v>
      </c>
      <c r="L75" s="479">
        <f t="shared" si="27"/>
        <v>118</v>
      </c>
      <c r="M75" s="448">
        <f t="shared" si="27"/>
        <v>405</v>
      </c>
      <c r="N75" s="449">
        <f t="shared" si="27"/>
        <v>317</v>
      </c>
      <c r="O75" s="481">
        <f t="shared" si="27"/>
        <v>3243</v>
      </c>
      <c r="P75" s="509">
        <f>IF(O$89=0,O$89,O75/O$89)</f>
        <v>0.2003212057569955</v>
      </c>
      <c r="Q75" s="450"/>
      <c r="R75" s="484"/>
    </row>
    <row r="76" spans="1:18" ht="15.75" thickBot="1" x14ac:dyDescent="0.3">
      <c r="A76" s="747"/>
      <c r="B76" s="465" t="s">
        <v>198</v>
      </c>
      <c r="C76" s="466">
        <f t="shared" ref="C76:O76" si="28">C62+C69</f>
        <v>196</v>
      </c>
      <c r="D76" s="467">
        <f t="shared" si="28"/>
        <v>226</v>
      </c>
      <c r="E76" s="467">
        <f t="shared" si="28"/>
        <v>191</v>
      </c>
      <c r="F76" s="467">
        <f t="shared" si="28"/>
        <v>331</v>
      </c>
      <c r="G76" s="467">
        <f t="shared" si="28"/>
        <v>140</v>
      </c>
      <c r="H76" s="467">
        <f t="shared" si="28"/>
        <v>24</v>
      </c>
      <c r="I76" s="467">
        <f t="shared" si="28"/>
        <v>462</v>
      </c>
      <c r="J76" s="467">
        <f t="shared" si="28"/>
        <v>228</v>
      </c>
      <c r="K76" s="467">
        <f t="shared" si="28"/>
        <v>247</v>
      </c>
      <c r="L76" s="467">
        <f t="shared" si="28"/>
        <v>75</v>
      </c>
      <c r="M76" s="467">
        <f t="shared" si="28"/>
        <v>105</v>
      </c>
      <c r="N76" s="468">
        <f t="shared" si="28"/>
        <v>120</v>
      </c>
      <c r="O76" s="469">
        <f t="shared" si="28"/>
        <v>2345</v>
      </c>
      <c r="P76" s="488">
        <f>IF(O$90=0,O$90,O76/O$90)</f>
        <v>0.12475726864043837</v>
      </c>
      <c r="Q76" s="450"/>
      <c r="R76" s="489">
        <f>15728-O76</f>
        <v>13383</v>
      </c>
    </row>
    <row r="77" spans="1:18" ht="15.75" thickTop="1" x14ac:dyDescent="0.25">
      <c r="A77" s="745" t="s">
        <v>57</v>
      </c>
      <c r="B77" s="490" t="s">
        <v>180</v>
      </c>
      <c r="C77" s="478">
        <v>40</v>
      </c>
      <c r="D77" s="479">
        <v>32</v>
      </c>
      <c r="E77" s="479">
        <v>62</v>
      </c>
      <c r="F77" s="479">
        <v>31</v>
      </c>
      <c r="G77" s="479">
        <v>20</v>
      </c>
      <c r="H77" s="479">
        <v>28</v>
      </c>
      <c r="I77" s="479">
        <v>6</v>
      </c>
      <c r="J77" s="479">
        <v>33</v>
      </c>
      <c r="K77" s="479">
        <v>27</v>
      </c>
      <c r="L77" s="479">
        <v>32</v>
      </c>
      <c r="M77" s="479">
        <v>50</v>
      </c>
      <c r="N77" s="480">
        <v>24</v>
      </c>
      <c r="O77" s="481">
        <f t="shared" ref="O77:O83" si="29">SUM(C77:N77)</f>
        <v>385</v>
      </c>
      <c r="P77" s="482">
        <f>IF(O$84=0,O$84,O77/O$84)</f>
        <v>1.0110559626040599E-2</v>
      </c>
    </row>
    <row r="78" spans="1:18" x14ac:dyDescent="0.25">
      <c r="A78" s="746"/>
      <c r="B78" s="477" t="s">
        <v>181</v>
      </c>
      <c r="C78" s="491">
        <v>37</v>
      </c>
      <c r="D78" s="483">
        <v>18</v>
      </c>
      <c r="E78" s="483">
        <v>54</v>
      </c>
      <c r="F78" s="483">
        <v>42</v>
      </c>
      <c r="G78" s="483">
        <v>21</v>
      </c>
      <c r="H78" s="483">
        <v>42</v>
      </c>
      <c r="I78" s="483">
        <v>28</v>
      </c>
      <c r="J78" s="483">
        <v>24</v>
      </c>
      <c r="K78" s="479">
        <v>39</v>
      </c>
      <c r="L78" s="483">
        <v>21</v>
      </c>
      <c r="M78" s="483">
        <v>62</v>
      </c>
      <c r="N78" s="487">
        <v>34</v>
      </c>
      <c r="O78" s="492">
        <f t="shared" si="29"/>
        <v>422</v>
      </c>
      <c r="P78" s="482">
        <f>IF(O$85=0,O$85,O78/O$85)</f>
        <v>1.1166384419983065E-2</v>
      </c>
    </row>
    <row r="79" spans="1:18" x14ac:dyDescent="0.25">
      <c r="A79" s="746"/>
      <c r="B79" s="477" t="s">
        <v>182</v>
      </c>
      <c r="C79" s="493">
        <v>32</v>
      </c>
      <c r="D79" s="494">
        <v>26</v>
      </c>
      <c r="E79" s="494">
        <v>49</v>
      </c>
      <c r="F79" s="494">
        <v>45</v>
      </c>
      <c r="G79" s="494">
        <v>69</v>
      </c>
      <c r="H79" s="494">
        <v>27</v>
      </c>
      <c r="I79" s="494">
        <v>10</v>
      </c>
      <c r="J79" s="494">
        <v>25</v>
      </c>
      <c r="K79" s="495">
        <v>39</v>
      </c>
      <c r="L79" s="494">
        <v>40</v>
      </c>
      <c r="M79" s="494">
        <v>39</v>
      </c>
      <c r="N79" s="496">
        <v>33</v>
      </c>
      <c r="O79" s="497">
        <f t="shared" si="29"/>
        <v>434</v>
      </c>
      <c r="P79" s="580">
        <f>IF(O$86=0,O$86,O79/O$86)</f>
        <v>1.196614188425377E-2</v>
      </c>
    </row>
    <row r="80" spans="1:18" x14ac:dyDescent="0.25">
      <c r="A80" s="746"/>
      <c r="B80" s="515" t="s">
        <v>183</v>
      </c>
      <c r="C80" s="478">
        <v>34</v>
      </c>
      <c r="D80" s="479">
        <v>24</v>
      </c>
      <c r="E80" s="479">
        <v>18</v>
      </c>
      <c r="F80" s="479">
        <v>34</v>
      </c>
      <c r="G80" s="479">
        <v>34</v>
      </c>
      <c r="H80" s="479">
        <v>49</v>
      </c>
      <c r="I80" s="479">
        <v>18</v>
      </c>
      <c r="J80" s="479">
        <v>23</v>
      </c>
      <c r="K80" s="479">
        <v>44</v>
      </c>
      <c r="L80" s="479">
        <v>0</v>
      </c>
      <c r="M80" s="479">
        <v>0</v>
      </c>
      <c r="N80" s="480">
        <v>7</v>
      </c>
      <c r="O80" s="481">
        <f t="shared" si="29"/>
        <v>285</v>
      </c>
      <c r="P80" s="509">
        <f>IF(O$87=0,O$87,O80/O$87)</f>
        <v>1.101151379336991E-2</v>
      </c>
      <c r="Q80" s="450"/>
    </row>
    <row r="81" spans="1:24" x14ac:dyDescent="0.25">
      <c r="A81" s="746"/>
      <c r="B81" s="515" t="s">
        <v>184</v>
      </c>
      <c r="C81" s="478">
        <f>'July 2022'!C22</f>
        <v>2</v>
      </c>
      <c r="D81" s="479">
        <f>' August 2022'!C22</f>
        <v>25</v>
      </c>
      <c r="E81" s="479">
        <f>'September 2022'!C22</f>
        <v>3</v>
      </c>
      <c r="F81" s="479">
        <f>'October 2022'!C22</f>
        <v>0</v>
      </c>
      <c r="G81" s="479">
        <f>'November 2022'!C22</f>
        <v>6</v>
      </c>
      <c r="H81" s="479">
        <f>'December 2022'!C22</f>
        <v>33</v>
      </c>
      <c r="I81" s="479">
        <f>'January 2023'!C22</f>
        <v>11</v>
      </c>
      <c r="J81" s="479">
        <f>'February 2023'!C22</f>
        <v>12</v>
      </c>
      <c r="K81" s="479">
        <f>'March 2023'!C22</f>
        <v>28</v>
      </c>
      <c r="L81" s="479">
        <f>'April 2023'!C22</f>
        <v>17</v>
      </c>
      <c r="M81" s="479">
        <f>'May 2023'!C22</f>
        <v>5</v>
      </c>
      <c r="N81" s="480">
        <f>'June 2023'!C22</f>
        <v>13</v>
      </c>
      <c r="O81" s="481">
        <f t="shared" ref="O81:O82" si="30">SUM(C81:N81)</f>
        <v>155</v>
      </c>
      <c r="P81" s="509">
        <f>IF(O$88=0,O$88,O81/O$88)</f>
        <v>1.15104708153869E-2</v>
      </c>
      <c r="Q81" s="450"/>
    </row>
    <row r="82" spans="1:24" x14ac:dyDescent="0.25">
      <c r="A82" s="746"/>
      <c r="B82" s="515" t="s">
        <v>197</v>
      </c>
      <c r="C82" s="478">
        <f>'July 2022'!G22</f>
        <v>6</v>
      </c>
      <c r="D82" s="479">
        <f>' August 2022'!G22</f>
        <v>6</v>
      </c>
      <c r="E82" s="479">
        <f>'September 2022'!G22</f>
        <v>12</v>
      </c>
      <c r="F82" s="479">
        <f>'October 2022'!G22</f>
        <v>30</v>
      </c>
      <c r="G82" s="479">
        <f>'November 2022'!G22</f>
        <v>3</v>
      </c>
      <c r="H82" s="479">
        <f>'December 2022'!G22</f>
        <v>4</v>
      </c>
      <c r="I82" s="479">
        <f>'January 2023'!G22</f>
        <v>0</v>
      </c>
      <c r="J82" s="479">
        <f>'February 2023'!G22</f>
        <v>3</v>
      </c>
      <c r="K82" s="479">
        <f>'March 2023'!G22</f>
        <v>24</v>
      </c>
      <c r="L82" s="479">
        <f>'April 2023'!G22</f>
        <v>11</v>
      </c>
      <c r="M82" s="448">
        <f>'May 2023'!G22</f>
        <v>0</v>
      </c>
      <c r="N82" s="449">
        <f>'June 2023'!G22</f>
        <v>0</v>
      </c>
      <c r="O82" s="481">
        <f t="shared" si="30"/>
        <v>99</v>
      </c>
      <c r="P82" s="509">
        <f>IF(O$89=0,O$89,O82/O$89)</f>
        <v>6.1152634504910743E-3</v>
      </c>
      <c r="Q82" s="450"/>
    </row>
    <row r="83" spans="1:24" ht="15.75" thickBot="1" x14ac:dyDescent="0.3">
      <c r="A83" s="747"/>
      <c r="B83" s="465" t="s">
        <v>198</v>
      </c>
      <c r="C83" s="466">
        <f>'July 2022'!K22</f>
        <v>12</v>
      </c>
      <c r="D83" s="467">
        <f>' August 2022'!K22</f>
        <v>21</v>
      </c>
      <c r="E83" s="467">
        <f>'September 2022'!K22</f>
        <v>2</v>
      </c>
      <c r="F83" s="467">
        <f>'October 2022'!K22</f>
        <v>0</v>
      </c>
      <c r="G83" s="467">
        <f>'November 2022'!K22</f>
        <v>22</v>
      </c>
      <c r="H83" s="467">
        <f>'December 2022'!K22</f>
        <v>19</v>
      </c>
      <c r="I83" s="467">
        <f>'January 2023'!K22</f>
        <v>0</v>
      </c>
      <c r="J83" s="467">
        <f>'February 2023'!K22</f>
        <v>0</v>
      </c>
      <c r="K83" s="467">
        <f>'March 2023'!K22</f>
        <v>25</v>
      </c>
      <c r="L83" s="467">
        <f>'April 2023'!K22</f>
        <v>18</v>
      </c>
      <c r="M83" s="467">
        <f>'May 2023'!K22</f>
        <v>24</v>
      </c>
      <c r="N83" s="468">
        <f>'June 2023'!K22</f>
        <v>20</v>
      </c>
      <c r="O83" s="469">
        <f t="shared" si="29"/>
        <v>163</v>
      </c>
      <c r="P83" s="488">
        <f>IF(O$90=0,O$90,O83/O$90)</f>
        <v>8.6718272018726887E-3</v>
      </c>
      <c r="Q83" s="450"/>
    </row>
    <row r="84" spans="1:24" ht="15.75" thickTop="1" x14ac:dyDescent="0.25">
      <c r="A84" s="745" t="s">
        <v>20</v>
      </c>
      <c r="B84" s="490" t="s">
        <v>180</v>
      </c>
      <c r="C84" s="498">
        <f t="shared" ref="C84" si="31">C28+C49+C70+C77</f>
        <v>2190</v>
      </c>
      <c r="D84" s="495">
        <f t="shared" ref="D84:O84" si="32">D28+D49+D70+D77</f>
        <v>2171</v>
      </c>
      <c r="E84" s="495">
        <f t="shared" si="32"/>
        <v>2568</v>
      </c>
      <c r="F84" s="495">
        <f t="shared" si="32"/>
        <v>3701</v>
      </c>
      <c r="G84" s="495">
        <f t="shared" si="32"/>
        <v>3983</v>
      </c>
      <c r="H84" s="495">
        <f t="shared" si="32"/>
        <v>3945</v>
      </c>
      <c r="I84" s="495">
        <f t="shared" si="32"/>
        <v>4183</v>
      </c>
      <c r="J84" s="495">
        <f t="shared" si="32"/>
        <v>4003</v>
      </c>
      <c r="K84" s="495">
        <f t="shared" si="32"/>
        <v>3889</v>
      </c>
      <c r="L84" s="495">
        <f t="shared" si="32"/>
        <v>3387</v>
      </c>
      <c r="M84" s="495">
        <f t="shared" si="32"/>
        <v>2373</v>
      </c>
      <c r="N84" s="499">
        <f t="shared" si="32"/>
        <v>1686</v>
      </c>
      <c r="O84" s="481">
        <f t="shared" si="32"/>
        <v>38079</v>
      </c>
      <c r="P84" s="742"/>
      <c r="Q84" s="476"/>
      <c r="R84" s="297">
        <f>155*(31+31+30)</f>
        <v>14260</v>
      </c>
      <c r="S84" s="450">
        <f>Q84/R84</f>
        <v>0</v>
      </c>
      <c r="T84" s="430">
        <f>'[2]Room Revenue'!C72+'[2]Room Revenue'!D72+'[2]Room Revenue'!E72</f>
        <v>7584653.6500000004</v>
      </c>
      <c r="U84" s="430" t="e">
        <f>T84/Q84</f>
        <v>#DIV/0!</v>
      </c>
      <c r="V84" s="476">
        <f>T84/R84</f>
        <v>531.88314516129037</v>
      </c>
      <c r="X84" s="476"/>
    </row>
    <row r="85" spans="1:24" x14ac:dyDescent="0.25">
      <c r="A85" s="746"/>
      <c r="B85" s="477" t="s">
        <v>181</v>
      </c>
      <c r="C85" s="478">
        <f t="shared" ref="C85" si="33">C29+C50+C71+C78</f>
        <v>2135</v>
      </c>
      <c r="D85" s="479">
        <f t="shared" ref="D85:O85" si="34">D29+D50+D71+D78</f>
        <v>2556</v>
      </c>
      <c r="E85" s="479">
        <f t="shared" si="34"/>
        <v>2479</v>
      </c>
      <c r="F85" s="479">
        <f t="shared" si="34"/>
        <v>3753</v>
      </c>
      <c r="G85" s="479">
        <f t="shared" si="34"/>
        <v>4085</v>
      </c>
      <c r="H85" s="479">
        <f t="shared" si="34"/>
        <v>3758</v>
      </c>
      <c r="I85" s="479">
        <f t="shared" si="34"/>
        <v>3723</v>
      </c>
      <c r="J85" s="479">
        <f t="shared" si="34"/>
        <v>3780</v>
      </c>
      <c r="K85" s="495">
        <f t="shared" si="34"/>
        <v>3551</v>
      </c>
      <c r="L85" s="479">
        <f t="shared" si="34"/>
        <v>3069</v>
      </c>
      <c r="M85" s="479">
        <f t="shared" si="34"/>
        <v>2824</v>
      </c>
      <c r="N85" s="480">
        <f t="shared" si="34"/>
        <v>2079</v>
      </c>
      <c r="O85" s="481">
        <f t="shared" si="34"/>
        <v>37792</v>
      </c>
      <c r="P85" s="743"/>
      <c r="Q85" s="476"/>
      <c r="R85" s="297">
        <f t="shared" ref="R85:R86" si="35">155*(31+31+30)</f>
        <v>14260</v>
      </c>
      <c r="S85" s="450">
        <f t="shared" ref="S85:S86" si="36">Q85/R85</f>
        <v>0</v>
      </c>
      <c r="T85" s="430">
        <f>'[2]Room Revenue'!C73+'[2]Room Revenue'!D73+'[2]Room Revenue'!E73</f>
        <v>8844485.0500000007</v>
      </c>
      <c r="U85" s="430" t="e">
        <f t="shared" ref="U85:U86" si="37">T85/Q85</f>
        <v>#DIV/0!</v>
      </c>
      <c r="V85" s="476">
        <f t="shared" ref="V85:V86" si="38">T85/R85</f>
        <v>620.23036816269291</v>
      </c>
    </row>
    <row r="86" spans="1:24" x14ac:dyDescent="0.25">
      <c r="A86" s="746"/>
      <c r="B86" s="477" t="s">
        <v>182</v>
      </c>
      <c r="C86" s="478">
        <f t="shared" ref="C86" si="39">C30+C51+C72+C79</f>
        <v>1751</v>
      </c>
      <c r="D86" s="479">
        <f t="shared" ref="D86:O86" si="40">D30+D51+D72+D79</f>
        <v>2766</v>
      </c>
      <c r="E86" s="479">
        <f t="shared" si="40"/>
        <v>2934</v>
      </c>
      <c r="F86" s="479">
        <f t="shared" si="40"/>
        <v>3179</v>
      </c>
      <c r="G86" s="479">
        <f t="shared" si="40"/>
        <v>3442</v>
      </c>
      <c r="H86" s="479">
        <f t="shared" si="40"/>
        <v>3560</v>
      </c>
      <c r="I86" s="479">
        <f t="shared" si="40"/>
        <v>3820</v>
      </c>
      <c r="J86" s="479">
        <f t="shared" si="40"/>
        <v>3297</v>
      </c>
      <c r="K86" s="495">
        <f t="shared" si="40"/>
        <v>3738</v>
      </c>
      <c r="L86" s="479">
        <f t="shared" si="40"/>
        <v>2554</v>
      </c>
      <c r="M86" s="479">
        <f t="shared" si="40"/>
        <v>2859</v>
      </c>
      <c r="N86" s="480">
        <f t="shared" si="40"/>
        <v>2369</v>
      </c>
      <c r="O86" s="481">
        <f t="shared" si="40"/>
        <v>36269</v>
      </c>
      <c r="P86" s="743"/>
      <c r="Q86" s="476"/>
      <c r="R86" s="297">
        <f t="shared" si="35"/>
        <v>14260</v>
      </c>
      <c r="S86" s="450">
        <f t="shared" si="36"/>
        <v>0</v>
      </c>
      <c r="T86" s="430">
        <f>'[2]Room Revenue'!C74+'[2]Room Revenue'!D74+'[2]Room Revenue'!E74</f>
        <v>9652822.3899999987</v>
      </c>
      <c r="U86" s="430" t="e">
        <f t="shared" si="37"/>
        <v>#DIV/0!</v>
      </c>
      <c r="V86" s="476">
        <f t="shared" si="38"/>
        <v>676.91601612903219</v>
      </c>
    </row>
    <row r="87" spans="1:24" s="430" customFormat="1" x14ac:dyDescent="0.25">
      <c r="A87" s="746"/>
      <c r="B87" s="515" t="s">
        <v>183</v>
      </c>
      <c r="C87" s="478">
        <f t="shared" ref="C87" si="41">C31+C52+C73+C80</f>
        <v>1778</v>
      </c>
      <c r="D87" s="479">
        <f t="shared" ref="D87:O87" si="42">D31+D52+D73+D80</f>
        <v>2049</v>
      </c>
      <c r="E87" s="479">
        <f t="shared" si="42"/>
        <v>2772</v>
      </c>
      <c r="F87" s="479">
        <f t="shared" si="42"/>
        <v>3043</v>
      </c>
      <c r="G87" s="479">
        <f t="shared" si="42"/>
        <v>3290</v>
      </c>
      <c r="H87" s="495">
        <f t="shared" si="42"/>
        <v>3165</v>
      </c>
      <c r="I87" s="479">
        <f t="shared" si="42"/>
        <v>4092</v>
      </c>
      <c r="J87" s="479">
        <f t="shared" si="42"/>
        <v>3821</v>
      </c>
      <c r="K87" s="495">
        <f t="shared" si="42"/>
        <v>1840</v>
      </c>
      <c r="L87" s="479">
        <f t="shared" si="42"/>
        <v>16</v>
      </c>
      <c r="M87" s="479">
        <f t="shared" si="42"/>
        <v>0</v>
      </c>
      <c r="N87" s="480">
        <f t="shared" si="42"/>
        <v>16</v>
      </c>
      <c r="O87" s="481">
        <f t="shared" si="42"/>
        <v>25882</v>
      </c>
      <c r="P87" s="743"/>
      <c r="Q87" s="450"/>
      <c r="R87" s="476">
        <f>O87-O90</f>
        <v>7085.5</v>
      </c>
      <c r="S87" s="503"/>
      <c r="U87" s="297"/>
      <c r="V87" s="297"/>
      <c r="W87" s="297"/>
      <c r="X87" s="297"/>
    </row>
    <row r="88" spans="1:24" s="430" customFormat="1" x14ac:dyDescent="0.25">
      <c r="A88" s="746"/>
      <c r="B88" s="515" t="s">
        <v>184</v>
      </c>
      <c r="C88" s="478">
        <f t="shared" ref="C88" si="43">C32+C53+C74+C81</f>
        <v>81</v>
      </c>
      <c r="D88" s="479">
        <f t="shared" ref="D88:O88" si="44">D32+D53+D74+D81</f>
        <v>392</v>
      </c>
      <c r="E88" s="479">
        <f t="shared" si="44"/>
        <v>435</v>
      </c>
      <c r="F88" s="479">
        <f t="shared" si="44"/>
        <v>2166</v>
      </c>
      <c r="G88" s="479">
        <f t="shared" si="44"/>
        <v>2231</v>
      </c>
      <c r="H88" s="495">
        <f t="shared" si="44"/>
        <v>1208</v>
      </c>
      <c r="I88" s="479">
        <f t="shared" si="44"/>
        <v>465</v>
      </c>
      <c r="J88" s="479">
        <f t="shared" si="44"/>
        <v>821</v>
      </c>
      <c r="K88" s="495">
        <f t="shared" si="44"/>
        <v>1359</v>
      </c>
      <c r="L88" s="479">
        <f t="shared" si="44"/>
        <v>1905</v>
      </c>
      <c r="M88" s="479">
        <f t="shared" si="44"/>
        <v>1379</v>
      </c>
      <c r="N88" s="480">
        <f t="shared" si="44"/>
        <v>1024</v>
      </c>
      <c r="O88" s="481">
        <f t="shared" si="44"/>
        <v>13466</v>
      </c>
      <c r="P88" s="743"/>
      <c r="Q88" s="450"/>
      <c r="R88" s="476"/>
      <c r="S88" s="503"/>
      <c r="U88" s="297"/>
      <c r="V88" s="297"/>
      <c r="W88" s="297"/>
      <c r="X88" s="297"/>
    </row>
    <row r="89" spans="1:24" s="430" customFormat="1" x14ac:dyDescent="0.25">
      <c r="A89" s="746"/>
      <c r="B89" s="515" t="s">
        <v>197</v>
      </c>
      <c r="C89" s="478">
        <f t="shared" ref="C89" si="45">C33+C54+C75+C82</f>
        <v>410</v>
      </c>
      <c r="D89" s="479">
        <f t="shared" ref="D89:O89" si="46">D33+D54+D75+D82</f>
        <v>879</v>
      </c>
      <c r="E89" s="479">
        <f t="shared" si="46"/>
        <v>1473</v>
      </c>
      <c r="F89" s="479">
        <f t="shared" si="46"/>
        <v>1262</v>
      </c>
      <c r="G89" s="479">
        <f t="shared" si="46"/>
        <v>1826</v>
      </c>
      <c r="H89" s="495">
        <f t="shared" si="46"/>
        <v>1486</v>
      </c>
      <c r="I89" s="479">
        <f t="shared" si="46"/>
        <v>1256</v>
      </c>
      <c r="J89" s="479">
        <f t="shared" si="46"/>
        <v>1585</v>
      </c>
      <c r="K89" s="495">
        <f t="shared" si="46"/>
        <v>2034</v>
      </c>
      <c r="L89" s="479">
        <f t="shared" si="46"/>
        <v>1780</v>
      </c>
      <c r="M89" s="448">
        <f t="shared" si="46"/>
        <v>1210</v>
      </c>
      <c r="N89" s="449">
        <f t="shared" si="46"/>
        <v>988</v>
      </c>
      <c r="O89" s="481">
        <f t="shared" si="46"/>
        <v>16189</v>
      </c>
      <c r="P89" s="743"/>
      <c r="Q89" s="450"/>
      <c r="R89" s="476"/>
      <c r="S89" s="503"/>
      <c r="U89" s="297"/>
      <c r="V89" s="297"/>
      <c r="W89" s="297"/>
      <c r="X89" s="297"/>
    </row>
    <row r="90" spans="1:24" s="430" customFormat="1" ht="15.75" thickBot="1" x14ac:dyDescent="0.3">
      <c r="A90" s="747"/>
      <c r="B90" s="465" t="s">
        <v>198</v>
      </c>
      <c r="C90" s="466">
        <f t="shared" ref="C90" si="47">C34+C55+C76+C83</f>
        <v>1071</v>
      </c>
      <c r="D90" s="466">
        <f t="shared" ref="D90:O90" si="48">D34+D55+D76+D83</f>
        <v>1084</v>
      </c>
      <c r="E90" s="466">
        <f t="shared" si="48"/>
        <v>1336</v>
      </c>
      <c r="F90" s="466">
        <f t="shared" si="48"/>
        <v>1737</v>
      </c>
      <c r="G90" s="466">
        <f t="shared" si="48"/>
        <v>1892</v>
      </c>
      <c r="H90" s="466">
        <f t="shared" si="48"/>
        <v>1935.5</v>
      </c>
      <c r="I90" s="466">
        <f t="shared" si="48"/>
        <v>1755</v>
      </c>
      <c r="J90" s="466">
        <f t="shared" si="48"/>
        <v>1836</v>
      </c>
      <c r="K90" s="504">
        <f t="shared" si="48"/>
        <v>1920</v>
      </c>
      <c r="L90" s="466">
        <f t="shared" si="48"/>
        <v>1802</v>
      </c>
      <c r="M90" s="466">
        <f t="shared" si="48"/>
        <v>1262</v>
      </c>
      <c r="N90" s="486">
        <f t="shared" si="48"/>
        <v>1166</v>
      </c>
      <c r="O90" s="469">
        <f t="shared" si="48"/>
        <v>18796.5</v>
      </c>
      <c r="P90" s="744"/>
      <c r="Q90" s="450"/>
      <c r="R90" s="476"/>
      <c r="S90" s="505">
        <f>37207-O90</f>
        <v>18410.5</v>
      </c>
      <c r="U90" s="297"/>
      <c r="V90" s="297"/>
      <c r="W90" s="297"/>
      <c r="X90" s="297"/>
    </row>
    <row r="91" spans="1:24" s="430" customFormat="1" ht="15.75" thickTop="1" x14ac:dyDescent="0.25">
      <c r="A91" s="746" t="s">
        <v>21</v>
      </c>
      <c r="B91" s="490" t="s">
        <v>180</v>
      </c>
      <c r="C91" s="506">
        <f>IF(C98=0,C98,C84/C98)</f>
        <v>0.45577523413111343</v>
      </c>
      <c r="D91" s="507">
        <f t="shared" ref="D91:O91" si="49">IF(D98=0,D98,D84/D98)</f>
        <v>0.45182101977107181</v>
      </c>
      <c r="E91" s="507">
        <f t="shared" si="49"/>
        <v>0.55225806451612902</v>
      </c>
      <c r="F91" s="507">
        <f t="shared" si="49"/>
        <v>0.77023933402705513</v>
      </c>
      <c r="G91" s="507">
        <f t="shared" si="49"/>
        <v>0.85655913978494624</v>
      </c>
      <c r="H91" s="507">
        <f t="shared" si="49"/>
        <v>0.82101977107180024</v>
      </c>
      <c r="I91" s="507">
        <f t="shared" si="49"/>
        <v>0.87055150884495314</v>
      </c>
      <c r="J91" s="507">
        <f t="shared" si="49"/>
        <v>0.92235023041474651</v>
      </c>
      <c r="K91" s="507">
        <f t="shared" si="49"/>
        <v>0.8093652445369407</v>
      </c>
      <c r="L91" s="507">
        <f t="shared" si="49"/>
        <v>0.72838709677419355</v>
      </c>
      <c r="M91" s="507">
        <f t="shared" si="49"/>
        <v>0.4938605619146722</v>
      </c>
      <c r="N91" s="508">
        <f t="shared" si="49"/>
        <v>0.36258064516129035</v>
      </c>
      <c r="O91" s="509">
        <f t="shared" si="49"/>
        <v>0.6730711444984534</v>
      </c>
      <c r="P91" s="742"/>
      <c r="Q91" s="297"/>
      <c r="R91" s="297"/>
      <c r="U91" s="297"/>
      <c r="V91" s="297"/>
      <c r="W91" s="297"/>
      <c r="X91" s="297"/>
    </row>
    <row r="92" spans="1:24" s="430" customFormat="1" x14ac:dyDescent="0.25">
      <c r="A92" s="746"/>
      <c r="B92" s="477" t="s">
        <v>181</v>
      </c>
      <c r="C92" s="506">
        <f t="shared" ref="C92:O92" si="50">IF(C99=0,C99,C85/C99)</f>
        <v>0.44432882414151925</v>
      </c>
      <c r="D92" s="507">
        <f t="shared" si="50"/>
        <v>0.53194588969823098</v>
      </c>
      <c r="E92" s="507">
        <f t="shared" si="50"/>
        <v>0.53311827956989244</v>
      </c>
      <c r="F92" s="507">
        <f t="shared" si="50"/>
        <v>0.78106139438085331</v>
      </c>
      <c r="G92" s="507">
        <f t="shared" si="50"/>
        <v>0.87849462365591402</v>
      </c>
      <c r="H92" s="507">
        <f t="shared" si="50"/>
        <v>0.78210197710717999</v>
      </c>
      <c r="I92" s="507">
        <f t="shared" si="50"/>
        <v>0.7748178980228928</v>
      </c>
      <c r="J92" s="507">
        <f t="shared" si="50"/>
        <v>0.87096774193548387</v>
      </c>
      <c r="K92" s="507">
        <f t="shared" si="50"/>
        <v>0.73902185223725281</v>
      </c>
      <c r="L92" s="507">
        <f t="shared" si="50"/>
        <v>0.66</v>
      </c>
      <c r="M92" s="507">
        <f t="shared" si="50"/>
        <v>0.58772112382934438</v>
      </c>
      <c r="N92" s="508">
        <f t="shared" si="50"/>
        <v>0.44709677419354837</v>
      </c>
      <c r="O92" s="509">
        <f t="shared" si="50"/>
        <v>0.66799823243482104</v>
      </c>
      <c r="P92" s="743"/>
      <c r="Q92" s="297"/>
      <c r="R92" s="297"/>
      <c r="U92" s="297"/>
      <c r="V92" s="297"/>
      <c r="W92" s="297"/>
      <c r="X92" s="297"/>
    </row>
    <row r="93" spans="1:24" s="738" customFormat="1" x14ac:dyDescent="0.25">
      <c r="A93" s="746"/>
      <c r="B93" s="726" t="s">
        <v>182</v>
      </c>
      <c r="C93" s="734">
        <f t="shared" ref="C93:O94" si="51">IF(C100=0,C100,C86/C100)</f>
        <v>0.36441207075962539</v>
      </c>
      <c r="D93" s="735">
        <f t="shared" si="51"/>
        <v>0.57565036420395421</v>
      </c>
      <c r="E93" s="735">
        <f t="shared" si="51"/>
        <v>0.63096774193548388</v>
      </c>
      <c r="F93" s="735">
        <f t="shared" si="51"/>
        <v>0.66160249739854315</v>
      </c>
      <c r="G93" s="735">
        <f t="shared" si="51"/>
        <v>0.74021505376344088</v>
      </c>
      <c r="H93" s="735">
        <f t="shared" si="51"/>
        <v>0.74089490114464096</v>
      </c>
      <c r="I93" s="735">
        <f t="shared" si="51"/>
        <v>0.79500520291363164</v>
      </c>
      <c r="J93" s="735">
        <f t="shared" si="51"/>
        <v>0.75967741935483868</v>
      </c>
      <c r="K93" s="735">
        <f t="shared" si="51"/>
        <v>0.77793964620187306</v>
      </c>
      <c r="L93" s="735">
        <f t="shared" si="51"/>
        <v>0.54924731182795694</v>
      </c>
      <c r="M93" s="735">
        <f t="shared" si="51"/>
        <v>0.59500520291363168</v>
      </c>
      <c r="N93" s="736">
        <f t="shared" si="51"/>
        <v>0.5094623655913979</v>
      </c>
      <c r="O93" s="737">
        <f t="shared" si="51"/>
        <v>0.64107821475916926</v>
      </c>
      <c r="P93" s="743"/>
      <c r="Q93" s="733"/>
      <c r="R93" s="733"/>
      <c r="U93" s="733"/>
      <c r="V93" s="733"/>
      <c r="W93" s="733"/>
      <c r="X93" s="733"/>
    </row>
    <row r="94" spans="1:24" s="430" customFormat="1" x14ac:dyDescent="0.25">
      <c r="A94" s="746"/>
      <c r="B94" s="515" t="s">
        <v>183</v>
      </c>
      <c r="C94" s="506">
        <f t="shared" si="51"/>
        <v>0.3700312174817898</v>
      </c>
      <c r="D94" s="507">
        <f t="shared" ref="D94:O94" si="52">IF(D101=0,D101,D87/D101)</f>
        <v>0.42643080124869925</v>
      </c>
      <c r="E94" s="507">
        <f t="shared" si="52"/>
        <v>0.59612903225806446</v>
      </c>
      <c r="F94" s="507">
        <f t="shared" si="52"/>
        <v>0.63329864724245577</v>
      </c>
      <c r="G94" s="507">
        <f t="shared" si="52"/>
        <v>0.7075268817204301</v>
      </c>
      <c r="H94" s="507">
        <f t="shared" si="52"/>
        <v>0.65868886576482832</v>
      </c>
      <c r="I94" s="507">
        <f t="shared" si="52"/>
        <v>0.85161290322580641</v>
      </c>
      <c r="J94" s="507">
        <f t="shared" si="52"/>
        <v>0.85005561735261403</v>
      </c>
      <c r="K94" s="507">
        <f t="shared" si="52"/>
        <v>0.38293444328824139</v>
      </c>
      <c r="L94" s="507">
        <f t="shared" si="52"/>
        <v>3.4408602150537634E-3</v>
      </c>
      <c r="M94" s="507">
        <f t="shared" si="52"/>
        <v>0</v>
      </c>
      <c r="N94" s="508">
        <f t="shared" si="52"/>
        <v>3.4408602150537634E-3</v>
      </c>
      <c r="O94" s="509">
        <f t="shared" si="52"/>
        <v>0.45623127093248722</v>
      </c>
      <c r="P94" s="743"/>
      <c r="Q94" s="297"/>
      <c r="R94" s="297"/>
      <c r="U94" s="297"/>
      <c r="V94" s="297"/>
      <c r="W94" s="297"/>
      <c r="X94" s="297"/>
    </row>
    <row r="95" spans="1:24" s="430" customFormat="1" x14ac:dyDescent="0.25">
      <c r="A95" s="746"/>
      <c r="B95" s="573" t="s">
        <v>184</v>
      </c>
      <c r="C95" s="506">
        <f t="shared" ref="C95:O95" si="53">IF(C102=0,C102,C88/C102)</f>
        <v>1.6857440166493237E-2</v>
      </c>
      <c r="D95" s="507">
        <f t="shared" si="53"/>
        <v>8.1581685744016655E-2</v>
      </c>
      <c r="E95" s="507">
        <f t="shared" si="53"/>
        <v>9.3548387096774197E-2</v>
      </c>
      <c r="F95" s="507">
        <f t="shared" si="53"/>
        <v>0.45078043704474507</v>
      </c>
      <c r="G95" s="507">
        <f t="shared" si="53"/>
        <v>0.47978494623655915</v>
      </c>
      <c r="H95" s="507">
        <f t="shared" si="53"/>
        <v>0.25140478668054111</v>
      </c>
      <c r="I95" s="507">
        <f t="shared" si="53"/>
        <v>9.6774193548387094E-2</v>
      </c>
      <c r="J95" s="507">
        <f t="shared" si="53"/>
        <v>0.18264738598442715</v>
      </c>
      <c r="K95" s="507">
        <f t="shared" si="53"/>
        <v>0.28283038501560875</v>
      </c>
      <c r="L95" s="507">
        <f t="shared" si="53"/>
        <v>0.4096774193548387</v>
      </c>
      <c r="M95" s="507">
        <f t="shared" si="53"/>
        <v>0.28699271592091569</v>
      </c>
      <c r="N95" s="508">
        <f t="shared" si="53"/>
        <v>0.22021505376344086</v>
      </c>
      <c r="O95" s="509">
        <f t="shared" si="53"/>
        <v>0.23736999823726423</v>
      </c>
      <c r="P95" s="743"/>
      <c r="Q95" s="297"/>
      <c r="R95" s="297"/>
      <c r="U95" s="297"/>
      <c r="V95" s="297"/>
      <c r="W95" s="297"/>
      <c r="X95" s="297"/>
    </row>
    <row r="96" spans="1:24" s="430" customFormat="1" x14ac:dyDescent="0.25">
      <c r="A96" s="746"/>
      <c r="B96" s="573" t="s">
        <v>197</v>
      </c>
      <c r="C96" s="506">
        <f t="shared" ref="C96:O96" si="54">IF(C103=0,C103,C89/C103)</f>
        <v>0.16532258064516128</v>
      </c>
      <c r="D96" s="507">
        <f t="shared" si="54"/>
        <v>0.35443548387096774</v>
      </c>
      <c r="E96" s="507">
        <f t="shared" si="54"/>
        <v>0.61375000000000002</v>
      </c>
      <c r="F96" s="507">
        <f t="shared" si="54"/>
        <v>0.50887096774193552</v>
      </c>
      <c r="G96" s="507">
        <f t="shared" si="54"/>
        <v>0.76083333333333336</v>
      </c>
      <c r="H96" s="507">
        <f t="shared" si="54"/>
        <v>0.59919354838709682</v>
      </c>
      <c r="I96" s="507">
        <f t="shared" si="54"/>
        <v>0.50645161290322582</v>
      </c>
      <c r="J96" s="507">
        <f t="shared" si="54"/>
        <v>0.7075892857142857</v>
      </c>
      <c r="K96" s="507">
        <f t="shared" si="54"/>
        <v>0.82016129032258067</v>
      </c>
      <c r="L96" s="507">
        <f t="shared" si="54"/>
        <v>0.7416666666666667</v>
      </c>
      <c r="M96" s="510">
        <f t="shared" si="54"/>
        <v>0.48790322580645162</v>
      </c>
      <c r="N96" s="511">
        <f t="shared" si="54"/>
        <v>0.41166666666666668</v>
      </c>
      <c r="O96" s="509">
        <f t="shared" si="54"/>
        <v>0.55441780821917808</v>
      </c>
      <c r="P96" s="743"/>
      <c r="Q96" s="297"/>
      <c r="R96" s="297"/>
      <c r="U96" s="297"/>
      <c r="V96" s="297"/>
      <c r="W96" s="297"/>
      <c r="X96" s="297"/>
    </row>
    <row r="97" spans="1:24" s="430" customFormat="1" ht="15.75" thickBot="1" x14ac:dyDescent="0.3">
      <c r="A97" s="747"/>
      <c r="B97" s="465" t="s">
        <v>198</v>
      </c>
      <c r="C97" s="512">
        <f t="shared" ref="C97:O97" si="55">IF(C104=0,C104,C90/C104)</f>
        <v>0.43185483870967745</v>
      </c>
      <c r="D97" s="513">
        <f t="shared" si="55"/>
        <v>0.43709677419354837</v>
      </c>
      <c r="E97" s="513">
        <f t="shared" si="55"/>
        <v>0.55666666666666664</v>
      </c>
      <c r="F97" s="513">
        <f t="shared" si="55"/>
        <v>0.70040322580645165</v>
      </c>
      <c r="G97" s="513">
        <f t="shared" si="55"/>
        <v>0.78833333333333333</v>
      </c>
      <c r="H97" s="513">
        <f t="shared" si="55"/>
        <v>0.78044354838709673</v>
      </c>
      <c r="I97" s="513">
        <f t="shared" si="55"/>
        <v>0.70766129032258063</v>
      </c>
      <c r="J97" s="513">
        <f t="shared" si="55"/>
        <v>0.81964285714285712</v>
      </c>
      <c r="K97" s="513">
        <f t="shared" si="55"/>
        <v>0.77419354838709675</v>
      </c>
      <c r="L97" s="513">
        <f t="shared" si="55"/>
        <v>0.75083333333333335</v>
      </c>
      <c r="M97" s="513">
        <f t="shared" si="55"/>
        <v>0.50887096774193552</v>
      </c>
      <c r="N97" s="514">
        <f t="shared" si="55"/>
        <v>0.48583333333333334</v>
      </c>
      <c r="O97" s="488">
        <f t="shared" si="55"/>
        <v>0.64371575342465759</v>
      </c>
      <c r="P97" s="744"/>
      <c r="Q97" s="297"/>
      <c r="R97" s="297"/>
      <c r="U97" s="297"/>
      <c r="V97" s="297"/>
      <c r="W97" s="297"/>
      <c r="X97" s="297"/>
    </row>
    <row r="98" spans="1:24" s="430" customFormat="1" ht="15.75" thickTop="1" x14ac:dyDescent="0.25">
      <c r="A98" s="746" t="s">
        <v>188</v>
      </c>
      <c r="B98" s="515" t="s">
        <v>180</v>
      </c>
      <c r="C98" s="516">
        <f t="shared" ref="C98:M102" si="56">155*31</f>
        <v>4805</v>
      </c>
      <c r="D98" s="517">
        <f t="shared" si="56"/>
        <v>4805</v>
      </c>
      <c r="E98" s="517">
        <f t="shared" ref="E98:G102" si="57">155*30</f>
        <v>4650</v>
      </c>
      <c r="F98" s="517">
        <f t="shared" si="56"/>
        <v>4805</v>
      </c>
      <c r="G98" s="517">
        <f t="shared" si="57"/>
        <v>4650</v>
      </c>
      <c r="H98" s="517">
        <f t="shared" si="56"/>
        <v>4805</v>
      </c>
      <c r="I98" s="517">
        <f t="shared" si="56"/>
        <v>4805</v>
      </c>
      <c r="J98" s="517">
        <f>155*28</f>
        <v>4340</v>
      </c>
      <c r="K98" s="517">
        <f t="shared" si="56"/>
        <v>4805</v>
      </c>
      <c r="L98" s="517">
        <f t="shared" ref="L98:N102" si="58">155*30</f>
        <v>4650</v>
      </c>
      <c r="M98" s="517">
        <f t="shared" si="56"/>
        <v>4805</v>
      </c>
      <c r="N98" s="518">
        <f t="shared" si="58"/>
        <v>4650</v>
      </c>
      <c r="O98" s="515">
        <f t="shared" ref="O98:O104" si="59">SUM(C98:N98)</f>
        <v>56575</v>
      </c>
      <c r="P98" s="742"/>
      <c r="Q98" s="297"/>
      <c r="R98" s="297"/>
      <c r="U98" s="297"/>
      <c r="V98" s="297"/>
      <c r="W98" s="297"/>
      <c r="X98" s="297"/>
    </row>
    <row r="99" spans="1:24" s="430" customFormat="1" x14ac:dyDescent="0.25">
      <c r="A99" s="746"/>
      <c r="B99" s="519" t="s">
        <v>181</v>
      </c>
      <c r="C99" s="516">
        <f t="shared" si="56"/>
        <v>4805</v>
      </c>
      <c r="D99" s="517">
        <f t="shared" si="56"/>
        <v>4805</v>
      </c>
      <c r="E99" s="517">
        <f t="shared" si="57"/>
        <v>4650</v>
      </c>
      <c r="F99" s="517">
        <f t="shared" si="56"/>
        <v>4805</v>
      </c>
      <c r="G99" s="517">
        <f t="shared" si="57"/>
        <v>4650</v>
      </c>
      <c r="H99" s="517">
        <f t="shared" si="56"/>
        <v>4805</v>
      </c>
      <c r="I99" s="517">
        <f t="shared" si="56"/>
        <v>4805</v>
      </c>
      <c r="J99" s="517">
        <f>155*28</f>
        <v>4340</v>
      </c>
      <c r="K99" s="517">
        <f t="shared" si="56"/>
        <v>4805</v>
      </c>
      <c r="L99" s="517">
        <f t="shared" si="58"/>
        <v>4650</v>
      </c>
      <c r="M99" s="517">
        <f t="shared" si="56"/>
        <v>4805</v>
      </c>
      <c r="N99" s="518">
        <f t="shared" si="58"/>
        <v>4650</v>
      </c>
      <c r="O99" s="515">
        <f t="shared" si="59"/>
        <v>56575</v>
      </c>
      <c r="P99" s="743"/>
      <c r="Q99" s="297"/>
      <c r="R99" s="297"/>
      <c r="U99" s="297"/>
      <c r="V99" s="297"/>
      <c r="W99" s="297"/>
      <c r="X99" s="297"/>
    </row>
    <row r="100" spans="1:24" s="430" customFormat="1" x14ac:dyDescent="0.25">
      <c r="A100" s="746"/>
      <c r="B100" s="519" t="s">
        <v>182</v>
      </c>
      <c r="C100" s="520">
        <f t="shared" si="56"/>
        <v>4805</v>
      </c>
      <c r="D100" s="521">
        <f t="shared" si="56"/>
        <v>4805</v>
      </c>
      <c r="E100" s="521">
        <f t="shared" si="57"/>
        <v>4650</v>
      </c>
      <c r="F100" s="521">
        <f t="shared" si="56"/>
        <v>4805</v>
      </c>
      <c r="G100" s="521">
        <f t="shared" si="57"/>
        <v>4650</v>
      </c>
      <c r="H100" s="521">
        <f t="shared" si="56"/>
        <v>4805</v>
      </c>
      <c r="I100" s="521">
        <f t="shared" si="56"/>
        <v>4805</v>
      </c>
      <c r="J100" s="521">
        <f>155*28</f>
        <v>4340</v>
      </c>
      <c r="K100" s="521">
        <f t="shared" si="56"/>
        <v>4805</v>
      </c>
      <c r="L100" s="521">
        <f t="shared" si="58"/>
        <v>4650</v>
      </c>
      <c r="M100" s="521">
        <f t="shared" si="56"/>
        <v>4805</v>
      </c>
      <c r="N100" s="522">
        <f t="shared" si="58"/>
        <v>4650</v>
      </c>
      <c r="O100" s="515">
        <f t="shared" si="59"/>
        <v>56575</v>
      </c>
      <c r="P100" s="743"/>
      <c r="Q100" s="297"/>
      <c r="R100" s="297"/>
      <c r="U100" s="297"/>
      <c r="V100" s="297"/>
      <c r="W100" s="297"/>
      <c r="X100" s="297"/>
    </row>
    <row r="101" spans="1:24" s="430" customFormat="1" x14ac:dyDescent="0.25">
      <c r="A101" s="746"/>
      <c r="B101" s="515" t="s">
        <v>183</v>
      </c>
      <c r="C101" s="516">
        <f t="shared" si="56"/>
        <v>4805</v>
      </c>
      <c r="D101" s="517">
        <f t="shared" si="56"/>
        <v>4805</v>
      </c>
      <c r="E101" s="517">
        <f t="shared" si="57"/>
        <v>4650</v>
      </c>
      <c r="F101" s="517">
        <f t="shared" si="56"/>
        <v>4805</v>
      </c>
      <c r="G101" s="517">
        <f t="shared" si="57"/>
        <v>4650</v>
      </c>
      <c r="H101" s="517">
        <f t="shared" si="56"/>
        <v>4805</v>
      </c>
      <c r="I101" s="517">
        <f t="shared" si="56"/>
        <v>4805</v>
      </c>
      <c r="J101" s="517">
        <f>155*29</f>
        <v>4495</v>
      </c>
      <c r="K101" s="517">
        <f t="shared" si="56"/>
        <v>4805</v>
      </c>
      <c r="L101" s="517">
        <f t="shared" si="58"/>
        <v>4650</v>
      </c>
      <c r="M101" s="517">
        <f t="shared" si="56"/>
        <v>4805</v>
      </c>
      <c r="N101" s="518">
        <f t="shared" si="58"/>
        <v>4650</v>
      </c>
      <c r="O101" s="515">
        <f t="shared" si="59"/>
        <v>56730</v>
      </c>
      <c r="P101" s="743"/>
      <c r="Q101" s="297"/>
      <c r="R101" s="297"/>
      <c r="U101" s="297"/>
      <c r="V101" s="297"/>
      <c r="W101" s="297"/>
      <c r="X101" s="297"/>
    </row>
    <row r="102" spans="1:24" s="430" customFormat="1" x14ac:dyDescent="0.25">
      <c r="A102" s="746"/>
      <c r="B102" s="515" t="s">
        <v>184</v>
      </c>
      <c r="C102" s="516">
        <f t="shared" si="56"/>
        <v>4805</v>
      </c>
      <c r="D102" s="517">
        <f t="shared" si="56"/>
        <v>4805</v>
      </c>
      <c r="E102" s="517">
        <f t="shared" si="57"/>
        <v>4650</v>
      </c>
      <c r="F102" s="517">
        <f t="shared" si="56"/>
        <v>4805</v>
      </c>
      <c r="G102" s="517">
        <f t="shared" si="57"/>
        <v>4650</v>
      </c>
      <c r="H102" s="517">
        <f t="shared" si="56"/>
        <v>4805</v>
      </c>
      <c r="I102" s="517">
        <f t="shared" si="56"/>
        <v>4805</v>
      </c>
      <c r="J102" s="517">
        <f>155*29</f>
        <v>4495</v>
      </c>
      <c r="K102" s="517">
        <f t="shared" si="56"/>
        <v>4805</v>
      </c>
      <c r="L102" s="517">
        <f t="shared" si="58"/>
        <v>4650</v>
      </c>
      <c r="M102" s="517">
        <f t="shared" si="56"/>
        <v>4805</v>
      </c>
      <c r="N102" s="518">
        <f t="shared" si="58"/>
        <v>4650</v>
      </c>
      <c r="O102" s="515">
        <f t="shared" ref="O102" si="60">SUM(C102:N102)</f>
        <v>56730</v>
      </c>
      <c r="P102" s="743"/>
      <c r="Q102" s="297"/>
      <c r="R102" s="297"/>
      <c r="U102" s="297"/>
      <c r="V102" s="297"/>
      <c r="W102" s="297"/>
      <c r="X102" s="297"/>
    </row>
    <row r="103" spans="1:24" s="430" customFormat="1" x14ac:dyDescent="0.25">
      <c r="A103" s="746"/>
      <c r="B103" s="515" t="s">
        <v>197</v>
      </c>
      <c r="C103" s="516">
        <f>80*31</f>
        <v>2480</v>
      </c>
      <c r="D103" s="517">
        <f>80*31</f>
        <v>2480</v>
      </c>
      <c r="E103" s="517">
        <f>80*30</f>
        <v>2400</v>
      </c>
      <c r="F103" s="517">
        <f>80*31</f>
        <v>2480</v>
      </c>
      <c r="G103" s="517">
        <f>80*30</f>
        <v>2400</v>
      </c>
      <c r="H103" s="517">
        <f>80*31</f>
        <v>2480</v>
      </c>
      <c r="I103" s="517">
        <f>80*31</f>
        <v>2480</v>
      </c>
      <c r="J103" s="517">
        <f>80*28</f>
        <v>2240</v>
      </c>
      <c r="K103" s="517">
        <f>80*31</f>
        <v>2480</v>
      </c>
      <c r="L103" s="517">
        <f>80*30</f>
        <v>2400</v>
      </c>
      <c r="M103" s="550">
        <f>80*31</f>
        <v>2480</v>
      </c>
      <c r="N103" s="551">
        <f>80*30</f>
        <v>2400</v>
      </c>
      <c r="O103" s="515">
        <f t="shared" ref="O103" si="61">SUM(C103:N103)</f>
        <v>29200</v>
      </c>
      <c r="P103" s="743"/>
      <c r="Q103" s="297"/>
      <c r="R103" s="297"/>
      <c r="U103" s="297"/>
      <c r="V103" s="297"/>
      <c r="W103" s="297"/>
      <c r="X103" s="297"/>
    </row>
    <row r="104" spans="1:24" s="430" customFormat="1" ht="15.75" thickBot="1" x14ac:dyDescent="0.3">
      <c r="A104" s="747"/>
      <c r="B104" s="523" t="s">
        <v>198</v>
      </c>
      <c r="C104" s="524">
        <f>80*31</f>
        <v>2480</v>
      </c>
      <c r="D104" s="524">
        <f>80*31</f>
        <v>2480</v>
      </c>
      <c r="E104" s="524">
        <f>80*30</f>
        <v>2400</v>
      </c>
      <c r="F104" s="524">
        <f>80*31</f>
        <v>2480</v>
      </c>
      <c r="G104" s="524">
        <f>80*30</f>
        <v>2400</v>
      </c>
      <c r="H104" s="524">
        <f>80*31</f>
        <v>2480</v>
      </c>
      <c r="I104" s="524">
        <f>80*31</f>
        <v>2480</v>
      </c>
      <c r="J104" s="524">
        <f>80*28</f>
        <v>2240</v>
      </c>
      <c r="K104" s="524">
        <f>80*31</f>
        <v>2480</v>
      </c>
      <c r="L104" s="524">
        <f>80*30</f>
        <v>2400</v>
      </c>
      <c r="M104" s="524">
        <f>80*31</f>
        <v>2480</v>
      </c>
      <c r="N104" s="525">
        <f>80*30</f>
        <v>2400</v>
      </c>
      <c r="O104" s="526">
        <f t="shared" si="59"/>
        <v>29200</v>
      </c>
      <c r="P104" s="744"/>
      <c r="Q104" s="297"/>
      <c r="R104" s="297"/>
      <c r="U104" s="297"/>
      <c r="V104" s="297"/>
      <c r="W104" s="297"/>
      <c r="X104" s="297"/>
    </row>
    <row r="105" spans="1:24" s="430" customFormat="1" ht="15.75" thickTop="1" x14ac:dyDescent="0.25">
      <c r="A105" s="297"/>
      <c r="B105" s="297"/>
      <c r="C105" s="527"/>
      <c r="D105" s="527"/>
      <c r="E105" s="527"/>
      <c r="F105" s="527"/>
      <c r="G105" s="527"/>
      <c r="H105" s="527"/>
      <c r="I105" s="527"/>
      <c r="J105" s="527"/>
      <c r="K105" s="527"/>
      <c r="L105" s="527"/>
      <c r="M105" s="527"/>
      <c r="N105" s="527"/>
      <c r="O105" s="527"/>
      <c r="P105" s="297"/>
      <c r="Q105" s="297"/>
      <c r="R105" s="297"/>
      <c r="U105" s="297"/>
      <c r="V105" s="297"/>
      <c r="W105" s="297"/>
      <c r="X105" s="297"/>
    </row>
    <row r="106" spans="1:24" s="430" customFormat="1" ht="4.9000000000000004" customHeight="1" x14ac:dyDescent="0.25">
      <c r="A106" s="297"/>
      <c r="B106" s="297"/>
      <c r="C106" s="527"/>
      <c r="D106" s="527"/>
      <c r="E106" s="527"/>
      <c r="F106" s="527"/>
      <c r="G106" s="527"/>
      <c r="H106" s="527"/>
      <c r="I106" s="527"/>
      <c r="J106" s="527"/>
      <c r="K106" s="527"/>
      <c r="L106" s="527"/>
      <c r="M106" s="527"/>
      <c r="N106" s="527"/>
      <c r="O106" s="297"/>
      <c r="P106" s="297"/>
      <c r="Q106" s="297"/>
      <c r="R106" s="297"/>
      <c r="U106" s="297"/>
      <c r="V106" s="297"/>
      <c r="W106" s="297"/>
      <c r="X106" s="297"/>
    </row>
    <row r="107" spans="1:24" s="430" customFormat="1" ht="15.75" hidden="1" thickTop="1" x14ac:dyDescent="0.25">
      <c r="A107" s="745" t="s">
        <v>189</v>
      </c>
      <c r="B107" s="542" t="s">
        <v>180</v>
      </c>
      <c r="C107" s="536">
        <v>3820</v>
      </c>
      <c r="D107" s="537">
        <v>3906</v>
      </c>
      <c r="E107" s="537">
        <v>4239</v>
      </c>
      <c r="F107" s="537">
        <v>6376</v>
      </c>
      <c r="G107" s="537">
        <v>6611</v>
      </c>
      <c r="H107" s="537">
        <v>8315</v>
      </c>
      <c r="I107" s="537">
        <v>8205</v>
      </c>
      <c r="J107" s="537">
        <v>7190</v>
      </c>
      <c r="K107" s="537">
        <v>6725</v>
      </c>
      <c r="L107" s="537">
        <v>6717</v>
      </c>
      <c r="M107" s="537">
        <v>3825</v>
      </c>
      <c r="N107" s="538">
        <v>3054</v>
      </c>
      <c r="O107" s="539">
        <v>68983</v>
      </c>
      <c r="P107" s="742"/>
      <c r="Q107" s="297"/>
      <c r="R107" s="297"/>
      <c r="U107" s="297"/>
      <c r="V107" s="297"/>
      <c r="W107" s="297"/>
      <c r="X107" s="297"/>
    </row>
    <row r="108" spans="1:24" s="430" customFormat="1" hidden="1" x14ac:dyDescent="0.25">
      <c r="A108" s="746"/>
      <c r="B108" s="490" t="s">
        <v>181</v>
      </c>
      <c r="C108" s="493">
        <v>3832</v>
      </c>
      <c r="D108" s="494">
        <v>4032</v>
      </c>
      <c r="E108" s="494">
        <v>4205</v>
      </c>
      <c r="F108" s="494">
        <v>6505</v>
      </c>
      <c r="G108" s="494">
        <v>6501</v>
      </c>
      <c r="H108" s="494">
        <v>8158</v>
      </c>
      <c r="I108" s="494">
        <v>6964</v>
      </c>
      <c r="J108" s="494">
        <v>6831</v>
      </c>
      <c r="K108" s="494">
        <v>6329</v>
      </c>
      <c r="L108" s="494">
        <v>5931</v>
      </c>
      <c r="M108" s="494">
        <v>4297</v>
      </c>
      <c r="N108" s="496">
        <v>3747</v>
      </c>
      <c r="O108" s="540">
        <v>67332</v>
      </c>
      <c r="P108" s="743"/>
      <c r="Q108" s="297"/>
      <c r="R108" s="297"/>
      <c r="U108" s="297"/>
      <c r="V108" s="297"/>
      <c r="W108" s="297"/>
      <c r="X108" s="297"/>
    </row>
    <row r="109" spans="1:24" hidden="1" x14ac:dyDescent="0.25">
      <c r="A109" s="746"/>
      <c r="B109" s="477" t="s">
        <v>182</v>
      </c>
      <c r="C109" s="493">
        <v>3288</v>
      </c>
      <c r="D109" s="494">
        <v>4273</v>
      </c>
      <c r="E109" s="494">
        <v>4803</v>
      </c>
      <c r="F109" s="494">
        <v>5155</v>
      </c>
      <c r="G109" s="494">
        <v>5823</v>
      </c>
      <c r="H109" s="494">
        <v>7358</v>
      </c>
      <c r="I109" s="494">
        <v>7234</v>
      </c>
      <c r="J109" s="494">
        <v>6105</v>
      </c>
      <c r="K109" s="494">
        <v>6680</v>
      </c>
      <c r="L109" s="494">
        <v>4706</v>
      </c>
      <c r="M109" s="494">
        <v>3956</v>
      </c>
      <c r="N109" s="496">
        <v>3832</v>
      </c>
      <c r="O109" s="540">
        <v>66504.140000000014</v>
      </c>
      <c r="P109" s="743"/>
    </row>
    <row r="110" spans="1:24" hidden="1" x14ac:dyDescent="0.25">
      <c r="A110" s="746"/>
      <c r="B110" s="515" t="s">
        <v>183</v>
      </c>
      <c r="C110" s="498">
        <v>3345</v>
      </c>
      <c r="D110" s="495">
        <v>3853</v>
      </c>
      <c r="E110" s="495">
        <v>4191</v>
      </c>
      <c r="F110" s="495">
        <v>5258</v>
      </c>
      <c r="G110" s="495">
        <v>5447</v>
      </c>
      <c r="H110" s="495">
        <v>6910</v>
      </c>
      <c r="I110" s="495">
        <v>4779</v>
      </c>
      <c r="J110" s="495">
        <f>J118*J87</f>
        <v>7909.4699999999993</v>
      </c>
      <c r="K110" s="495">
        <f>K118*K87</f>
        <v>3808.7999999999997</v>
      </c>
      <c r="L110" s="495">
        <f>L118*L87</f>
        <v>33.119999999999997</v>
      </c>
      <c r="M110" s="495">
        <f>M118*M87</f>
        <v>0</v>
      </c>
      <c r="N110" s="499">
        <f>N118*N87</f>
        <v>33.119999999999997</v>
      </c>
      <c r="O110" s="540">
        <f t="shared" ref="O110" si="62">SUM(C110:N110)</f>
        <v>45567.510000000009</v>
      </c>
      <c r="P110" s="743"/>
      <c r="Q110" s="476"/>
    </row>
    <row r="111" spans="1:24" hidden="1" x14ac:dyDescent="0.25">
      <c r="A111" s="746"/>
      <c r="B111" s="515" t="s">
        <v>184</v>
      </c>
      <c r="C111" s="498">
        <v>0</v>
      </c>
      <c r="D111" s="495">
        <v>0</v>
      </c>
      <c r="E111" s="495">
        <v>0</v>
      </c>
      <c r="F111" s="495">
        <v>0</v>
      </c>
      <c r="G111" s="495">
        <v>0</v>
      </c>
      <c r="H111" s="495">
        <v>0</v>
      </c>
      <c r="I111" s="495">
        <v>0</v>
      </c>
      <c r="J111" s="495">
        <v>0</v>
      </c>
      <c r="K111" s="495">
        <v>0</v>
      </c>
      <c r="L111" s="495">
        <v>0</v>
      </c>
      <c r="M111" s="495">
        <v>0</v>
      </c>
      <c r="N111" s="499">
        <v>0</v>
      </c>
      <c r="O111" s="540">
        <f t="shared" ref="O111:O113" si="63">SUM(C111:N111)</f>
        <v>0</v>
      </c>
      <c r="P111" s="743"/>
      <c r="Q111" s="476"/>
    </row>
    <row r="112" spans="1:24" hidden="1" x14ac:dyDescent="0.25">
      <c r="A112" s="746"/>
      <c r="B112" s="515" t="s">
        <v>197</v>
      </c>
      <c r="C112" s="498">
        <v>0</v>
      </c>
      <c r="D112" s="495">
        <v>0</v>
      </c>
      <c r="E112" s="495">
        <v>0</v>
      </c>
      <c r="F112" s="495">
        <v>0</v>
      </c>
      <c r="G112" s="495">
        <v>0</v>
      </c>
      <c r="H112" s="495">
        <v>0</v>
      </c>
      <c r="I112" s="495">
        <v>0</v>
      </c>
      <c r="J112" s="495">
        <v>0</v>
      </c>
      <c r="K112" s="495">
        <v>0</v>
      </c>
      <c r="L112" s="495">
        <v>0</v>
      </c>
      <c r="M112" s="502">
        <f>M120*M89</f>
        <v>0</v>
      </c>
      <c r="N112" s="502">
        <f>N120*N89</f>
        <v>0</v>
      </c>
      <c r="O112" s="540">
        <f t="shared" si="63"/>
        <v>0</v>
      </c>
      <c r="P112" s="743"/>
      <c r="Q112" s="476"/>
    </row>
    <row r="113" spans="1:17" ht="15.75" hidden="1" thickBot="1" x14ac:dyDescent="0.3">
      <c r="A113" s="747"/>
      <c r="B113" s="552" t="s">
        <v>198</v>
      </c>
      <c r="C113" s="553">
        <f t="shared" ref="C113:N113" si="64">C121*C90</f>
        <v>0</v>
      </c>
      <c r="D113" s="554">
        <f t="shared" si="64"/>
        <v>0</v>
      </c>
      <c r="E113" s="554">
        <f t="shared" si="64"/>
        <v>0</v>
      </c>
      <c r="F113" s="554">
        <f t="shared" si="64"/>
        <v>0</v>
      </c>
      <c r="G113" s="554">
        <f t="shared" si="64"/>
        <v>0</v>
      </c>
      <c r="H113" s="554">
        <f t="shared" si="64"/>
        <v>0</v>
      </c>
      <c r="I113" s="554">
        <f t="shared" si="64"/>
        <v>0</v>
      </c>
      <c r="J113" s="554">
        <f t="shared" si="64"/>
        <v>0</v>
      </c>
      <c r="K113" s="554">
        <f t="shared" si="64"/>
        <v>0</v>
      </c>
      <c r="L113" s="554">
        <f t="shared" si="64"/>
        <v>0</v>
      </c>
      <c r="M113" s="554">
        <f t="shared" si="64"/>
        <v>0</v>
      </c>
      <c r="N113" s="563">
        <f t="shared" si="64"/>
        <v>0</v>
      </c>
      <c r="O113" s="564">
        <f t="shared" si="63"/>
        <v>0</v>
      </c>
      <c r="P113" s="744"/>
      <c r="Q113" s="476"/>
    </row>
    <row r="114" spans="1:17" ht="16.5" hidden="1" thickTop="1" thickBot="1" x14ac:dyDescent="0.3">
      <c r="A114" s="529"/>
      <c r="C114" s="430"/>
      <c r="D114" s="430"/>
      <c r="E114" s="430"/>
      <c r="F114" s="430"/>
      <c r="G114" s="430"/>
      <c r="H114" s="430"/>
      <c r="I114" s="430"/>
      <c r="J114" s="430"/>
      <c r="K114" s="430"/>
      <c r="L114" s="430"/>
      <c r="M114" s="430"/>
      <c r="N114" s="430"/>
      <c r="O114" s="430"/>
      <c r="P114" s="430"/>
    </row>
    <row r="115" spans="1:17" ht="15" hidden="1" customHeight="1" thickTop="1" x14ac:dyDescent="0.25">
      <c r="A115" s="745" t="s">
        <v>190</v>
      </c>
      <c r="B115" s="542" t="s">
        <v>180</v>
      </c>
      <c r="C115" s="565">
        <f t="shared" ref="C115:O115" si="65">C107/C84</f>
        <v>1.7442922374429224</v>
      </c>
      <c r="D115" s="566">
        <f t="shared" si="65"/>
        <v>1.7991708889912483</v>
      </c>
      <c r="E115" s="566">
        <f t="shared" si="65"/>
        <v>1.6507009345794392</v>
      </c>
      <c r="F115" s="566">
        <f t="shared" si="65"/>
        <v>1.7227776276681979</v>
      </c>
      <c r="G115" s="566">
        <f t="shared" si="65"/>
        <v>1.6598041677127793</v>
      </c>
      <c r="H115" s="566">
        <f t="shared" si="65"/>
        <v>2.1077313054499367</v>
      </c>
      <c r="I115" s="566">
        <f t="shared" si="65"/>
        <v>1.9615108773607459</v>
      </c>
      <c r="J115" s="566">
        <f t="shared" si="65"/>
        <v>1.796152885335998</v>
      </c>
      <c r="K115" s="566">
        <f t="shared" si="65"/>
        <v>1.7292363075340704</v>
      </c>
      <c r="L115" s="566">
        <f t="shared" si="65"/>
        <v>1.9831709477413639</v>
      </c>
      <c r="M115" s="566">
        <f t="shared" si="65"/>
        <v>1.6118836915297092</v>
      </c>
      <c r="N115" s="567">
        <f t="shared" si="65"/>
        <v>1.8113879003558719</v>
      </c>
      <c r="O115" s="568">
        <f t="shared" si="65"/>
        <v>1.8115759342419706</v>
      </c>
    </row>
    <row r="116" spans="1:17" hidden="1" x14ac:dyDescent="0.25">
      <c r="A116" s="746"/>
      <c r="B116" s="490" t="s">
        <v>181</v>
      </c>
      <c r="C116" s="559">
        <f t="shared" ref="C116:O116" si="66">C108/C85</f>
        <v>1.794847775175644</v>
      </c>
      <c r="D116" s="560">
        <f t="shared" si="66"/>
        <v>1.5774647887323943</v>
      </c>
      <c r="E116" s="560">
        <f t="shared" si="66"/>
        <v>1.6962484872932635</v>
      </c>
      <c r="F116" s="560">
        <f t="shared" si="66"/>
        <v>1.7332800426325605</v>
      </c>
      <c r="G116" s="560">
        <f t="shared" si="66"/>
        <v>1.5914320685434518</v>
      </c>
      <c r="H116" s="560">
        <f t="shared" si="66"/>
        <v>2.1708355508249069</v>
      </c>
      <c r="I116" s="560">
        <f t="shared" si="66"/>
        <v>1.8705345151759334</v>
      </c>
      <c r="J116" s="560">
        <f t="shared" si="66"/>
        <v>1.8071428571428572</v>
      </c>
      <c r="K116" s="560">
        <f t="shared" si="66"/>
        <v>1.7823148408898901</v>
      </c>
      <c r="L116" s="560">
        <f t="shared" si="66"/>
        <v>1.9325513196480939</v>
      </c>
      <c r="M116" s="560">
        <f t="shared" si="66"/>
        <v>1.5216005665722379</v>
      </c>
      <c r="N116" s="561">
        <f t="shared" si="66"/>
        <v>1.8023088023088023</v>
      </c>
      <c r="O116" s="562">
        <f t="shared" si="66"/>
        <v>1.7816469093988145</v>
      </c>
    </row>
    <row r="117" spans="1:17" hidden="1" x14ac:dyDescent="0.25">
      <c r="A117" s="746"/>
      <c r="B117" s="490" t="s">
        <v>182</v>
      </c>
      <c r="C117" s="559">
        <f t="shared" ref="C117:O117" si="67">C109/C86</f>
        <v>1.8777841233580812</v>
      </c>
      <c r="D117" s="560">
        <f t="shared" si="67"/>
        <v>1.5448300795372378</v>
      </c>
      <c r="E117" s="560">
        <f t="shared" si="67"/>
        <v>1.6370143149284253</v>
      </c>
      <c r="F117" s="560">
        <f t="shared" si="67"/>
        <v>1.6215791129285939</v>
      </c>
      <c r="G117" s="560">
        <f t="shared" si="67"/>
        <v>1.6917489831493318</v>
      </c>
      <c r="H117" s="560">
        <f t="shared" si="67"/>
        <v>2.0668539325842699</v>
      </c>
      <c r="I117" s="560">
        <f t="shared" si="67"/>
        <v>1.8937172774869111</v>
      </c>
      <c r="J117" s="560">
        <f t="shared" si="67"/>
        <v>1.851683348498635</v>
      </c>
      <c r="K117" s="560">
        <f t="shared" si="67"/>
        <v>1.7870518994114499</v>
      </c>
      <c r="L117" s="560">
        <f t="shared" si="67"/>
        <v>1.8425998433829287</v>
      </c>
      <c r="M117" s="560">
        <f t="shared" si="67"/>
        <v>1.3837005946135013</v>
      </c>
      <c r="N117" s="560">
        <f t="shared" si="67"/>
        <v>1.6175601519628535</v>
      </c>
      <c r="O117" s="562">
        <f t="shared" si="67"/>
        <v>1.8336358873969509</v>
      </c>
    </row>
    <row r="118" spans="1:17" hidden="1" x14ac:dyDescent="0.25">
      <c r="A118" s="746"/>
      <c r="B118" s="515" t="s">
        <v>183</v>
      </c>
      <c r="C118" s="555">
        <f t="shared" ref="C118:I118" si="68">C110/C87</f>
        <v>1.8813273340832395</v>
      </c>
      <c r="D118" s="556">
        <f t="shared" si="68"/>
        <v>1.8804294777940458</v>
      </c>
      <c r="E118" s="556">
        <f t="shared" si="68"/>
        <v>1.5119047619047619</v>
      </c>
      <c r="F118" s="556">
        <f t="shared" si="68"/>
        <v>1.7279000985869208</v>
      </c>
      <c r="G118" s="556">
        <f t="shared" si="68"/>
        <v>1.6556231003039514</v>
      </c>
      <c r="H118" s="556">
        <f t="shared" si="68"/>
        <v>2.1832543443917851</v>
      </c>
      <c r="I118" s="556">
        <f t="shared" si="68"/>
        <v>1.1678885630498534</v>
      </c>
      <c r="J118" s="556">
        <v>2.0699999999999998</v>
      </c>
      <c r="K118" s="556">
        <v>2.0699999999999998</v>
      </c>
      <c r="L118" s="556">
        <v>2.0699999999999998</v>
      </c>
      <c r="M118" s="556">
        <v>2.0699999999999998</v>
      </c>
      <c r="N118" s="557">
        <v>2.0699999999999998</v>
      </c>
      <c r="O118" s="558">
        <f>O110/O87</f>
        <v>1.7605868943667418</v>
      </c>
    </row>
    <row r="119" spans="1:17" hidden="1" x14ac:dyDescent="0.25">
      <c r="A119" s="746"/>
      <c r="B119" s="515" t="s">
        <v>184</v>
      </c>
      <c r="C119" s="555">
        <f t="shared" ref="C119:O119" si="69">C111/C88</f>
        <v>0</v>
      </c>
      <c r="D119" s="556">
        <f t="shared" si="69"/>
        <v>0</v>
      </c>
      <c r="E119" s="556">
        <f t="shared" si="69"/>
        <v>0</v>
      </c>
      <c r="F119" s="556">
        <f t="shared" si="69"/>
        <v>0</v>
      </c>
      <c r="G119" s="556">
        <f t="shared" si="69"/>
        <v>0</v>
      </c>
      <c r="H119" s="556">
        <f t="shared" si="69"/>
        <v>0</v>
      </c>
      <c r="I119" s="556">
        <f t="shared" si="69"/>
        <v>0</v>
      </c>
      <c r="J119" s="556">
        <f t="shared" si="69"/>
        <v>0</v>
      </c>
      <c r="K119" s="556">
        <f t="shared" si="69"/>
        <v>0</v>
      </c>
      <c r="L119" s="556">
        <f t="shared" si="69"/>
        <v>0</v>
      </c>
      <c r="M119" s="556">
        <f t="shared" si="69"/>
        <v>0</v>
      </c>
      <c r="N119" s="557">
        <f t="shared" si="69"/>
        <v>0</v>
      </c>
      <c r="O119" s="558">
        <f t="shared" si="69"/>
        <v>0</v>
      </c>
    </row>
    <row r="120" spans="1:17" hidden="1" x14ac:dyDescent="0.25">
      <c r="A120" s="746"/>
      <c r="B120" s="515" t="s">
        <v>197</v>
      </c>
      <c r="C120" s="555">
        <f t="shared" ref="C120:O120" si="70">C112/C89</f>
        <v>0</v>
      </c>
      <c r="D120" s="556">
        <f t="shared" si="70"/>
        <v>0</v>
      </c>
      <c r="E120" s="556">
        <f t="shared" si="70"/>
        <v>0</v>
      </c>
      <c r="F120" s="556">
        <f t="shared" si="70"/>
        <v>0</v>
      </c>
      <c r="G120" s="556">
        <f t="shared" si="70"/>
        <v>0</v>
      </c>
      <c r="H120" s="556">
        <f t="shared" si="70"/>
        <v>0</v>
      </c>
      <c r="I120" s="556">
        <f t="shared" si="70"/>
        <v>0</v>
      </c>
      <c r="J120" s="556">
        <f t="shared" si="70"/>
        <v>0</v>
      </c>
      <c r="K120" s="556">
        <f t="shared" si="70"/>
        <v>0</v>
      </c>
      <c r="L120" s="556">
        <f t="shared" si="70"/>
        <v>0</v>
      </c>
      <c r="M120" s="581">
        <v>0</v>
      </c>
      <c r="N120" s="582">
        <v>0</v>
      </c>
      <c r="O120" s="558">
        <f t="shared" si="70"/>
        <v>0</v>
      </c>
    </row>
    <row r="121" spans="1:17" ht="15.75" hidden="1" thickBot="1" x14ac:dyDescent="0.3">
      <c r="A121" s="747"/>
      <c r="B121" s="552" t="s">
        <v>198</v>
      </c>
      <c r="C121" s="569">
        <v>0</v>
      </c>
      <c r="D121" s="570">
        <v>0</v>
      </c>
      <c r="E121" s="570">
        <v>0</v>
      </c>
      <c r="F121" s="570">
        <v>0</v>
      </c>
      <c r="G121" s="570">
        <v>0</v>
      </c>
      <c r="H121" s="570">
        <v>0</v>
      </c>
      <c r="I121" s="570">
        <v>0</v>
      </c>
      <c r="J121" s="570">
        <v>0</v>
      </c>
      <c r="K121" s="570">
        <v>0</v>
      </c>
      <c r="L121" s="570">
        <v>0</v>
      </c>
      <c r="M121" s="570">
        <v>0</v>
      </c>
      <c r="N121" s="571">
        <v>0</v>
      </c>
      <c r="O121" s="572">
        <f t="shared" ref="O121" si="71">O113/O90</f>
        <v>0</v>
      </c>
    </row>
    <row r="122" spans="1:17" ht="16.5" hidden="1" thickTop="1" thickBot="1" x14ac:dyDescent="0.3"/>
    <row r="123" spans="1:17" ht="15.75" hidden="1" thickTop="1" x14ac:dyDescent="0.25">
      <c r="A123" s="745" t="s">
        <v>191</v>
      </c>
      <c r="B123" s="542" t="s">
        <v>180</v>
      </c>
      <c r="C123" s="536">
        <v>1140</v>
      </c>
      <c r="D123" s="537">
        <v>1124</v>
      </c>
      <c r="E123" s="537">
        <v>1562</v>
      </c>
      <c r="F123" s="537">
        <v>1563</v>
      </c>
      <c r="G123" s="537">
        <v>1885</v>
      </c>
      <c r="H123" s="537">
        <v>1696</v>
      </c>
      <c r="I123" s="537">
        <v>1621</v>
      </c>
      <c r="J123" s="537">
        <v>1840</v>
      </c>
      <c r="K123" s="537">
        <v>1813</v>
      </c>
      <c r="L123" s="537">
        <v>1622</v>
      </c>
      <c r="M123" s="537">
        <v>1336</v>
      </c>
      <c r="N123" s="538">
        <v>930</v>
      </c>
      <c r="O123" s="539">
        <f t="shared" ref="O123:O129" si="72">SUM(C123:N123)</f>
        <v>18132</v>
      </c>
    </row>
    <row r="124" spans="1:17" hidden="1" x14ac:dyDescent="0.25">
      <c r="A124" s="746"/>
      <c r="B124" s="490" t="s">
        <v>181</v>
      </c>
      <c r="C124" s="493">
        <v>1212</v>
      </c>
      <c r="D124" s="494">
        <v>1224</v>
      </c>
      <c r="E124" s="494">
        <v>1342</v>
      </c>
      <c r="F124" s="494">
        <v>1023</v>
      </c>
      <c r="G124" s="494">
        <v>1885</v>
      </c>
      <c r="H124" s="494">
        <v>1600</v>
      </c>
      <c r="I124" s="494">
        <v>1390</v>
      </c>
      <c r="J124" s="494">
        <v>1713</v>
      </c>
      <c r="K124" s="495">
        <v>1625</v>
      </c>
      <c r="L124" s="494">
        <v>1455</v>
      </c>
      <c r="M124" s="494">
        <v>1397</v>
      </c>
      <c r="N124" s="496">
        <v>817</v>
      </c>
      <c r="O124" s="540">
        <f t="shared" si="72"/>
        <v>16683</v>
      </c>
    </row>
    <row r="125" spans="1:17" hidden="1" x14ac:dyDescent="0.25">
      <c r="A125" s="746"/>
      <c r="B125" s="477" t="s">
        <v>182</v>
      </c>
      <c r="C125" s="493">
        <v>911</v>
      </c>
      <c r="D125" s="493">
        <v>1471</v>
      </c>
      <c r="E125" s="493">
        <v>1404</v>
      </c>
      <c r="F125" s="493">
        <v>1612</v>
      </c>
      <c r="G125" s="493">
        <v>1717</v>
      </c>
      <c r="H125" s="493">
        <v>1478</v>
      </c>
      <c r="I125" s="493">
        <v>1291</v>
      </c>
      <c r="J125" s="493">
        <v>1555</v>
      </c>
      <c r="K125" s="495">
        <v>1600</v>
      </c>
      <c r="L125" s="494">
        <v>1186</v>
      </c>
      <c r="M125" s="494">
        <v>1461</v>
      </c>
      <c r="N125" s="496">
        <v>783</v>
      </c>
      <c r="O125" s="540">
        <f t="shared" si="72"/>
        <v>16469</v>
      </c>
    </row>
    <row r="126" spans="1:17" hidden="1" x14ac:dyDescent="0.25">
      <c r="A126" s="746"/>
      <c r="B126" s="515" t="s">
        <v>183</v>
      </c>
      <c r="C126" s="498">
        <v>913</v>
      </c>
      <c r="D126" s="498">
        <v>1183</v>
      </c>
      <c r="E126" s="498">
        <v>1308</v>
      </c>
      <c r="F126" s="498">
        <v>1513</v>
      </c>
      <c r="G126" s="498">
        <v>1668</v>
      </c>
      <c r="H126" s="498">
        <v>0</v>
      </c>
      <c r="I126" s="498">
        <v>0</v>
      </c>
      <c r="J126" s="498">
        <v>0</v>
      </c>
      <c r="K126" s="498">
        <v>0</v>
      </c>
      <c r="L126" s="498">
        <v>0</v>
      </c>
      <c r="M126" s="498">
        <v>0</v>
      </c>
      <c r="N126" s="498">
        <v>0</v>
      </c>
      <c r="O126" s="540">
        <f t="shared" si="72"/>
        <v>6585</v>
      </c>
    </row>
    <row r="127" spans="1:17" hidden="1" x14ac:dyDescent="0.25">
      <c r="A127" s="746"/>
      <c r="B127" s="515" t="s">
        <v>184</v>
      </c>
      <c r="C127" s="498">
        <v>0</v>
      </c>
      <c r="D127" s="498">
        <v>0</v>
      </c>
      <c r="E127" s="498">
        <v>0</v>
      </c>
      <c r="F127" s="498">
        <v>0</v>
      </c>
      <c r="G127" s="498">
        <v>0</v>
      </c>
      <c r="H127" s="498">
        <v>0</v>
      </c>
      <c r="I127" s="498">
        <v>0</v>
      </c>
      <c r="J127" s="498">
        <v>0</v>
      </c>
      <c r="K127" s="498">
        <v>0</v>
      </c>
      <c r="L127" s="498">
        <v>0</v>
      </c>
      <c r="M127" s="498">
        <v>0</v>
      </c>
      <c r="N127" s="498">
        <v>0</v>
      </c>
      <c r="O127" s="540">
        <f t="shared" si="72"/>
        <v>0</v>
      </c>
    </row>
    <row r="128" spans="1:17" hidden="1" x14ac:dyDescent="0.25">
      <c r="A128" s="746"/>
      <c r="B128" s="573" t="s">
        <v>197</v>
      </c>
      <c r="C128" s="541">
        <v>0</v>
      </c>
      <c r="D128" s="541">
        <v>0</v>
      </c>
      <c r="E128" s="541">
        <v>0</v>
      </c>
      <c r="F128" s="541">
        <v>0</v>
      </c>
      <c r="G128" s="541">
        <v>0</v>
      </c>
      <c r="H128" s="541">
        <v>0</v>
      </c>
      <c r="I128" s="541">
        <v>0</v>
      </c>
      <c r="J128" s="541">
        <v>0</v>
      </c>
      <c r="K128" s="541">
        <v>0</v>
      </c>
      <c r="L128" s="541">
        <v>0</v>
      </c>
      <c r="M128" s="584">
        <v>0</v>
      </c>
      <c r="N128" s="584">
        <v>0</v>
      </c>
      <c r="O128" s="540">
        <f t="shared" si="72"/>
        <v>0</v>
      </c>
    </row>
    <row r="129" spans="1:15" ht="15.75" hidden="1" thickBot="1" x14ac:dyDescent="0.3">
      <c r="A129" s="747"/>
      <c r="B129" s="528" t="s">
        <v>198</v>
      </c>
      <c r="C129" s="583" t="e">
        <f t="shared" ref="C129:D129" si="73">IF(C90=0,0,C90/C137)</f>
        <v>#DIV/0!</v>
      </c>
      <c r="D129" s="583" t="e">
        <f t="shared" si="73"/>
        <v>#DIV/0!</v>
      </c>
      <c r="E129" s="583" t="e">
        <f>IF(E90=0,0,E90/E137)</f>
        <v>#DIV/0!</v>
      </c>
      <c r="F129" s="583" t="e">
        <f t="shared" ref="F129:N129" si="74">IF(F90=0,0,F90/F137)</f>
        <v>#DIV/0!</v>
      </c>
      <c r="G129" s="583" t="e">
        <f t="shared" si="74"/>
        <v>#DIV/0!</v>
      </c>
      <c r="H129" s="583" t="e">
        <f t="shared" si="74"/>
        <v>#DIV/0!</v>
      </c>
      <c r="I129" s="583" t="e">
        <f t="shared" si="74"/>
        <v>#DIV/0!</v>
      </c>
      <c r="J129" s="583" t="e">
        <f t="shared" si="74"/>
        <v>#DIV/0!</v>
      </c>
      <c r="K129" s="583" t="e">
        <f t="shared" si="74"/>
        <v>#DIV/0!</v>
      </c>
      <c r="L129" s="583" t="e">
        <f t="shared" si="74"/>
        <v>#DIV/0!</v>
      </c>
      <c r="M129" s="583" t="e">
        <f t="shared" si="74"/>
        <v>#DIV/0!</v>
      </c>
      <c r="N129" s="583" t="e">
        <f t="shared" si="74"/>
        <v>#DIV/0!</v>
      </c>
      <c r="O129" s="564" t="e">
        <f t="shared" si="72"/>
        <v>#DIV/0!</v>
      </c>
    </row>
    <row r="130" spans="1:15" ht="16.5" hidden="1" thickTop="1" thickBot="1" x14ac:dyDescent="0.3"/>
    <row r="131" spans="1:15" ht="15.75" hidden="1" thickTop="1" x14ac:dyDescent="0.25">
      <c r="A131" s="745" t="s">
        <v>192</v>
      </c>
      <c r="B131" s="542" t="s">
        <v>180</v>
      </c>
      <c r="C131" s="574">
        <f t="shared" ref="C131:O131" si="75">C84/C123</f>
        <v>1.9210526315789473</v>
      </c>
      <c r="D131" s="575">
        <f t="shared" si="75"/>
        <v>1.9314946619217082</v>
      </c>
      <c r="E131" s="575">
        <f t="shared" si="75"/>
        <v>1.6440460947503202</v>
      </c>
      <c r="F131" s="575">
        <f t="shared" si="75"/>
        <v>2.3678822776711455</v>
      </c>
      <c r="G131" s="575">
        <f t="shared" si="75"/>
        <v>2.112997347480106</v>
      </c>
      <c r="H131" s="575">
        <f t="shared" si="75"/>
        <v>2.3260613207547172</v>
      </c>
      <c r="I131" s="575">
        <f t="shared" si="75"/>
        <v>2.5805058605798892</v>
      </c>
      <c r="J131" s="575">
        <f t="shared" si="75"/>
        <v>2.1755434782608694</v>
      </c>
      <c r="K131" s="575">
        <f t="shared" si="75"/>
        <v>2.1450634307777166</v>
      </c>
      <c r="L131" s="575">
        <f t="shared" si="75"/>
        <v>2.0881627620221948</v>
      </c>
      <c r="M131" s="575">
        <f t="shared" si="75"/>
        <v>1.7761976047904191</v>
      </c>
      <c r="N131" s="576">
        <f t="shared" si="75"/>
        <v>1.8129032258064517</v>
      </c>
      <c r="O131" s="577">
        <f t="shared" si="75"/>
        <v>2.1000992720052944</v>
      </c>
    </row>
    <row r="132" spans="1:15" hidden="1" x14ac:dyDescent="0.25">
      <c r="A132" s="746"/>
      <c r="B132" s="490" t="s">
        <v>181</v>
      </c>
      <c r="C132" s="533">
        <f t="shared" ref="C132:O132" si="76">C85/C124</f>
        <v>1.7615511551155116</v>
      </c>
      <c r="D132" s="534">
        <f t="shared" si="76"/>
        <v>2.0882352941176472</v>
      </c>
      <c r="E132" s="534">
        <f t="shared" si="76"/>
        <v>1.8472429210134129</v>
      </c>
      <c r="F132" s="534">
        <f t="shared" si="76"/>
        <v>3.6686217008797652</v>
      </c>
      <c r="G132" s="534">
        <f t="shared" si="76"/>
        <v>2.1671087533156497</v>
      </c>
      <c r="H132" s="534">
        <f t="shared" si="76"/>
        <v>2.3487499999999999</v>
      </c>
      <c r="I132" s="534">
        <f t="shared" si="76"/>
        <v>2.6784172661870502</v>
      </c>
      <c r="J132" s="534">
        <f t="shared" si="76"/>
        <v>2.2066549912434326</v>
      </c>
      <c r="K132" s="534">
        <f t="shared" si="76"/>
        <v>2.1852307692307691</v>
      </c>
      <c r="L132" s="534">
        <f t="shared" si="76"/>
        <v>2.109278350515464</v>
      </c>
      <c r="M132" s="534">
        <f t="shared" si="76"/>
        <v>2.0214745884037222</v>
      </c>
      <c r="N132" s="534">
        <f t="shared" si="76"/>
        <v>2.5446756425948593</v>
      </c>
      <c r="O132" s="535">
        <f t="shared" si="76"/>
        <v>2.265300005994126</v>
      </c>
    </row>
    <row r="133" spans="1:15" hidden="1" x14ac:dyDescent="0.25">
      <c r="A133" s="746"/>
      <c r="B133" s="477" t="s">
        <v>182</v>
      </c>
      <c r="C133" s="533">
        <f t="shared" ref="C133:O133" si="77">C86/C125</f>
        <v>1.9220636663007684</v>
      </c>
      <c r="D133" s="534">
        <f t="shared" si="77"/>
        <v>1.8803535010197145</v>
      </c>
      <c r="E133" s="534">
        <f t="shared" si="77"/>
        <v>2.0897435897435899</v>
      </c>
      <c r="F133" s="534">
        <f t="shared" si="77"/>
        <v>1.9720843672456576</v>
      </c>
      <c r="G133" s="534">
        <f t="shared" si="77"/>
        <v>2.0046592894583575</v>
      </c>
      <c r="H133" s="534">
        <f t="shared" si="77"/>
        <v>2.4086603518267928</v>
      </c>
      <c r="I133" s="534">
        <f t="shared" si="77"/>
        <v>2.9589465530596435</v>
      </c>
      <c r="J133" s="534">
        <f t="shared" si="77"/>
        <v>2.1202572347266879</v>
      </c>
      <c r="K133" s="534">
        <f t="shared" si="77"/>
        <v>2.3362500000000002</v>
      </c>
      <c r="L133" s="534">
        <f t="shared" si="77"/>
        <v>2.1534569983136596</v>
      </c>
      <c r="M133" s="534">
        <f t="shared" si="77"/>
        <v>1.9568788501026695</v>
      </c>
      <c r="N133" s="534">
        <f t="shared" si="77"/>
        <v>3.0255427841634739</v>
      </c>
      <c r="O133" s="535">
        <f t="shared" si="77"/>
        <v>2.2022587892403909</v>
      </c>
    </row>
    <row r="134" spans="1:15" hidden="1" x14ac:dyDescent="0.25">
      <c r="A134" s="746"/>
      <c r="B134" s="515" t="s">
        <v>183</v>
      </c>
      <c r="C134" s="530">
        <f t="shared" ref="C134:I134" si="78">C87/C126</f>
        <v>1.9474260679079956</v>
      </c>
      <c r="D134" s="531">
        <f t="shared" si="78"/>
        <v>1.7320371935756551</v>
      </c>
      <c r="E134" s="531">
        <f t="shared" si="78"/>
        <v>2.1192660550458715</v>
      </c>
      <c r="F134" s="531">
        <f t="shared" si="78"/>
        <v>2.0112359550561796</v>
      </c>
      <c r="G134" s="531">
        <f t="shared" si="78"/>
        <v>1.9724220623501199</v>
      </c>
      <c r="H134" s="531" t="e">
        <f t="shared" si="78"/>
        <v>#DIV/0!</v>
      </c>
      <c r="I134" s="531" t="e">
        <f t="shared" si="78"/>
        <v>#DIV/0!</v>
      </c>
      <c r="J134" s="531" t="e">
        <f t="shared" ref="J134:N134" si="79">J87/J126</f>
        <v>#DIV/0!</v>
      </c>
      <c r="K134" s="531" t="e">
        <f t="shared" si="79"/>
        <v>#DIV/0!</v>
      </c>
      <c r="L134" s="531" t="e">
        <f t="shared" si="79"/>
        <v>#DIV/0!</v>
      </c>
      <c r="M134" s="531" t="e">
        <f t="shared" si="79"/>
        <v>#DIV/0!</v>
      </c>
      <c r="N134" s="531" t="e">
        <f t="shared" si="79"/>
        <v>#DIV/0!</v>
      </c>
      <c r="O134" s="532">
        <f>O87/O126</f>
        <v>3.9304479878511769</v>
      </c>
    </row>
    <row r="135" spans="1:15" hidden="1" x14ac:dyDescent="0.25">
      <c r="A135" s="746"/>
      <c r="B135" s="573" t="s">
        <v>184</v>
      </c>
      <c r="C135" s="530" t="e">
        <f t="shared" ref="C135:I135" si="80">C88/C127</f>
        <v>#DIV/0!</v>
      </c>
      <c r="D135" s="531" t="e">
        <f t="shared" si="80"/>
        <v>#DIV/0!</v>
      </c>
      <c r="E135" s="531" t="e">
        <f t="shared" si="80"/>
        <v>#DIV/0!</v>
      </c>
      <c r="F135" s="531" t="e">
        <f t="shared" si="80"/>
        <v>#DIV/0!</v>
      </c>
      <c r="G135" s="531" t="e">
        <f t="shared" si="80"/>
        <v>#DIV/0!</v>
      </c>
      <c r="H135" s="531" t="e">
        <f t="shared" si="80"/>
        <v>#DIV/0!</v>
      </c>
      <c r="I135" s="531" t="e">
        <f t="shared" si="80"/>
        <v>#DIV/0!</v>
      </c>
      <c r="J135" s="585" t="e">
        <f t="shared" ref="J135:O135" si="81">J88/J127</f>
        <v>#DIV/0!</v>
      </c>
      <c r="K135" s="585" t="e">
        <f t="shared" si="81"/>
        <v>#DIV/0!</v>
      </c>
      <c r="L135" s="585" t="e">
        <f t="shared" si="81"/>
        <v>#DIV/0!</v>
      </c>
      <c r="M135" s="585" t="e">
        <f t="shared" si="81"/>
        <v>#DIV/0!</v>
      </c>
      <c r="N135" s="586" t="e">
        <f t="shared" si="81"/>
        <v>#DIV/0!</v>
      </c>
      <c r="O135" s="587" t="e">
        <f t="shared" si="81"/>
        <v>#DIV/0!</v>
      </c>
    </row>
    <row r="136" spans="1:15" hidden="1" x14ac:dyDescent="0.25">
      <c r="A136" s="746"/>
      <c r="B136" s="573" t="s">
        <v>197</v>
      </c>
      <c r="C136" s="530" t="e">
        <f t="shared" ref="C136:I136" si="82">C89/C128</f>
        <v>#DIV/0!</v>
      </c>
      <c r="D136" s="531" t="e">
        <f t="shared" si="82"/>
        <v>#DIV/0!</v>
      </c>
      <c r="E136" s="531" t="e">
        <f t="shared" si="82"/>
        <v>#DIV/0!</v>
      </c>
      <c r="F136" s="531" t="e">
        <f t="shared" si="82"/>
        <v>#DIV/0!</v>
      </c>
      <c r="G136" s="531" t="e">
        <f t="shared" si="82"/>
        <v>#DIV/0!</v>
      </c>
      <c r="H136" s="531" t="e">
        <f t="shared" si="82"/>
        <v>#DIV/0!</v>
      </c>
      <c r="I136" s="531" t="e">
        <f t="shared" si="82"/>
        <v>#DIV/0!</v>
      </c>
      <c r="J136" s="585" t="e">
        <f t="shared" ref="J136:O136" si="83">J89/J128</f>
        <v>#DIV/0!</v>
      </c>
      <c r="K136" s="585" t="e">
        <f t="shared" si="83"/>
        <v>#DIV/0!</v>
      </c>
      <c r="L136" s="585" t="e">
        <f t="shared" si="83"/>
        <v>#DIV/0!</v>
      </c>
      <c r="M136" s="585" t="e">
        <f t="shared" si="83"/>
        <v>#DIV/0!</v>
      </c>
      <c r="N136" s="586" t="e">
        <f t="shared" si="83"/>
        <v>#DIV/0!</v>
      </c>
      <c r="O136" s="587" t="e">
        <f t="shared" si="83"/>
        <v>#DIV/0!</v>
      </c>
    </row>
    <row r="137" spans="1:15" ht="15.75" hidden="1" thickBot="1" x14ac:dyDescent="0.3">
      <c r="A137" s="747"/>
      <c r="B137" s="528" t="s">
        <v>198</v>
      </c>
      <c r="C137" s="578">
        <v>0</v>
      </c>
      <c r="D137" s="579">
        <v>0</v>
      </c>
      <c r="E137" s="579">
        <v>0</v>
      </c>
      <c r="F137" s="579">
        <v>0</v>
      </c>
      <c r="G137" s="579">
        <v>0</v>
      </c>
      <c r="H137" s="579">
        <v>0</v>
      </c>
      <c r="I137" s="579">
        <v>0</v>
      </c>
      <c r="J137" s="588">
        <v>0</v>
      </c>
      <c r="K137" s="588">
        <v>0</v>
      </c>
      <c r="L137" s="588">
        <v>0</v>
      </c>
      <c r="M137" s="588">
        <v>0</v>
      </c>
      <c r="N137" s="589">
        <v>0</v>
      </c>
      <c r="O137" s="587">
        <v>0</v>
      </c>
    </row>
  </sheetData>
  <mergeCells count="24">
    <mergeCell ref="A63:A69"/>
    <mergeCell ref="A123:A129"/>
    <mergeCell ref="A131:A137"/>
    <mergeCell ref="A77:A83"/>
    <mergeCell ref="A84:A90"/>
    <mergeCell ref="A91:A97"/>
    <mergeCell ref="A98:A104"/>
    <mergeCell ref="A107:A113"/>
    <mergeCell ref="A115:A121"/>
    <mergeCell ref="A28:A34"/>
    <mergeCell ref="A35:A41"/>
    <mergeCell ref="A42:A48"/>
    <mergeCell ref="A49:A55"/>
    <mergeCell ref="A56:A62"/>
    <mergeCell ref="C2:O4"/>
    <mergeCell ref="A6:B6"/>
    <mergeCell ref="A7:A13"/>
    <mergeCell ref="A14:A20"/>
    <mergeCell ref="A21:A27"/>
    <mergeCell ref="P84:P90"/>
    <mergeCell ref="P91:P97"/>
    <mergeCell ref="P98:P104"/>
    <mergeCell ref="P107:P113"/>
    <mergeCell ref="A70:A76"/>
  </mergeCells>
  <phoneticPr fontId="74" type="noConversion"/>
  <pageMargins left="0.70866141732283472" right="0.70866141732283472" top="0.74803149606299213" bottom="0.74803149606299213" header="0.31496062992125984" footer="0.31496062992125984"/>
  <pageSetup paperSize="9" scale="46" orientation="landscape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7">
    <tabColor theme="0" tint="-0.34998626667073579"/>
    <pageSetUpPr fitToPage="1"/>
  </sheetPr>
  <dimension ref="B1:X38"/>
  <sheetViews>
    <sheetView view="pageBreakPreview" zoomScale="50" zoomScaleNormal="50" zoomScaleSheetLayoutView="50" workbookViewId="0">
      <pane xSplit="2" ySplit="6" topLeftCell="C7" activePane="bottomRight" state="frozen"/>
      <selection activeCell="G12" sqref="G12"/>
      <selection pane="topRight" activeCell="G12" sqref="G12"/>
      <selection pane="bottomLeft" activeCell="G12" sqref="G12"/>
      <selection pane="bottomRight" activeCell="F40" sqref="F40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17.71093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9.85546875" style="5" bestFit="1" customWidth="1"/>
    <col min="11" max="12" width="15.7109375" style="5" customWidth="1" outlineLevel="1"/>
    <col min="13" max="13" width="18.5703125" style="5" bestFit="1" customWidth="1" outlineLevel="1"/>
    <col min="14" max="14" width="19.85546875" style="5" bestFit="1" customWidth="1" outlineLevel="1"/>
    <col min="15" max="16" width="15.7109375" style="5" customWidth="1"/>
    <col min="17" max="17" width="21.28515625" style="5" bestFit="1" customWidth="1"/>
    <col min="18" max="18" width="1.85546875" style="5" customWidth="1"/>
    <col min="19" max="16384" width="9.140625" style="5"/>
  </cols>
  <sheetData>
    <row r="1" spans="2:24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4" s="1" customFormat="1" ht="26.25" x14ac:dyDescent="0.4">
      <c r="B2" s="759" t="s">
        <v>142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4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4" ht="33" customHeight="1" outlineLevel="1" x14ac:dyDescent="0.35">
      <c r="B4" s="6" t="s">
        <v>1</v>
      </c>
      <c r="C4" s="7">
        <f>'January 2023'!C4+'February 2023'!C4+'March 2023'!C4</f>
        <v>14105</v>
      </c>
      <c r="D4" s="8"/>
      <c r="E4" s="9"/>
      <c r="F4" s="10"/>
      <c r="G4" s="7">
        <f>'January 2023'!G4+'February 2023'!G4+'March 2023'!G4</f>
        <v>7200</v>
      </c>
      <c r="H4" s="11"/>
      <c r="I4" s="11"/>
      <c r="J4" s="11"/>
      <c r="K4" s="7">
        <f>'January 2023'!K4+'February 2023'!K4+'March 2023'!K4</f>
        <v>7200</v>
      </c>
      <c r="L4" s="12"/>
      <c r="M4" s="12"/>
      <c r="N4" s="12"/>
      <c r="O4" s="12"/>
      <c r="P4" s="12"/>
      <c r="Q4" s="13"/>
    </row>
    <row r="5" spans="2:24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24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4" s="94" customFormat="1" ht="33" customHeight="1" outlineLevel="1" x14ac:dyDescent="0.3">
      <c r="B7" s="89" t="s">
        <v>37</v>
      </c>
      <c r="C7" s="90">
        <f>'January 2023'!C7+'February 2023'!C7+'March 2023'!C7</f>
        <v>130</v>
      </c>
      <c r="D7" s="91">
        <f t="shared" ref="D7:D20" si="0">+IF(C$24=0,0,C7/C$24)</f>
        <v>4.9149338374291113E-2</v>
      </c>
      <c r="E7" s="92">
        <f>IF(C7=0,0,F7/C7)</f>
        <v>1340.0706923076923</v>
      </c>
      <c r="F7" s="93">
        <f>'January 2023'!F7+'February 2023'!F7+'March 2023'!F7</f>
        <v>174209.19</v>
      </c>
      <c r="G7" s="90">
        <f>'January 2023'!G7+'February 2023'!G7+'March 2023'!G7</f>
        <v>300</v>
      </c>
      <c r="H7" s="91">
        <f t="shared" ref="H7:H16" si="1">+IF(G$24=0,0,G7/G$24)</f>
        <v>6.1538461538461542E-2</v>
      </c>
      <c r="I7" s="92">
        <f>IF(G7=0,0,J7/G7)</f>
        <v>2001.0733333333333</v>
      </c>
      <c r="J7" s="93">
        <f>'January 2023'!J7+'February 2023'!J7+'March 2023'!J7</f>
        <v>600322</v>
      </c>
      <c r="K7" s="90">
        <f>'January 2023'!K7+'February 2023'!K7+'March 2023'!K7</f>
        <v>180</v>
      </c>
      <c r="L7" s="91">
        <f>+IF(K$24=0,0,K7/K$24)</f>
        <v>3.2661948829613499E-2</v>
      </c>
      <c r="M7" s="92">
        <f>IF(K7=0,0,N7/K7)</f>
        <v>2191.2150000000006</v>
      </c>
      <c r="N7" s="93">
        <f>'January 2023'!N7+'February 2023'!N7+'March 2023'!N7</f>
        <v>394418.70000000013</v>
      </c>
      <c r="O7" s="90">
        <f t="shared" ref="O7:O24" si="2">K7-G7</f>
        <v>-120</v>
      </c>
      <c r="P7" s="92">
        <f t="shared" ref="P7:P24" si="3">M7-I7</f>
        <v>190.14166666666733</v>
      </c>
      <c r="Q7" s="93">
        <f t="shared" ref="Q7:Q24" si="4">N7-J7</f>
        <v>-205903.29999999987</v>
      </c>
    </row>
    <row r="8" spans="2:24" s="94" customFormat="1" ht="33" customHeight="1" outlineLevel="1" x14ac:dyDescent="0.3">
      <c r="B8" s="89" t="s">
        <v>38</v>
      </c>
      <c r="C8" s="90">
        <f>'January 2023'!C8+'February 2023'!C8+'March 2023'!C8</f>
        <v>1479</v>
      </c>
      <c r="D8" s="91">
        <f t="shared" si="0"/>
        <v>0.55916824196597359</v>
      </c>
      <c r="E8" s="92">
        <f t="shared" ref="E8:E24" si="5">IF(C8=0,0,F8/C8)</f>
        <v>1256.5870520622043</v>
      </c>
      <c r="F8" s="93">
        <f>'January 2023'!F8+'February 2023'!F8+'March 2023'!F8</f>
        <v>1858492.25</v>
      </c>
      <c r="G8" s="90">
        <f>'January 2023'!G8+'February 2023'!G8+'March 2023'!G8</f>
        <v>2787</v>
      </c>
      <c r="H8" s="91">
        <f t="shared" si="1"/>
        <v>0.57169230769230772</v>
      </c>
      <c r="I8" s="92">
        <f>IF(G8=0,0,J8/G8)</f>
        <v>2045.275206315034</v>
      </c>
      <c r="J8" s="93">
        <f>'January 2023'!J8+'February 2023'!J8+'March 2023'!J8</f>
        <v>5700182</v>
      </c>
      <c r="K8" s="90">
        <f>'January 2023'!K8+'February 2023'!K8+'March 2023'!K8</f>
        <v>2454</v>
      </c>
      <c r="L8" s="91">
        <f t="shared" ref="L8:L16" si="6">+IF(K$24=0,0,K8/K$24)</f>
        <v>0.44529123571039736</v>
      </c>
      <c r="M8" s="92">
        <f>IF(K8=0,0,N8/K8)</f>
        <v>2160.1182027302366</v>
      </c>
      <c r="N8" s="93">
        <f>'January 2023'!N8+'February 2023'!N8+'March 2023'!N8</f>
        <v>5300930.0695000002</v>
      </c>
      <c r="O8" s="90">
        <f t="shared" si="2"/>
        <v>-333</v>
      </c>
      <c r="P8" s="92">
        <f t="shared" si="3"/>
        <v>114.84299641520261</v>
      </c>
      <c r="Q8" s="93">
        <f t="shared" si="4"/>
        <v>-399251.93049999978</v>
      </c>
    </row>
    <row r="9" spans="2:24" s="94" customFormat="1" ht="20.25" outlineLevel="1" x14ac:dyDescent="0.3">
      <c r="B9" s="89" t="s">
        <v>44</v>
      </c>
      <c r="C9" s="90">
        <f>'January 2023'!C9+'February 2023'!C9+'March 2023'!C9</f>
        <v>82</v>
      </c>
      <c r="D9" s="91">
        <f t="shared" si="0"/>
        <v>3.1001890359168241E-2</v>
      </c>
      <c r="E9" s="92">
        <f>IF(C9=0,0,F9/C9)</f>
        <v>1346.5778048780489</v>
      </c>
      <c r="F9" s="93">
        <f>'January 2023'!F9+'February 2023'!F9+'March 2023'!F9</f>
        <v>110419.38</v>
      </c>
      <c r="G9" s="90">
        <f>'January 2023'!G9+'February 2023'!G9+'March 2023'!G9</f>
        <v>215</v>
      </c>
      <c r="H9" s="91">
        <f t="shared" si="1"/>
        <v>4.41025641025641E-2</v>
      </c>
      <c r="I9" s="92">
        <f>IF(G9=0,0,J9/G9)</f>
        <v>1612.1069767441861</v>
      </c>
      <c r="J9" s="93">
        <f>'January 2023'!J9+'February 2023'!J9+'March 2023'!J9</f>
        <v>346603</v>
      </c>
      <c r="K9" s="90">
        <f>'January 2023'!K9+'February 2023'!K9+'March 2023'!K9</f>
        <v>183</v>
      </c>
      <c r="L9" s="91">
        <f t="shared" si="6"/>
        <v>3.3206314643440392E-2</v>
      </c>
      <c r="M9" s="92">
        <f>IF(K9=0,0,N9/K9)</f>
        <v>1600.2030661809347</v>
      </c>
      <c r="N9" s="93">
        <f>'January 2023'!N9+'February 2023'!N9+'March 2023'!N9</f>
        <v>292837.16111111105</v>
      </c>
      <c r="O9" s="90">
        <f t="shared" si="2"/>
        <v>-32</v>
      </c>
      <c r="P9" s="92">
        <f t="shared" si="3"/>
        <v>-11.903910563251429</v>
      </c>
      <c r="Q9" s="93">
        <f t="shared" si="4"/>
        <v>-53765.838888888946</v>
      </c>
    </row>
    <row r="10" spans="2:24" ht="33" customHeight="1" x14ac:dyDescent="0.35">
      <c r="B10" s="20" t="s">
        <v>36</v>
      </c>
      <c r="C10" s="55">
        <f>SUM(C7:C9)</f>
        <v>1691</v>
      </c>
      <c r="D10" s="21">
        <f t="shared" si="0"/>
        <v>0.63931947069943285</v>
      </c>
      <c r="E10" s="58">
        <f>IF(C10=0,0,F10/C10)</f>
        <v>1267.3689059727972</v>
      </c>
      <c r="F10" s="59">
        <f>SUM(F7:F9)</f>
        <v>2143120.8199999998</v>
      </c>
      <c r="G10" s="55">
        <f>SUM(G7:G9)</f>
        <v>3302</v>
      </c>
      <c r="H10" s="21">
        <f t="shared" si="1"/>
        <v>0.67733333333333334</v>
      </c>
      <c r="I10" s="58">
        <f>IF(G10=0,0,J10/G10)</f>
        <v>2013.0548152634767</v>
      </c>
      <c r="J10" s="59">
        <f>SUM(J7:J9)</f>
        <v>6647107</v>
      </c>
      <c r="K10" s="55">
        <f>SUM(K7:K9)</f>
        <v>2817</v>
      </c>
      <c r="L10" s="21">
        <f t="shared" si="6"/>
        <v>0.51115949918345127</v>
      </c>
      <c r="M10" s="58">
        <f>IF(K10=0,0,N10/K10)</f>
        <v>2125.7316047607778</v>
      </c>
      <c r="N10" s="59">
        <f>SUM(N7:N9)</f>
        <v>5988185.9306111112</v>
      </c>
      <c r="O10" s="55">
        <f t="shared" si="2"/>
        <v>-485</v>
      </c>
      <c r="P10" s="58">
        <f t="shared" si="3"/>
        <v>112.67678949730112</v>
      </c>
      <c r="Q10" s="59">
        <f t="shared" si="4"/>
        <v>-658921.06938888878</v>
      </c>
      <c r="T10" s="223"/>
      <c r="U10" s="223"/>
      <c r="V10" s="223"/>
      <c r="W10" s="223"/>
      <c r="X10" s="223"/>
    </row>
    <row r="11" spans="2:24" s="94" customFormat="1" ht="33" customHeight="1" x14ac:dyDescent="0.3">
      <c r="B11" s="89" t="s">
        <v>40</v>
      </c>
      <c r="C11" s="90">
        <f>'January 2023'!C11+'February 2023'!C11+'March 2023'!C11</f>
        <v>8</v>
      </c>
      <c r="D11" s="91">
        <f t="shared" si="0"/>
        <v>3.0245746691871457E-3</v>
      </c>
      <c r="E11" s="92">
        <f t="shared" si="5"/>
        <v>1147.83</v>
      </c>
      <c r="F11" s="93">
        <f>'January 2023'!F11+'February 2023'!F11+'March 2023'!F11</f>
        <v>9182.64</v>
      </c>
      <c r="G11" s="90">
        <f>'January 2023'!G11+'February 2023'!G11+'March 2023'!G11</f>
        <v>190</v>
      </c>
      <c r="H11" s="91">
        <f t="shared" si="1"/>
        <v>3.8974358974358976E-2</v>
      </c>
      <c r="I11" s="92">
        <f t="shared" ref="I11:I16" si="7">IF(G11=0,0,J11/G11)</f>
        <v>2344.8842105263157</v>
      </c>
      <c r="J11" s="93">
        <f>'January 2023'!J11+'February 2023'!J11+'March 2023'!J11</f>
        <v>445528</v>
      </c>
      <c r="K11" s="90">
        <f>'January 2023'!K11+'February 2023'!K11+'March 2023'!K11</f>
        <v>636</v>
      </c>
      <c r="L11" s="91">
        <f t="shared" si="6"/>
        <v>0.11540555253130104</v>
      </c>
      <c r="M11" s="92">
        <f t="shared" ref="M11:M16" si="8">IF(K11=0,0,N11/K11)</f>
        <v>1923.6917347186238</v>
      </c>
      <c r="N11" s="93">
        <f>'January 2023'!N11+'February 2023'!N11+'March 2023'!N11</f>
        <v>1223467.9432810447</v>
      </c>
      <c r="O11" s="90">
        <f t="shared" si="2"/>
        <v>446</v>
      </c>
      <c r="P11" s="92">
        <f t="shared" si="3"/>
        <v>-421.19247580769184</v>
      </c>
      <c r="Q11" s="93">
        <f t="shared" si="4"/>
        <v>777939.94328104472</v>
      </c>
      <c r="T11" s="210"/>
      <c r="U11" s="210"/>
      <c r="V11" s="210"/>
      <c r="W11" s="210"/>
      <c r="X11" s="210"/>
    </row>
    <row r="12" spans="2:24" s="94" customFormat="1" ht="33" customHeight="1" x14ac:dyDescent="0.3">
      <c r="B12" s="89" t="s">
        <v>41</v>
      </c>
      <c r="C12" s="90">
        <f>'January 2023'!C12+'February 2023'!C12+'March 2023'!C12</f>
        <v>31</v>
      </c>
      <c r="D12" s="91">
        <f t="shared" si="0"/>
        <v>1.1720226843100189E-2</v>
      </c>
      <c r="E12" s="92">
        <f t="shared" si="5"/>
        <v>1190.2054838709676</v>
      </c>
      <c r="F12" s="93">
        <f>'January 2023'!F12+'February 2023'!F12+'March 2023'!F12</f>
        <v>36896.369999999995</v>
      </c>
      <c r="G12" s="90">
        <f>'January 2023'!G12+'February 2023'!G12+'March 2023'!G12</f>
        <v>303</v>
      </c>
      <c r="H12" s="91">
        <f t="shared" si="1"/>
        <v>6.2153846153846157E-2</v>
      </c>
      <c r="I12" s="92">
        <f t="shared" si="7"/>
        <v>1583.8250825082507</v>
      </c>
      <c r="J12" s="93">
        <f>'January 2023'!J12+'February 2023'!J12+'March 2023'!J12</f>
        <v>479899</v>
      </c>
      <c r="K12" s="90">
        <f>'January 2023'!K12+'February 2023'!K12+'March 2023'!K12</f>
        <v>1096</v>
      </c>
      <c r="L12" s="91">
        <f t="shared" si="6"/>
        <v>0.19887497731809109</v>
      </c>
      <c r="M12" s="92">
        <f t="shared" si="8"/>
        <v>1645.9371700463807</v>
      </c>
      <c r="N12" s="93">
        <f>'January 2023'!N12+'February 2023'!N12+'March 2023'!N12</f>
        <v>1803947.1383708334</v>
      </c>
      <c r="O12" s="90">
        <f t="shared" si="2"/>
        <v>793</v>
      </c>
      <c r="P12" s="92">
        <f t="shared" si="3"/>
        <v>62.112087538130027</v>
      </c>
      <c r="Q12" s="93">
        <f t="shared" si="4"/>
        <v>1324048.1383708334</v>
      </c>
      <c r="T12" s="210"/>
      <c r="U12" s="210"/>
      <c r="V12" s="210"/>
      <c r="W12" s="210"/>
      <c r="X12" s="210"/>
    </row>
    <row r="13" spans="2:24" ht="33" customHeight="1" x14ac:dyDescent="0.35">
      <c r="B13" s="20" t="s">
        <v>39</v>
      </c>
      <c r="C13" s="55">
        <f>SUM(C11:C12)</f>
        <v>39</v>
      </c>
      <c r="D13" s="21">
        <f t="shared" si="0"/>
        <v>1.4744801512287334E-2</v>
      </c>
      <c r="E13" s="58">
        <f t="shared" si="5"/>
        <v>1181.5130769230768</v>
      </c>
      <c r="F13" s="59">
        <f>SUM(F11:F12)</f>
        <v>46079.009999999995</v>
      </c>
      <c r="G13" s="55">
        <f>SUM(G11:G12)</f>
        <v>493</v>
      </c>
      <c r="H13" s="21">
        <f t="shared" si="1"/>
        <v>0.10112820512820513</v>
      </c>
      <c r="I13" s="58">
        <f t="shared" si="7"/>
        <v>1877.1338742393509</v>
      </c>
      <c r="J13" s="59">
        <f>SUM(J11:J12)</f>
        <v>925427</v>
      </c>
      <c r="K13" s="55">
        <f>SUM(K11:K12)</f>
        <v>1732</v>
      </c>
      <c r="L13" s="21">
        <f t="shared" si="6"/>
        <v>0.31428052984939214</v>
      </c>
      <c r="M13" s="58">
        <f t="shared" si="8"/>
        <v>1747.9301857112459</v>
      </c>
      <c r="N13" s="59">
        <f>SUM(N11:N12)</f>
        <v>3027415.0816518781</v>
      </c>
      <c r="O13" s="55">
        <f t="shared" si="2"/>
        <v>1239</v>
      </c>
      <c r="P13" s="58">
        <f t="shared" si="3"/>
        <v>-129.20368852810498</v>
      </c>
      <c r="Q13" s="59">
        <f t="shared" si="4"/>
        <v>2101988.0816518781</v>
      </c>
      <c r="T13" s="223"/>
      <c r="U13" s="223"/>
      <c r="V13" s="223"/>
      <c r="W13" s="223"/>
      <c r="X13" s="223"/>
    </row>
    <row r="14" spans="2:24" s="94" customFormat="1" ht="33" customHeight="1" x14ac:dyDescent="0.3">
      <c r="B14" s="89" t="s">
        <v>47</v>
      </c>
      <c r="C14" s="90">
        <f>'January 2023'!C14+'February 2023'!C14+'March 2023'!C14</f>
        <v>77</v>
      </c>
      <c r="D14" s="91">
        <f t="shared" si="0"/>
        <v>2.9111531190926274E-2</v>
      </c>
      <c r="E14" s="92">
        <f t="shared" si="5"/>
        <v>1377.2418181818182</v>
      </c>
      <c r="F14" s="95">
        <f>'January 2023'!F14+'February 2023'!F14+'March 2023'!F14</f>
        <v>106047.62</v>
      </c>
      <c r="G14" s="90">
        <f>'January 2023'!G14+'February 2023'!G14+'March 2023'!G14</f>
        <v>385</v>
      </c>
      <c r="H14" s="91">
        <f t="shared" si="1"/>
        <v>7.8974358974358977E-2</v>
      </c>
      <c r="I14" s="92">
        <f t="shared" si="7"/>
        <v>1815.5974025974026</v>
      </c>
      <c r="J14" s="95">
        <f>'January 2023'!J14+'February 2023'!J14+'March 2023'!J14</f>
        <v>699005</v>
      </c>
      <c r="K14" s="90">
        <f>'January 2023'!K14+'February 2023'!K14+'March 2023'!K14</f>
        <v>0</v>
      </c>
      <c r="L14" s="91">
        <f t="shared" si="6"/>
        <v>0</v>
      </c>
      <c r="M14" s="92">
        <f t="shared" si="8"/>
        <v>0</v>
      </c>
      <c r="N14" s="95">
        <f>'January 2023'!N14+'February 2023'!N14+'March 2023'!N14</f>
        <v>0</v>
      </c>
      <c r="O14" s="90">
        <f t="shared" si="2"/>
        <v>-385</v>
      </c>
      <c r="P14" s="92">
        <f t="shared" si="3"/>
        <v>-1815.5974025974026</v>
      </c>
      <c r="Q14" s="96">
        <f t="shared" si="4"/>
        <v>-699005</v>
      </c>
      <c r="T14" s="210"/>
      <c r="U14" s="210"/>
      <c r="V14" s="210"/>
      <c r="W14" s="210"/>
      <c r="X14" s="210"/>
    </row>
    <row r="15" spans="2:24" s="94" customFormat="1" ht="33" customHeight="1" x14ac:dyDescent="0.3">
      <c r="B15" s="89" t="s">
        <v>43</v>
      </c>
      <c r="C15" s="90">
        <f>'January 2023'!C15+'February 2023'!C15+'March 2023'!C15</f>
        <v>787</v>
      </c>
      <c r="D15" s="91">
        <f t="shared" si="0"/>
        <v>0.29754253308128542</v>
      </c>
      <c r="E15" s="92">
        <f t="shared" si="5"/>
        <v>1634.775705209657</v>
      </c>
      <c r="F15" s="95">
        <f>'January 2023'!F15+'February 2023'!F15+'March 2023'!F15</f>
        <v>1286568.48</v>
      </c>
      <c r="G15" s="90">
        <f>'January 2023'!G15+'February 2023'!G15+'March 2023'!G15</f>
        <v>668</v>
      </c>
      <c r="H15" s="91">
        <f t="shared" si="1"/>
        <v>0.13702564102564102</v>
      </c>
      <c r="I15" s="92">
        <f t="shared" si="7"/>
        <v>2045.9715568862275</v>
      </c>
      <c r="J15" s="95">
        <f>'January 2023'!J15+'February 2023'!J15+'March 2023'!J15</f>
        <v>1366709</v>
      </c>
      <c r="K15" s="90">
        <f>'January 2023'!K15+'February 2023'!K15+'March 2023'!K15</f>
        <v>937</v>
      </c>
      <c r="L15" s="91">
        <f t="shared" si="6"/>
        <v>0.17002358918526583</v>
      </c>
      <c r="M15" s="92">
        <f t="shared" si="8"/>
        <v>1653.5213447171823</v>
      </c>
      <c r="N15" s="95">
        <f>'January 2023'!N15+'February 2023'!N15+'March 2023'!N15</f>
        <v>1549349.4999999998</v>
      </c>
      <c r="O15" s="90">
        <f t="shared" si="2"/>
        <v>269</v>
      </c>
      <c r="P15" s="92">
        <f t="shared" si="3"/>
        <v>-392.45021216904524</v>
      </c>
      <c r="Q15" s="96">
        <f t="shared" si="4"/>
        <v>182640.49999999977</v>
      </c>
      <c r="T15" s="210"/>
      <c r="U15" s="210"/>
      <c r="V15" s="210"/>
      <c r="W15" s="210"/>
      <c r="X15" s="210"/>
    </row>
    <row r="16" spans="2:24" ht="33" customHeight="1" x14ac:dyDescent="0.35">
      <c r="B16" s="20" t="s">
        <v>42</v>
      </c>
      <c r="C16" s="55">
        <f>SUM(C14:C15)</f>
        <v>864</v>
      </c>
      <c r="D16" s="21">
        <f t="shared" si="0"/>
        <v>0.32665406427221172</v>
      </c>
      <c r="E16" s="58">
        <f t="shared" si="5"/>
        <v>1611.8241898148149</v>
      </c>
      <c r="F16" s="87">
        <f>SUM(F14:F15)</f>
        <v>1392616.1</v>
      </c>
      <c r="G16" s="55">
        <f>SUM(G14:G15)</f>
        <v>1053</v>
      </c>
      <c r="H16" s="21">
        <f t="shared" si="1"/>
        <v>0.216</v>
      </c>
      <c r="I16" s="58">
        <f t="shared" si="7"/>
        <v>1961.741690408357</v>
      </c>
      <c r="J16" s="87">
        <f>SUM(J14:J15)</f>
        <v>2065714</v>
      </c>
      <c r="K16" s="55">
        <f>SUM(K14:K15)</f>
        <v>937</v>
      </c>
      <c r="L16" s="21">
        <f t="shared" si="6"/>
        <v>0.17002358918526583</v>
      </c>
      <c r="M16" s="58">
        <f t="shared" si="8"/>
        <v>1653.5213447171823</v>
      </c>
      <c r="N16" s="87">
        <f>SUM(N14:N15)</f>
        <v>1549349.4999999998</v>
      </c>
      <c r="O16" s="55">
        <f t="shared" si="2"/>
        <v>-116</v>
      </c>
      <c r="P16" s="58">
        <f t="shared" si="3"/>
        <v>-308.22034569117477</v>
      </c>
      <c r="Q16" s="88">
        <f t="shared" si="4"/>
        <v>-516364.50000000023</v>
      </c>
      <c r="T16" s="223"/>
      <c r="U16" s="223"/>
      <c r="V16" s="223"/>
      <c r="W16" s="223"/>
      <c r="X16" s="223"/>
    </row>
    <row r="17" spans="2:24" ht="33" hidden="1" customHeight="1" x14ac:dyDescent="0.35">
      <c r="B17" s="20" t="s">
        <v>46</v>
      </c>
      <c r="C17" s="55">
        <v>0</v>
      </c>
      <c r="D17" s="21">
        <f t="shared" si="0"/>
        <v>0</v>
      </c>
      <c r="E17" s="58">
        <f t="shared" si="5"/>
        <v>0</v>
      </c>
      <c r="F17" s="87">
        <v>0</v>
      </c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T17" s="223"/>
      <c r="U17" s="223"/>
      <c r="V17" s="223"/>
      <c r="W17" s="223"/>
      <c r="X17" s="223"/>
    </row>
    <row r="18" spans="2:24" ht="33" hidden="1" customHeight="1" x14ac:dyDescent="0.35">
      <c r="B18" s="22" t="s">
        <v>13</v>
      </c>
      <c r="C18" s="56">
        <f>C8+C9+C11+C12+C17</f>
        <v>1600</v>
      </c>
      <c r="D18" s="23">
        <f t="shared" si="0"/>
        <v>0.60491493383742911</v>
      </c>
      <c r="E18" s="60">
        <f>IF(C18=0,0,F18/C18)</f>
        <v>1259.3691499999998</v>
      </c>
      <c r="F18" s="61">
        <f>F8+F9+F11+F12+F17</f>
        <v>2014990.6399999997</v>
      </c>
      <c r="G18" s="56">
        <f>G8+G9+G11+G12</f>
        <v>3495</v>
      </c>
      <c r="H18" s="23">
        <f>+IF(G$24=0,0,G18/G$24)</f>
        <v>0.71692307692307689</v>
      </c>
      <c r="I18" s="60">
        <f>IF(G18=0,0,J18/G18)</f>
        <v>1994.910443490701</v>
      </c>
      <c r="J18" s="61">
        <f>J8+J9+J11+J12</f>
        <v>6972212</v>
      </c>
      <c r="K18" s="56">
        <f>K8+K9+K11+K12</f>
        <v>4369</v>
      </c>
      <c r="L18" s="23">
        <f>+IF(K$24=0,0,K18/K$24)</f>
        <v>0.79277808020322993</v>
      </c>
      <c r="M18" s="60">
        <f>IF(K18=0,0,N18/K18)</f>
        <v>1973.2621451734926</v>
      </c>
      <c r="N18" s="61">
        <f>N8+N9+N11+N12</f>
        <v>8621182.3122629896</v>
      </c>
      <c r="O18" s="56">
        <f t="shared" si="2"/>
        <v>874</v>
      </c>
      <c r="P18" s="60">
        <f t="shared" si="3"/>
        <v>-21.6482983172084</v>
      </c>
      <c r="Q18" s="66">
        <f t="shared" si="4"/>
        <v>1648970.3122629896</v>
      </c>
      <c r="T18" s="223"/>
      <c r="U18" s="223"/>
      <c r="V18" s="223"/>
      <c r="W18" s="223"/>
      <c r="X18" s="223"/>
    </row>
    <row r="19" spans="2:24" ht="33" hidden="1" customHeight="1" x14ac:dyDescent="0.35">
      <c r="B19" s="22" t="s">
        <v>45</v>
      </c>
      <c r="C19" s="56">
        <f>C7+C14+C15</f>
        <v>994</v>
      </c>
      <c r="D19" s="23">
        <f t="shared" si="0"/>
        <v>0.37580340264650286</v>
      </c>
      <c r="E19" s="60">
        <f>IF(C19=0,0,F19/C19)</f>
        <v>1576.2829879275655</v>
      </c>
      <c r="F19" s="61">
        <f>F7+F14+F15</f>
        <v>1566825.29</v>
      </c>
      <c r="G19" s="105">
        <f>G7+G14+G15</f>
        <v>1353</v>
      </c>
      <c r="H19" s="106">
        <f>+IF(G$24=0,0,G19/G$24)</f>
        <v>0.27753846153846151</v>
      </c>
      <c r="I19" s="107">
        <f>IF(G19=0,0,J19/G19)</f>
        <v>1970.4626755358463</v>
      </c>
      <c r="J19" s="108">
        <f>J7+J14+J15</f>
        <v>2666036</v>
      </c>
      <c r="K19" s="105">
        <f>K7+K14+K15</f>
        <v>1117</v>
      </c>
      <c r="L19" s="106">
        <f>+IF(K$24=0,0,K19/K$24)</f>
        <v>0.20268553801487932</v>
      </c>
      <c r="M19" s="107">
        <f>IF(K19=0,0,N19/K19)</f>
        <v>1740.1684870188003</v>
      </c>
      <c r="N19" s="108">
        <f>N7+N14+N15</f>
        <v>1943768.2</v>
      </c>
      <c r="O19" s="56">
        <f t="shared" si="2"/>
        <v>-236</v>
      </c>
      <c r="P19" s="60">
        <f t="shared" si="3"/>
        <v>-230.294188517046</v>
      </c>
      <c r="Q19" s="66">
        <f t="shared" si="4"/>
        <v>-722267.8</v>
      </c>
      <c r="T19" s="223"/>
      <c r="U19" s="223"/>
      <c r="V19" s="223"/>
      <c r="W19" s="223"/>
      <c r="X19" s="223"/>
    </row>
    <row r="20" spans="2:24" ht="33" customHeight="1" x14ac:dyDescent="0.35">
      <c r="B20" s="28" t="s">
        <v>16</v>
      </c>
      <c r="C20" s="56">
        <f>C18+C19</f>
        <v>2594</v>
      </c>
      <c r="D20" s="23">
        <f t="shared" si="0"/>
        <v>0.98071833648393192</v>
      </c>
      <c r="E20" s="60">
        <f t="shared" si="5"/>
        <v>1380.8079915188896</v>
      </c>
      <c r="F20" s="64">
        <f>F18+F19</f>
        <v>3581815.9299999997</v>
      </c>
      <c r="G20" s="56">
        <f>G18+G19</f>
        <v>4848</v>
      </c>
      <c r="H20" s="23">
        <f>+IF(G$24=0,0,G20/G$24)</f>
        <v>0.99446153846153851</v>
      </c>
      <c r="I20" s="60">
        <f>IF(G20=0,0,J20/G20)</f>
        <v>1988.0874587458745</v>
      </c>
      <c r="J20" s="64">
        <f>J18+J19</f>
        <v>9638248</v>
      </c>
      <c r="K20" s="56">
        <f>K18+K19</f>
        <v>5486</v>
      </c>
      <c r="L20" s="23">
        <f>+IF(K$24=0,0,K20/K$24)</f>
        <v>0.99546361821810925</v>
      </c>
      <c r="M20" s="60">
        <f>IF(K20=0,0,N20/K20)</f>
        <v>1925.8021349367461</v>
      </c>
      <c r="N20" s="64">
        <f>N18+N19</f>
        <v>10564950.512262989</v>
      </c>
      <c r="O20" s="56">
        <f t="shared" si="2"/>
        <v>638</v>
      </c>
      <c r="P20" s="60">
        <f t="shared" si="3"/>
        <v>-62.285323809128386</v>
      </c>
      <c r="Q20" s="66">
        <f t="shared" si="4"/>
        <v>926702.51226298884</v>
      </c>
      <c r="T20" s="223"/>
      <c r="U20" s="223"/>
      <c r="V20" s="223"/>
      <c r="W20" s="223"/>
      <c r="X20" s="223"/>
    </row>
    <row r="21" spans="2:24" ht="33" customHeight="1" x14ac:dyDescent="0.35">
      <c r="B21" s="29" t="s">
        <v>17</v>
      </c>
      <c r="C21" s="24">
        <f>IF(C4=0,C20,C20/$C$4)</f>
        <v>0.18390641616448067</v>
      </c>
      <c r="D21" s="30"/>
      <c r="E21" s="35"/>
      <c r="F21" s="36"/>
      <c r="G21" s="24">
        <f>IF(G4=0,G20,G20/$C$4)</f>
        <v>0.34370790499822756</v>
      </c>
      <c r="H21" s="30"/>
      <c r="I21" s="35"/>
      <c r="J21" s="36"/>
      <c r="K21" s="24">
        <f>IF(K4=0,K20,K20/$C$4)</f>
        <v>0.38894009216589864</v>
      </c>
      <c r="L21" s="30"/>
      <c r="M21" s="35"/>
      <c r="N21" s="36"/>
      <c r="O21" s="54">
        <f t="shared" si="2"/>
        <v>4.5232187167671078E-2</v>
      </c>
      <c r="P21" s="30">
        <f t="shared" si="3"/>
        <v>0</v>
      </c>
      <c r="Q21" s="31">
        <f t="shared" si="4"/>
        <v>0</v>
      </c>
      <c r="T21" s="223"/>
      <c r="U21" s="223"/>
      <c r="V21" s="223"/>
      <c r="W21" s="223"/>
      <c r="X21" s="223"/>
    </row>
    <row r="22" spans="2:24" ht="33" customHeight="1" x14ac:dyDescent="0.35">
      <c r="B22" s="25" t="s">
        <v>18</v>
      </c>
      <c r="C22" s="57">
        <f>'January 2023'!C22+'February 2023'!C22+'March 2023'!C22</f>
        <v>51</v>
      </c>
      <c r="D22" s="26">
        <f>+IF(C$24=0,0,C22/C$24)</f>
        <v>1.9281663516068054E-2</v>
      </c>
      <c r="E22" s="65">
        <f t="shared" si="5"/>
        <v>-681.75588235294128</v>
      </c>
      <c r="F22" s="63">
        <f>'January 2023'!F22+'February 2023'!F22+'March 2023'!F22</f>
        <v>-34769.550000000003</v>
      </c>
      <c r="G22" s="57">
        <f>'January 2023'!G22+'February 2023'!G22+'March 2023'!G22</f>
        <v>27</v>
      </c>
      <c r="H22" s="26">
        <f>+IF(G$24=0,0,G22/G$24)</f>
        <v>5.5384615384615381E-3</v>
      </c>
      <c r="I22" s="65">
        <f>IF(G22=0,0,J22/G22)</f>
        <v>783</v>
      </c>
      <c r="J22" s="63">
        <f>'January 2023'!J22+'February 2023'!J22+'March 2023'!J22</f>
        <v>21141</v>
      </c>
      <c r="K22" s="57">
        <f>'January 2023'!K22+'February 2023'!K22+'March 2023'!K22</f>
        <v>25</v>
      </c>
      <c r="L22" s="26">
        <f>+IF(K$24=0,0,K22/K$24)</f>
        <v>4.5363817818907639E-3</v>
      </c>
      <c r="M22" s="65">
        <f>IF(K22=0,0,N22/K22)</f>
        <v>0</v>
      </c>
      <c r="N22" s="63">
        <f>'January 2023'!N22+'February 2023'!N22+'March 2023'!N22</f>
        <v>0</v>
      </c>
      <c r="O22" s="57">
        <f t="shared" si="2"/>
        <v>-2</v>
      </c>
      <c r="P22" s="62">
        <f t="shared" si="3"/>
        <v>-783</v>
      </c>
      <c r="Q22" s="63">
        <f t="shared" si="4"/>
        <v>-21141</v>
      </c>
      <c r="T22" s="223"/>
      <c r="U22" s="223"/>
      <c r="V22" s="223"/>
      <c r="W22" s="223"/>
      <c r="X22" s="223"/>
    </row>
    <row r="23" spans="2:24" ht="33" customHeight="1" x14ac:dyDescent="0.35">
      <c r="B23" s="25" t="s">
        <v>28</v>
      </c>
      <c r="C23" s="57">
        <f>'January 2023'!C23+'February 2023'!C23+'March 2023'!C23</f>
        <v>0</v>
      </c>
      <c r="D23" s="26">
        <f>+IF(C$24=0,0,C23/C$24)</f>
        <v>0</v>
      </c>
      <c r="E23" s="62">
        <f t="shared" si="5"/>
        <v>0</v>
      </c>
      <c r="F23" s="63">
        <v>0</v>
      </c>
      <c r="G23" s="57">
        <f>'January 2023'!G23+'February 2023'!G23+'March 2023'!G23</f>
        <v>0</v>
      </c>
      <c r="H23" s="26">
        <f>+IF(G$24=0,0,G23/G$24)</f>
        <v>0</v>
      </c>
      <c r="I23" s="62">
        <f>IF(G23=0,0,J23/G23)</f>
        <v>0</v>
      </c>
      <c r="J23" s="63">
        <f>'January 2023'!J23+'February 2023'!J23+'March 2023'!J23</f>
        <v>0</v>
      </c>
      <c r="K23" s="57">
        <f>'January 2023'!K23+'February 2023'!K23+'March 2023'!K23</f>
        <v>0</v>
      </c>
      <c r="L23" s="26">
        <f>+IF(K$24=0,0,K23/K$24)</f>
        <v>0</v>
      </c>
      <c r="M23" s="62">
        <f>IF(K23=0,0,N23/K23)</f>
        <v>0</v>
      </c>
      <c r="N23" s="63">
        <f>'January 2023'!N23+'February 2023'!N23+'March 2023'!N23</f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  <c r="T23" s="223"/>
      <c r="U23" s="223"/>
      <c r="V23" s="223"/>
      <c r="W23" s="223"/>
      <c r="X23" s="223"/>
    </row>
    <row r="24" spans="2:24" ht="33" customHeight="1" x14ac:dyDescent="0.35">
      <c r="B24" s="22" t="s">
        <v>20</v>
      </c>
      <c r="C24" s="56">
        <f>C10+C13+C16+C22+C23+C17</f>
        <v>2645</v>
      </c>
      <c r="D24" s="23">
        <f>+IF(C$24=0,0,C24/C$24)</f>
        <v>1</v>
      </c>
      <c r="E24" s="60">
        <f t="shared" si="5"/>
        <v>1341.0383289224953</v>
      </c>
      <c r="F24" s="64">
        <f>F10+F13+F16+F22+F23+F17</f>
        <v>3547046.38</v>
      </c>
      <c r="G24" s="56">
        <f>G10+G13+G16+G22+G23</f>
        <v>4875</v>
      </c>
      <c r="H24" s="23">
        <f>+IF(G$24=0,0,G24/G$24)</f>
        <v>1</v>
      </c>
      <c r="I24" s="60">
        <f>IF(G24=0,0,J24/G24)</f>
        <v>1981.4131282051283</v>
      </c>
      <c r="J24" s="64">
        <f>J10+J13+J16+J22+J23</f>
        <v>9659389</v>
      </c>
      <c r="K24" s="56">
        <f>K10+K13+K16+K22+K23</f>
        <v>5511</v>
      </c>
      <c r="L24" s="23">
        <f>+IF(K$24=0,0,K24/K$24)</f>
        <v>1</v>
      </c>
      <c r="M24" s="60">
        <f>IF(K24=0,0,N24/K24)</f>
        <v>1917.0659612162926</v>
      </c>
      <c r="N24" s="64">
        <f>N10+N13+N16+N22+N23</f>
        <v>10564950.512262989</v>
      </c>
      <c r="O24" s="56">
        <f t="shared" si="2"/>
        <v>636</v>
      </c>
      <c r="P24" s="60">
        <f t="shared" si="3"/>
        <v>-64.347166988835625</v>
      </c>
      <c r="Q24" s="64">
        <f t="shared" si="4"/>
        <v>905561.51226298884</v>
      </c>
      <c r="T24" s="223"/>
      <c r="U24" s="223"/>
      <c r="V24" s="223"/>
      <c r="W24" s="223"/>
      <c r="X24" s="223"/>
    </row>
    <row r="25" spans="2:24" ht="33" customHeight="1" x14ac:dyDescent="0.35">
      <c r="B25" s="32"/>
      <c r="C25" s="33"/>
      <c r="D25" s="109"/>
      <c r="E25" s="35"/>
      <c r="F25" s="36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-3.2475391463225436E-2</v>
      </c>
      <c r="Q25" s="38">
        <f>IF(J24=0,(N24-J24),(N24-J24)/J24)</f>
        <v>9.3749357465879965E-2</v>
      </c>
    </row>
    <row r="26" spans="2:24" ht="33" customHeight="1" x14ac:dyDescent="0.35">
      <c r="B26" s="40" t="s">
        <v>21</v>
      </c>
      <c r="C26" s="41">
        <f>IF(C4=0,C24,C24/C4)</f>
        <v>0.18752215526409075</v>
      </c>
      <c r="D26" s="30"/>
      <c r="E26" s="30"/>
      <c r="F26" s="31"/>
      <c r="G26" s="41">
        <f>IF(G4=0,G24,G24/G4)</f>
        <v>0.67708333333333337</v>
      </c>
      <c r="H26" s="30"/>
      <c r="I26" s="30"/>
      <c r="J26" s="31"/>
      <c r="K26" s="41">
        <f>IF(K4=0,K24,K24/K4)</f>
        <v>0.76541666666666663</v>
      </c>
      <c r="L26" s="30"/>
      <c r="M26" s="30"/>
      <c r="N26" s="31"/>
      <c r="O26" s="41">
        <f>K26-G26</f>
        <v>8.8333333333333264E-2</v>
      </c>
      <c r="P26" s="30"/>
      <c r="Q26" s="31"/>
    </row>
    <row r="27" spans="2:24" ht="33" customHeight="1" x14ac:dyDescent="0.35">
      <c r="B27" s="42" t="s">
        <v>22</v>
      </c>
      <c r="C27" s="43">
        <f>IF(C4=0,0,F$24/C$4)</f>
        <v>251.47439773130094</v>
      </c>
      <c r="D27" s="44"/>
      <c r="E27" s="45"/>
      <c r="F27" s="46"/>
      <c r="G27" s="43">
        <f>IF(G4=0,0,J$24/G$4)</f>
        <v>1341.5818055555555</v>
      </c>
      <c r="H27" s="44"/>
      <c r="I27" s="45"/>
      <c r="J27" s="46"/>
      <c r="K27" s="43">
        <f>IF(K4=0,0,N$24/K$4)</f>
        <v>1467.354237814304</v>
      </c>
      <c r="L27" s="44"/>
      <c r="M27" s="45"/>
      <c r="N27" s="46"/>
      <c r="O27" s="43">
        <f>K27-G27</f>
        <v>125.77243225874849</v>
      </c>
      <c r="P27" s="45"/>
      <c r="Q27" s="46"/>
    </row>
    <row r="28" spans="2:24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4" x14ac:dyDescent="0.35">
      <c r="B29" s="789" t="s">
        <v>23</v>
      </c>
      <c r="C29" s="790"/>
      <c r="D29" s="790"/>
      <c r="E29" s="790"/>
      <c r="F29" s="790"/>
      <c r="G29" s="790"/>
      <c r="H29" s="790"/>
      <c r="I29" s="790"/>
      <c r="J29" s="790"/>
      <c r="K29" s="790"/>
      <c r="L29" s="790"/>
      <c r="M29" s="790"/>
      <c r="N29" s="790"/>
      <c r="O29" s="790"/>
      <c r="P29" s="790"/>
      <c r="Q29" s="791"/>
    </row>
    <row r="30" spans="2:24" x14ac:dyDescent="0.35">
      <c r="B30" s="85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9"/>
    </row>
    <row r="31" spans="2:24" x14ac:dyDescent="0.35">
      <c r="B31" s="85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9"/>
    </row>
    <row r="32" spans="2:24" x14ac:dyDescent="0.35">
      <c r="B32" s="85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9"/>
    </row>
    <row r="33" spans="2:17" x14ac:dyDescent="0.35">
      <c r="B33" s="85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9"/>
    </row>
    <row r="34" spans="2:17" x14ac:dyDescent="0.35">
      <c r="B34" s="47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9"/>
    </row>
    <row r="35" spans="2:17" x14ac:dyDescent="0.35">
      <c r="B35" s="47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9"/>
    </row>
    <row r="36" spans="2:17" x14ac:dyDescent="0.35">
      <c r="B36" s="50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2"/>
    </row>
    <row r="37" spans="2:17" x14ac:dyDescent="0.35">
      <c r="Q37" s="86"/>
    </row>
    <row r="38" spans="2:17" x14ac:dyDescent="0.35">
      <c r="Q38" s="86"/>
    </row>
  </sheetData>
  <sheetProtection formatCells="0" formatColumns="0" formatRows="0" insertColumns="0" insertRows="0" deleteColumns="0" deleteRows="0" selectLockedCells="1" selectUnlockedCells="1"/>
  <mergeCells count="7">
    <mergeCell ref="B29:Q29"/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39"/>
  <dimension ref="A1:BD76"/>
  <sheetViews>
    <sheetView view="pageBreakPreview" topLeftCell="A4" zoomScale="60" zoomScaleNormal="60" workbookViewId="0">
      <selection activeCell="L34" sqref="L34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9.7109375" style="111" bestFit="1" customWidth="1"/>
    <col min="29" max="29" width="9.140625" style="112" customWidth="1"/>
    <col min="30" max="30" width="11.140625" style="113" bestFit="1" customWidth="1"/>
    <col min="31" max="31" width="8.85546875" style="112"/>
    <col min="32" max="32" width="12" style="112" bestFit="1" customWidth="1"/>
    <col min="33" max="33" width="11.7109375" style="112" bestFit="1" customWidth="1"/>
    <col min="34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65">
        <f>'Annual 2022l2023'!C3</f>
        <v>44690</v>
      </c>
      <c r="F1" s="765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30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76"/>
      <c r="C4" s="777"/>
      <c r="D4" s="778" t="s">
        <v>143</v>
      </c>
      <c r="E4" s="779"/>
      <c r="F4" s="779"/>
      <c r="G4" s="779"/>
      <c r="H4" s="779"/>
      <c r="I4" s="779"/>
      <c r="J4" s="779"/>
      <c r="K4" s="779"/>
      <c r="L4" s="779"/>
      <c r="M4" s="779"/>
      <c r="N4" s="779"/>
      <c r="O4" s="779"/>
      <c r="P4" s="779"/>
      <c r="Q4" s="779"/>
      <c r="R4" s="779"/>
      <c r="S4" s="779"/>
      <c r="T4" s="779"/>
      <c r="U4" s="779"/>
      <c r="V4" s="779"/>
      <c r="W4" s="779"/>
      <c r="X4" s="779"/>
      <c r="Y4" s="779"/>
      <c r="Z4" s="779"/>
      <c r="AA4" s="779"/>
      <c r="AB4" s="780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81" t="s">
        <v>50</v>
      </c>
      <c r="E5" s="784"/>
      <c r="F5" s="782" t="s">
        <v>51</v>
      </c>
      <c r="G5" s="782"/>
      <c r="H5" s="773" t="s">
        <v>52</v>
      </c>
      <c r="I5" s="773"/>
      <c r="J5" s="783" t="s">
        <v>53</v>
      </c>
      <c r="K5" s="773"/>
      <c r="L5" s="783" t="s">
        <v>54</v>
      </c>
      <c r="M5" s="773"/>
      <c r="N5" s="783" t="s">
        <v>55</v>
      </c>
      <c r="O5" s="773"/>
      <c r="P5" s="783" t="s">
        <v>56</v>
      </c>
      <c r="Q5" s="773"/>
      <c r="R5" s="783" t="s">
        <v>57</v>
      </c>
      <c r="S5" s="773"/>
      <c r="T5" s="122"/>
      <c r="U5" s="774"/>
      <c r="V5" s="775"/>
      <c r="W5" s="774"/>
      <c r="X5" s="775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290"/>
      <c r="B6" s="398"/>
      <c r="C6" s="399"/>
      <c r="D6" s="400" t="s">
        <v>58</v>
      </c>
      <c r="E6" s="401" t="s">
        <v>60</v>
      </c>
      <c r="F6" s="133" t="s">
        <v>58</v>
      </c>
      <c r="G6" s="401" t="s">
        <v>60</v>
      </c>
      <c r="H6" s="134" t="s">
        <v>58</v>
      </c>
      <c r="I6" s="134" t="s">
        <v>60</v>
      </c>
      <c r="J6" s="133" t="s">
        <v>58</v>
      </c>
      <c r="K6" s="134" t="s">
        <v>61</v>
      </c>
      <c r="L6" s="133" t="s">
        <v>58</v>
      </c>
      <c r="M6" s="134" t="s">
        <v>61</v>
      </c>
      <c r="N6" s="133" t="s">
        <v>58</v>
      </c>
      <c r="O6" s="134" t="s">
        <v>61</v>
      </c>
      <c r="P6" s="133" t="s">
        <v>58</v>
      </c>
      <c r="Q6" s="134" t="s">
        <v>61</v>
      </c>
      <c r="R6" s="133" t="s">
        <v>58</v>
      </c>
      <c r="S6" s="134" t="s">
        <v>61</v>
      </c>
      <c r="T6" s="402"/>
      <c r="U6" s="133"/>
      <c r="V6" s="402"/>
      <c r="W6" s="133"/>
      <c r="X6" s="402"/>
      <c r="Y6" s="133"/>
      <c r="Z6" s="134" t="s">
        <v>62</v>
      </c>
      <c r="AA6" s="134" t="s">
        <v>60</v>
      </c>
      <c r="AB6" s="399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126" customFormat="1" ht="15.75" customHeight="1" x14ac:dyDescent="0.25">
      <c r="A7" s="230"/>
      <c r="B7" s="187" t="s">
        <v>69</v>
      </c>
      <c r="C7" s="188">
        <v>1</v>
      </c>
      <c r="D7" s="189">
        <v>0</v>
      </c>
      <c r="E7" s="190">
        <v>0</v>
      </c>
      <c r="F7" s="191">
        <v>36</v>
      </c>
      <c r="G7" s="190">
        <v>1817.8125</v>
      </c>
      <c r="H7" s="191">
        <v>2</v>
      </c>
      <c r="I7" s="190">
        <v>1312</v>
      </c>
      <c r="J7" s="191">
        <v>0</v>
      </c>
      <c r="K7" s="192">
        <v>0</v>
      </c>
      <c r="L7" s="191">
        <v>18</v>
      </c>
      <c r="M7" s="192">
        <v>1307</v>
      </c>
      <c r="N7" s="191">
        <v>0</v>
      </c>
      <c r="O7" s="192">
        <v>0</v>
      </c>
      <c r="P7" s="191">
        <v>0</v>
      </c>
      <c r="Q7" s="192">
        <v>0</v>
      </c>
      <c r="R7" s="191">
        <v>1</v>
      </c>
      <c r="S7" s="192">
        <v>0</v>
      </c>
      <c r="T7" s="192"/>
      <c r="U7" s="191"/>
      <c r="V7" s="190"/>
      <c r="W7" s="191"/>
      <c r="X7" s="190"/>
      <c r="Y7" s="193">
        <f t="shared" ref="Y7:Y36" si="0">SUM(D7,F7,H7,J7,L7,U7,W7,N7,P7,R7)</f>
        <v>57</v>
      </c>
      <c r="Z7" s="194">
        <f t="shared" ref="Z7:Z36" si="1">((D7*E7)+(F7*G7)+(H7*I7)+(J7*K7)+(L7*M7)+(U7*V7)+(W7*X7)+(N7*O7)+(P7*Q7)+(R7*S7))</f>
        <v>91591.25</v>
      </c>
      <c r="AA7" s="195">
        <f>IF(Z7=0,0,Z7/Y7)</f>
        <v>1606.8640350877192</v>
      </c>
      <c r="AB7" s="196">
        <f t="shared" ref="AB7:AB36" si="2">Y7/$AB$6</f>
        <v>0.71250000000000002</v>
      </c>
      <c r="AC7" s="143"/>
      <c r="AD7" s="127"/>
      <c r="AE7" s="143"/>
    </row>
    <row r="8" spans="1:55" s="126" customFormat="1" ht="15.95" customHeight="1" x14ac:dyDescent="0.25">
      <c r="A8" s="230"/>
      <c r="B8" s="150" t="s">
        <v>63</v>
      </c>
      <c r="C8" s="151">
        <v>2</v>
      </c>
      <c r="D8" s="152">
        <v>0</v>
      </c>
      <c r="E8" s="153">
        <v>0</v>
      </c>
      <c r="F8" s="154">
        <v>24</v>
      </c>
      <c r="G8" s="153">
        <v>1899.954</v>
      </c>
      <c r="H8" s="154">
        <v>1</v>
      </c>
      <c r="I8" s="153">
        <v>1312</v>
      </c>
      <c r="J8" s="154">
        <v>11</v>
      </c>
      <c r="K8" s="155">
        <v>1560.87</v>
      </c>
      <c r="L8" s="154">
        <v>18</v>
      </c>
      <c r="M8" s="155">
        <v>1307</v>
      </c>
      <c r="N8" s="154">
        <v>0</v>
      </c>
      <c r="O8" s="155">
        <v>0</v>
      </c>
      <c r="P8" s="154">
        <v>0</v>
      </c>
      <c r="Q8" s="155">
        <v>0</v>
      </c>
      <c r="R8" s="154">
        <v>1</v>
      </c>
      <c r="S8" s="155">
        <v>0</v>
      </c>
      <c r="T8" s="155"/>
      <c r="U8" s="154"/>
      <c r="V8" s="153"/>
      <c r="W8" s="154"/>
      <c r="X8" s="153"/>
      <c r="Y8" s="156">
        <f t="shared" si="0"/>
        <v>55</v>
      </c>
      <c r="Z8" s="157">
        <f t="shared" si="1"/>
        <v>87606.466</v>
      </c>
      <c r="AA8" s="197">
        <f t="shared" ref="AA8:AA33" si="3">IF(Z8=0,0,Z8/Y8)</f>
        <v>1592.8448363636364</v>
      </c>
      <c r="AB8" s="198">
        <f t="shared" si="2"/>
        <v>0.6875</v>
      </c>
      <c r="AC8" s="143"/>
      <c r="AD8" s="127"/>
      <c r="AE8" s="143"/>
    </row>
    <row r="9" spans="1:55" s="126" customFormat="1" ht="15.95" customHeight="1" x14ac:dyDescent="0.25">
      <c r="A9" s="794"/>
      <c r="B9" s="136" t="s">
        <v>64</v>
      </c>
      <c r="C9" s="137">
        <v>3</v>
      </c>
      <c r="D9" s="138">
        <v>0</v>
      </c>
      <c r="E9" s="139">
        <v>0</v>
      </c>
      <c r="F9" s="140">
        <v>25</v>
      </c>
      <c r="G9" s="139">
        <v>1659.9345000000001</v>
      </c>
      <c r="H9" s="140">
        <v>1</v>
      </c>
      <c r="I9" s="139">
        <v>1312</v>
      </c>
      <c r="J9" s="140">
        <v>11</v>
      </c>
      <c r="K9" s="141">
        <v>1560.87</v>
      </c>
      <c r="L9" s="140">
        <v>18</v>
      </c>
      <c r="M9" s="141">
        <v>1307</v>
      </c>
      <c r="N9" s="140">
        <v>0</v>
      </c>
      <c r="O9" s="141">
        <v>0</v>
      </c>
      <c r="P9" s="140">
        <v>0</v>
      </c>
      <c r="Q9" s="141">
        <v>0</v>
      </c>
      <c r="R9" s="140">
        <v>1</v>
      </c>
      <c r="S9" s="141">
        <v>0</v>
      </c>
      <c r="T9" s="141"/>
      <c r="U9" s="140"/>
      <c r="V9" s="139"/>
      <c r="W9" s="140"/>
      <c r="X9" s="139"/>
      <c r="Y9" s="142">
        <f t="shared" si="0"/>
        <v>56</v>
      </c>
      <c r="Z9" s="143">
        <f t="shared" si="1"/>
        <v>83505.932499999995</v>
      </c>
      <c r="AA9" s="331">
        <f t="shared" si="3"/>
        <v>1491.1773660714284</v>
      </c>
      <c r="AB9" s="145">
        <f t="shared" si="2"/>
        <v>0.7</v>
      </c>
      <c r="AC9" s="143"/>
      <c r="AD9" s="127"/>
      <c r="AE9" s="143"/>
    </row>
    <row r="10" spans="1:55" s="126" customFormat="1" ht="15.95" customHeight="1" x14ac:dyDescent="0.25">
      <c r="A10" s="794"/>
      <c r="B10" s="136" t="s">
        <v>65</v>
      </c>
      <c r="C10" s="137">
        <v>4</v>
      </c>
      <c r="D10" s="138">
        <v>0</v>
      </c>
      <c r="E10" s="139">
        <v>0</v>
      </c>
      <c r="F10" s="140">
        <v>25</v>
      </c>
      <c r="G10" s="139">
        <v>1808.5095000000001</v>
      </c>
      <c r="H10" s="140">
        <v>0</v>
      </c>
      <c r="I10" s="139">
        <v>0</v>
      </c>
      <c r="J10" s="140">
        <v>0</v>
      </c>
      <c r="K10" s="141">
        <v>0</v>
      </c>
      <c r="L10" s="140">
        <v>18</v>
      </c>
      <c r="M10" s="141">
        <v>1307</v>
      </c>
      <c r="N10" s="140">
        <v>0</v>
      </c>
      <c r="O10" s="141">
        <v>0</v>
      </c>
      <c r="P10" s="140">
        <v>0</v>
      </c>
      <c r="Q10" s="141">
        <v>0</v>
      </c>
      <c r="R10" s="140">
        <v>1</v>
      </c>
      <c r="S10" s="141">
        <v>0</v>
      </c>
      <c r="T10" s="141"/>
      <c r="U10" s="140"/>
      <c r="V10" s="139"/>
      <c r="W10" s="140"/>
      <c r="X10" s="139"/>
      <c r="Y10" s="142">
        <f t="shared" si="0"/>
        <v>44</v>
      </c>
      <c r="Z10" s="143">
        <f t="shared" si="1"/>
        <v>68738.737500000003</v>
      </c>
      <c r="AA10" s="331">
        <f t="shared" si="3"/>
        <v>1562.2440340909091</v>
      </c>
      <c r="AB10" s="145">
        <f t="shared" si="2"/>
        <v>0.55000000000000004</v>
      </c>
      <c r="AC10" s="143"/>
      <c r="AD10" s="127"/>
      <c r="AE10" s="143"/>
    </row>
    <row r="11" spans="1:55" s="146" customFormat="1" ht="15.95" customHeight="1" x14ac:dyDescent="0.25">
      <c r="A11" s="794"/>
      <c r="B11" s="136" t="s">
        <v>66</v>
      </c>
      <c r="C11" s="137">
        <v>5</v>
      </c>
      <c r="D11" s="138">
        <v>0</v>
      </c>
      <c r="E11" s="139">
        <v>0</v>
      </c>
      <c r="F11" s="140">
        <v>25</v>
      </c>
      <c r="G11" s="139">
        <v>1780.4430000000002</v>
      </c>
      <c r="H11" s="140">
        <v>0</v>
      </c>
      <c r="I11" s="139">
        <v>0</v>
      </c>
      <c r="J11" s="140">
        <v>0</v>
      </c>
      <c r="K11" s="141">
        <v>0</v>
      </c>
      <c r="L11" s="140">
        <v>18</v>
      </c>
      <c r="M11" s="141">
        <v>1307</v>
      </c>
      <c r="N11" s="140">
        <v>0</v>
      </c>
      <c r="O11" s="141">
        <v>0</v>
      </c>
      <c r="P11" s="140">
        <v>0</v>
      </c>
      <c r="Q11" s="141">
        <v>0</v>
      </c>
      <c r="R11" s="140">
        <v>1</v>
      </c>
      <c r="S11" s="141">
        <v>0</v>
      </c>
      <c r="T11" s="141"/>
      <c r="U11" s="140"/>
      <c r="V11" s="139"/>
      <c r="W11" s="140"/>
      <c r="X11" s="139"/>
      <c r="Y11" s="142">
        <f t="shared" si="0"/>
        <v>44</v>
      </c>
      <c r="Z11" s="143">
        <f t="shared" si="1"/>
        <v>68037.075000000012</v>
      </c>
      <c r="AA11" s="331">
        <f t="shared" si="3"/>
        <v>1546.2971590909094</v>
      </c>
      <c r="AB11" s="145">
        <f t="shared" si="2"/>
        <v>0.55000000000000004</v>
      </c>
      <c r="AC11" s="143"/>
      <c r="AD11" s="127"/>
      <c r="AE11" s="143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  <c r="BB11" s="126"/>
    </row>
    <row r="12" spans="1:55" s="126" customFormat="1" ht="15.95" customHeight="1" x14ac:dyDescent="0.25">
      <c r="A12" s="225"/>
      <c r="B12" s="136" t="s">
        <v>67</v>
      </c>
      <c r="C12" s="137">
        <v>6</v>
      </c>
      <c r="D12" s="138">
        <v>0</v>
      </c>
      <c r="E12" s="139">
        <v>0</v>
      </c>
      <c r="F12" s="140">
        <v>30</v>
      </c>
      <c r="G12" s="139">
        <v>1616.8215</v>
      </c>
      <c r="H12" s="140">
        <v>0</v>
      </c>
      <c r="I12" s="139">
        <v>0</v>
      </c>
      <c r="J12" s="140">
        <v>0</v>
      </c>
      <c r="K12" s="141">
        <v>0</v>
      </c>
      <c r="L12" s="140">
        <v>18</v>
      </c>
      <c r="M12" s="141">
        <v>1307</v>
      </c>
      <c r="N12" s="140">
        <v>0</v>
      </c>
      <c r="O12" s="141">
        <v>0</v>
      </c>
      <c r="P12" s="140">
        <v>0</v>
      </c>
      <c r="Q12" s="141">
        <v>0</v>
      </c>
      <c r="R12" s="140">
        <v>1</v>
      </c>
      <c r="S12" s="141">
        <v>0</v>
      </c>
      <c r="T12" s="141"/>
      <c r="U12" s="140"/>
      <c r="V12" s="139"/>
      <c r="W12" s="140"/>
      <c r="X12" s="139"/>
      <c r="Y12" s="142">
        <f t="shared" si="0"/>
        <v>49</v>
      </c>
      <c r="Z12" s="143">
        <f>((D12*E12)+(F12*G12)+(H12*I12)+(J12*K12)+(L12*M12)+(U12*V12)+(W12*X12)+(N12*O12)+(P12*Q12)+(R12*S12))</f>
        <v>72030.645000000004</v>
      </c>
      <c r="AA12" s="147">
        <f t="shared" si="3"/>
        <v>1470.0131632653063</v>
      </c>
      <c r="AB12" s="148">
        <f t="shared" si="2"/>
        <v>0.61250000000000004</v>
      </c>
      <c r="AC12" s="143"/>
      <c r="AD12" s="127"/>
      <c r="AE12" s="143"/>
    </row>
    <row r="13" spans="1:55" s="126" customFormat="1" ht="15.75" customHeight="1" x14ac:dyDescent="0.25">
      <c r="A13" s="347" t="s">
        <v>164</v>
      </c>
      <c r="B13" s="281" t="s">
        <v>68</v>
      </c>
      <c r="C13" s="282">
        <v>7</v>
      </c>
      <c r="D13" s="283">
        <v>0</v>
      </c>
      <c r="E13" s="284">
        <v>0</v>
      </c>
      <c r="F13" s="285">
        <v>36</v>
      </c>
      <c r="G13" s="284">
        <v>1666.8855000000001</v>
      </c>
      <c r="H13" s="285">
        <v>1</v>
      </c>
      <c r="I13" s="284">
        <v>1814.78</v>
      </c>
      <c r="J13" s="285">
        <v>0</v>
      </c>
      <c r="K13" s="344">
        <v>0</v>
      </c>
      <c r="L13" s="285">
        <v>32</v>
      </c>
      <c r="M13" s="344">
        <v>1307</v>
      </c>
      <c r="N13" s="285">
        <v>0</v>
      </c>
      <c r="O13" s="344">
        <v>0</v>
      </c>
      <c r="P13" s="285">
        <v>0</v>
      </c>
      <c r="Q13" s="344">
        <v>0</v>
      </c>
      <c r="R13" s="285">
        <v>1</v>
      </c>
      <c r="S13" s="344">
        <v>0</v>
      </c>
      <c r="T13" s="344"/>
      <c r="U13" s="285"/>
      <c r="V13" s="284"/>
      <c r="W13" s="285"/>
      <c r="X13" s="284"/>
      <c r="Y13" s="286">
        <f t="shared" si="0"/>
        <v>70</v>
      </c>
      <c r="Z13" s="345">
        <f>((D13*E13)+(F13*G13)+(H13*I13)+(J13*K13)+(L13*M13)+(U13*V13)+(W13*X13)+(N13*O13)+(P13*Q13)+(R13*S13))</f>
        <v>103646.658</v>
      </c>
      <c r="AA13" s="348">
        <f t="shared" si="3"/>
        <v>1480.6665428571428</v>
      </c>
      <c r="AB13" s="287">
        <f t="shared" si="2"/>
        <v>0.875</v>
      </c>
      <c r="AC13" s="143"/>
      <c r="AD13" s="127"/>
      <c r="AE13" s="143"/>
    </row>
    <row r="14" spans="1:55" s="126" customFormat="1" ht="15.95" customHeight="1" x14ac:dyDescent="0.25">
      <c r="A14" s="230"/>
      <c r="B14" s="136" t="s">
        <v>69</v>
      </c>
      <c r="C14" s="137">
        <v>8</v>
      </c>
      <c r="D14" s="138">
        <v>0</v>
      </c>
      <c r="E14" s="139">
        <v>0</v>
      </c>
      <c r="F14" s="140">
        <v>39</v>
      </c>
      <c r="G14" s="139">
        <v>1744.7220000000002</v>
      </c>
      <c r="H14" s="140">
        <v>1</v>
      </c>
      <c r="I14" s="139">
        <v>1316.44</v>
      </c>
      <c r="J14" s="140">
        <v>0</v>
      </c>
      <c r="K14" s="141">
        <v>0</v>
      </c>
      <c r="L14" s="140">
        <v>32</v>
      </c>
      <c r="M14" s="141">
        <v>1307</v>
      </c>
      <c r="N14" s="140">
        <v>0</v>
      </c>
      <c r="O14" s="141">
        <v>0</v>
      </c>
      <c r="P14" s="140">
        <v>0</v>
      </c>
      <c r="Q14" s="141">
        <v>0</v>
      </c>
      <c r="R14" s="140">
        <v>1</v>
      </c>
      <c r="S14" s="141">
        <v>0</v>
      </c>
      <c r="T14" s="141"/>
      <c r="U14" s="140"/>
      <c r="V14" s="139"/>
      <c r="W14" s="140"/>
      <c r="X14" s="139"/>
      <c r="Y14" s="142">
        <f t="shared" si="0"/>
        <v>73</v>
      </c>
      <c r="Z14" s="143">
        <f t="shared" si="1"/>
        <v>111184.59800000001</v>
      </c>
      <c r="AA14" s="147">
        <f t="shared" si="3"/>
        <v>1523.0766849315071</v>
      </c>
      <c r="AB14" s="148">
        <f t="shared" si="2"/>
        <v>0.91249999999999998</v>
      </c>
      <c r="AC14" s="143"/>
      <c r="AD14" s="127"/>
      <c r="AE14" s="143"/>
    </row>
    <row r="15" spans="1:55" s="126" customFormat="1" ht="15.95" customHeight="1" x14ac:dyDescent="0.25">
      <c r="A15" s="230"/>
      <c r="B15" s="150" t="s">
        <v>63</v>
      </c>
      <c r="C15" s="151">
        <v>9</v>
      </c>
      <c r="D15" s="152">
        <v>0</v>
      </c>
      <c r="E15" s="153">
        <v>0</v>
      </c>
      <c r="F15" s="154">
        <v>37</v>
      </c>
      <c r="G15" s="153">
        <v>1818.9044999999999</v>
      </c>
      <c r="H15" s="154">
        <v>1</v>
      </c>
      <c r="I15" s="153">
        <v>1452.15</v>
      </c>
      <c r="J15" s="154">
        <v>11</v>
      </c>
      <c r="K15" s="155">
        <v>1560.87</v>
      </c>
      <c r="L15" s="154">
        <v>18</v>
      </c>
      <c r="M15" s="155">
        <v>1307</v>
      </c>
      <c r="N15" s="154">
        <v>0</v>
      </c>
      <c r="O15" s="155">
        <v>0</v>
      </c>
      <c r="P15" s="154">
        <v>0</v>
      </c>
      <c r="Q15" s="155">
        <v>0</v>
      </c>
      <c r="R15" s="154">
        <v>1</v>
      </c>
      <c r="S15" s="155">
        <v>0</v>
      </c>
      <c r="T15" s="155"/>
      <c r="U15" s="154"/>
      <c r="V15" s="153"/>
      <c r="W15" s="154"/>
      <c r="X15" s="153"/>
      <c r="Y15" s="156">
        <f t="shared" si="0"/>
        <v>68</v>
      </c>
      <c r="Z15" s="157">
        <f t="shared" si="1"/>
        <v>109447.18649999998</v>
      </c>
      <c r="AA15" s="158">
        <f>IF(Z15=0,0,Z15/Y15)</f>
        <v>1609.5174485294115</v>
      </c>
      <c r="AB15" s="159">
        <f t="shared" si="2"/>
        <v>0.85</v>
      </c>
      <c r="AC15" s="143"/>
      <c r="AD15" s="127"/>
      <c r="AE15" s="143"/>
    </row>
    <row r="16" spans="1:55" s="126" customFormat="1" ht="15.95" customHeight="1" x14ac:dyDescent="0.25">
      <c r="A16" s="429" t="s">
        <v>165</v>
      </c>
      <c r="B16" s="281" t="s">
        <v>64</v>
      </c>
      <c r="C16" s="282">
        <v>10</v>
      </c>
      <c r="D16" s="283">
        <v>0</v>
      </c>
      <c r="E16" s="284">
        <v>0</v>
      </c>
      <c r="F16" s="285">
        <v>29</v>
      </c>
      <c r="G16" s="284">
        <v>1764.3779999999999</v>
      </c>
      <c r="H16" s="285">
        <v>3</v>
      </c>
      <c r="I16" s="284">
        <v>1467.94</v>
      </c>
      <c r="J16" s="285">
        <v>11</v>
      </c>
      <c r="K16" s="344">
        <v>1560.87</v>
      </c>
      <c r="L16" s="285">
        <v>23</v>
      </c>
      <c r="M16" s="344">
        <v>1307</v>
      </c>
      <c r="N16" s="285">
        <v>0</v>
      </c>
      <c r="O16" s="344">
        <v>0</v>
      </c>
      <c r="P16" s="285">
        <v>0</v>
      </c>
      <c r="Q16" s="344">
        <v>0</v>
      </c>
      <c r="R16" s="285">
        <v>1</v>
      </c>
      <c r="S16" s="344">
        <v>0</v>
      </c>
      <c r="T16" s="344"/>
      <c r="U16" s="285"/>
      <c r="V16" s="284"/>
      <c r="W16" s="285"/>
      <c r="X16" s="284"/>
      <c r="Y16" s="286">
        <f t="shared" si="0"/>
        <v>67</v>
      </c>
      <c r="Z16" s="345">
        <f t="shared" si="1"/>
        <v>102801.352</v>
      </c>
      <c r="AA16" s="346">
        <f>IF(Z16=0,0,Z16/Y16)</f>
        <v>1534.3485373134329</v>
      </c>
      <c r="AB16" s="287">
        <f t="shared" si="2"/>
        <v>0.83750000000000002</v>
      </c>
      <c r="AC16" s="143"/>
      <c r="AD16" s="127"/>
      <c r="AE16" s="143"/>
    </row>
    <row r="17" spans="1:55" s="216" customFormat="1" ht="15.75" customHeight="1" x14ac:dyDescent="0.25">
      <c r="A17" s="231"/>
      <c r="B17" s="136" t="s">
        <v>65</v>
      </c>
      <c r="C17" s="137">
        <v>11</v>
      </c>
      <c r="D17" s="138">
        <v>0</v>
      </c>
      <c r="E17" s="139">
        <v>0</v>
      </c>
      <c r="F17" s="140">
        <v>34</v>
      </c>
      <c r="G17" s="139">
        <v>1783.7714999999998</v>
      </c>
      <c r="H17" s="140">
        <v>3</v>
      </c>
      <c r="I17" s="139">
        <v>1553.13</v>
      </c>
      <c r="J17" s="140">
        <v>0</v>
      </c>
      <c r="K17" s="141">
        <v>0</v>
      </c>
      <c r="L17" s="140">
        <v>18</v>
      </c>
      <c r="M17" s="141">
        <v>1307</v>
      </c>
      <c r="N17" s="140">
        <v>0</v>
      </c>
      <c r="O17" s="141">
        <v>0</v>
      </c>
      <c r="P17" s="140">
        <v>0</v>
      </c>
      <c r="Q17" s="141">
        <v>0</v>
      </c>
      <c r="R17" s="140">
        <v>1</v>
      </c>
      <c r="S17" s="141">
        <v>0</v>
      </c>
      <c r="T17" s="141"/>
      <c r="U17" s="140"/>
      <c r="V17" s="139"/>
      <c r="W17" s="140"/>
      <c r="X17" s="139"/>
      <c r="Y17" s="142">
        <f t="shared" si="0"/>
        <v>56</v>
      </c>
      <c r="Z17" s="143">
        <f t="shared" si="1"/>
        <v>88833.620999999985</v>
      </c>
      <c r="AA17" s="329">
        <f t="shared" si="3"/>
        <v>1586.3146607142855</v>
      </c>
      <c r="AB17" s="148">
        <f t="shared" si="2"/>
        <v>0.7</v>
      </c>
      <c r="AC17" s="143"/>
      <c r="AD17" s="127"/>
      <c r="AE17" s="143"/>
      <c r="AF17" s="215"/>
      <c r="AG17" s="215"/>
      <c r="AH17" s="215"/>
      <c r="AI17" s="215"/>
      <c r="AJ17" s="215"/>
      <c r="AK17" s="215"/>
      <c r="AL17" s="215"/>
      <c r="AM17" s="215"/>
      <c r="AN17" s="215"/>
      <c r="AO17" s="215"/>
      <c r="AP17" s="215"/>
      <c r="AQ17" s="215"/>
      <c r="AR17" s="215"/>
      <c r="AS17" s="215"/>
      <c r="AT17" s="215"/>
      <c r="AU17" s="215"/>
      <c r="AV17" s="215"/>
      <c r="AW17" s="215"/>
      <c r="AX17" s="215"/>
      <c r="AY17" s="215"/>
      <c r="AZ17" s="215"/>
      <c r="BA17" s="215"/>
      <c r="BB17" s="215"/>
    </row>
    <row r="18" spans="1:55" s="215" customFormat="1" ht="15.75" customHeight="1" x14ac:dyDescent="0.25">
      <c r="A18" s="231"/>
      <c r="B18" s="136" t="s">
        <v>66</v>
      </c>
      <c r="C18" s="137">
        <v>12</v>
      </c>
      <c r="D18" s="138">
        <v>0</v>
      </c>
      <c r="E18" s="139">
        <v>0</v>
      </c>
      <c r="F18" s="140">
        <v>34</v>
      </c>
      <c r="G18" s="139">
        <v>1739.5664999999999</v>
      </c>
      <c r="H18" s="140">
        <v>2</v>
      </c>
      <c r="I18" s="139">
        <v>1715.66</v>
      </c>
      <c r="J18" s="140">
        <v>0</v>
      </c>
      <c r="K18" s="141">
        <v>0</v>
      </c>
      <c r="L18" s="140">
        <v>18</v>
      </c>
      <c r="M18" s="141">
        <v>1307</v>
      </c>
      <c r="N18" s="140">
        <v>0</v>
      </c>
      <c r="O18" s="139">
        <v>0</v>
      </c>
      <c r="P18" s="140">
        <v>0</v>
      </c>
      <c r="Q18" s="141">
        <v>0</v>
      </c>
      <c r="R18" s="140">
        <v>1</v>
      </c>
      <c r="S18" s="141">
        <v>0</v>
      </c>
      <c r="T18" s="141"/>
      <c r="U18" s="140"/>
      <c r="V18" s="139"/>
      <c r="W18" s="140"/>
      <c r="X18" s="139"/>
      <c r="Y18" s="142">
        <f t="shared" si="0"/>
        <v>55</v>
      </c>
      <c r="Z18" s="143">
        <f t="shared" si="1"/>
        <v>86102.581000000006</v>
      </c>
      <c r="AA18" s="329">
        <f t="shared" si="3"/>
        <v>1565.5014727272728</v>
      </c>
      <c r="AB18" s="148">
        <f t="shared" si="2"/>
        <v>0.6875</v>
      </c>
      <c r="AC18" s="143"/>
      <c r="AD18" s="127"/>
      <c r="AE18" s="143"/>
    </row>
    <row r="19" spans="1:55" s="126" customFormat="1" ht="15.95" customHeight="1" x14ac:dyDescent="0.25">
      <c r="A19" s="231"/>
      <c r="B19" s="136" t="s">
        <v>67</v>
      </c>
      <c r="C19" s="137">
        <v>13</v>
      </c>
      <c r="D19" s="138">
        <v>0</v>
      </c>
      <c r="E19" s="139">
        <v>0</v>
      </c>
      <c r="F19" s="140">
        <v>34</v>
      </c>
      <c r="G19" s="139">
        <v>1564.8779999999999</v>
      </c>
      <c r="H19" s="140">
        <v>3</v>
      </c>
      <c r="I19" s="139">
        <v>1480.67</v>
      </c>
      <c r="J19" s="140">
        <v>8</v>
      </c>
      <c r="K19" s="141">
        <v>1643.48</v>
      </c>
      <c r="L19" s="140">
        <v>18</v>
      </c>
      <c r="M19" s="141">
        <v>1307</v>
      </c>
      <c r="N19" s="140">
        <v>0</v>
      </c>
      <c r="O19" s="141">
        <v>0</v>
      </c>
      <c r="P19" s="140">
        <v>0</v>
      </c>
      <c r="Q19" s="141">
        <v>0</v>
      </c>
      <c r="R19" s="140">
        <v>1</v>
      </c>
      <c r="S19" s="141">
        <v>0</v>
      </c>
      <c r="T19" s="141"/>
      <c r="U19" s="140"/>
      <c r="V19" s="139"/>
      <c r="W19" s="140"/>
      <c r="X19" s="139"/>
      <c r="Y19" s="142">
        <f t="shared" si="0"/>
        <v>64</v>
      </c>
      <c r="Z19" s="143">
        <f t="shared" si="1"/>
        <v>94321.702000000005</v>
      </c>
      <c r="AA19" s="147">
        <f t="shared" si="3"/>
        <v>1473.7765937500001</v>
      </c>
      <c r="AB19" s="148">
        <f t="shared" si="2"/>
        <v>0.8</v>
      </c>
      <c r="AC19" s="143"/>
      <c r="AD19" s="127"/>
      <c r="AE19" s="143"/>
    </row>
    <row r="20" spans="1:55" s="126" customFormat="1" ht="15.95" customHeight="1" x14ac:dyDescent="0.25">
      <c r="A20" s="225"/>
      <c r="B20" s="136" t="s">
        <v>68</v>
      </c>
      <c r="C20" s="137">
        <v>14</v>
      </c>
      <c r="D20" s="138">
        <v>0</v>
      </c>
      <c r="E20" s="139">
        <v>0</v>
      </c>
      <c r="F20" s="140">
        <v>25</v>
      </c>
      <c r="G20" s="139">
        <v>1772.5575000000001</v>
      </c>
      <c r="H20" s="140">
        <v>7</v>
      </c>
      <c r="I20" s="139">
        <v>1599.64</v>
      </c>
      <c r="J20" s="140">
        <v>8</v>
      </c>
      <c r="K20" s="141">
        <v>1643.48</v>
      </c>
      <c r="L20" s="140">
        <v>18</v>
      </c>
      <c r="M20" s="141">
        <v>1307</v>
      </c>
      <c r="N20" s="140">
        <v>0</v>
      </c>
      <c r="O20" s="139">
        <v>0</v>
      </c>
      <c r="P20" s="140">
        <v>0</v>
      </c>
      <c r="Q20" s="141">
        <v>0</v>
      </c>
      <c r="R20" s="140">
        <v>1</v>
      </c>
      <c r="S20" s="141">
        <v>0</v>
      </c>
      <c r="T20" s="141"/>
      <c r="U20" s="140"/>
      <c r="V20" s="139"/>
      <c r="W20" s="140"/>
      <c r="X20" s="139"/>
      <c r="Y20" s="142">
        <f t="shared" si="0"/>
        <v>59</v>
      </c>
      <c r="Z20" s="143">
        <f t="shared" si="1"/>
        <v>92185.257500000007</v>
      </c>
      <c r="AA20" s="147">
        <f t="shared" si="3"/>
        <v>1562.4619915254239</v>
      </c>
      <c r="AB20" s="148">
        <f t="shared" si="2"/>
        <v>0.73750000000000004</v>
      </c>
      <c r="AC20" s="143"/>
      <c r="AD20" s="127"/>
      <c r="AE20" s="143"/>
    </row>
    <row r="21" spans="1:55" s="126" customFormat="1" ht="15.95" customHeight="1" x14ac:dyDescent="0.25">
      <c r="A21" s="225"/>
      <c r="B21" s="136" t="s">
        <v>69</v>
      </c>
      <c r="C21" s="137">
        <v>15</v>
      </c>
      <c r="D21" s="138">
        <v>0</v>
      </c>
      <c r="E21" s="139">
        <v>0</v>
      </c>
      <c r="F21" s="140">
        <v>25</v>
      </c>
      <c r="G21" s="139">
        <v>1922.55</v>
      </c>
      <c r="H21" s="140">
        <v>7</v>
      </c>
      <c r="I21" s="139">
        <v>1591.42</v>
      </c>
      <c r="J21" s="140">
        <v>0</v>
      </c>
      <c r="K21" s="141">
        <v>0</v>
      </c>
      <c r="L21" s="140">
        <v>18</v>
      </c>
      <c r="M21" s="141">
        <v>1307</v>
      </c>
      <c r="N21" s="140">
        <v>0</v>
      </c>
      <c r="O21" s="141">
        <v>0</v>
      </c>
      <c r="P21" s="140">
        <v>0</v>
      </c>
      <c r="Q21" s="141">
        <v>0</v>
      </c>
      <c r="R21" s="140">
        <v>0</v>
      </c>
      <c r="S21" s="141">
        <v>0</v>
      </c>
      <c r="T21" s="141"/>
      <c r="U21" s="140"/>
      <c r="V21" s="139"/>
      <c r="W21" s="140"/>
      <c r="X21" s="139"/>
      <c r="Y21" s="142">
        <f t="shared" si="0"/>
        <v>50</v>
      </c>
      <c r="Z21" s="143">
        <f t="shared" si="1"/>
        <v>82729.69</v>
      </c>
      <c r="AA21" s="147">
        <f t="shared" si="3"/>
        <v>1654.5938000000001</v>
      </c>
      <c r="AB21" s="148">
        <f t="shared" si="2"/>
        <v>0.625</v>
      </c>
      <c r="AC21" s="143"/>
      <c r="AD21" s="127"/>
      <c r="AE21" s="143"/>
    </row>
    <row r="22" spans="1:55" s="128" customFormat="1" ht="15.95" customHeight="1" x14ac:dyDescent="0.25">
      <c r="A22" s="225"/>
      <c r="B22" s="150" t="s">
        <v>63</v>
      </c>
      <c r="C22" s="151">
        <v>16</v>
      </c>
      <c r="D22" s="152">
        <v>0</v>
      </c>
      <c r="E22" s="153">
        <v>0</v>
      </c>
      <c r="F22" s="154">
        <v>33</v>
      </c>
      <c r="G22" s="153">
        <v>2022.741</v>
      </c>
      <c r="H22" s="154">
        <v>2</v>
      </c>
      <c r="I22" s="153">
        <v>1452.28</v>
      </c>
      <c r="J22" s="154">
        <v>11</v>
      </c>
      <c r="K22" s="155">
        <v>1560.87</v>
      </c>
      <c r="L22" s="154">
        <v>18</v>
      </c>
      <c r="M22" s="155">
        <v>1307</v>
      </c>
      <c r="N22" s="154">
        <v>0</v>
      </c>
      <c r="O22" s="155">
        <v>0</v>
      </c>
      <c r="P22" s="154">
        <v>0</v>
      </c>
      <c r="Q22" s="155">
        <v>0</v>
      </c>
      <c r="R22" s="154">
        <v>0</v>
      </c>
      <c r="S22" s="155">
        <v>0</v>
      </c>
      <c r="T22" s="155"/>
      <c r="U22" s="154"/>
      <c r="V22" s="153"/>
      <c r="W22" s="154"/>
      <c r="X22" s="153"/>
      <c r="Y22" s="156">
        <f t="shared" si="0"/>
        <v>64</v>
      </c>
      <c r="Z22" s="157">
        <f t="shared" si="1"/>
        <v>110350.58299999998</v>
      </c>
      <c r="AA22" s="158">
        <f t="shared" si="3"/>
        <v>1724.2278593749998</v>
      </c>
      <c r="AB22" s="159">
        <f t="shared" si="2"/>
        <v>0.8</v>
      </c>
      <c r="AC22" s="143"/>
      <c r="AD22" s="127"/>
      <c r="AE22" s="143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</row>
    <row r="23" spans="1:55" s="220" customFormat="1" ht="15.95" customHeight="1" x14ac:dyDescent="0.25">
      <c r="A23" s="387"/>
      <c r="B23" s="136" t="s">
        <v>64</v>
      </c>
      <c r="C23" s="137">
        <v>17</v>
      </c>
      <c r="D23" s="138">
        <v>0</v>
      </c>
      <c r="E23" s="139">
        <v>0</v>
      </c>
      <c r="F23" s="140">
        <v>33</v>
      </c>
      <c r="G23" s="139">
        <v>1939.2975000000001</v>
      </c>
      <c r="H23" s="140">
        <v>3</v>
      </c>
      <c r="I23" s="139">
        <v>1945.51</v>
      </c>
      <c r="J23" s="140">
        <v>11</v>
      </c>
      <c r="K23" s="141">
        <v>934.78</v>
      </c>
      <c r="L23" s="140">
        <v>18</v>
      </c>
      <c r="M23" s="141">
        <v>1307</v>
      </c>
      <c r="N23" s="140">
        <v>0</v>
      </c>
      <c r="O23" s="141">
        <v>0</v>
      </c>
      <c r="P23" s="140">
        <v>10</v>
      </c>
      <c r="Q23" s="141">
        <v>2030</v>
      </c>
      <c r="R23" s="140">
        <v>0</v>
      </c>
      <c r="S23" s="141">
        <v>0</v>
      </c>
      <c r="T23" s="141"/>
      <c r="U23" s="140"/>
      <c r="V23" s="139"/>
      <c r="W23" s="140"/>
      <c r="X23" s="139"/>
      <c r="Y23" s="142">
        <f t="shared" si="0"/>
        <v>75</v>
      </c>
      <c r="Z23" s="143">
        <f t="shared" si="1"/>
        <v>123941.92750000001</v>
      </c>
      <c r="AA23" s="329">
        <f t="shared" si="3"/>
        <v>1652.5590333333334</v>
      </c>
      <c r="AB23" s="148">
        <f t="shared" si="2"/>
        <v>0.9375</v>
      </c>
      <c r="AC23" s="143"/>
      <c r="AD23" s="127"/>
      <c r="AE23" s="143"/>
      <c r="AF23" s="215"/>
      <c r="AG23" s="215"/>
      <c r="AH23" s="215"/>
      <c r="AI23" s="215"/>
      <c r="AJ23" s="215"/>
      <c r="AK23" s="215"/>
      <c r="AL23" s="215"/>
      <c r="AM23" s="215"/>
      <c r="AN23" s="215"/>
      <c r="AO23" s="215"/>
      <c r="AP23" s="215"/>
      <c r="AQ23" s="215"/>
      <c r="AR23" s="215"/>
      <c r="AS23" s="215"/>
      <c r="AT23" s="215"/>
      <c r="AU23" s="215"/>
      <c r="AV23" s="215"/>
      <c r="AW23" s="215"/>
      <c r="AX23" s="215"/>
      <c r="AY23" s="215"/>
      <c r="AZ23" s="215"/>
      <c r="BA23" s="215"/>
      <c r="BB23" s="215"/>
      <c r="BC23" s="215"/>
    </row>
    <row r="24" spans="1:55" s="215" customFormat="1" ht="15.95" customHeight="1" x14ac:dyDescent="0.25">
      <c r="A24" s="231"/>
      <c r="B24" s="136" t="s">
        <v>65</v>
      </c>
      <c r="C24" s="137">
        <v>18</v>
      </c>
      <c r="D24" s="138">
        <v>0</v>
      </c>
      <c r="E24" s="139">
        <v>0</v>
      </c>
      <c r="F24" s="140">
        <v>33</v>
      </c>
      <c r="G24" s="139">
        <v>1842.5715</v>
      </c>
      <c r="H24" s="140">
        <v>2</v>
      </c>
      <c r="I24" s="139">
        <v>1230</v>
      </c>
      <c r="J24" s="140">
        <v>0</v>
      </c>
      <c r="K24" s="141">
        <v>0</v>
      </c>
      <c r="L24" s="140">
        <v>18</v>
      </c>
      <c r="M24" s="141">
        <v>1307</v>
      </c>
      <c r="N24" s="140">
        <v>0</v>
      </c>
      <c r="O24" s="141">
        <v>0</v>
      </c>
      <c r="P24" s="140">
        <v>15</v>
      </c>
      <c r="Q24" s="141">
        <v>2030</v>
      </c>
      <c r="R24" s="140">
        <v>0</v>
      </c>
      <c r="S24" s="141">
        <v>0</v>
      </c>
      <c r="T24" s="141"/>
      <c r="U24" s="140"/>
      <c r="V24" s="139"/>
      <c r="W24" s="140"/>
      <c r="X24" s="139"/>
      <c r="Y24" s="142">
        <f t="shared" si="0"/>
        <v>68</v>
      </c>
      <c r="Z24" s="143">
        <f t="shared" si="1"/>
        <v>117240.85949999999</v>
      </c>
      <c r="AA24" s="329">
        <f t="shared" si="3"/>
        <v>1724.1302867647057</v>
      </c>
      <c r="AB24" s="148">
        <f t="shared" si="2"/>
        <v>0.85</v>
      </c>
      <c r="AC24" s="214"/>
      <c r="AD24" s="127"/>
      <c r="AE24" s="143"/>
    </row>
    <row r="25" spans="1:55" s="222" customFormat="1" ht="15.95" customHeight="1" x14ac:dyDescent="0.25">
      <c r="A25" s="795"/>
      <c r="B25" s="136" t="s">
        <v>66</v>
      </c>
      <c r="C25" s="137">
        <v>19</v>
      </c>
      <c r="D25" s="138">
        <v>0</v>
      </c>
      <c r="E25" s="139">
        <v>0</v>
      </c>
      <c r="F25" s="140">
        <v>33</v>
      </c>
      <c r="G25" s="139">
        <v>1621.788</v>
      </c>
      <c r="H25" s="140">
        <v>2</v>
      </c>
      <c r="I25" s="139">
        <v>1038.17</v>
      </c>
      <c r="J25" s="140">
        <v>0</v>
      </c>
      <c r="K25" s="141">
        <v>0</v>
      </c>
      <c r="L25" s="140">
        <v>18</v>
      </c>
      <c r="M25" s="141">
        <v>1307</v>
      </c>
      <c r="N25" s="140">
        <v>0</v>
      </c>
      <c r="O25" s="141">
        <v>0</v>
      </c>
      <c r="P25" s="140">
        <v>15</v>
      </c>
      <c r="Q25" s="141">
        <v>2030</v>
      </c>
      <c r="R25" s="140">
        <v>0</v>
      </c>
      <c r="S25" s="141">
        <v>0</v>
      </c>
      <c r="T25" s="141"/>
      <c r="U25" s="140"/>
      <c r="V25" s="139"/>
      <c r="W25" s="140"/>
      <c r="X25" s="139"/>
      <c r="Y25" s="142">
        <f t="shared" si="0"/>
        <v>68</v>
      </c>
      <c r="Z25" s="143">
        <f t="shared" si="1"/>
        <v>109571.344</v>
      </c>
      <c r="AA25" s="329">
        <f t="shared" si="3"/>
        <v>1611.343294117647</v>
      </c>
      <c r="AB25" s="148">
        <f t="shared" si="2"/>
        <v>0.85</v>
      </c>
      <c r="AC25" s="214"/>
      <c r="AD25" s="127"/>
      <c r="AE25" s="143"/>
      <c r="AF25" s="215"/>
      <c r="AG25" s="215"/>
      <c r="AH25" s="215"/>
      <c r="AI25" s="215"/>
      <c r="AJ25" s="215"/>
      <c r="AK25" s="215"/>
      <c r="AL25" s="215"/>
      <c r="AM25" s="215"/>
      <c r="AN25" s="215"/>
      <c r="AO25" s="215"/>
      <c r="AP25" s="215"/>
      <c r="AQ25" s="215"/>
      <c r="AR25" s="215"/>
      <c r="AS25" s="215"/>
      <c r="AT25" s="215"/>
      <c r="AU25" s="215"/>
      <c r="AV25" s="215"/>
      <c r="AW25" s="215"/>
      <c r="AX25" s="215"/>
      <c r="AY25" s="215"/>
      <c r="AZ25" s="215"/>
      <c r="BA25" s="215"/>
      <c r="BB25" s="215"/>
    </row>
    <row r="26" spans="1:55" s="220" customFormat="1" ht="15.95" customHeight="1" x14ac:dyDescent="0.25">
      <c r="A26" s="795"/>
      <c r="B26" s="136" t="s">
        <v>67</v>
      </c>
      <c r="C26" s="137">
        <v>20</v>
      </c>
      <c r="D26" s="138">
        <v>0</v>
      </c>
      <c r="E26" s="139">
        <v>0</v>
      </c>
      <c r="F26" s="140">
        <v>25</v>
      </c>
      <c r="G26" s="139">
        <v>1663.7249999999999</v>
      </c>
      <c r="H26" s="140">
        <v>3</v>
      </c>
      <c r="I26" s="139">
        <v>1056.49</v>
      </c>
      <c r="J26" s="140">
        <v>0</v>
      </c>
      <c r="K26" s="141">
        <v>0</v>
      </c>
      <c r="L26" s="140">
        <v>18</v>
      </c>
      <c r="M26" s="141">
        <v>1307</v>
      </c>
      <c r="N26" s="140">
        <v>0</v>
      </c>
      <c r="O26" s="141">
        <v>0</v>
      </c>
      <c r="P26" s="140">
        <v>15</v>
      </c>
      <c r="Q26" s="141">
        <v>2030</v>
      </c>
      <c r="R26" s="140">
        <v>0</v>
      </c>
      <c r="S26" s="141">
        <v>0</v>
      </c>
      <c r="T26" s="141"/>
      <c r="U26" s="140"/>
      <c r="V26" s="139"/>
      <c r="W26" s="140"/>
      <c r="X26" s="139"/>
      <c r="Y26" s="142">
        <f t="shared" si="0"/>
        <v>61</v>
      </c>
      <c r="Z26" s="143">
        <f t="shared" si="1"/>
        <v>98738.595000000001</v>
      </c>
      <c r="AA26" s="147">
        <f t="shared" si="3"/>
        <v>1618.6654918032787</v>
      </c>
      <c r="AB26" s="148">
        <f t="shared" si="2"/>
        <v>0.76249999999999996</v>
      </c>
      <c r="AC26" s="143"/>
      <c r="AD26" s="127"/>
      <c r="AE26" s="143"/>
      <c r="AF26" s="215"/>
      <c r="AG26" s="215"/>
      <c r="AH26" s="215"/>
      <c r="AI26" s="215"/>
      <c r="AJ26" s="215"/>
      <c r="AK26" s="215"/>
      <c r="AL26" s="215"/>
      <c r="AM26" s="215"/>
      <c r="AN26" s="215"/>
      <c r="AO26" s="215"/>
      <c r="AP26" s="215"/>
      <c r="AQ26" s="215"/>
      <c r="AR26" s="215"/>
      <c r="AS26" s="215"/>
      <c r="AT26" s="215"/>
      <c r="AU26" s="215"/>
      <c r="AV26" s="215"/>
      <c r="AW26" s="215"/>
      <c r="AX26" s="215"/>
      <c r="AY26" s="215"/>
      <c r="AZ26" s="215"/>
      <c r="BA26" s="215"/>
      <c r="BB26" s="215"/>
      <c r="BC26" s="215"/>
    </row>
    <row r="27" spans="1:55" s="128" customFormat="1" ht="15.95" customHeight="1" x14ac:dyDescent="0.25">
      <c r="A27" s="795"/>
      <c r="B27" s="136" t="s">
        <v>68</v>
      </c>
      <c r="C27" s="137">
        <v>21</v>
      </c>
      <c r="D27" s="138">
        <v>0</v>
      </c>
      <c r="E27" s="139">
        <v>0</v>
      </c>
      <c r="F27" s="140">
        <v>28</v>
      </c>
      <c r="G27" s="139">
        <v>1731.9960000000001</v>
      </c>
      <c r="H27" s="140">
        <v>3</v>
      </c>
      <c r="I27" s="139">
        <v>1229.94</v>
      </c>
      <c r="J27" s="140">
        <v>0</v>
      </c>
      <c r="K27" s="141">
        <v>0</v>
      </c>
      <c r="L27" s="140">
        <v>18</v>
      </c>
      <c r="M27" s="141">
        <v>1307</v>
      </c>
      <c r="N27" s="140">
        <v>0</v>
      </c>
      <c r="O27" s="139">
        <v>0</v>
      </c>
      <c r="P27" s="140">
        <v>0</v>
      </c>
      <c r="Q27" s="141">
        <v>0</v>
      </c>
      <c r="R27" s="140">
        <v>0</v>
      </c>
      <c r="S27" s="141">
        <v>0</v>
      </c>
      <c r="T27" s="141"/>
      <c r="U27" s="140"/>
      <c r="V27" s="139"/>
      <c r="W27" s="140"/>
      <c r="X27" s="139"/>
      <c r="Y27" s="142">
        <f t="shared" si="0"/>
        <v>49</v>
      </c>
      <c r="Z27" s="143">
        <f t="shared" si="1"/>
        <v>75711.708000000013</v>
      </c>
      <c r="AA27" s="147">
        <f t="shared" si="3"/>
        <v>1545.1368979591839</v>
      </c>
      <c r="AB27" s="148">
        <f t="shared" si="2"/>
        <v>0.61250000000000004</v>
      </c>
      <c r="AC27" s="143"/>
      <c r="AD27" s="127"/>
      <c r="AE27" s="143"/>
      <c r="AF27" s="227"/>
      <c r="AG27" s="143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795"/>
      <c r="B28" s="136" t="s">
        <v>69</v>
      </c>
      <c r="C28" s="137">
        <v>22</v>
      </c>
      <c r="D28" s="138">
        <v>0</v>
      </c>
      <c r="E28" s="139">
        <v>0</v>
      </c>
      <c r="F28" s="140">
        <v>33</v>
      </c>
      <c r="G28" s="139">
        <v>1937.9745</v>
      </c>
      <c r="H28" s="140">
        <v>7</v>
      </c>
      <c r="I28" s="139">
        <v>1088.53</v>
      </c>
      <c r="J28" s="140">
        <v>0</v>
      </c>
      <c r="K28" s="141">
        <v>0</v>
      </c>
      <c r="L28" s="140">
        <v>11</v>
      </c>
      <c r="M28" s="141">
        <v>1307</v>
      </c>
      <c r="N28" s="140">
        <v>0</v>
      </c>
      <c r="O28" s="141">
        <v>0</v>
      </c>
      <c r="P28" s="140">
        <v>0</v>
      </c>
      <c r="Q28" s="141">
        <v>0</v>
      </c>
      <c r="R28" s="140">
        <v>0</v>
      </c>
      <c r="S28" s="141">
        <v>0</v>
      </c>
      <c r="T28" s="141"/>
      <c r="U28" s="140"/>
      <c r="V28" s="139"/>
      <c r="W28" s="140"/>
      <c r="X28" s="139"/>
      <c r="Y28" s="142">
        <f t="shared" si="0"/>
        <v>51</v>
      </c>
      <c r="Z28" s="143">
        <f t="shared" si="1"/>
        <v>85949.868499999997</v>
      </c>
      <c r="AA28" s="147">
        <f t="shared" si="3"/>
        <v>1685.2915392156863</v>
      </c>
      <c r="AB28" s="148">
        <f t="shared" si="2"/>
        <v>0.63749999999999996</v>
      </c>
      <c r="AC28" s="143"/>
      <c r="AD28" s="127"/>
      <c r="AE28" s="143"/>
    </row>
    <row r="29" spans="1:55" s="126" customFormat="1" ht="15.95" customHeight="1" x14ac:dyDescent="0.25">
      <c r="A29" s="229"/>
      <c r="B29" s="150" t="s">
        <v>63</v>
      </c>
      <c r="C29" s="151">
        <v>23</v>
      </c>
      <c r="D29" s="152">
        <v>0</v>
      </c>
      <c r="E29" s="153">
        <v>0</v>
      </c>
      <c r="F29" s="154">
        <v>26</v>
      </c>
      <c r="G29" s="153">
        <v>1821.1935000000001</v>
      </c>
      <c r="H29" s="154">
        <v>5</v>
      </c>
      <c r="I29" s="153">
        <v>1004.61</v>
      </c>
      <c r="J29" s="154">
        <v>11</v>
      </c>
      <c r="K29" s="155">
        <v>934.78</v>
      </c>
      <c r="L29" s="154">
        <v>12</v>
      </c>
      <c r="M29" s="155">
        <v>1307</v>
      </c>
      <c r="N29" s="154">
        <v>0</v>
      </c>
      <c r="O29" s="155">
        <v>0</v>
      </c>
      <c r="P29" s="154">
        <v>0</v>
      </c>
      <c r="Q29" s="155">
        <v>0</v>
      </c>
      <c r="R29" s="154">
        <v>0</v>
      </c>
      <c r="S29" s="155">
        <v>0</v>
      </c>
      <c r="T29" s="155"/>
      <c r="U29" s="154"/>
      <c r="V29" s="153"/>
      <c r="W29" s="154"/>
      <c r="X29" s="153"/>
      <c r="Y29" s="156">
        <f t="shared" si="0"/>
        <v>54</v>
      </c>
      <c r="Z29" s="157">
        <f t="shared" si="1"/>
        <v>78340.661000000007</v>
      </c>
      <c r="AA29" s="158">
        <f t="shared" si="3"/>
        <v>1450.7529814814816</v>
      </c>
      <c r="AB29" s="159">
        <f t="shared" si="2"/>
        <v>0.67500000000000004</v>
      </c>
      <c r="AC29" s="143"/>
      <c r="AD29" s="127"/>
      <c r="AE29" s="143"/>
    </row>
    <row r="30" spans="1:55" s="126" customFormat="1" ht="16.5" customHeight="1" x14ac:dyDescent="0.25">
      <c r="A30" s="229"/>
      <c r="B30" s="136" t="s">
        <v>64</v>
      </c>
      <c r="C30" s="137">
        <v>24</v>
      </c>
      <c r="D30" s="138">
        <v>0</v>
      </c>
      <c r="E30" s="139">
        <v>0</v>
      </c>
      <c r="F30" s="140">
        <v>26</v>
      </c>
      <c r="G30" s="139">
        <v>1816.7205000000001</v>
      </c>
      <c r="H30" s="140">
        <v>2</v>
      </c>
      <c r="I30" s="139">
        <v>1312</v>
      </c>
      <c r="J30" s="140">
        <v>11</v>
      </c>
      <c r="K30" s="141">
        <v>934.78</v>
      </c>
      <c r="L30" s="140">
        <v>13</v>
      </c>
      <c r="M30" s="141">
        <v>1307</v>
      </c>
      <c r="N30" s="140">
        <v>0</v>
      </c>
      <c r="O30" s="141">
        <v>0</v>
      </c>
      <c r="P30" s="140">
        <v>10</v>
      </c>
      <c r="Q30" s="141">
        <v>2030</v>
      </c>
      <c r="R30" s="140">
        <v>0</v>
      </c>
      <c r="S30" s="141">
        <v>0</v>
      </c>
      <c r="T30" s="141"/>
      <c r="U30" s="140"/>
      <c r="V30" s="139"/>
      <c r="W30" s="140"/>
      <c r="X30" s="139"/>
      <c r="Y30" s="142">
        <f t="shared" si="0"/>
        <v>62</v>
      </c>
      <c r="Z30" s="143">
        <f t="shared" si="1"/>
        <v>97432.312999999995</v>
      </c>
      <c r="AA30" s="329">
        <f t="shared" si="3"/>
        <v>1571.4889193548386</v>
      </c>
      <c r="AB30" s="148">
        <f t="shared" si="2"/>
        <v>0.77500000000000002</v>
      </c>
      <c r="AC30" s="143"/>
      <c r="AD30" s="127"/>
      <c r="AE30" s="143"/>
    </row>
    <row r="31" spans="1:55" s="169" customFormat="1" ht="15.95" customHeight="1" x14ac:dyDescent="0.25">
      <c r="A31" s="229"/>
      <c r="B31" s="136" t="s">
        <v>65</v>
      </c>
      <c r="C31" s="137">
        <v>25</v>
      </c>
      <c r="D31" s="138">
        <v>0</v>
      </c>
      <c r="E31" s="139">
        <v>0</v>
      </c>
      <c r="F31" s="140">
        <v>26</v>
      </c>
      <c r="G31" s="139">
        <v>1768.9455</v>
      </c>
      <c r="H31" s="140">
        <v>2</v>
      </c>
      <c r="I31" s="139">
        <v>1312.09</v>
      </c>
      <c r="J31" s="140">
        <v>0</v>
      </c>
      <c r="K31" s="141">
        <v>0</v>
      </c>
      <c r="L31" s="140">
        <v>11</v>
      </c>
      <c r="M31" s="141">
        <v>1307</v>
      </c>
      <c r="N31" s="140">
        <v>0</v>
      </c>
      <c r="O31" s="141">
        <v>0</v>
      </c>
      <c r="P31" s="140">
        <v>10</v>
      </c>
      <c r="Q31" s="141">
        <v>2030</v>
      </c>
      <c r="R31" s="140">
        <v>0</v>
      </c>
      <c r="S31" s="141">
        <v>0</v>
      </c>
      <c r="T31" s="141"/>
      <c r="U31" s="140"/>
      <c r="V31" s="139"/>
      <c r="W31" s="140"/>
      <c r="X31" s="139"/>
      <c r="Y31" s="142">
        <f t="shared" si="0"/>
        <v>49</v>
      </c>
      <c r="Z31" s="143">
        <f t="shared" si="1"/>
        <v>83293.763000000006</v>
      </c>
      <c r="AA31" s="329">
        <f t="shared" si="3"/>
        <v>1699.8727142857144</v>
      </c>
      <c r="AB31" s="148">
        <f t="shared" si="2"/>
        <v>0.61250000000000004</v>
      </c>
      <c r="AC31" s="143"/>
      <c r="AD31" s="127"/>
      <c r="AE31" s="143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60"/>
    </row>
    <row r="32" spans="1:55" s="128" customFormat="1" ht="15.95" customHeight="1" x14ac:dyDescent="0.25">
      <c r="A32" s="229"/>
      <c r="B32" s="136" t="s">
        <v>66</v>
      </c>
      <c r="C32" s="137">
        <v>26</v>
      </c>
      <c r="D32" s="138">
        <v>0</v>
      </c>
      <c r="E32" s="139">
        <v>0</v>
      </c>
      <c r="F32" s="140">
        <v>33</v>
      </c>
      <c r="G32" s="139">
        <v>1898.2740000000001</v>
      </c>
      <c r="H32" s="140">
        <v>2</v>
      </c>
      <c r="I32" s="139">
        <v>1339.57</v>
      </c>
      <c r="J32" s="140">
        <v>0</v>
      </c>
      <c r="K32" s="141">
        <v>0</v>
      </c>
      <c r="L32" s="140">
        <v>16</v>
      </c>
      <c r="M32" s="141">
        <v>1307</v>
      </c>
      <c r="N32" s="140">
        <v>0</v>
      </c>
      <c r="O32" s="141">
        <v>0</v>
      </c>
      <c r="P32" s="140">
        <v>0</v>
      </c>
      <c r="Q32" s="141">
        <v>0</v>
      </c>
      <c r="R32" s="140">
        <v>0</v>
      </c>
      <c r="S32" s="141">
        <v>0</v>
      </c>
      <c r="T32" s="141"/>
      <c r="U32" s="140"/>
      <c r="V32" s="139"/>
      <c r="W32" s="140"/>
      <c r="X32" s="139"/>
      <c r="Y32" s="142">
        <f t="shared" si="0"/>
        <v>51</v>
      </c>
      <c r="Z32" s="143">
        <f t="shared" si="1"/>
        <v>86234.182000000001</v>
      </c>
      <c r="AA32" s="329">
        <f t="shared" si="3"/>
        <v>1690.8663137254903</v>
      </c>
      <c r="AB32" s="148">
        <f t="shared" si="2"/>
        <v>0.63749999999999996</v>
      </c>
      <c r="AC32" s="143"/>
      <c r="AD32" s="127"/>
      <c r="AE32" s="143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  <c r="BC32" s="126"/>
    </row>
    <row r="33" spans="1:56" s="128" customFormat="1" ht="15.95" customHeight="1" x14ac:dyDescent="0.25">
      <c r="A33" s="311" t="s">
        <v>81</v>
      </c>
      <c r="B33" s="281" t="s">
        <v>67</v>
      </c>
      <c r="C33" s="282">
        <v>27</v>
      </c>
      <c r="D33" s="283">
        <v>0</v>
      </c>
      <c r="E33" s="284">
        <v>0</v>
      </c>
      <c r="F33" s="285">
        <v>36</v>
      </c>
      <c r="G33" s="284">
        <v>1724.373</v>
      </c>
      <c r="H33" s="285">
        <v>3</v>
      </c>
      <c r="I33" s="284">
        <v>1161.68</v>
      </c>
      <c r="J33" s="285">
        <v>0</v>
      </c>
      <c r="K33" s="344">
        <v>0</v>
      </c>
      <c r="L33" s="285">
        <v>23</v>
      </c>
      <c r="M33" s="344">
        <v>1307</v>
      </c>
      <c r="N33" s="285">
        <v>0</v>
      </c>
      <c r="O33" s="344">
        <v>0</v>
      </c>
      <c r="P33" s="285">
        <v>0</v>
      </c>
      <c r="Q33" s="344">
        <v>0</v>
      </c>
      <c r="R33" s="285">
        <v>1</v>
      </c>
      <c r="S33" s="344">
        <v>0</v>
      </c>
      <c r="T33" s="344"/>
      <c r="U33" s="285"/>
      <c r="V33" s="284"/>
      <c r="W33" s="285"/>
      <c r="X33" s="284"/>
      <c r="Y33" s="286">
        <f t="shared" si="0"/>
        <v>63</v>
      </c>
      <c r="Z33" s="345">
        <f t="shared" si="1"/>
        <v>95623.467999999993</v>
      </c>
      <c r="AA33" s="348">
        <f t="shared" si="3"/>
        <v>1517.8328253968252</v>
      </c>
      <c r="AB33" s="287">
        <f t="shared" si="2"/>
        <v>0.78749999999999998</v>
      </c>
      <c r="AC33" s="143"/>
      <c r="AD33" s="127"/>
      <c r="AE33" s="143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</row>
    <row r="34" spans="1:56" s="128" customFormat="1" ht="15.95" customHeight="1" x14ac:dyDescent="0.25">
      <c r="A34" s="290"/>
      <c r="B34" s="136" t="s">
        <v>68</v>
      </c>
      <c r="C34" s="161">
        <v>28</v>
      </c>
      <c r="D34" s="138">
        <v>0</v>
      </c>
      <c r="E34" s="139">
        <v>0</v>
      </c>
      <c r="F34" s="140">
        <v>35</v>
      </c>
      <c r="G34" s="139">
        <v>1453.0214999999998</v>
      </c>
      <c r="H34" s="140">
        <v>7</v>
      </c>
      <c r="I34" s="139">
        <v>1148.1600000000001</v>
      </c>
      <c r="J34" s="140">
        <v>11</v>
      </c>
      <c r="K34" s="141">
        <v>934.78</v>
      </c>
      <c r="L34" s="140">
        <v>20</v>
      </c>
      <c r="M34" s="141">
        <v>1307</v>
      </c>
      <c r="N34" s="140">
        <v>0</v>
      </c>
      <c r="O34" s="139">
        <v>0</v>
      </c>
      <c r="P34" s="140">
        <v>0</v>
      </c>
      <c r="Q34" s="141">
        <v>0</v>
      </c>
      <c r="R34" s="140">
        <v>1</v>
      </c>
      <c r="S34" s="141">
        <v>0</v>
      </c>
      <c r="T34" s="165"/>
      <c r="U34" s="164"/>
      <c r="V34" s="163"/>
      <c r="W34" s="164"/>
      <c r="X34" s="163"/>
      <c r="Y34" s="166">
        <f t="shared" si="0"/>
        <v>74</v>
      </c>
      <c r="Z34" s="167">
        <f t="shared" si="1"/>
        <v>95315.452499999999</v>
      </c>
      <c r="AA34" s="147">
        <f>IF(Z34=0,0,Z34/Y34)</f>
        <v>1288.0466554054053</v>
      </c>
      <c r="AB34" s="148">
        <f t="shared" si="2"/>
        <v>0.92500000000000004</v>
      </c>
      <c r="AC34" s="143"/>
      <c r="AD34" s="127"/>
      <c r="AE34" s="143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5.95" customHeight="1" x14ac:dyDescent="0.25">
      <c r="A35" s="225"/>
      <c r="B35" s="136" t="s">
        <v>69</v>
      </c>
      <c r="C35" s="161">
        <v>29</v>
      </c>
      <c r="D35" s="138">
        <v>0</v>
      </c>
      <c r="E35" s="139">
        <v>0</v>
      </c>
      <c r="F35" s="140">
        <v>38</v>
      </c>
      <c r="G35" s="139">
        <v>1836.345</v>
      </c>
      <c r="H35" s="140">
        <v>7</v>
      </c>
      <c r="I35" s="139">
        <v>1562.61</v>
      </c>
      <c r="J35" s="140">
        <v>11</v>
      </c>
      <c r="K35" s="141">
        <v>934.78</v>
      </c>
      <c r="L35" s="140">
        <v>15</v>
      </c>
      <c r="M35" s="141">
        <v>1307</v>
      </c>
      <c r="N35" s="140">
        <v>0</v>
      </c>
      <c r="O35" s="141">
        <v>0</v>
      </c>
      <c r="P35" s="140">
        <v>0</v>
      </c>
      <c r="Q35" s="141">
        <v>0</v>
      </c>
      <c r="R35" s="140">
        <v>1</v>
      </c>
      <c r="S35" s="141">
        <v>0</v>
      </c>
      <c r="T35" s="165"/>
      <c r="U35" s="164"/>
      <c r="V35" s="163"/>
      <c r="W35" s="164"/>
      <c r="X35" s="163"/>
      <c r="Y35" s="166">
        <f t="shared" si="0"/>
        <v>72</v>
      </c>
      <c r="Z35" s="167">
        <f t="shared" si="1"/>
        <v>110606.96</v>
      </c>
      <c r="AA35" s="147">
        <f>IF(Z35=0,0,Z35/Y35)</f>
        <v>1536.2077777777779</v>
      </c>
      <c r="AB35" s="148">
        <f t="shared" si="2"/>
        <v>0.9</v>
      </c>
      <c r="AC35" s="143"/>
      <c r="AD35" s="127"/>
      <c r="AE35" s="143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6" customFormat="1" ht="15.95" customHeight="1" thickBot="1" x14ac:dyDescent="0.3">
      <c r="A36" s="310"/>
      <c r="B36" s="136" t="s">
        <v>63</v>
      </c>
      <c r="C36" s="137">
        <v>30</v>
      </c>
      <c r="D36" s="138">
        <v>0</v>
      </c>
      <c r="E36" s="139">
        <v>0</v>
      </c>
      <c r="F36" s="140">
        <v>38</v>
      </c>
      <c r="G36" s="139">
        <v>1753.5419999999999</v>
      </c>
      <c r="H36" s="140">
        <v>9</v>
      </c>
      <c r="I36" s="139">
        <v>1606.2</v>
      </c>
      <c r="J36" s="140">
        <v>11</v>
      </c>
      <c r="K36" s="141">
        <v>934.78</v>
      </c>
      <c r="L36" s="140">
        <v>15</v>
      </c>
      <c r="M36" s="141">
        <v>1307</v>
      </c>
      <c r="N36" s="140">
        <v>0</v>
      </c>
      <c r="O36" s="141">
        <v>0</v>
      </c>
      <c r="P36" s="140">
        <v>0</v>
      </c>
      <c r="Q36" s="141">
        <v>0</v>
      </c>
      <c r="R36" s="140">
        <v>1</v>
      </c>
      <c r="S36" s="141">
        <v>0</v>
      </c>
      <c r="T36" s="141"/>
      <c r="U36" s="140"/>
      <c r="V36" s="139"/>
      <c r="W36" s="140"/>
      <c r="X36" s="139"/>
      <c r="Y36" s="142">
        <f t="shared" si="0"/>
        <v>74</v>
      </c>
      <c r="Z36" s="143">
        <f t="shared" si="1"/>
        <v>110977.976</v>
      </c>
      <c r="AA36" s="147">
        <f>IF(Z36=0,0,Z36/Y36)</f>
        <v>1499.7023783783784</v>
      </c>
      <c r="AB36" s="148">
        <f t="shared" si="2"/>
        <v>0.92500000000000004</v>
      </c>
      <c r="AC36" s="143"/>
      <c r="AD36" s="127"/>
      <c r="AE36" s="143"/>
    </row>
    <row r="37" spans="1:56" s="128" customFormat="1" ht="17.100000000000001" customHeight="1" thickTop="1" x14ac:dyDescent="0.25">
      <c r="A37" s="171" t="s">
        <v>70</v>
      </c>
      <c r="B37" s="172"/>
      <c r="C37" s="172"/>
      <c r="D37" s="173">
        <f>SUM(D7:D36)</f>
        <v>0</v>
      </c>
      <c r="E37" s="236">
        <f>IF(D37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)/D37)</f>
        <v>0</v>
      </c>
      <c r="F37" s="175">
        <f>SUM(F7:F36)</f>
        <v>934</v>
      </c>
      <c r="G37" s="174">
        <f>IF(F37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)/F37)</f>
        <v>1771.2484400428264</v>
      </c>
      <c r="H37" s="176">
        <f>SUM(H7:H36)</f>
        <v>91</v>
      </c>
      <c r="I37" s="174">
        <f>IF(H37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)/H37)</f>
        <v>1392.6193406593407</v>
      </c>
      <c r="J37" s="175">
        <f>SUM(J7:J36)</f>
        <v>137</v>
      </c>
      <c r="K37" s="174">
        <f>IF(J37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)/J37)</f>
        <v>1268.8978832116784</v>
      </c>
      <c r="L37" s="175">
        <f>SUM(L7:L36)</f>
        <v>547</v>
      </c>
      <c r="M37" s="174">
        <f>IF(L37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)/L37)</f>
        <v>1307</v>
      </c>
      <c r="N37" s="175">
        <f>SUM(N7:N36)</f>
        <v>0</v>
      </c>
      <c r="O37" s="174">
        <f>IF(N37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)/N37)</f>
        <v>0</v>
      </c>
      <c r="P37" s="175">
        <f>SUM(P7:P36)</f>
        <v>75</v>
      </c>
      <c r="Q37" s="174">
        <f>IF(P37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)/P37)</f>
        <v>2030</v>
      </c>
      <c r="R37" s="175">
        <f>SUM(R7:R36)</f>
        <v>18</v>
      </c>
      <c r="S37" s="174">
        <f>IF(R37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)/R37)</f>
        <v>0</v>
      </c>
      <c r="T37" s="174"/>
      <c r="U37" s="175"/>
      <c r="V37" s="174"/>
      <c r="W37" s="175"/>
      <c r="X37" s="174"/>
      <c r="Y37" s="175">
        <f>SUM(Y7:Y36)</f>
        <v>1802</v>
      </c>
      <c r="Z37" s="218">
        <f>SUM(Z7:Z36)</f>
        <v>2822092.4129999997</v>
      </c>
      <c r="AA37" s="176">
        <f>IF(Z37=0,0,Z37/Y37)</f>
        <v>1566.0890194228634</v>
      </c>
      <c r="AB37" s="178">
        <f>Y37/(AB6*D2)</f>
        <v>0.75083333333333335</v>
      </c>
      <c r="AC37" s="126"/>
      <c r="AD37" s="127"/>
      <c r="AE37" s="143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</row>
    <row r="38" spans="1:56" s="128" customFormat="1" ht="17.100000000000001" customHeight="1" thickBot="1" x14ac:dyDescent="0.3">
      <c r="A38" s="179" t="s">
        <v>71</v>
      </c>
      <c r="B38" s="180"/>
      <c r="C38" s="180"/>
      <c r="D38" s="771">
        <f>+E37*D37</f>
        <v>0</v>
      </c>
      <c r="E38" s="767"/>
      <c r="F38" s="766">
        <f>+G37*F37</f>
        <v>1654346.0429999998</v>
      </c>
      <c r="G38" s="767"/>
      <c r="H38" s="766">
        <f>+I37*H37</f>
        <v>126728.36</v>
      </c>
      <c r="I38" s="767"/>
      <c r="J38" s="766">
        <f>+K37*J37</f>
        <v>173839.00999999995</v>
      </c>
      <c r="K38" s="767"/>
      <c r="L38" s="766">
        <f>+M37*L37</f>
        <v>714929</v>
      </c>
      <c r="M38" s="767"/>
      <c r="N38" s="766">
        <f>+O37*N37</f>
        <v>0</v>
      </c>
      <c r="O38" s="767"/>
      <c r="P38" s="766">
        <f>+Q37*P37</f>
        <v>152250</v>
      </c>
      <c r="Q38" s="767"/>
      <c r="R38" s="766">
        <f>+S37*R37</f>
        <v>0</v>
      </c>
      <c r="S38" s="768"/>
      <c r="T38" s="181"/>
      <c r="U38" s="182"/>
      <c r="V38" s="181"/>
      <c r="W38" s="182"/>
      <c r="X38" s="181"/>
      <c r="Y38" s="183"/>
      <c r="Z38" s="184"/>
      <c r="AA38" s="184"/>
      <c r="AB38" s="185"/>
      <c r="AC38" s="126"/>
      <c r="AD38" s="127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11" customFormat="1" ht="16.5" thickTop="1" x14ac:dyDescent="0.25">
      <c r="F39" s="211"/>
      <c r="G39" s="226"/>
      <c r="L39" s="211"/>
      <c r="M39" s="226"/>
      <c r="P39" s="211"/>
      <c r="Q39" s="226"/>
      <c r="AC39" s="112"/>
      <c r="AD39" s="113"/>
      <c r="AE39" s="126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4"/>
    </row>
    <row r="40" spans="1:56" s="111" customFormat="1" x14ac:dyDescent="0.2">
      <c r="G40" s="226"/>
      <c r="Q40" s="226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G41" s="226"/>
      <c r="Q41" s="226"/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A42" s="385"/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ht="15.75" x14ac:dyDescent="0.25">
      <c r="Y47" s="190"/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ht="15.75" x14ac:dyDescent="0.25">
      <c r="Y48" s="139"/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5:56" s="111" customFormat="1" ht="15.75" x14ac:dyDescent="0.25">
      <c r="Y49" s="139"/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5:56" s="111" customFormat="1" ht="15.75" x14ac:dyDescent="0.25">
      <c r="Y50" s="153"/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5:56" s="111" customFormat="1" ht="15.75" x14ac:dyDescent="0.25">
      <c r="Y51" s="139"/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5:56" s="111" customFormat="1" ht="15.75" x14ac:dyDescent="0.25">
      <c r="Y52" s="139"/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  <row r="53" spans="25:56" ht="15.75" x14ac:dyDescent="0.25">
      <c r="Y53" s="139"/>
    </row>
    <row r="54" spans="25:56" ht="15.75" x14ac:dyDescent="0.25">
      <c r="Y54" s="139"/>
    </row>
    <row r="55" spans="25:56" ht="15.75" x14ac:dyDescent="0.25">
      <c r="Y55" s="139"/>
    </row>
    <row r="56" spans="25:56" ht="15.75" x14ac:dyDescent="0.25">
      <c r="Y56" s="139"/>
    </row>
    <row r="57" spans="25:56" ht="15.75" x14ac:dyDescent="0.25">
      <c r="Y57" s="153"/>
    </row>
    <row r="58" spans="25:56" ht="15.75" x14ac:dyDescent="0.25">
      <c r="Y58" s="139"/>
    </row>
    <row r="59" spans="25:56" ht="15.75" x14ac:dyDescent="0.25">
      <c r="Y59" s="139"/>
    </row>
    <row r="60" spans="25:56" ht="15.75" x14ac:dyDescent="0.25">
      <c r="Y60" s="139"/>
    </row>
    <row r="61" spans="25:56" ht="15.75" x14ac:dyDescent="0.25">
      <c r="Y61" s="139"/>
    </row>
    <row r="62" spans="25:56" ht="15.75" x14ac:dyDescent="0.25">
      <c r="Y62" s="139"/>
    </row>
    <row r="63" spans="25:56" ht="15.75" x14ac:dyDescent="0.25">
      <c r="Y63" s="139"/>
    </row>
    <row r="64" spans="25:56" ht="15.75" x14ac:dyDescent="0.25">
      <c r="Y64" s="153"/>
    </row>
    <row r="65" spans="25:25" ht="15.75" x14ac:dyDescent="0.25">
      <c r="Y65" s="139"/>
    </row>
    <row r="66" spans="25:25" ht="15.75" x14ac:dyDescent="0.25">
      <c r="Y66" s="139"/>
    </row>
    <row r="67" spans="25:25" ht="15.75" x14ac:dyDescent="0.25">
      <c r="Y67" s="139"/>
    </row>
    <row r="68" spans="25:25" ht="15.75" x14ac:dyDescent="0.25">
      <c r="Y68" s="139"/>
    </row>
    <row r="69" spans="25:25" ht="15.75" x14ac:dyDescent="0.25">
      <c r="Y69" s="139"/>
    </row>
    <row r="70" spans="25:25" ht="15.75" x14ac:dyDescent="0.25">
      <c r="Y70" s="139"/>
    </row>
    <row r="71" spans="25:25" ht="15.75" x14ac:dyDescent="0.25">
      <c r="Y71" s="153"/>
    </row>
    <row r="72" spans="25:25" ht="15.75" x14ac:dyDescent="0.25">
      <c r="Y72" s="139"/>
    </row>
    <row r="73" spans="25:25" ht="15.75" x14ac:dyDescent="0.25">
      <c r="Y73" s="284"/>
    </row>
    <row r="74" spans="25:25" ht="15.75" x14ac:dyDescent="0.25">
      <c r="Y74" s="139"/>
    </row>
    <row r="75" spans="25:25" ht="15.75" x14ac:dyDescent="0.25">
      <c r="Y75" s="139"/>
    </row>
    <row r="76" spans="25:25" ht="15.75" x14ac:dyDescent="0.25">
      <c r="Y76" s="139"/>
    </row>
  </sheetData>
  <mergeCells count="23"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  <mergeCell ref="A25:A28"/>
    <mergeCell ref="D38:E38"/>
    <mergeCell ref="R5:S5"/>
    <mergeCell ref="R38:S38"/>
    <mergeCell ref="F38:G38"/>
    <mergeCell ref="H38:I38"/>
    <mergeCell ref="J38:K38"/>
    <mergeCell ref="L38:M38"/>
    <mergeCell ref="N38:O38"/>
    <mergeCell ref="P38:Q38"/>
    <mergeCell ref="A9:A11"/>
  </mergeCells>
  <phoneticPr fontId="74" type="noConversion"/>
  <dataValidations disablePrompts="1" count="1">
    <dataValidation type="textLength" errorStyle="information" allowBlank="1" showInputMessage="1" showErrorMessage="1" error="XLBVal:2=0_x000d__x000a_" sqref="C27:C36 HZ27:HZ36 RV27:RV36 ABR27:ABR36 ALN27:ALN36 AVJ27:AVJ36 BFF27:BFF36 BPB27:BPB36 BYX27:BYX36 CIT27:CIT36 CSP27:CSP36 DCL27:DCL36 DMH27:DMH36 DWD27:DWD36 EFZ27:EFZ36 EPV27:EPV36 EZR27:EZR36 FJN27:FJN36 FTJ27:FTJ36 GDF27:GDF36 GNB27:GNB36 GWX27:GWX36 HGT27:HGT36 HQP27:HQP36 IAL27:IAL36 IKH27:IKH36 IUD27:IUD36 JDZ27:JDZ36 JNV27:JNV36 JXR27:JXR36 KHN27:KHN36 KRJ27:KRJ36 LBF27:LBF36 LLB27:LLB36 LUX27:LUX36 MET27:MET36 MOP27:MOP36 MYL27:MYL36 NIH27:NIH36 NSD27:NSD36 OBZ27:OBZ36 OLV27:OLV36 OVR27:OVR36 PFN27:PFN36 PPJ27:PPJ36 PZF27:PZF36 QJB27:QJB36 QSX27:QSX36 RCT27:RCT36 RMP27:RMP36 RWL27:RWL36 SGH27:SGH36 SQD27:SQD36 SZZ27:SZZ36 TJV27:TJV36 TTR27:TTR36 UDN27:UDN36 UNJ27:UNJ36 UXF27:UXF36 VHB27:VHB36 VQX27:VQX36 WAT27:WAT36 WKP27:WKP36 WUL27:WUL36 C65510:C65520 HZ65510:HZ65520 RV65510:RV65520 ABR65510:ABR65520 ALN65510:ALN65520 AVJ65510:AVJ65520 BFF65510:BFF65520 BPB65510:BPB65520 BYX65510:BYX65520 CIT65510:CIT65520 CSP65510:CSP65520 DCL65510:DCL65520 DMH65510:DMH65520 DWD65510:DWD65520 EFZ65510:EFZ65520 EPV65510:EPV65520 EZR65510:EZR65520 FJN65510:FJN65520 FTJ65510:FTJ65520 GDF65510:GDF65520 GNB65510:GNB65520 GWX65510:GWX65520 HGT65510:HGT65520 HQP65510:HQP65520 IAL65510:IAL65520 IKH65510:IKH65520 IUD65510:IUD65520 JDZ65510:JDZ65520 JNV65510:JNV65520 JXR65510:JXR65520 KHN65510:KHN65520 KRJ65510:KRJ65520 LBF65510:LBF65520 LLB65510:LLB65520 LUX65510:LUX65520 MET65510:MET65520 MOP65510:MOP65520 MYL65510:MYL65520 NIH65510:NIH65520 NSD65510:NSD65520 OBZ65510:OBZ65520 OLV65510:OLV65520 OVR65510:OVR65520 PFN65510:PFN65520 PPJ65510:PPJ65520 PZF65510:PZF65520 QJB65510:QJB65520 QSX65510:QSX65520 RCT65510:RCT65520 RMP65510:RMP65520 RWL65510:RWL65520 SGH65510:SGH65520 SQD65510:SQD65520 SZZ65510:SZZ65520 TJV65510:TJV65520 TTR65510:TTR65520 UDN65510:UDN65520 UNJ65510:UNJ65520 UXF65510:UXF65520 VHB65510:VHB65520 VQX65510:VQX65520 WAT65510:WAT65520 WKP65510:WKP65520 WUL65510:WUL65520 C131046:C131056 HZ131046:HZ131056 RV131046:RV131056 ABR131046:ABR131056 ALN131046:ALN131056 AVJ131046:AVJ131056 BFF131046:BFF131056 BPB131046:BPB131056 BYX131046:BYX131056 CIT131046:CIT131056 CSP131046:CSP131056 DCL131046:DCL131056 DMH131046:DMH131056 DWD131046:DWD131056 EFZ131046:EFZ131056 EPV131046:EPV131056 EZR131046:EZR131056 FJN131046:FJN131056 FTJ131046:FTJ131056 GDF131046:GDF131056 GNB131046:GNB131056 GWX131046:GWX131056 HGT131046:HGT131056 HQP131046:HQP131056 IAL131046:IAL131056 IKH131046:IKH131056 IUD131046:IUD131056 JDZ131046:JDZ131056 JNV131046:JNV131056 JXR131046:JXR131056 KHN131046:KHN131056 KRJ131046:KRJ131056 LBF131046:LBF131056 LLB131046:LLB131056 LUX131046:LUX131056 MET131046:MET131056 MOP131046:MOP131056 MYL131046:MYL131056 NIH131046:NIH131056 NSD131046:NSD131056 OBZ131046:OBZ131056 OLV131046:OLV131056 OVR131046:OVR131056 PFN131046:PFN131056 PPJ131046:PPJ131056 PZF131046:PZF131056 QJB131046:QJB131056 QSX131046:QSX131056 RCT131046:RCT131056 RMP131046:RMP131056 RWL131046:RWL131056 SGH131046:SGH131056 SQD131046:SQD131056 SZZ131046:SZZ131056 TJV131046:TJV131056 TTR131046:TTR131056 UDN131046:UDN131056 UNJ131046:UNJ131056 UXF131046:UXF131056 VHB131046:VHB131056 VQX131046:VQX131056 WAT131046:WAT131056 WKP131046:WKP131056 WUL131046:WUL131056 C196582:C196592 HZ196582:HZ196592 RV196582:RV196592 ABR196582:ABR196592 ALN196582:ALN196592 AVJ196582:AVJ196592 BFF196582:BFF196592 BPB196582:BPB196592 BYX196582:BYX196592 CIT196582:CIT196592 CSP196582:CSP196592 DCL196582:DCL196592 DMH196582:DMH196592 DWD196582:DWD196592 EFZ196582:EFZ196592 EPV196582:EPV196592 EZR196582:EZR196592 FJN196582:FJN196592 FTJ196582:FTJ196592 GDF196582:GDF196592 GNB196582:GNB196592 GWX196582:GWX196592 HGT196582:HGT196592 HQP196582:HQP196592 IAL196582:IAL196592 IKH196582:IKH196592 IUD196582:IUD196592 JDZ196582:JDZ196592 JNV196582:JNV196592 JXR196582:JXR196592 KHN196582:KHN196592 KRJ196582:KRJ196592 LBF196582:LBF196592 LLB196582:LLB196592 LUX196582:LUX196592 MET196582:MET196592 MOP196582:MOP196592 MYL196582:MYL196592 NIH196582:NIH196592 NSD196582:NSD196592 OBZ196582:OBZ196592 OLV196582:OLV196592 OVR196582:OVR196592 PFN196582:PFN196592 PPJ196582:PPJ196592 PZF196582:PZF196592 QJB196582:QJB196592 QSX196582:QSX196592 RCT196582:RCT196592 RMP196582:RMP196592 RWL196582:RWL196592 SGH196582:SGH196592 SQD196582:SQD196592 SZZ196582:SZZ196592 TJV196582:TJV196592 TTR196582:TTR196592 UDN196582:UDN196592 UNJ196582:UNJ196592 UXF196582:UXF196592 VHB196582:VHB196592 VQX196582:VQX196592 WAT196582:WAT196592 WKP196582:WKP196592 WUL196582:WUL196592 C262118:C262128 HZ262118:HZ262128 RV262118:RV262128 ABR262118:ABR262128 ALN262118:ALN262128 AVJ262118:AVJ262128 BFF262118:BFF262128 BPB262118:BPB262128 BYX262118:BYX262128 CIT262118:CIT262128 CSP262118:CSP262128 DCL262118:DCL262128 DMH262118:DMH262128 DWD262118:DWD262128 EFZ262118:EFZ262128 EPV262118:EPV262128 EZR262118:EZR262128 FJN262118:FJN262128 FTJ262118:FTJ262128 GDF262118:GDF262128 GNB262118:GNB262128 GWX262118:GWX262128 HGT262118:HGT262128 HQP262118:HQP262128 IAL262118:IAL262128 IKH262118:IKH262128 IUD262118:IUD262128 JDZ262118:JDZ262128 JNV262118:JNV262128 JXR262118:JXR262128 KHN262118:KHN262128 KRJ262118:KRJ262128 LBF262118:LBF262128 LLB262118:LLB262128 LUX262118:LUX262128 MET262118:MET262128 MOP262118:MOP262128 MYL262118:MYL262128 NIH262118:NIH262128 NSD262118:NSD262128 OBZ262118:OBZ262128 OLV262118:OLV262128 OVR262118:OVR262128 PFN262118:PFN262128 PPJ262118:PPJ262128 PZF262118:PZF262128 QJB262118:QJB262128 QSX262118:QSX262128 RCT262118:RCT262128 RMP262118:RMP262128 RWL262118:RWL262128 SGH262118:SGH262128 SQD262118:SQD262128 SZZ262118:SZZ262128 TJV262118:TJV262128 TTR262118:TTR262128 UDN262118:UDN262128 UNJ262118:UNJ262128 UXF262118:UXF262128 VHB262118:VHB262128 VQX262118:VQX262128 WAT262118:WAT262128 WKP262118:WKP262128 WUL262118:WUL262128 C327654:C327664 HZ327654:HZ327664 RV327654:RV327664 ABR327654:ABR327664 ALN327654:ALN327664 AVJ327654:AVJ327664 BFF327654:BFF327664 BPB327654:BPB327664 BYX327654:BYX327664 CIT327654:CIT327664 CSP327654:CSP327664 DCL327654:DCL327664 DMH327654:DMH327664 DWD327654:DWD327664 EFZ327654:EFZ327664 EPV327654:EPV327664 EZR327654:EZR327664 FJN327654:FJN327664 FTJ327654:FTJ327664 GDF327654:GDF327664 GNB327654:GNB327664 GWX327654:GWX327664 HGT327654:HGT327664 HQP327654:HQP327664 IAL327654:IAL327664 IKH327654:IKH327664 IUD327654:IUD327664 JDZ327654:JDZ327664 JNV327654:JNV327664 JXR327654:JXR327664 KHN327654:KHN327664 KRJ327654:KRJ327664 LBF327654:LBF327664 LLB327654:LLB327664 LUX327654:LUX327664 MET327654:MET327664 MOP327654:MOP327664 MYL327654:MYL327664 NIH327654:NIH327664 NSD327654:NSD327664 OBZ327654:OBZ327664 OLV327654:OLV327664 OVR327654:OVR327664 PFN327654:PFN327664 PPJ327654:PPJ327664 PZF327654:PZF327664 QJB327654:QJB327664 QSX327654:QSX327664 RCT327654:RCT327664 RMP327654:RMP327664 RWL327654:RWL327664 SGH327654:SGH327664 SQD327654:SQD327664 SZZ327654:SZZ327664 TJV327654:TJV327664 TTR327654:TTR327664 UDN327654:UDN327664 UNJ327654:UNJ327664 UXF327654:UXF327664 VHB327654:VHB327664 VQX327654:VQX327664 WAT327654:WAT327664 WKP327654:WKP327664 WUL327654:WUL327664 C393190:C393200 HZ393190:HZ393200 RV393190:RV393200 ABR393190:ABR393200 ALN393190:ALN393200 AVJ393190:AVJ393200 BFF393190:BFF393200 BPB393190:BPB393200 BYX393190:BYX393200 CIT393190:CIT393200 CSP393190:CSP393200 DCL393190:DCL393200 DMH393190:DMH393200 DWD393190:DWD393200 EFZ393190:EFZ393200 EPV393190:EPV393200 EZR393190:EZR393200 FJN393190:FJN393200 FTJ393190:FTJ393200 GDF393190:GDF393200 GNB393190:GNB393200 GWX393190:GWX393200 HGT393190:HGT393200 HQP393190:HQP393200 IAL393190:IAL393200 IKH393190:IKH393200 IUD393190:IUD393200 JDZ393190:JDZ393200 JNV393190:JNV393200 JXR393190:JXR393200 KHN393190:KHN393200 KRJ393190:KRJ393200 LBF393190:LBF393200 LLB393190:LLB393200 LUX393190:LUX393200 MET393190:MET393200 MOP393190:MOP393200 MYL393190:MYL393200 NIH393190:NIH393200 NSD393190:NSD393200 OBZ393190:OBZ393200 OLV393190:OLV393200 OVR393190:OVR393200 PFN393190:PFN393200 PPJ393190:PPJ393200 PZF393190:PZF393200 QJB393190:QJB393200 QSX393190:QSX393200 RCT393190:RCT393200 RMP393190:RMP393200 RWL393190:RWL393200 SGH393190:SGH393200 SQD393190:SQD393200 SZZ393190:SZZ393200 TJV393190:TJV393200 TTR393190:TTR393200 UDN393190:UDN393200 UNJ393190:UNJ393200 UXF393190:UXF393200 VHB393190:VHB393200 VQX393190:VQX393200 WAT393190:WAT393200 WKP393190:WKP393200 WUL393190:WUL393200 C458726:C458736 HZ458726:HZ458736 RV458726:RV458736 ABR458726:ABR458736 ALN458726:ALN458736 AVJ458726:AVJ458736 BFF458726:BFF458736 BPB458726:BPB458736 BYX458726:BYX458736 CIT458726:CIT458736 CSP458726:CSP458736 DCL458726:DCL458736 DMH458726:DMH458736 DWD458726:DWD458736 EFZ458726:EFZ458736 EPV458726:EPV458736 EZR458726:EZR458736 FJN458726:FJN458736 FTJ458726:FTJ458736 GDF458726:GDF458736 GNB458726:GNB458736 GWX458726:GWX458736 HGT458726:HGT458736 HQP458726:HQP458736 IAL458726:IAL458736 IKH458726:IKH458736 IUD458726:IUD458736 JDZ458726:JDZ458736 JNV458726:JNV458736 JXR458726:JXR458736 KHN458726:KHN458736 KRJ458726:KRJ458736 LBF458726:LBF458736 LLB458726:LLB458736 LUX458726:LUX458736 MET458726:MET458736 MOP458726:MOP458736 MYL458726:MYL458736 NIH458726:NIH458736 NSD458726:NSD458736 OBZ458726:OBZ458736 OLV458726:OLV458736 OVR458726:OVR458736 PFN458726:PFN458736 PPJ458726:PPJ458736 PZF458726:PZF458736 QJB458726:QJB458736 QSX458726:QSX458736 RCT458726:RCT458736 RMP458726:RMP458736 RWL458726:RWL458736 SGH458726:SGH458736 SQD458726:SQD458736 SZZ458726:SZZ458736 TJV458726:TJV458736 TTR458726:TTR458736 UDN458726:UDN458736 UNJ458726:UNJ458736 UXF458726:UXF458736 VHB458726:VHB458736 VQX458726:VQX458736 WAT458726:WAT458736 WKP458726:WKP458736 WUL458726:WUL458736 C524262:C524272 HZ524262:HZ524272 RV524262:RV524272 ABR524262:ABR524272 ALN524262:ALN524272 AVJ524262:AVJ524272 BFF524262:BFF524272 BPB524262:BPB524272 BYX524262:BYX524272 CIT524262:CIT524272 CSP524262:CSP524272 DCL524262:DCL524272 DMH524262:DMH524272 DWD524262:DWD524272 EFZ524262:EFZ524272 EPV524262:EPV524272 EZR524262:EZR524272 FJN524262:FJN524272 FTJ524262:FTJ524272 GDF524262:GDF524272 GNB524262:GNB524272 GWX524262:GWX524272 HGT524262:HGT524272 HQP524262:HQP524272 IAL524262:IAL524272 IKH524262:IKH524272 IUD524262:IUD524272 JDZ524262:JDZ524272 JNV524262:JNV524272 JXR524262:JXR524272 KHN524262:KHN524272 KRJ524262:KRJ524272 LBF524262:LBF524272 LLB524262:LLB524272 LUX524262:LUX524272 MET524262:MET524272 MOP524262:MOP524272 MYL524262:MYL524272 NIH524262:NIH524272 NSD524262:NSD524272 OBZ524262:OBZ524272 OLV524262:OLV524272 OVR524262:OVR524272 PFN524262:PFN524272 PPJ524262:PPJ524272 PZF524262:PZF524272 QJB524262:QJB524272 QSX524262:QSX524272 RCT524262:RCT524272 RMP524262:RMP524272 RWL524262:RWL524272 SGH524262:SGH524272 SQD524262:SQD524272 SZZ524262:SZZ524272 TJV524262:TJV524272 TTR524262:TTR524272 UDN524262:UDN524272 UNJ524262:UNJ524272 UXF524262:UXF524272 VHB524262:VHB524272 VQX524262:VQX524272 WAT524262:WAT524272 WKP524262:WKP524272 WUL524262:WUL524272 C589798:C589808 HZ589798:HZ589808 RV589798:RV589808 ABR589798:ABR589808 ALN589798:ALN589808 AVJ589798:AVJ589808 BFF589798:BFF589808 BPB589798:BPB589808 BYX589798:BYX589808 CIT589798:CIT589808 CSP589798:CSP589808 DCL589798:DCL589808 DMH589798:DMH589808 DWD589798:DWD589808 EFZ589798:EFZ589808 EPV589798:EPV589808 EZR589798:EZR589808 FJN589798:FJN589808 FTJ589798:FTJ589808 GDF589798:GDF589808 GNB589798:GNB589808 GWX589798:GWX589808 HGT589798:HGT589808 HQP589798:HQP589808 IAL589798:IAL589808 IKH589798:IKH589808 IUD589798:IUD589808 JDZ589798:JDZ589808 JNV589798:JNV589808 JXR589798:JXR589808 KHN589798:KHN589808 KRJ589798:KRJ589808 LBF589798:LBF589808 LLB589798:LLB589808 LUX589798:LUX589808 MET589798:MET589808 MOP589798:MOP589808 MYL589798:MYL589808 NIH589798:NIH589808 NSD589798:NSD589808 OBZ589798:OBZ589808 OLV589798:OLV589808 OVR589798:OVR589808 PFN589798:PFN589808 PPJ589798:PPJ589808 PZF589798:PZF589808 QJB589798:QJB589808 QSX589798:QSX589808 RCT589798:RCT589808 RMP589798:RMP589808 RWL589798:RWL589808 SGH589798:SGH589808 SQD589798:SQD589808 SZZ589798:SZZ589808 TJV589798:TJV589808 TTR589798:TTR589808 UDN589798:UDN589808 UNJ589798:UNJ589808 UXF589798:UXF589808 VHB589798:VHB589808 VQX589798:VQX589808 WAT589798:WAT589808 WKP589798:WKP589808 WUL589798:WUL589808 C655334:C655344 HZ655334:HZ655344 RV655334:RV655344 ABR655334:ABR655344 ALN655334:ALN655344 AVJ655334:AVJ655344 BFF655334:BFF655344 BPB655334:BPB655344 BYX655334:BYX655344 CIT655334:CIT655344 CSP655334:CSP655344 DCL655334:DCL655344 DMH655334:DMH655344 DWD655334:DWD655344 EFZ655334:EFZ655344 EPV655334:EPV655344 EZR655334:EZR655344 FJN655334:FJN655344 FTJ655334:FTJ655344 GDF655334:GDF655344 GNB655334:GNB655344 GWX655334:GWX655344 HGT655334:HGT655344 HQP655334:HQP655344 IAL655334:IAL655344 IKH655334:IKH655344 IUD655334:IUD655344 JDZ655334:JDZ655344 JNV655334:JNV655344 JXR655334:JXR655344 KHN655334:KHN655344 KRJ655334:KRJ655344 LBF655334:LBF655344 LLB655334:LLB655344 LUX655334:LUX655344 MET655334:MET655344 MOP655334:MOP655344 MYL655334:MYL655344 NIH655334:NIH655344 NSD655334:NSD655344 OBZ655334:OBZ655344 OLV655334:OLV655344 OVR655334:OVR655344 PFN655334:PFN655344 PPJ655334:PPJ655344 PZF655334:PZF655344 QJB655334:QJB655344 QSX655334:QSX655344 RCT655334:RCT655344 RMP655334:RMP655344 RWL655334:RWL655344 SGH655334:SGH655344 SQD655334:SQD655344 SZZ655334:SZZ655344 TJV655334:TJV655344 TTR655334:TTR655344 UDN655334:UDN655344 UNJ655334:UNJ655344 UXF655334:UXF655344 VHB655334:VHB655344 VQX655334:VQX655344 WAT655334:WAT655344 WKP655334:WKP655344 WUL655334:WUL655344 C720870:C720880 HZ720870:HZ720880 RV720870:RV720880 ABR720870:ABR720880 ALN720870:ALN720880 AVJ720870:AVJ720880 BFF720870:BFF720880 BPB720870:BPB720880 BYX720870:BYX720880 CIT720870:CIT720880 CSP720870:CSP720880 DCL720870:DCL720880 DMH720870:DMH720880 DWD720870:DWD720880 EFZ720870:EFZ720880 EPV720870:EPV720880 EZR720870:EZR720880 FJN720870:FJN720880 FTJ720870:FTJ720880 GDF720870:GDF720880 GNB720870:GNB720880 GWX720870:GWX720880 HGT720870:HGT720880 HQP720870:HQP720880 IAL720870:IAL720880 IKH720870:IKH720880 IUD720870:IUD720880 JDZ720870:JDZ720880 JNV720870:JNV720880 JXR720870:JXR720880 KHN720870:KHN720880 KRJ720870:KRJ720880 LBF720870:LBF720880 LLB720870:LLB720880 LUX720870:LUX720880 MET720870:MET720880 MOP720870:MOP720880 MYL720870:MYL720880 NIH720870:NIH720880 NSD720870:NSD720880 OBZ720870:OBZ720880 OLV720870:OLV720880 OVR720870:OVR720880 PFN720870:PFN720880 PPJ720870:PPJ720880 PZF720870:PZF720880 QJB720870:QJB720880 QSX720870:QSX720880 RCT720870:RCT720880 RMP720870:RMP720880 RWL720870:RWL720880 SGH720870:SGH720880 SQD720870:SQD720880 SZZ720870:SZZ720880 TJV720870:TJV720880 TTR720870:TTR720880 UDN720870:UDN720880 UNJ720870:UNJ720880 UXF720870:UXF720880 VHB720870:VHB720880 VQX720870:VQX720880 WAT720870:WAT720880 WKP720870:WKP720880 WUL720870:WUL720880 C786406:C786416 HZ786406:HZ786416 RV786406:RV786416 ABR786406:ABR786416 ALN786406:ALN786416 AVJ786406:AVJ786416 BFF786406:BFF786416 BPB786406:BPB786416 BYX786406:BYX786416 CIT786406:CIT786416 CSP786406:CSP786416 DCL786406:DCL786416 DMH786406:DMH786416 DWD786406:DWD786416 EFZ786406:EFZ786416 EPV786406:EPV786416 EZR786406:EZR786416 FJN786406:FJN786416 FTJ786406:FTJ786416 GDF786406:GDF786416 GNB786406:GNB786416 GWX786406:GWX786416 HGT786406:HGT786416 HQP786406:HQP786416 IAL786406:IAL786416 IKH786406:IKH786416 IUD786406:IUD786416 JDZ786406:JDZ786416 JNV786406:JNV786416 JXR786406:JXR786416 KHN786406:KHN786416 KRJ786406:KRJ786416 LBF786406:LBF786416 LLB786406:LLB786416 LUX786406:LUX786416 MET786406:MET786416 MOP786406:MOP786416 MYL786406:MYL786416 NIH786406:NIH786416 NSD786406:NSD786416 OBZ786406:OBZ786416 OLV786406:OLV786416 OVR786406:OVR786416 PFN786406:PFN786416 PPJ786406:PPJ786416 PZF786406:PZF786416 QJB786406:QJB786416 QSX786406:QSX786416 RCT786406:RCT786416 RMP786406:RMP786416 RWL786406:RWL786416 SGH786406:SGH786416 SQD786406:SQD786416 SZZ786406:SZZ786416 TJV786406:TJV786416 TTR786406:TTR786416 UDN786406:UDN786416 UNJ786406:UNJ786416 UXF786406:UXF786416 VHB786406:VHB786416 VQX786406:VQX786416 WAT786406:WAT786416 WKP786406:WKP786416 WUL786406:WUL786416 C851942:C851952 HZ851942:HZ851952 RV851942:RV851952 ABR851942:ABR851952 ALN851942:ALN851952 AVJ851942:AVJ851952 BFF851942:BFF851952 BPB851942:BPB851952 BYX851942:BYX851952 CIT851942:CIT851952 CSP851942:CSP851952 DCL851942:DCL851952 DMH851942:DMH851952 DWD851942:DWD851952 EFZ851942:EFZ851952 EPV851942:EPV851952 EZR851942:EZR851952 FJN851942:FJN851952 FTJ851942:FTJ851952 GDF851942:GDF851952 GNB851942:GNB851952 GWX851942:GWX851952 HGT851942:HGT851952 HQP851942:HQP851952 IAL851942:IAL851952 IKH851942:IKH851952 IUD851942:IUD851952 JDZ851942:JDZ851952 JNV851942:JNV851952 JXR851942:JXR851952 KHN851942:KHN851952 KRJ851942:KRJ851952 LBF851942:LBF851952 LLB851942:LLB851952 LUX851942:LUX851952 MET851942:MET851952 MOP851942:MOP851952 MYL851942:MYL851952 NIH851942:NIH851952 NSD851942:NSD851952 OBZ851942:OBZ851952 OLV851942:OLV851952 OVR851942:OVR851952 PFN851942:PFN851952 PPJ851942:PPJ851952 PZF851942:PZF851952 QJB851942:QJB851952 QSX851942:QSX851952 RCT851942:RCT851952 RMP851942:RMP851952 RWL851942:RWL851952 SGH851942:SGH851952 SQD851942:SQD851952 SZZ851942:SZZ851952 TJV851942:TJV851952 TTR851942:TTR851952 UDN851942:UDN851952 UNJ851942:UNJ851952 UXF851942:UXF851952 VHB851942:VHB851952 VQX851942:VQX851952 WAT851942:WAT851952 WKP851942:WKP851952 WUL851942:WUL851952 C917478:C917488 HZ917478:HZ917488 RV917478:RV917488 ABR917478:ABR917488 ALN917478:ALN917488 AVJ917478:AVJ917488 BFF917478:BFF917488 BPB917478:BPB917488 BYX917478:BYX917488 CIT917478:CIT917488 CSP917478:CSP917488 DCL917478:DCL917488 DMH917478:DMH917488 DWD917478:DWD917488 EFZ917478:EFZ917488 EPV917478:EPV917488 EZR917478:EZR917488 FJN917478:FJN917488 FTJ917478:FTJ917488 GDF917478:GDF917488 GNB917478:GNB917488 GWX917478:GWX917488 HGT917478:HGT917488 HQP917478:HQP917488 IAL917478:IAL917488 IKH917478:IKH917488 IUD917478:IUD917488 JDZ917478:JDZ917488 JNV917478:JNV917488 JXR917478:JXR917488 KHN917478:KHN917488 KRJ917478:KRJ917488 LBF917478:LBF917488 LLB917478:LLB917488 LUX917478:LUX917488 MET917478:MET917488 MOP917478:MOP917488 MYL917478:MYL917488 NIH917478:NIH917488 NSD917478:NSD917488 OBZ917478:OBZ917488 OLV917478:OLV917488 OVR917478:OVR917488 PFN917478:PFN917488 PPJ917478:PPJ917488 PZF917478:PZF917488 QJB917478:QJB917488 QSX917478:QSX917488 RCT917478:RCT917488 RMP917478:RMP917488 RWL917478:RWL917488 SGH917478:SGH917488 SQD917478:SQD917488 SZZ917478:SZZ917488 TJV917478:TJV917488 TTR917478:TTR917488 UDN917478:UDN917488 UNJ917478:UNJ917488 UXF917478:UXF917488 VHB917478:VHB917488 VQX917478:VQX917488 WAT917478:WAT917488 WKP917478:WKP917488 WUL917478:WUL917488 C983014:C983024 HZ983014:HZ983024 RV983014:RV983024 ABR983014:ABR983024 ALN983014:ALN983024 AVJ983014:AVJ983024 BFF983014:BFF983024 BPB983014:BPB983024 BYX983014:BYX983024 CIT983014:CIT983024 CSP983014:CSP983024 DCL983014:DCL983024 DMH983014:DMH983024 DWD983014:DWD983024 EFZ983014:EFZ983024 EPV983014:EPV983024 EZR983014:EZR983024 FJN983014:FJN983024 FTJ983014:FTJ983024 GDF983014:GDF983024 GNB983014:GNB983024 GWX983014:GWX983024 HGT983014:HGT983024 HQP983014:HQP983024 IAL983014:IAL983024 IKH983014:IKH983024 IUD983014:IUD983024 JDZ983014:JDZ983024 JNV983014:JNV983024 JXR983014:JXR983024 KHN983014:KHN983024 KRJ983014:KRJ983024 LBF983014:LBF983024 LLB983014:LLB983024 LUX983014:LUX983024 MET983014:MET983024 MOP983014:MOP983024 MYL983014:MYL983024 NIH983014:NIH983024 NSD983014:NSD983024 OBZ983014:OBZ983024 OLV983014:OLV983024 OVR983014:OVR983024 PFN983014:PFN983024 PPJ983014:PPJ983024 PZF983014:PZF983024 QJB983014:QJB983024 QSX983014:QSX983024 RCT983014:RCT983024 RMP983014:RMP983024 RWL983014:RWL983024 SGH983014:SGH983024 SQD983014:SQD983024 SZZ983014:SZZ983024 TJV983014:TJV983024 TTR983014:TTR983024 UDN983014:UDN983024 UNJ983014:UNJ983024 UXF983014:UXF983024 VHB983014:VHB983024 VQX983014:VQX983024 WAT983014:WAT983024 WKP983014:WKP983024 WUL983014:WUL983024" xr:uid="{00000000-0002-0000-17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7" orientation="landscape" horizontalDpi="300" verticalDpi="300" r:id="rId1"/>
  <colBreaks count="1" manualBreakCount="1">
    <brk id="28" max="1048575" man="1"/>
  </colBreak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5">
    <pageSetUpPr fitToPage="1"/>
  </sheetPr>
  <dimension ref="B1:S36"/>
  <sheetViews>
    <sheetView view="pageBreakPreview" zoomScale="50" zoomScaleNormal="50" zoomScaleSheetLayoutView="50" workbookViewId="0">
      <pane xSplit="2" ySplit="6" topLeftCell="C7" activePane="bottomRight" state="frozen"/>
      <selection activeCell="G12" sqref="G12"/>
      <selection pane="topRight" activeCell="G12" sqref="G12"/>
      <selection pane="bottomLeft" activeCell="G12" sqref="G12"/>
      <selection pane="bottomRight" activeCell="K13" sqref="K13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5.855468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3.28515625" style="5" bestFit="1" customWidth="1"/>
    <col min="20" max="16384" width="9.140625" style="5"/>
  </cols>
  <sheetData>
    <row r="1" spans="2:19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19" s="1" customFormat="1" ht="26.25" x14ac:dyDescent="0.4">
      <c r="B2" s="759" t="s">
        <v>144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19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19" ht="33" customHeight="1" outlineLevel="1" x14ac:dyDescent="0.35">
      <c r="B4" s="6" t="s">
        <v>1</v>
      </c>
      <c r="C4" s="7">
        <f>155*30</f>
        <v>4650</v>
      </c>
      <c r="D4" s="8"/>
      <c r="E4" s="9"/>
      <c r="F4" s="10"/>
      <c r="G4" s="7">
        <f>80*30</f>
        <v>2400</v>
      </c>
      <c r="H4" s="11"/>
      <c r="I4" s="11"/>
      <c r="J4" s="11"/>
      <c r="K4" s="7">
        <f>80*30</f>
        <v>2400</v>
      </c>
      <c r="L4" s="12"/>
      <c r="M4" s="12"/>
      <c r="N4" s="12"/>
      <c r="O4" s="12"/>
      <c r="P4" s="12"/>
      <c r="Q4" s="13"/>
    </row>
    <row r="5" spans="2:19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19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19" s="94" customFormat="1" ht="33" customHeight="1" outlineLevel="1" x14ac:dyDescent="0.3">
      <c r="B7" s="89" t="s">
        <v>37</v>
      </c>
      <c r="C7" s="90">
        <v>94</v>
      </c>
      <c r="D7" s="91">
        <f t="shared" ref="D7:D16" si="0">+IF(C$24=0,0,C7/C$24)</f>
        <v>4.9343832020997375E-2</v>
      </c>
      <c r="E7" s="92">
        <f>IF(C7=0,0,F7/C7)</f>
        <v>1772.1856382978724</v>
      </c>
      <c r="F7" s="93">
        <v>166585.45000000001</v>
      </c>
      <c r="G7" s="90">
        <v>0</v>
      </c>
      <c r="H7" s="91">
        <f t="shared" ref="H7:H16" si="1">+IF(G$24=0,0,G7/G$24)</f>
        <v>0</v>
      </c>
      <c r="I7" s="92">
        <f>IF(G7=0,0,J7/G7)</f>
        <v>0</v>
      </c>
      <c r="J7" s="93">
        <v>0</v>
      </c>
      <c r="K7" s="90">
        <f>'DApril 2023'!D37</f>
        <v>0</v>
      </c>
      <c r="L7" s="91">
        <f>+IF(K$24=0,0,K7/K$24)</f>
        <v>0</v>
      </c>
      <c r="M7" s="92">
        <f>IF(K7=0,0,N7/K7)</f>
        <v>0</v>
      </c>
      <c r="N7" s="93">
        <f>'DApril 2023'!D38</f>
        <v>0</v>
      </c>
      <c r="O7" s="90">
        <f t="shared" ref="O7:O24" si="2">K7-G7</f>
        <v>0</v>
      </c>
      <c r="P7" s="92">
        <f t="shared" ref="P7:P24" si="3">M7-I7</f>
        <v>0</v>
      </c>
      <c r="Q7" s="93">
        <f t="shared" ref="Q7:Q24" si="4">N7-J7</f>
        <v>0</v>
      </c>
      <c r="S7" s="210"/>
    </row>
    <row r="8" spans="2:19" s="94" customFormat="1" ht="33" customHeight="1" outlineLevel="1" x14ac:dyDescent="0.3">
      <c r="B8" s="89" t="s">
        <v>38</v>
      </c>
      <c r="C8" s="90">
        <v>1288</v>
      </c>
      <c r="D8" s="91">
        <f t="shared" si="0"/>
        <v>0.67611548556430445</v>
      </c>
      <c r="E8" s="92">
        <f>IF(C8=0,0,F8/C8)</f>
        <v>1052.1134937888198</v>
      </c>
      <c r="F8" s="93">
        <v>1355122.18</v>
      </c>
      <c r="G8" s="90">
        <v>1303</v>
      </c>
      <c r="H8" s="91">
        <f t="shared" si="1"/>
        <v>0.73202247191011238</v>
      </c>
      <c r="I8" s="92">
        <f>IF(G8=0,0,J8/G8)</f>
        <v>1696.1864927091328</v>
      </c>
      <c r="J8" s="93">
        <v>2210131</v>
      </c>
      <c r="K8" s="90">
        <f>'DApril 2023'!F37</f>
        <v>934</v>
      </c>
      <c r="L8" s="91">
        <f t="shared" ref="L8:L16" si="5">+IF(K$24=0,0,K8/K$24)</f>
        <v>0.51831298557158711</v>
      </c>
      <c r="M8" s="92">
        <f>IF(K8=0,0,N8/K8)</f>
        <v>1771.2484400428264</v>
      </c>
      <c r="N8" s="93">
        <f>'DApril 2023'!F38</f>
        <v>1654346.0429999998</v>
      </c>
      <c r="O8" s="90">
        <f t="shared" si="2"/>
        <v>-369</v>
      </c>
      <c r="P8" s="92">
        <f t="shared" si="3"/>
        <v>75.061947333693524</v>
      </c>
      <c r="Q8" s="93">
        <f t="shared" si="4"/>
        <v>-555784.95700000017</v>
      </c>
      <c r="S8" s="210"/>
    </row>
    <row r="9" spans="2:19" s="94" customFormat="1" ht="20.25" outlineLevel="1" x14ac:dyDescent="0.3">
      <c r="B9" s="89" t="s">
        <v>44</v>
      </c>
      <c r="C9" s="90">
        <v>129</v>
      </c>
      <c r="D9" s="91">
        <f t="shared" si="0"/>
        <v>6.7716535433070865E-2</v>
      </c>
      <c r="E9" s="92">
        <f>IF(C9=0,0,F9/C9)</f>
        <v>1155.3110852713178</v>
      </c>
      <c r="F9" s="93">
        <v>149035.13</v>
      </c>
      <c r="G9" s="90">
        <v>92</v>
      </c>
      <c r="H9" s="91">
        <f t="shared" si="1"/>
        <v>5.1685393258426963E-2</v>
      </c>
      <c r="I9" s="92">
        <f>IF(G9=0,0,J9/G9)</f>
        <v>1405.7717391304348</v>
      </c>
      <c r="J9" s="93">
        <v>129331</v>
      </c>
      <c r="K9" s="90">
        <f>'DApril 2023'!H37</f>
        <v>91</v>
      </c>
      <c r="L9" s="91">
        <f t="shared" si="5"/>
        <v>5.0499445061043285E-2</v>
      </c>
      <c r="M9" s="92">
        <f>IF(K9=0,0,N9/K9)</f>
        <v>1392.6193406593407</v>
      </c>
      <c r="N9" s="93">
        <f>'DApril 2023'!H38</f>
        <v>126728.36</v>
      </c>
      <c r="O9" s="90">
        <f t="shared" si="2"/>
        <v>-1</v>
      </c>
      <c r="P9" s="92">
        <f t="shared" si="3"/>
        <v>-13.152398471094102</v>
      </c>
      <c r="Q9" s="93">
        <f t="shared" si="4"/>
        <v>-2602.6399999999994</v>
      </c>
      <c r="S9" s="210"/>
    </row>
    <row r="10" spans="2:19" ht="33" customHeight="1" x14ac:dyDescent="0.35">
      <c r="B10" s="20" t="s">
        <v>36</v>
      </c>
      <c r="C10" s="55">
        <f>SUM(C7:C9)</f>
        <v>1511</v>
      </c>
      <c r="D10" s="21">
        <f t="shared" si="0"/>
        <v>0.79317585301837268</v>
      </c>
      <c r="E10" s="58">
        <f>IF(C10=0,0,F10/C10)</f>
        <v>1105.7198941098609</v>
      </c>
      <c r="F10" s="59">
        <f>SUM(F7:F9)</f>
        <v>1670742.7599999998</v>
      </c>
      <c r="G10" s="55">
        <f>SUM(G7:G9)</f>
        <v>1395</v>
      </c>
      <c r="H10" s="21">
        <f t="shared" si="1"/>
        <v>0.7837078651685393</v>
      </c>
      <c r="I10" s="58">
        <f>IF(G10=0,0,J10/G10)</f>
        <v>1677.0336917562724</v>
      </c>
      <c r="J10" s="59">
        <f>SUM(J7:J9)</f>
        <v>2339462</v>
      </c>
      <c r="K10" s="55">
        <f>SUM(K7:K9)</f>
        <v>1025</v>
      </c>
      <c r="L10" s="21">
        <f t="shared" si="5"/>
        <v>0.56881243063263043</v>
      </c>
      <c r="M10" s="58">
        <f>IF(K10=0,0,N10/K10)</f>
        <v>1737.6335639024389</v>
      </c>
      <c r="N10" s="59">
        <f>SUM(N7:N9)</f>
        <v>1781074.4029999999</v>
      </c>
      <c r="O10" s="55">
        <f t="shared" si="2"/>
        <v>-370</v>
      </c>
      <c r="P10" s="58">
        <f t="shared" si="3"/>
        <v>60.59987214616649</v>
      </c>
      <c r="Q10" s="59">
        <f t="shared" si="4"/>
        <v>-558387.59700000007</v>
      </c>
      <c r="S10" s="210"/>
    </row>
    <row r="11" spans="2:19" s="94" customFormat="1" ht="33" customHeight="1" x14ac:dyDescent="0.3">
      <c r="B11" s="89" t="s">
        <v>40</v>
      </c>
      <c r="C11" s="90">
        <v>4</v>
      </c>
      <c r="D11" s="91">
        <f t="shared" si="0"/>
        <v>2.0997375328083989E-3</v>
      </c>
      <c r="E11" s="92">
        <f t="shared" ref="E11:E16" si="6">IF(C11=0,0,F11/C11)</f>
        <v>873.91499999999996</v>
      </c>
      <c r="F11" s="93">
        <v>3495.66</v>
      </c>
      <c r="G11" s="90">
        <v>42</v>
      </c>
      <c r="H11" s="91">
        <f t="shared" si="1"/>
        <v>2.359550561797753E-2</v>
      </c>
      <c r="I11" s="92">
        <f t="shared" ref="I11:I16" si="7">IF(G11=0,0,J11/G11)</f>
        <v>846.21428571428567</v>
      </c>
      <c r="J11" s="93">
        <v>35541</v>
      </c>
      <c r="K11" s="90">
        <f>'DApril 2023'!J37</f>
        <v>137</v>
      </c>
      <c r="L11" s="91">
        <f t="shared" si="5"/>
        <v>7.6026637069922312E-2</v>
      </c>
      <c r="M11" s="92">
        <f t="shared" ref="M11:M16" si="8">IF(K11=0,0,N11/K11)</f>
        <v>1268.8978832116784</v>
      </c>
      <c r="N11" s="93">
        <f>'DApril 2023'!J38</f>
        <v>173839.00999999995</v>
      </c>
      <c r="O11" s="90">
        <f t="shared" si="2"/>
        <v>95</v>
      </c>
      <c r="P11" s="92">
        <f t="shared" si="3"/>
        <v>422.68359749739273</v>
      </c>
      <c r="Q11" s="93">
        <f t="shared" si="4"/>
        <v>138298.00999999995</v>
      </c>
      <c r="S11" s="210"/>
    </row>
    <row r="12" spans="2:19" s="94" customFormat="1" ht="33" customHeight="1" x14ac:dyDescent="0.3">
      <c r="B12" s="89" t="s">
        <v>41</v>
      </c>
      <c r="C12" s="90">
        <v>74</v>
      </c>
      <c r="D12" s="91">
        <f t="shared" si="0"/>
        <v>3.884514435695538E-2</v>
      </c>
      <c r="E12" s="92">
        <f t="shared" si="6"/>
        <v>812.33945945945948</v>
      </c>
      <c r="F12" s="93">
        <v>60113.120000000003</v>
      </c>
      <c r="G12" s="90">
        <v>214</v>
      </c>
      <c r="H12" s="91">
        <f t="shared" si="1"/>
        <v>0.12022471910112359</v>
      </c>
      <c r="I12" s="92">
        <f t="shared" si="7"/>
        <v>1269.0467289719627</v>
      </c>
      <c r="J12" s="93">
        <v>271576</v>
      </c>
      <c r="K12" s="90">
        <f>'DApril 2023'!L37</f>
        <v>547</v>
      </c>
      <c r="L12" s="91">
        <f t="shared" si="5"/>
        <v>0.30355160932297448</v>
      </c>
      <c r="M12" s="92">
        <f t="shared" si="8"/>
        <v>1307</v>
      </c>
      <c r="N12" s="93">
        <f>'DApril 2023'!L38</f>
        <v>714929</v>
      </c>
      <c r="O12" s="90">
        <f t="shared" si="2"/>
        <v>333</v>
      </c>
      <c r="P12" s="92">
        <f t="shared" si="3"/>
        <v>37.953271028037307</v>
      </c>
      <c r="Q12" s="93">
        <f t="shared" si="4"/>
        <v>443353</v>
      </c>
      <c r="S12" s="210"/>
    </row>
    <row r="13" spans="2:19" ht="33" customHeight="1" x14ac:dyDescent="0.35">
      <c r="B13" s="20" t="s">
        <v>39</v>
      </c>
      <c r="C13" s="55">
        <f>SUM(C11:C12)</f>
        <v>78</v>
      </c>
      <c r="D13" s="21">
        <f t="shared" si="0"/>
        <v>4.0944881889763779E-2</v>
      </c>
      <c r="E13" s="58">
        <f t="shared" si="6"/>
        <v>815.49717948717944</v>
      </c>
      <c r="F13" s="59">
        <f>SUM(F11:F12)</f>
        <v>63608.78</v>
      </c>
      <c r="G13" s="55">
        <f>SUM(G11:G12)</f>
        <v>256</v>
      </c>
      <c r="H13" s="21">
        <f t="shared" si="1"/>
        <v>0.14382022471910114</v>
      </c>
      <c r="I13" s="58">
        <f t="shared" si="7"/>
        <v>1199.67578125</v>
      </c>
      <c r="J13" s="59">
        <f>SUM(J11:J12)</f>
        <v>307117</v>
      </c>
      <c r="K13" s="55">
        <f>SUM(K11:K12)</f>
        <v>684</v>
      </c>
      <c r="L13" s="21">
        <f t="shared" si="5"/>
        <v>0.37957824639289678</v>
      </c>
      <c r="M13" s="58">
        <f t="shared" si="8"/>
        <v>1299.3684356725146</v>
      </c>
      <c r="N13" s="59">
        <f>SUM(N11:N12)</f>
        <v>888768.01</v>
      </c>
      <c r="O13" s="55">
        <f t="shared" si="2"/>
        <v>428</v>
      </c>
      <c r="P13" s="58">
        <f t="shared" si="3"/>
        <v>99.692654422514579</v>
      </c>
      <c r="Q13" s="59">
        <f t="shared" si="4"/>
        <v>581651.01</v>
      </c>
      <c r="S13" s="210"/>
    </row>
    <row r="14" spans="2:19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6"/>
        <v>0</v>
      </c>
      <c r="F14" s="95">
        <v>0</v>
      </c>
      <c r="G14" s="90">
        <v>48</v>
      </c>
      <c r="H14" s="91">
        <f t="shared" si="1"/>
        <v>2.6966292134831461E-2</v>
      </c>
      <c r="I14" s="92">
        <f t="shared" si="7"/>
        <v>2141.4791666666665</v>
      </c>
      <c r="J14" s="95">
        <v>102791</v>
      </c>
      <c r="K14" s="90">
        <f>'DApril 2023'!N37</f>
        <v>0</v>
      </c>
      <c r="L14" s="91">
        <f t="shared" si="5"/>
        <v>0</v>
      </c>
      <c r="M14" s="92">
        <f t="shared" si="8"/>
        <v>0</v>
      </c>
      <c r="N14" s="95">
        <f>'DApril 2023'!N38</f>
        <v>0</v>
      </c>
      <c r="O14" s="90">
        <f t="shared" si="2"/>
        <v>-48</v>
      </c>
      <c r="P14" s="92">
        <f t="shared" si="3"/>
        <v>-2141.4791666666665</v>
      </c>
      <c r="Q14" s="96">
        <f t="shared" si="4"/>
        <v>-102791</v>
      </c>
      <c r="S14" s="210"/>
    </row>
    <row r="15" spans="2:19" s="94" customFormat="1" ht="33" customHeight="1" x14ac:dyDescent="0.3">
      <c r="B15" s="89" t="s">
        <v>43</v>
      </c>
      <c r="C15" s="90">
        <v>299</v>
      </c>
      <c r="D15" s="91">
        <f t="shared" si="0"/>
        <v>0.15695538057742783</v>
      </c>
      <c r="E15" s="92">
        <f t="shared" si="6"/>
        <v>1381.6197993311036</v>
      </c>
      <c r="F15" s="95">
        <v>413104.32</v>
      </c>
      <c r="G15" s="90">
        <v>70</v>
      </c>
      <c r="H15" s="91">
        <f t="shared" si="1"/>
        <v>3.9325842696629212E-2</v>
      </c>
      <c r="I15" s="92">
        <f t="shared" si="7"/>
        <v>2029.5285714285715</v>
      </c>
      <c r="J15" s="95">
        <v>142067</v>
      </c>
      <c r="K15" s="90">
        <f>'DApril 2023'!P37</f>
        <v>75</v>
      </c>
      <c r="L15" s="91">
        <f t="shared" si="5"/>
        <v>4.1620421753607105E-2</v>
      </c>
      <c r="M15" s="92">
        <f t="shared" si="8"/>
        <v>2030</v>
      </c>
      <c r="N15" s="95">
        <f>'DApril 2023'!P38</f>
        <v>152250</v>
      </c>
      <c r="O15" s="90">
        <f t="shared" si="2"/>
        <v>5</v>
      </c>
      <c r="P15" s="92">
        <f t="shared" si="3"/>
        <v>0.47142857142853245</v>
      </c>
      <c r="Q15" s="96">
        <f t="shared" si="4"/>
        <v>10183</v>
      </c>
      <c r="S15" s="210"/>
    </row>
    <row r="16" spans="2:19" ht="33" customHeight="1" x14ac:dyDescent="0.35">
      <c r="B16" s="20" t="s">
        <v>42</v>
      </c>
      <c r="C16" s="55">
        <f>SUM(C14:C15)</f>
        <v>299</v>
      </c>
      <c r="D16" s="21">
        <f t="shared" si="0"/>
        <v>0.15695538057742783</v>
      </c>
      <c r="E16" s="58">
        <f t="shared" si="6"/>
        <v>1381.6197993311036</v>
      </c>
      <c r="F16" s="87">
        <f>SUM(F14:F15)</f>
        <v>413104.32</v>
      </c>
      <c r="G16" s="55">
        <f>SUM(G14:G15)</f>
        <v>118</v>
      </c>
      <c r="H16" s="21">
        <f t="shared" si="1"/>
        <v>6.6292134831460681E-2</v>
      </c>
      <c r="I16" s="58">
        <f t="shared" si="7"/>
        <v>2075.0677966101694</v>
      </c>
      <c r="J16" s="87">
        <f>SUM(J14:J15)</f>
        <v>244858</v>
      </c>
      <c r="K16" s="55">
        <f>SUM(K14:K15)</f>
        <v>75</v>
      </c>
      <c r="L16" s="21">
        <f t="shared" si="5"/>
        <v>4.1620421753607105E-2</v>
      </c>
      <c r="M16" s="58">
        <f t="shared" si="8"/>
        <v>2030</v>
      </c>
      <c r="N16" s="87">
        <f>SUM(N14:N15)</f>
        <v>152250</v>
      </c>
      <c r="O16" s="55">
        <f t="shared" si="2"/>
        <v>-43</v>
      </c>
      <c r="P16" s="58">
        <f t="shared" si="3"/>
        <v>-45.067796610169353</v>
      </c>
      <c r="Q16" s="88">
        <f t="shared" si="4"/>
        <v>-92608</v>
      </c>
      <c r="S16" s="210"/>
    </row>
    <row r="17" spans="2:19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S17" s="210"/>
    </row>
    <row r="18" spans="2:19" ht="33" hidden="1" customHeight="1" x14ac:dyDescent="0.35">
      <c r="B18" s="22" t="s">
        <v>13</v>
      </c>
      <c r="C18" s="56">
        <f>C8+C9+C11+C12</f>
        <v>1495</v>
      </c>
      <c r="D18" s="23">
        <f>+IF(C$24=0,0,C18/C$24)</f>
        <v>0.78477690288713908</v>
      </c>
      <c r="E18" s="60">
        <f>IF(C18=0,0,F18/C18)</f>
        <v>1048.6729698996655</v>
      </c>
      <c r="F18" s="61">
        <f>F8+F9+F11+F12</f>
        <v>1567766.09</v>
      </c>
      <c r="G18" s="56">
        <f>G8+G9+G11+G12</f>
        <v>1651</v>
      </c>
      <c r="H18" s="23">
        <f>+IF(G$24=0,0,G18/G$24)</f>
        <v>0.92752808988764046</v>
      </c>
      <c r="I18" s="60">
        <f>IF(G18=0,0,J18/G18)</f>
        <v>1603.0157480314961</v>
      </c>
      <c r="J18" s="61">
        <f>J8+J9+J11+J12</f>
        <v>2646579</v>
      </c>
      <c r="K18" s="56">
        <f>K8+K9+K11+K12</f>
        <v>1709</v>
      </c>
      <c r="L18" s="23">
        <f>+IF(K$24=0,0,K18/K$24)</f>
        <v>0.94839067702552715</v>
      </c>
      <c r="M18" s="60">
        <f>IF(K18=0,0,N18/K18)</f>
        <v>1562.2249344645991</v>
      </c>
      <c r="N18" s="61">
        <f>N8+N9+N11+N12</f>
        <v>2669842.4129999997</v>
      </c>
      <c r="O18" s="56">
        <f t="shared" si="2"/>
        <v>58</v>
      </c>
      <c r="P18" s="60">
        <f t="shared" si="3"/>
        <v>-40.790813566896986</v>
      </c>
      <c r="Q18" s="66">
        <f t="shared" si="4"/>
        <v>23263.412999999709</v>
      </c>
      <c r="S18" s="210"/>
    </row>
    <row r="19" spans="2:19" ht="33" hidden="1" customHeight="1" x14ac:dyDescent="0.35">
      <c r="B19" s="22" t="s">
        <v>45</v>
      </c>
      <c r="C19" s="105">
        <f>C7+C14+C15</f>
        <v>393</v>
      </c>
      <c r="D19" s="106">
        <f>+IF(C$24=0,0,C19/C$24)</f>
        <v>0.20629921259842521</v>
      </c>
      <c r="E19" s="107">
        <f>IF(C19=0,0,F19/C19)</f>
        <v>1475.0375826972011</v>
      </c>
      <c r="F19" s="108">
        <f>F7+F14+F15</f>
        <v>579689.77</v>
      </c>
      <c r="G19" s="105">
        <f>G7+G14+G15</f>
        <v>118</v>
      </c>
      <c r="H19" s="106">
        <f>+IF(G$24=0,0,G19/G$24)</f>
        <v>6.6292134831460681E-2</v>
      </c>
      <c r="I19" s="107">
        <f>IF(G19=0,0,J19/G19)</f>
        <v>2075.0677966101694</v>
      </c>
      <c r="J19" s="108">
        <f>J7+J14+J15</f>
        <v>244858</v>
      </c>
      <c r="K19" s="105">
        <f>K7+K14+K15</f>
        <v>75</v>
      </c>
      <c r="L19" s="106">
        <f>+IF(K$24=0,0,K19/K$24)</f>
        <v>4.1620421753607105E-2</v>
      </c>
      <c r="M19" s="107">
        <f>IF(K19=0,0,N19/K19)</f>
        <v>2030</v>
      </c>
      <c r="N19" s="108">
        <f>N7+N14+N15</f>
        <v>152250</v>
      </c>
      <c r="O19" s="56">
        <f t="shared" si="2"/>
        <v>-43</v>
      </c>
      <c r="P19" s="60">
        <f t="shared" si="3"/>
        <v>-45.067796610169353</v>
      </c>
      <c r="Q19" s="66">
        <f t="shared" si="4"/>
        <v>-92608</v>
      </c>
      <c r="S19" s="210"/>
    </row>
    <row r="20" spans="2:19" ht="33" customHeight="1" x14ac:dyDescent="0.35">
      <c r="B20" s="28" t="s">
        <v>16</v>
      </c>
      <c r="C20" s="56">
        <f>C18+C19</f>
        <v>1888</v>
      </c>
      <c r="D20" s="23">
        <f>+IF(C$24=0,0,C20/C$24)</f>
        <v>0.99107611548556429</v>
      </c>
      <c r="E20" s="60">
        <f>IF(C20=0,0,F20/C20)</f>
        <v>1137.4236546610171</v>
      </c>
      <c r="F20" s="64">
        <f>F18+F19</f>
        <v>2147455.8600000003</v>
      </c>
      <c r="G20" s="56">
        <f>G18+G19</f>
        <v>1769</v>
      </c>
      <c r="H20" s="23">
        <f>+IF(G$24=0,0,G20/G$24)</f>
        <v>0.99382022471910114</v>
      </c>
      <c r="I20" s="60">
        <f>IF(G20=0,0,J20/G20)</f>
        <v>1634.503674392312</v>
      </c>
      <c r="J20" s="64">
        <f>J18+J19</f>
        <v>2891437</v>
      </c>
      <c r="K20" s="56">
        <f>K18+K19</f>
        <v>1784</v>
      </c>
      <c r="L20" s="23">
        <f>+IF(K$24=0,0,K20/K$24)</f>
        <v>0.99001109877913429</v>
      </c>
      <c r="M20" s="60">
        <f>IF(K20=0,0,N20/K20)</f>
        <v>1581.8903660313899</v>
      </c>
      <c r="N20" s="64">
        <f>N18+N19</f>
        <v>2822092.4129999997</v>
      </c>
      <c r="O20" s="56">
        <f t="shared" si="2"/>
        <v>15</v>
      </c>
      <c r="P20" s="60">
        <f t="shared" si="3"/>
        <v>-52.613308360922019</v>
      </c>
      <c r="Q20" s="66">
        <f t="shared" si="4"/>
        <v>-69344.587000000291</v>
      </c>
      <c r="S20" s="210"/>
    </row>
    <row r="21" spans="2:19" ht="33" customHeight="1" x14ac:dyDescent="0.35">
      <c r="B21" s="29" t="s">
        <v>17</v>
      </c>
      <c r="C21" s="24">
        <f>IF(C4=0,C20,C20/$C$4)</f>
        <v>0.40602150537634407</v>
      </c>
      <c r="D21" s="30"/>
      <c r="E21" s="35"/>
      <c r="F21" s="36"/>
      <c r="G21" s="24">
        <f>IF(G4=0,G20,G20/$G$4)</f>
        <v>0.73708333333333331</v>
      </c>
      <c r="H21" s="30"/>
      <c r="I21" s="35"/>
      <c r="J21" s="36"/>
      <c r="K21" s="24">
        <f>IF(K4=0,K20,K20/$K$4)</f>
        <v>0.74333333333333329</v>
      </c>
      <c r="L21" s="30"/>
      <c r="M21" s="35"/>
      <c r="N21" s="36"/>
      <c r="O21" s="54">
        <f t="shared" si="2"/>
        <v>6.2499999999999778E-3</v>
      </c>
      <c r="P21" s="30"/>
      <c r="Q21" s="31"/>
      <c r="S21" s="210"/>
    </row>
    <row r="22" spans="2:19" ht="33" customHeight="1" x14ac:dyDescent="0.35">
      <c r="B22" s="25" t="s">
        <v>18</v>
      </c>
      <c r="C22" s="57">
        <v>17</v>
      </c>
      <c r="D22" s="26">
        <f>+IF(C$24=0,0,C22/C$24)</f>
        <v>8.9238845144356954E-3</v>
      </c>
      <c r="E22" s="65">
        <f>IF(C22=0,0,F22/C22)</f>
        <v>-579.45823529411769</v>
      </c>
      <c r="F22" s="63">
        <v>-9850.7900000000009</v>
      </c>
      <c r="G22" s="57">
        <v>11</v>
      </c>
      <c r="H22" s="26">
        <f>+IF(G$24=0,0,G22/G$24)</f>
        <v>6.1797752808988764E-3</v>
      </c>
      <c r="I22" s="65">
        <f>IF(G22=0,0,J22/G22)</f>
        <v>711.90909090909088</v>
      </c>
      <c r="J22" s="63">
        <v>7831</v>
      </c>
      <c r="K22" s="57">
        <f>'DApril 2023'!R37</f>
        <v>18</v>
      </c>
      <c r="L22" s="26">
        <f>+IF(K$24=0,0,K22/K$24)</f>
        <v>9.9889012208657056E-3</v>
      </c>
      <c r="M22" s="65">
        <f>IF(K22=0,0,N22/K22)</f>
        <v>0</v>
      </c>
      <c r="N22" s="63">
        <v>0</v>
      </c>
      <c r="O22" s="57">
        <f t="shared" si="2"/>
        <v>7</v>
      </c>
      <c r="P22" s="62">
        <f t="shared" si="3"/>
        <v>-711.90909090909088</v>
      </c>
      <c r="Q22" s="63">
        <f t="shared" si="4"/>
        <v>-7831</v>
      </c>
      <c r="S22" s="210"/>
    </row>
    <row r="23" spans="2:19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  <c r="S23" s="210"/>
    </row>
    <row r="24" spans="2:19" ht="33" customHeight="1" x14ac:dyDescent="0.35">
      <c r="B24" s="22" t="s">
        <v>20</v>
      </c>
      <c r="C24" s="56">
        <f>C10+C13+C16+C22+C23</f>
        <v>1905</v>
      </c>
      <c r="D24" s="23">
        <f>+IF(C$24=0,0,C24/C$24)</f>
        <v>1</v>
      </c>
      <c r="E24" s="60">
        <f>IF(C24=0,0,F24/C24)</f>
        <v>1122.1023989501311</v>
      </c>
      <c r="F24" s="64">
        <f>F10+F13+F16+F22+F23</f>
        <v>2137605.0699999998</v>
      </c>
      <c r="G24" s="56">
        <f>G10+G13+G16+G22+G23</f>
        <v>1780</v>
      </c>
      <c r="H24" s="23">
        <f>+IF(G$24=0,0,G24/G$24)</f>
        <v>1</v>
      </c>
      <c r="I24" s="60">
        <f>IF(G24=0,0,J24/G24)</f>
        <v>1628.8022471910112</v>
      </c>
      <c r="J24" s="64">
        <f>J10+J13+J16+J22+J23</f>
        <v>2899268</v>
      </c>
      <c r="K24" s="56">
        <f>K10+K13+K16+K22+K23</f>
        <v>1802</v>
      </c>
      <c r="L24" s="23">
        <f>+IF(K$24=0,0,K24/K$24)</f>
        <v>1</v>
      </c>
      <c r="M24" s="60">
        <f>IF(K24=0,0,N24/K24)</f>
        <v>1566.0890194228634</v>
      </c>
      <c r="N24" s="64">
        <f>N10+N13+N16+N22+N23</f>
        <v>2822092.4129999997</v>
      </c>
      <c r="O24" s="56">
        <f t="shared" si="2"/>
        <v>22</v>
      </c>
      <c r="P24" s="60">
        <f t="shared" si="3"/>
        <v>-62.713227768147817</v>
      </c>
      <c r="Q24" s="64">
        <f t="shared" si="4"/>
        <v>-77175.587000000291</v>
      </c>
      <c r="S24" s="210"/>
    </row>
    <row r="25" spans="2:19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-3.8502665302863726E-2</v>
      </c>
      <c r="Q25" s="38">
        <f>IF(J24=0,(N24-J24),(N24-J24)/J24)</f>
        <v>-2.6618990379640755E-2</v>
      </c>
    </row>
    <row r="26" spans="2:19" ht="33" customHeight="1" x14ac:dyDescent="0.35">
      <c r="B26" s="40" t="s">
        <v>21</v>
      </c>
      <c r="C26" s="41">
        <f>IF(C4=0,C24,C24/C4)</f>
        <v>0.4096774193548387</v>
      </c>
      <c r="D26" s="30"/>
      <c r="E26" s="30"/>
      <c r="F26" s="31"/>
      <c r="G26" s="41">
        <f>IF(G4=0,G24,G24/G4)</f>
        <v>0.7416666666666667</v>
      </c>
      <c r="H26" s="30"/>
      <c r="I26" s="30"/>
      <c r="J26" s="31"/>
      <c r="K26" s="41">
        <f>IF(K4=0,K24,K24/K4)</f>
        <v>0.75083333333333335</v>
      </c>
      <c r="L26" s="30"/>
      <c r="M26" s="30"/>
      <c r="N26" s="31"/>
      <c r="O26" s="41">
        <f>K26-G26</f>
        <v>9.1666666666666563E-3</v>
      </c>
      <c r="P26" s="30"/>
      <c r="Q26" s="31"/>
    </row>
    <row r="27" spans="2:19" ht="33" customHeight="1" x14ac:dyDescent="0.35">
      <c r="B27" s="42" t="s">
        <v>22</v>
      </c>
      <c r="C27" s="43">
        <f>IF(C4=0,0,F$24/C$4)</f>
        <v>459.70001505376342</v>
      </c>
      <c r="D27" s="44"/>
      <c r="E27" s="45"/>
      <c r="F27" s="46"/>
      <c r="G27" s="43">
        <f>IF(G4=0,0,J$24/G$4)</f>
        <v>1208.0283333333334</v>
      </c>
      <c r="H27" s="44"/>
      <c r="I27" s="45"/>
      <c r="J27" s="46"/>
      <c r="K27" s="43">
        <f>IF(K4=0,0,N$24/K$4)</f>
        <v>1175.8718387499998</v>
      </c>
      <c r="L27" s="44"/>
      <c r="M27" s="45"/>
      <c r="N27" s="46"/>
      <c r="O27" s="43">
        <f>K27-G27</f>
        <v>-32.156494583333597</v>
      </c>
      <c r="P27" s="45"/>
      <c r="Q27" s="46"/>
    </row>
    <row r="28" spans="2:19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19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19" x14ac:dyDescent="0.35">
      <c r="B30" s="358"/>
      <c r="Q30" s="86"/>
    </row>
    <row r="31" spans="2:19" x14ac:dyDescent="0.35">
      <c r="B31" s="358"/>
      <c r="Q31" s="86"/>
    </row>
    <row r="32" spans="2:19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40"/>
  <dimension ref="A1:BD53"/>
  <sheetViews>
    <sheetView view="pageBreakPreview" topLeftCell="A5" zoomScale="60" zoomScaleNormal="100" workbookViewId="0">
      <selection activeCell="M7" sqref="M7:M36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8.7109375" style="111" bestFit="1" customWidth="1"/>
    <col min="29" max="29" width="9.140625" style="112" customWidth="1"/>
    <col min="30" max="30" width="9.140625" style="113"/>
    <col min="31" max="31" width="8.85546875" style="112"/>
    <col min="32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65">
        <f>'Annual 2022l2023'!C3</f>
        <v>44690</v>
      </c>
      <c r="F1" s="765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31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76"/>
      <c r="C4" s="777"/>
      <c r="D4" s="778" t="s">
        <v>145</v>
      </c>
      <c r="E4" s="779"/>
      <c r="F4" s="779"/>
      <c r="G4" s="779"/>
      <c r="H4" s="779"/>
      <c r="I4" s="779"/>
      <c r="J4" s="779"/>
      <c r="K4" s="779"/>
      <c r="L4" s="779"/>
      <c r="M4" s="779"/>
      <c r="N4" s="779"/>
      <c r="O4" s="779"/>
      <c r="P4" s="779"/>
      <c r="Q4" s="779"/>
      <c r="R4" s="779"/>
      <c r="S4" s="779"/>
      <c r="T4" s="779"/>
      <c r="U4" s="779"/>
      <c r="V4" s="779"/>
      <c r="W4" s="779"/>
      <c r="X4" s="779"/>
      <c r="Y4" s="779"/>
      <c r="Z4" s="779"/>
      <c r="AA4" s="779"/>
      <c r="AB4" s="780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81" t="s">
        <v>50</v>
      </c>
      <c r="E5" s="784"/>
      <c r="F5" s="782" t="s">
        <v>51</v>
      </c>
      <c r="G5" s="782"/>
      <c r="H5" s="773" t="s">
        <v>52</v>
      </c>
      <c r="I5" s="773"/>
      <c r="J5" s="783" t="s">
        <v>53</v>
      </c>
      <c r="K5" s="773"/>
      <c r="L5" s="783" t="s">
        <v>54</v>
      </c>
      <c r="M5" s="773"/>
      <c r="N5" s="783" t="s">
        <v>55</v>
      </c>
      <c r="O5" s="773"/>
      <c r="P5" s="783" t="s">
        <v>56</v>
      </c>
      <c r="Q5" s="773"/>
      <c r="R5" s="783" t="s">
        <v>57</v>
      </c>
      <c r="S5" s="773"/>
      <c r="T5" s="122"/>
      <c r="U5" s="774"/>
      <c r="V5" s="775"/>
      <c r="W5" s="774"/>
      <c r="X5" s="775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126" customFormat="1" ht="15.75" customHeight="1" x14ac:dyDescent="0.25">
      <c r="A7" s="288" t="s">
        <v>75</v>
      </c>
      <c r="B7" s="403" t="s">
        <v>64</v>
      </c>
      <c r="C7" s="404">
        <v>1</v>
      </c>
      <c r="D7" s="405">
        <v>0</v>
      </c>
      <c r="E7" s="406">
        <v>0</v>
      </c>
      <c r="F7" s="407">
        <v>54</v>
      </c>
      <c r="G7" s="406">
        <v>1260.4007000000001</v>
      </c>
      <c r="H7" s="407">
        <v>7</v>
      </c>
      <c r="I7" s="406">
        <v>1558</v>
      </c>
      <c r="J7" s="407">
        <v>11</v>
      </c>
      <c r="K7" s="408">
        <v>934.78</v>
      </c>
      <c r="L7" s="407">
        <v>11</v>
      </c>
      <c r="M7" s="408">
        <v>864.94156363636273</v>
      </c>
      <c r="N7" s="407">
        <v>0</v>
      </c>
      <c r="O7" s="408">
        <v>0</v>
      </c>
      <c r="P7" s="407">
        <v>0</v>
      </c>
      <c r="Q7" s="408">
        <v>0</v>
      </c>
      <c r="R7" s="407">
        <v>0</v>
      </c>
      <c r="S7" s="408">
        <v>0</v>
      </c>
      <c r="T7" s="408"/>
      <c r="U7" s="407"/>
      <c r="V7" s="406"/>
      <c r="W7" s="407"/>
      <c r="X7" s="406"/>
      <c r="Y7" s="409">
        <f t="shared" ref="Y7:Y37" si="0">SUM(D7,F7,H7,J7,L7,U7,W7,N7,P7,R7)</f>
        <v>83</v>
      </c>
      <c r="Z7" s="410">
        <f t="shared" ref="Z7:Z37" si="1">((D7*E7)+(F7*G7)+(H7*I7)+(J7*K7)+(L7*M7)+(U7*V7)+(W7*X7)+(N7*O7)+(P7*Q7)+(R7*S7))</f>
        <v>98764.574999999997</v>
      </c>
      <c r="AA7" s="411">
        <f>IF(Z7=0,0,Z7/Y7)</f>
        <v>1189.9346385542169</v>
      </c>
      <c r="AB7" s="412">
        <f t="shared" ref="AB7:AB37" si="2">Y7/$AB$6</f>
        <v>1.0375000000000001</v>
      </c>
      <c r="AC7" s="143"/>
      <c r="AD7" s="227"/>
      <c r="AE7" s="143"/>
    </row>
    <row r="8" spans="1:55" s="126" customFormat="1" ht="15.95" customHeight="1" x14ac:dyDescent="0.25">
      <c r="A8" s="149"/>
      <c r="B8" s="136" t="s">
        <v>65</v>
      </c>
      <c r="C8" s="137">
        <v>2</v>
      </c>
      <c r="D8" s="138">
        <v>0</v>
      </c>
      <c r="E8" s="139">
        <v>0</v>
      </c>
      <c r="F8" s="140">
        <v>25</v>
      </c>
      <c r="G8" s="139">
        <v>1350.5360000000001</v>
      </c>
      <c r="H8" s="140">
        <v>2</v>
      </c>
      <c r="I8" s="139">
        <v>1372.17</v>
      </c>
      <c r="J8" s="140">
        <v>0</v>
      </c>
      <c r="K8" s="141">
        <v>0</v>
      </c>
      <c r="L8" s="140">
        <v>19</v>
      </c>
      <c r="M8" s="141">
        <v>950.75722105263083</v>
      </c>
      <c r="N8" s="140">
        <v>0</v>
      </c>
      <c r="O8" s="141">
        <v>0</v>
      </c>
      <c r="P8" s="140">
        <v>0</v>
      </c>
      <c r="Q8" s="141">
        <v>0</v>
      </c>
      <c r="R8" s="140">
        <v>1</v>
      </c>
      <c r="S8" s="141">
        <v>0</v>
      </c>
      <c r="T8" s="141"/>
      <c r="U8" s="140"/>
      <c r="V8" s="139"/>
      <c r="W8" s="140"/>
      <c r="X8" s="139"/>
      <c r="Y8" s="142">
        <f t="shared" si="0"/>
        <v>47</v>
      </c>
      <c r="Z8" s="143">
        <f t="shared" si="1"/>
        <v>54572.127199999988</v>
      </c>
      <c r="AA8" s="331">
        <f t="shared" ref="AA8:AA33" si="3">IF(Z8=0,0,Z8/Y8)</f>
        <v>1161.1090893617018</v>
      </c>
      <c r="AB8" s="145">
        <f t="shared" si="2"/>
        <v>0.58750000000000002</v>
      </c>
      <c r="AC8" s="143"/>
      <c r="AD8" s="227"/>
      <c r="AE8" s="143"/>
    </row>
    <row r="9" spans="1:55" s="126" customFormat="1" ht="15.95" customHeight="1" x14ac:dyDescent="0.25">
      <c r="A9" s="149"/>
      <c r="B9" s="136" t="s">
        <v>66</v>
      </c>
      <c r="C9" s="137">
        <v>3</v>
      </c>
      <c r="D9" s="138">
        <v>0</v>
      </c>
      <c r="E9" s="139">
        <v>0</v>
      </c>
      <c r="F9" s="140">
        <v>24</v>
      </c>
      <c r="G9" s="139">
        <v>1351.2673</v>
      </c>
      <c r="H9" s="140">
        <v>0</v>
      </c>
      <c r="I9" s="139">
        <v>0</v>
      </c>
      <c r="J9" s="140">
        <v>0</v>
      </c>
      <c r="K9" s="141">
        <v>0</v>
      </c>
      <c r="L9" s="140">
        <v>13</v>
      </c>
      <c r="M9" s="141">
        <v>880.59216153846137</v>
      </c>
      <c r="N9" s="140">
        <v>0</v>
      </c>
      <c r="O9" s="141">
        <v>0</v>
      </c>
      <c r="P9" s="140">
        <v>0</v>
      </c>
      <c r="Q9" s="141">
        <v>0</v>
      </c>
      <c r="R9" s="140">
        <v>1</v>
      </c>
      <c r="S9" s="141">
        <v>0</v>
      </c>
      <c r="T9" s="141"/>
      <c r="U9" s="140"/>
      <c r="V9" s="139"/>
      <c r="W9" s="140"/>
      <c r="X9" s="139"/>
      <c r="Y9" s="142">
        <f t="shared" si="0"/>
        <v>38</v>
      </c>
      <c r="Z9" s="143">
        <f t="shared" si="1"/>
        <v>43878.113299999997</v>
      </c>
      <c r="AA9" s="331">
        <f t="shared" si="3"/>
        <v>1154.6871921052632</v>
      </c>
      <c r="AB9" s="145">
        <f t="shared" si="2"/>
        <v>0.47499999999999998</v>
      </c>
      <c r="AC9" s="143"/>
      <c r="AD9" s="227"/>
      <c r="AE9" s="143"/>
    </row>
    <row r="10" spans="1:55" s="126" customFormat="1" ht="15.95" customHeight="1" x14ac:dyDescent="0.25">
      <c r="A10" s="770"/>
      <c r="B10" s="136" t="s">
        <v>67</v>
      </c>
      <c r="C10" s="137">
        <v>4</v>
      </c>
      <c r="D10" s="138">
        <v>0</v>
      </c>
      <c r="E10" s="139">
        <v>0</v>
      </c>
      <c r="F10" s="140">
        <v>33</v>
      </c>
      <c r="G10" s="139">
        <v>1315.0731000000001</v>
      </c>
      <c r="H10" s="140">
        <v>1</v>
      </c>
      <c r="I10" s="139">
        <v>2012.09</v>
      </c>
      <c r="J10" s="140">
        <v>0</v>
      </c>
      <c r="K10" s="141">
        <v>0</v>
      </c>
      <c r="L10" s="140">
        <v>7</v>
      </c>
      <c r="M10" s="141">
        <v>764.03192857142812</v>
      </c>
      <c r="N10" s="140">
        <v>0</v>
      </c>
      <c r="O10" s="141">
        <v>0</v>
      </c>
      <c r="P10" s="140">
        <v>0</v>
      </c>
      <c r="Q10" s="141">
        <v>0</v>
      </c>
      <c r="R10" s="140">
        <v>1</v>
      </c>
      <c r="S10" s="141">
        <v>0</v>
      </c>
      <c r="T10" s="141"/>
      <c r="U10" s="140"/>
      <c r="V10" s="139"/>
      <c r="W10" s="140"/>
      <c r="X10" s="139"/>
      <c r="Y10" s="142">
        <f t="shared" si="0"/>
        <v>42</v>
      </c>
      <c r="Z10" s="143">
        <f t="shared" si="1"/>
        <v>50757.7258</v>
      </c>
      <c r="AA10" s="144">
        <f t="shared" si="3"/>
        <v>1208.517280952381</v>
      </c>
      <c r="AB10" s="145">
        <f t="shared" si="2"/>
        <v>0.52500000000000002</v>
      </c>
      <c r="AC10" s="143"/>
      <c r="AD10" s="227"/>
      <c r="AE10" s="143"/>
    </row>
    <row r="11" spans="1:55" s="146" customFormat="1" ht="15.95" customHeight="1" x14ac:dyDescent="0.25">
      <c r="A11" s="770"/>
      <c r="B11" s="136" t="s">
        <v>68</v>
      </c>
      <c r="C11" s="137">
        <v>5</v>
      </c>
      <c r="D11" s="138">
        <v>0</v>
      </c>
      <c r="E11" s="139">
        <v>0</v>
      </c>
      <c r="F11" s="140">
        <v>37</v>
      </c>
      <c r="G11" s="139">
        <v>1271.0920999999998</v>
      </c>
      <c r="H11" s="140">
        <v>2</v>
      </c>
      <c r="I11" s="139">
        <v>1538.87</v>
      </c>
      <c r="J11" s="140">
        <v>21</v>
      </c>
      <c r="K11" s="141">
        <v>942.67074074074003</v>
      </c>
      <c r="L11" s="140">
        <v>7</v>
      </c>
      <c r="M11" s="141">
        <v>687.19834285714262</v>
      </c>
      <c r="N11" s="140">
        <v>0</v>
      </c>
      <c r="O11" s="141">
        <v>0</v>
      </c>
      <c r="P11" s="140">
        <v>0</v>
      </c>
      <c r="Q11" s="141">
        <v>0</v>
      </c>
      <c r="R11" s="140">
        <v>1</v>
      </c>
      <c r="S11" s="141">
        <v>0</v>
      </c>
      <c r="T11" s="141"/>
      <c r="U11" s="140"/>
      <c r="V11" s="139"/>
      <c r="W11" s="140"/>
      <c r="X11" s="139"/>
      <c r="Y11" s="142">
        <f t="shared" si="0"/>
        <v>68</v>
      </c>
      <c r="Z11" s="143">
        <f t="shared" si="1"/>
        <v>74714.621655555529</v>
      </c>
      <c r="AA11" s="144">
        <f t="shared" si="3"/>
        <v>1098.7444361111106</v>
      </c>
      <c r="AB11" s="145">
        <f t="shared" si="2"/>
        <v>0.85</v>
      </c>
      <c r="AC11" s="143"/>
      <c r="AD11" s="227"/>
      <c r="AE11" s="143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  <c r="BB11" s="126"/>
    </row>
    <row r="12" spans="1:55" s="126" customFormat="1" ht="15.95" customHeight="1" x14ac:dyDescent="0.25">
      <c r="A12" s="770"/>
      <c r="B12" s="136" t="s">
        <v>69</v>
      </c>
      <c r="C12" s="137">
        <v>6</v>
      </c>
      <c r="D12" s="138">
        <v>0</v>
      </c>
      <c r="E12" s="139">
        <v>0</v>
      </c>
      <c r="F12" s="140">
        <v>46</v>
      </c>
      <c r="G12" s="139">
        <v>1343.5732</v>
      </c>
      <c r="H12" s="140">
        <v>3</v>
      </c>
      <c r="I12" s="139">
        <v>1179.22</v>
      </c>
      <c r="J12" s="140">
        <v>21</v>
      </c>
      <c r="K12" s="141">
        <v>942.67074074074003</v>
      </c>
      <c r="L12" s="140">
        <v>8</v>
      </c>
      <c r="M12" s="141">
        <v>813.93174999999997</v>
      </c>
      <c r="N12" s="140">
        <v>0</v>
      </c>
      <c r="O12" s="141">
        <v>0</v>
      </c>
      <c r="P12" s="140">
        <v>0</v>
      </c>
      <c r="Q12" s="141">
        <v>0</v>
      </c>
      <c r="R12" s="140">
        <v>1</v>
      </c>
      <c r="S12" s="141">
        <v>0</v>
      </c>
      <c r="T12" s="141"/>
      <c r="U12" s="140"/>
      <c r="V12" s="139"/>
      <c r="W12" s="140"/>
      <c r="X12" s="139"/>
      <c r="Y12" s="142">
        <f t="shared" si="0"/>
        <v>79</v>
      </c>
      <c r="Z12" s="143">
        <f>((D12*E12)+(F12*G12)+(H12*I12)+(J12*K12)+(L12*M12)+(U12*V12)+(W12*X12)+(N12*O12)+(P12*Q12)+(R12*S12))</f>
        <v>91649.566755555541</v>
      </c>
      <c r="AA12" s="147">
        <f t="shared" si="3"/>
        <v>1160.1210981715892</v>
      </c>
      <c r="AB12" s="148">
        <f t="shared" si="2"/>
        <v>0.98750000000000004</v>
      </c>
      <c r="AC12" s="143"/>
      <c r="AD12" s="227"/>
      <c r="AE12" s="143"/>
    </row>
    <row r="13" spans="1:55" s="126" customFormat="1" ht="15.75" customHeight="1" x14ac:dyDescent="0.25">
      <c r="A13" s="770"/>
      <c r="B13" s="150" t="s">
        <v>63</v>
      </c>
      <c r="C13" s="151">
        <v>7</v>
      </c>
      <c r="D13" s="152">
        <v>0</v>
      </c>
      <c r="E13" s="153">
        <v>0</v>
      </c>
      <c r="F13" s="154">
        <v>42</v>
      </c>
      <c r="G13" s="153">
        <v>1368.4579999999999</v>
      </c>
      <c r="H13" s="154">
        <v>3</v>
      </c>
      <c r="I13" s="153">
        <v>1188.3699999999999</v>
      </c>
      <c r="J13" s="154">
        <v>11</v>
      </c>
      <c r="K13" s="155">
        <v>934.78</v>
      </c>
      <c r="L13" s="154">
        <v>9</v>
      </c>
      <c r="M13" s="155">
        <v>831.64603333333298</v>
      </c>
      <c r="N13" s="154">
        <v>0</v>
      </c>
      <c r="O13" s="155">
        <v>0</v>
      </c>
      <c r="P13" s="154">
        <v>0</v>
      </c>
      <c r="Q13" s="155">
        <v>0</v>
      </c>
      <c r="R13" s="154">
        <v>1</v>
      </c>
      <c r="S13" s="155">
        <v>0</v>
      </c>
      <c r="T13" s="155"/>
      <c r="U13" s="154"/>
      <c r="V13" s="153"/>
      <c r="W13" s="154"/>
      <c r="X13" s="153"/>
      <c r="Y13" s="156">
        <f t="shared" si="0"/>
        <v>66</v>
      </c>
      <c r="Z13" s="157">
        <f>((D13*E13)+(F13*G13)+(H13*I13)+(J13*K13)+(L13*M13)+(U13*V13)+(W13*X13)+(N13*O13)+(P13*Q13)+(R13*S13))</f>
        <v>78807.74029999999</v>
      </c>
      <c r="AA13" s="158">
        <f t="shared" si="3"/>
        <v>1194.056671212121</v>
      </c>
      <c r="AB13" s="159">
        <f t="shared" si="2"/>
        <v>0.82499999999999996</v>
      </c>
      <c r="AC13" s="143"/>
      <c r="AD13" s="227"/>
      <c r="AE13" s="143"/>
    </row>
    <row r="14" spans="1:55" s="126" customFormat="1" ht="15.95" customHeight="1" x14ac:dyDescent="0.25">
      <c r="A14" s="149"/>
      <c r="B14" s="136" t="s">
        <v>64</v>
      </c>
      <c r="C14" s="137">
        <v>8</v>
      </c>
      <c r="D14" s="138">
        <v>0</v>
      </c>
      <c r="E14" s="139">
        <v>0</v>
      </c>
      <c r="F14" s="140">
        <v>17</v>
      </c>
      <c r="G14" s="139">
        <v>1310.1805999999999</v>
      </c>
      <c r="H14" s="140">
        <v>2</v>
      </c>
      <c r="I14" s="139">
        <v>1160.6099999999999</v>
      </c>
      <c r="J14" s="140">
        <v>11</v>
      </c>
      <c r="K14" s="141">
        <v>934.78</v>
      </c>
      <c r="L14" s="140">
        <v>7</v>
      </c>
      <c r="M14" s="141">
        <v>1024.2835</v>
      </c>
      <c r="N14" s="140">
        <v>0</v>
      </c>
      <c r="O14" s="141">
        <v>0</v>
      </c>
      <c r="P14" s="140">
        <v>15</v>
      </c>
      <c r="Q14" s="141">
        <v>1605</v>
      </c>
      <c r="R14" s="140">
        <v>1</v>
      </c>
      <c r="S14" s="141">
        <v>0</v>
      </c>
      <c r="T14" s="141"/>
      <c r="U14" s="140"/>
      <c r="V14" s="139"/>
      <c r="W14" s="140"/>
      <c r="X14" s="139"/>
      <c r="Y14" s="142">
        <f t="shared" si="0"/>
        <v>53</v>
      </c>
      <c r="Z14" s="143">
        <f t="shared" si="1"/>
        <v>66121.854699999996</v>
      </c>
      <c r="AA14" s="329">
        <f t="shared" si="3"/>
        <v>1247.5821641509433</v>
      </c>
      <c r="AB14" s="148">
        <f t="shared" si="2"/>
        <v>0.66249999999999998</v>
      </c>
      <c r="AC14" s="143"/>
      <c r="AD14" s="227"/>
      <c r="AE14" s="143"/>
    </row>
    <row r="15" spans="1:55" s="126" customFormat="1" ht="15.95" customHeight="1" x14ac:dyDescent="0.25">
      <c r="A15" s="770"/>
      <c r="B15" s="136" t="s">
        <v>65</v>
      </c>
      <c r="C15" s="137">
        <v>9</v>
      </c>
      <c r="D15" s="138">
        <v>0</v>
      </c>
      <c r="E15" s="139">
        <v>0</v>
      </c>
      <c r="F15" s="140">
        <v>12</v>
      </c>
      <c r="G15" s="139">
        <v>1433.3462833333299</v>
      </c>
      <c r="H15" s="140">
        <v>1</v>
      </c>
      <c r="I15" s="139">
        <v>1283.04</v>
      </c>
      <c r="J15" s="140">
        <v>0</v>
      </c>
      <c r="K15" s="141">
        <v>0</v>
      </c>
      <c r="L15" s="140">
        <v>8</v>
      </c>
      <c r="M15" s="141">
        <v>1028.6610000000001</v>
      </c>
      <c r="N15" s="140">
        <v>0</v>
      </c>
      <c r="O15" s="141">
        <v>0</v>
      </c>
      <c r="P15" s="140">
        <v>15</v>
      </c>
      <c r="Q15" s="141">
        <v>1605</v>
      </c>
      <c r="R15" s="140">
        <v>1</v>
      </c>
      <c r="S15" s="141">
        <v>0</v>
      </c>
      <c r="T15" s="141"/>
      <c r="U15" s="140"/>
      <c r="V15" s="139"/>
      <c r="W15" s="140"/>
      <c r="X15" s="139"/>
      <c r="Y15" s="142">
        <f t="shared" si="0"/>
        <v>37</v>
      </c>
      <c r="Z15" s="143">
        <f t="shared" si="1"/>
        <v>50787.483399999961</v>
      </c>
      <c r="AA15" s="329">
        <f>IF(Z15=0,0,Z15/Y15)</f>
        <v>1372.6346864864854</v>
      </c>
      <c r="AB15" s="148">
        <f t="shared" si="2"/>
        <v>0.46250000000000002</v>
      </c>
      <c r="AC15" s="143"/>
      <c r="AD15" s="227"/>
      <c r="AE15" s="143"/>
    </row>
    <row r="16" spans="1:55" s="126" customFormat="1" ht="15.95" customHeight="1" x14ac:dyDescent="0.25">
      <c r="A16" s="770"/>
      <c r="B16" s="136" t="s">
        <v>66</v>
      </c>
      <c r="C16" s="137">
        <v>10</v>
      </c>
      <c r="D16" s="138">
        <v>0</v>
      </c>
      <c r="E16" s="139">
        <v>0</v>
      </c>
      <c r="F16" s="140">
        <v>18</v>
      </c>
      <c r="G16" s="139">
        <v>1274.2353166666599</v>
      </c>
      <c r="H16" s="140">
        <v>0</v>
      </c>
      <c r="I16" s="139">
        <v>0</v>
      </c>
      <c r="J16" s="140">
        <v>0</v>
      </c>
      <c r="K16" s="141">
        <v>0</v>
      </c>
      <c r="L16" s="140">
        <v>1</v>
      </c>
      <c r="M16" s="141">
        <v>1338.1039000000001</v>
      </c>
      <c r="N16" s="140">
        <v>0</v>
      </c>
      <c r="O16" s="141">
        <v>0</v>
      </c>
      <c r="P16" s="140">
        <v>15</v>
      </c>
      <c r="Q16" s="141">
        <v>1605</v>
      </c>
      <c r="R16" s="140">
        <v>1</v>
      </c>
      <c r="S16" s="141">
        <v>0</v>
      </c>
      <c r="T16" s="141"/>
      <c r="U16" s="140"/>
      <c r="V16" s="139"/>
      <c r="W16" s="140"/>
      <c r="X16" s="139"/>
      <c r="Y16" s="142">
        <f t="shared" si="0"/>
        <v>35</v>
      </c>
      <c r="Z16" s="143">
        <f t="shared" si="1"/>
        <v>48349.339599999876</v>
      </c>
      <c r="AA16" s="329">
        <f>IF(Z16=0,0,Z16/Y16)</f>
        <v>1381.4097028571393</v>
      </c>
      <c r="AB16" s="148">
        <f t="shared" si="2"/>
        <v>0.4375</v>
      </c>
      <c r="AC16" s="143"/>
      <c r="AD16" s="227"/>
      <c r="AE16" s="143"/>
    </row>
    <row r="17" spans="1:55" s="216" customFormat="1" ht="15.75" customHeight="1" x14ac:dyDescent="0.25">
      <c r="A17" s="213"/>
      <c r="B17" s="136" t="s">
        <v>67</v>
      </c>
      <c r="C17" s="137">
        <v>11</v>
      </c>
      <c r="D17" s="138">
        <v>0</v>
      </c>
      <c r="E17" s="139">
        <v>0</v>
      </c>
      <c r="F17" s="140">
        <v>12</v>
      </c>
      <c r="G17" s="139">
        <v>1161.01428333333</v>
      </c>
      <c r="H17" s="140">
        <v>0</v>
      </c>
      <c r="I17" s="139">
        <v>0</v>
      </c>
      <c r="J17" s="140">
        <v>0</v>
      </c>
      <c r="K17" s="141">
        <v>0</v>
      </c>
      <c r="L17" s="140">
        <v>1</v>
      </c>
      <c r="M17" s="141">
        <v>900.12729999999999</v>
      </c>
      <c r="N17" s="140">
        <v>0</v>
      </c>
      <c r="O17" s="141">
        <v>0</v>
      </c>
      <c r="P17" s="140">
        <v>0</v>
      </c>
      <c r="Q17" s="141">
        <v>0</v>
      </c>
      <c r="R17" s="140">
        <v>1</v>
      </c>
      <c r="S17" s="141">
        <v>0</v>
      </c>
      <c r="T17" s="141"/>
      <c r="U17" s="140"/>
      <c r="V17" s="139"/>
      <c r="W17" s="140"/>
      <c r="X17" s="139"/>
      <c r="Y17" s="142">
        <f t="shared" si="0"/>
        <v>14</v>
      </c>
      <c r="Z17" s="143">
        <f t="shared" si="1"/>
        <v>14832.298699999959</v>
      </c>
      <c r="AA17" s="147">
        <f t="shared" si="3"/>
        <v>1059.4499071428543</v>
      </c>
      <c r="AB17" s="148">
        <f t="shared" si="2"/>
        <v>0.17499999999999999</v>
      </c>
      <c r="AC17" s="143"/>
      <c r="AD17" s="227"/>
      <c r="AE17" s="143"/>
      <c r="AF17" s="215"/>
      <c r="AG17" s="215"/>
      <c r="AH17" s="215"/>
      <c r="AI17" s="215"/>
      <c r="AJ17" s="215"/>
      <c r="AK17" s="215"/>
      <c r="AL17" s="215"/>
      <c r="AM17" s="215"/>
      <c r="AN17" s="215"/>
      <c r="AO17" s="215"/>
      <c r="AP17" s="215"/>
      <c r="AQ17" s="215"/>
      <c r="AR17" s="215"/>
      <c r="AS17" s="215"/>
      <c r="AT17" s="215"/>
      <c r="AU17" s="215"/>
      <c r="AV17" s="215"/>
      <c r="AW17" s="215"/>
      <c r="AX17" s="215"/>
      <c r="AY17" s="215"/>
      <c r="AZ17" s="215"/>
      <c r="BA17" s="215"/>
      <c r="BB17" s="215"/>
    </row>
    <row r="18" spans="1:55" s="215" customFormat="1" ht="15.75" customHeight="1" x14ac:dyDescent="0.25">
      <c r="A18" s="213"/>
      <c r="B18" s="136" t="s">
        <v>68</v>
      </c>
      <c r="C18" s="137">
        <v>12</v>
      </c>
      <c r="D18" s="138">
        <v>0</v>
      </c>
      <c r="E18" s="139">
        <v>0</v>
      </c>
      <c r="F18" s="140">
        <v>20</v>
      </c>
      <c r="G18" s="139">
        <v>1398.14878</v>
      </c>
      <c r="H18" s="140">
        <v>0</v>
      </c>
      <c r="I18" s="139">
        <v>0</v>
      </c>
      <c r="J18" s="140">
        <v>0</v>
      </c>
      <c r="K18" s="141">
        <v>0</v>
      </c>
      <c r="L18" s="140">
        <v>6</v>
      </c>
      <c r="M18" s="141">
        <v>912</v>
      </c>
      <c r="N18" s="140">
        <v>0</v>
      </c>
      <c r="O18" s="141">
        <v>0</v>
      </c>
      <c r="P18" s="140">
        <v>0</v>
      </c>
      <c r="Q18" s="141">
        <v>0</v>
      </c>
      <c r="R18" s="140">
        <v>1</v>
      </c>
      <c r="S18" s="141">
        <v>0</v>
      </c>
      <c r="T18" s="141"/>
      <c r="U18" s="140"/>
      <c r="V18" s="139"/>
      <c r="W18" s="140"/>
      <c r="X18" s="139"/>
      <c r="Y18" s="142">
        <f t="shared" si="0"/>
        <v>27</v>
      </c>
      <c r="Z18" s="143">
        <f t="shared" si="1"/>
        <v>33434.975599999998</v>
      </c>
      <c r="AA18" s="147">
        <f t="shared" si="3"/>
        <v>1238.3324296296296</v>
      </c>
      <c r="AB18" s="148">
        <f t="shared" si="2"/>
        <v>0.33750000000000002</v>
      </c>
      <c r="AC18" s="143"/>
      <c r="AD18" s="227"/>
      <c r="AE18" s="143"/>
    </row>
    <row r="19" spans="1:55" s="126" customFormat="1" ht="15.95" customHeight="1" x14ac:dyDescent="0.25">
      <c r="A19" s="149"/>
      <c r="B19" s="136" t="s">
        <v>69</v>
      </c>
      <c r="C19" s="137">
        <v>13</v>
      </c>
      <c r="D19" s="138">
        <v>0</v>
      </c>
      <c r="E19" s="139">
        <v>0</v>
      </c>
      <c r="F19" s="140">
        <v>21</v>
      </c>
      <c r="G19" s="139">
        <v>1191.3651952380869</v>
      </c>
      <c r="H19" s="140">
        <v>2</v>
      </c>
      <c r="I19" s="139">
        <v>1146.8699999999999</v>
      </c>
      <c r="J19" s="140">
        <v>0</v>
      </c>
      <c r="K19" s="141">
        <v>0</v>
      </c>
      <c r="L19" s="140">
        <v>6</v>
      </c>
      <c r="M19" s="141">
        <v>1271.5864999999999</v>
      </c>
      <c r="N19" s="140">
        <v>0</v>
      </c>
      <c r="O19" s="141">
        <v>0</v>
      </c>
      <c r="P19" s="140">
        <v>0</v>
      </c>
      <c r="Q19" s="141">
        <v>0</v>
      </c>
      <c r="R19" s="140">
        <v>1</v>
      </c>
      <c r="S19" s="141">
        <v>0</v>
      </c>
      <c r="T19" s="141"/>
      <c r="U19" s="140"/>
      <c r="V19" s="139"/>
      <c r="W19" s="140"/>
      <c r="X19" s="139"/>
      <c r="Y19" s="142">
        <f t="shared" si="0"/>
        <v>30</v>
      </c>
      <c r="Z19" s="143">
        <f t="shared" si="1"/>
        <v>34941.928099999823</v>
      </c>
      <c r="AA19" s="147">
        <f t="shared" si="3"/>
        <v>1164.7309366666607</v>
      </c>
      <c r="AB19" s="148">
        <f t="shared" si="2"/>
        <v>0.375</v>
      </c>
      <c r="AC19" s="143"/>
      <c r="AD19" s="227"/>
      <c r="AE19" s="143"/>
    </row>
    <row r="20" spans="1:55" s="126" customFormat="1" ht="15.95" customHeight="1" x14ac:dyDescent="0.25">
      <c r="A20" s="149"/>
      <c r="B20" s="150" t="s">
        <v>63</v>
      </c>
      <c r="C20" s="151">
        <v>14</v>
      </c>
      <c r="D20" s="152">
        <v>0</v>
      </c>
      <c r="E20" s="153">
        <v>0</v>
      </c>
      <c r="F20" s="154">
        <v>20</v>
      </c>
      <c r="G20" s="153">
        <v>1297.44362</v>
      </c>
      <c r="H20" s="154">
        <v>4</v>
      </c>
      <c r="I20" s="153">
        <v>1256.9349999999999</v>
      </c>
      <c r="J20" s="154">
        <v>15</v>
      </c>
      <c r="K20" s="155">
        <v>1079.1279999999999</v>
      </c>
      <c r="L20" s="154">
        <v>8</v>
      </c>
      <c r="M20" s="155">
        <v>911.82938750000005</v>
      </c>
      <c r="N20" s="154">
        <v>0</v>
      </c>
      <c r="O20" s="155">
        <v>0</v>
      </c>
      <c r="P20" s="154">
        <v>0</v>
      </c>
      <c r="Q20" s="155">
        <v>0</v>
      </c>
      <c r="R20" s="154">
        <v>1</v>
      </c>
      <c r="S20" s="155">
        <v>0</v>
      </c>
      <c r="T20" s="155"/>
      <c r="U20" s="154"/>
      <c r="V20" s="153"/>
      <c r="W20" s="154"/>
      <c r="X20" s="153"/>
      <c r="Y20" s="156">
        <f t="shared" si="0"/>
        <v>48</v>
      </c>
      <c r="Z20" s="157">
        <f t="shared" si="1"/>
        <v>54458.167499999996</v>
      </c>
      <c r="AA20" s="158">
        <f t="shared" si="3"/>
        <v>1134.54515625</v>
      </c>
      <c r="AB20" s="159">
        <f t="shared" si="2"/>
        <v>0.6</v>
      </c>
      <c r="AC20" s="143"/>
      <c r="AD20" s="227"/>
      <c r="AE20" s="143"/>
    </row>
    <row r="21" spans="1:55" s="126" customFormat="1" ht="15.95" customHeight="1" x14ac:dyDescent="0.25">
      <c r="A21" s="149"/>
      <c r="B21" s="136" t="s">
        <v>64</v>
      </c>
      <c r="C21" s="137">
        <v>15</v>
      </c>
      <c r="D21" s="138">
        <v>0</v>
      </c>
      <c r="E21" s="139">
        <v>0</v>
      </c>
      <c r="F21" s="140">
        <v>10</v>
      </c>
      <c r="G21" s="139">
        <v>1316.90444</v>
      </c>
      <c r="H21" s="140">
        <v>1</v>
      </c>
      <c r="I21" s="139">
        <v>1283.04</v>
      </c>
      <c r="J21" s="140">
        <v>15</v>
      </c>
      <c r="K21" s="141">
        <v>1079.1279999999999</v>
      </c>
      <c r="L21" s="140">
        <v>8</v>
      </c>
      <c r="M21" s="141">
        <v>934.17910000000006</v>
      </c>
      <c r="N21" s="140">
        <v>0</v>
      </c>
      <c r="O21" s="141">
        <v>0</v>
      </c>
      <c r="P21" s="140">
        <v>0</v>
      </c>
      <c r="Q21" s="141">
        <v>0</v>
      </c>
      <c r="R21" s="140">
        <v>1</v>
      </c>
      <c r="S21" s="141">
        <v>0</v>
      </c>
      <c r="T21" s="141"/>
      <c r="U21" s="140"/>
      <c r="V21" s="139"/>
      <c r="W21" s="140"/>
      <c r="X21" s="139"/>
      <c r="Y21" s="142">
        <f t="shared" si="0"/>
        <v>35</v>
      </c>
      <c r="Z21" s="143">
        <f t="shared" si="1"/>
        <v>38112.4372</v>
      </c>
      <c r="AA21" s="329">
        <f t="shared" si="3"/>
        <v>1088.9267771428572</v>
      </c>
      <c r="AB21" s="148">
        <f t="shared" si="2"/>
        <v>0.4375</v>
      </c>
      <c r="AC21" s="143"/>
      <c r="AD21" s="227"/>
      <c r="AE21" s="143"/>
    </row>
    <row r="22" spans="1:55" s="220" customFormat="1" ht="15.95" customHeight="1" x14ac:dyDescent="0.25">
      <c r="A22" s="213"/>
      <c r="B22" s="136" t="s">
        <v>65</v>
      </c>
      <c r="C22" s="137">
        <v>16</v>
      </c>
      <c r="D22" s="138">
        <v>0</v>
      </c>
      <c r="E22" s="139">
        <v>0</v>
      </c>
      <c r="F22" s="140">
        <v>16</v>
      </c>
      <c r="G22" s="139">
        <v>1159.3164999999999</v>
      </c>
      <c r="H22" s="140">
        <v>0</v>
      </c>
      <c r="I22" s="139">
        <v>0</v>
      </c>
      <c r="J22" s="140">
        <v>0</v>
      </c>
      <c r="K22" s="141">
        <v>0</v>
      </c>
      <c r="L22" s="140">
        <v>6</v>
      </c>
      <c r="M22" s="141">
        <v>591.95130000000006</v>
      </c>
      <c r="N22" s="140">
        <v>0</v>
      </c>
      <c r="O22" s="141">
        <v>0</v>
      </c>
      <c r="P22" s="140">
        <v>0</v>
      </c>
      <c r="Q22" s="141">
        <v>0</v>
      </c>
      <c r="R22" s="140">
        <v>1</v>
      </c>
      <c r="S22" s="141">
        <v>0</v>
      </c>
      <c r="T22" s="141"/>
      <c r="U22" s="140"/>
      <c r="V22" s="139"/>
      <c r="W22" s="140"/>
      <c r="X22" s="139"/>
      <c r="Y22" s="142">
        <f t="shared" si="0"/>
        <v>23</v>
      </c>
      <c r="Z22" s="143">
        <f t="shared" si="1"/>
        <v>22100.771799999999</v>
      </c>
      <c r="AA22" s="329">
        <f t="shared" si="3"/>
        <v>960.90312173913037</v>
      </c>
      <c r="AB22" s="148">
        <f t="shared" si="2"/>
        <v>0.28749999999999998</v>
      </c>
      <c r="AC22" s="143"/>
      <c r="AD22" s="227"/>
      <c r="AE22" s="143"/>
      <c r="AF22" s="215"/>
      <c r="AG22" s="215"/>
      <c r="AH22" s="215"/>
      <c r="AI22" s="215"/>
      <c r="AJ22" s="215"/>
      <c r="AK22" s="215"/>
      <c r="AL22" s="215"/>
      <c r="AM22" s="215"/>
      <c r="AN22" s="215"/>
      <c r="AO22" s="215"/>
      <c r="AP22" s="215"/>
      <c r="AQ22" s="215"/>
      <c r="AR22" s="215"/>
      <c r="AS22" s="215"/>
      <c r="AT22" s="215"/>
      <c r="AU22" s="215"/>
      <c r="AV22" s="215"/>
      <c r="AW22" s="215"/>
      <c r="AX22" s="215"/>
      <c r="AY22" s="215"/>
      <c r="AZ22" s="215"/>
      <c r="BA22" s="215"/>
      <c r="BB22" s="215"/>
      <c r="BC22" s="215"/>
    </row>
    <row r="23" spans="1:55" s="128" customFormat="1" ht="15.95" customHeight="1" x14ac:dyDescent="0.25">
      <c r="A23" s="797"/>
      <c r="B23" s="136" t="s">
        <v>66</v>
      </c>
      <c r="C23" s="137">
        <v>17</v>
      </c>
      <c r="D23" s="138">
        <v>0</v>
      </c>
      <c r="E23" s="139">
        <v>0</v>
      </c>
      <c r="F23" s="140">
        <v>20</v>
      </c>
      <c r="G23" s="139">
        <v>1059.4683</v>
      </c>
      <c r="H23" s="140">
        <v>0</v>
      </c>
      <c r="I23" s="139">
        <v>0</v>
      </c>
      <c r="J23" s="140">
        <v>0</v>
      </c>
      <c r="K23" s="141">
        <v>0</v>
      </c>
      <c r="L23" s="140">
        <v>12</v>
      </c>
      <c r="M23" s="141">
        <v>944.21215833333292</v>
      </c>
      <c r="N23" s="140">
        <v>0</v>
      </c>
      <c r="O23" s="141">
        <v>0</v>
      </c>
      <c r="P23" s="140">
        <v>0</v>
      </c>
      <c r="Q23" s="141">
        <v>0</v>
      </c>
      <c r="R23" s="140">
        <v>1</v>
      </c>
      <c r="S23" s="141">
        <v>0</v>
      </c>
      <c r="T23" s="141"/>
      <c r="U23" s="140"/>
      <c r="V23" s="139"/>
      <c r="W23" s="140"/>
      <c r="X23" s="139"/>
      <c r="Y23" s="142">
        <f t="shared" si="0"/>
        <v>33</v>
      </c>
      <c r="Z23" s="143">
        <f t="shared" si="1"/>
        <v>32519.911899999999</v>
      </c>
      <c r="AA23" s="329">
        <f t="shared" si="3"/>
        <v>985.45187575757575</v>
      </c>
      <c r="AB23" s="148">
        <f t="shared" si="2"/>
        <v>0.41249999999999998</v>
      </c>
      <c r="AC23" s="143"/>
      <c r="AD23" s="227"/>
      <c r="AE23" s="143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</row>
    <row r="24" spans="1:55" s="126" customFormat="1" ht="15.95" customHeight="1" x14ac:dyDescent="0.25">
      <c r="A24" s="797"/>
      <c r="B24" s="136" t="s">
        <v>67</v>
      </c>
      <c r="C24" s="137">
        <v>18</v>
      </c>
      <c r="D24" s="138">
        <v>0</v>
      </c>
      <c r="E24" s="139">
        <v>0</v>
      </c>
      <c r="F24" s="140">
        <v>24</v>
      </c>
      <c r="G24" s="139">
        <v>1546.03</v>
      </c>
      <c r="H24" s="140">
        <v>0</v>
      </c>
      <c r="I24" s="139">
        <v>0</v>
      </c>
      <c r="J24" s="140">
        <v>0</v>
      </c>
      <c r="K24" s="141">
        <v>0</v>
      </c>
      <c r="L24" s="140">
        <v>11</v>
      </c>
      <c r="M24" s="141">
        <v>980.17796363636273</v>
      </c>
      <c r="N24" s="140">
        <v>0</v>
      </c>
      <c r="O24" s="141">
        <v>0</v>
      </c>
      <c r="P24" s="140">
        <v>0</v>
      </c>
      <c r="Q24" s="141">
        <v>0</v>
      </c>
      <c r="R24" s="140">
        <v>1</v>
      </c>
      <c r="S24" s="141">
        <v>0</v>
      </c>
      <c r="T24" s="141"/>
      <c r="U24" s="140"/>
      <c r="V24" s="139"/>
      <c r="W24" s="140"/>
      <c r="X24" s="139"/>
      <c r="Y24" s="142">
        <f t="shared" si="0"/>
        <v>36</v>
      </c>
      <c r="Z24" s="143">
        <f t="shared" si="1"/>
        <v>47886.677599999995</v>
      </c>
      <c r="AA24" s="147">
        <f t="shared" si="3"/>
        <v>1330.1854888888888</v>
      </c>
      <c r="AB24" s="148">
        <f t="shared" si="2"/>
        <v>0.45</v>
      </c>
      <c r="AC24" s="143"/>
      <c r="AD24" s="227"/>
      <c r="AE24" s="143"/>
    </row>
    <row r="25" spans="1:55" s="146" customFormat="1" ht="15.95" customHeight="1" x14ac:dyDescent="0.25">
      <c r="A25" s="797"/>
      <c r="B25" s="136" t="s">
        <v>68</v>
      </c>
      <c r="C25" s="137">
        <v>19</v>
      </c>
      <c r="D25" s="138">
        <v>0</v>
      </c>
      <c r="E25" s="139">
        <v>0</v>
      </c>
      <c r="F25" s="140">
        <v>10</v>
      </c>
      <c r="G25" s="139">
        <v>2058.15286666666</v>
      </c>
      <c r="H25" s="140">
        <v>0</v>
      </c>
      <c r="I25" s="139">
        <v>0</v>
      </c>
      <c r="J25" s="140">
        <v>0</v>
      </c>
      <c r="K25" s="141">
        <v>0</v>
      </c>
      <c r="L25" s="140">
        <v>8</v>
      </c>
      <c r="M25" s="141">
        <v>976.22627499999999</v>
      </c>
      <c r="N25" s="140">
        <v>0</v>
      </c>
      <c r="O25" s="141">
        <v>0</v>
      </c>
      <c r="P25" s="140">
        <v>0</v>
      </c>
      <c r="Q25" s="141">
        <v>0</v>
      </c>
      <c r="R25" s="140">
        <v>1</v>
      </c>
      <c r="S25" s="141">
        <v>0</v>
      </c>
      <c r="T25" s="141"/>
      <c r="U25" s="140"/>
      <c r="V25" s="139"/>
      <c r="W25" s="140"/>
      <c r="X25" s="139"/>
      <c r="Y25" s="142">
        <f t="shared" si="0"/>
        <v>19</v>
      </c>
      <c r="Z25" s="143">
        <f t="shared" si="1"/>
        <v>28391.3388666666</v>
      </c>
      <c r="AA25" s="147">
        <f t="shared" si="3"/>
        <v>1494.2809929824525</v>
      </c>
      <c r="AB25" s="148">
        <f t="shared" si="2"/>
        <v>0.23749999999999999</v>
      </c>
      <c r="AC25" s="143"/>
      <c r="AD25" s="227"/>
      <c r="AE25" s="143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</row>
    <row r="26" spans="1:55" s="128" customFormat="1" ht="15.95" customHeight="1" x14ac:dyDescent="0.25">
      <c r="A26" s="769"/>
      <c r="B26" s="136" t="s">
        <v>69</v>
      </c>
      <c r="C26" s="137">
        <v>20</v>
      </c>
      <c r="D26" s="138">
        <v>0</v>
      </c>
      <c r="E26" s="139">
        <v>0</v>
      </c>
      <c r="F26" s="140">
        <v>27</v>
      </c>
      <c r="G26" s="139">
        <v>1175.3188375</v>
      </c>
      <c r="H26" s="140">
        <v>1</v>
      </c>
      <c r="I26" s="139">
        <v>1038.17</v>
      </c>
      <c r="J26" s="140">
        <v>0</v>
      </c>
      <c r="K26" s="141">
        <v>0</v>
      </c>
      <c r="L26" s="140">
        <v>8</v>
      </c>
      <c r="M26" s="141">
        <v>1109.2276000000002</v>
      </c>
      <c r="N26" s="140">
        <v>0</v>
      </c>
      <c r="O26" s="141">
        <v>0</v>
      </c>
      <c r="P26" s="140">
        <v>0</v>
      </c>
      <c r="Q26" s="141">
        <v>0</v>
      </c>
      <c r="R26" s="140">
        <v>1</v>
      </c>
      <c r="S26" s="141">
        <v>0</v>
      </c>
      <c r="T26" s="165"/>
      <c r="U26" s="164"/>
      <c r="V26" s="163"/>
      <c r="W26" s="164"/>
      <c r="X26" s="163"/>
      <c r="Y26" s="166">
        <f t="shared" si="0"/>
        <v>37</v>
      </c>
      <c r="Z26" s="167">
        <f t="shared" si="1"/>
        <v>41645.5994125</v>
      </c>
      <c r="AA26" s="147">
        <f t="shared" si="3"/>
        <v>1125.5567408783784</v>
      </c>
      <c r="AB26" s="148">
        <f t="shared" si="2"/>
        <v>0.46250000000000002</v>
      </c>
      <c r="AC26" s="143"/>
      <c r="AD26" s="227"/>
      <c r="AE26" s="143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</row>
    <row r="27" spans="1:55" s="128" customFormat="1" ht="15.95" customHeight="1" x14ac:dyDescent="0.25">
      <c r="A27" s="769"/>
      <c r="B27" s="150" t="s">
        <v>63</v>
      </c>
      <c r="C27" s="151">
        <v>21</v>
      </c>
      <c r="D27" s="152">
        <v>0</v>
      </c>
      <c r="E27" s="153">
        <v>0</v>
      </c>
      <c r="F27" s="154">
        <v>16</v>
      </c>
      <c r="G27" s="153">
        <v>1405.3228444444433</v>
      </c>
      <c r="H27" s="154">
        <v>1</v>
      </c>
      <c r="I27" s="153">
        <v>1065.6500000000001</v>
      </c>
      <c r="J27" s="154">
        <v>0</v>
      </c>
      <c r="K27" s="155">
        <v>0</v>
      </c>
      <c r="L27" s="154">
        <v>5</v>
      </c>
      <c r="M27" s="155">
        <v>838.5539</v>
      </c>
      <c r="N27" s="154">
        <v>0</v>
      </c>
      <c r="O27" s="155">
        <v>0</v>
      </c>
      <c r="P27" s="154">
        <v>0</v>
      </c>
      <c r="Q27" s="155">
        <v>0</v>
      </c>
      <c r="R27" s="154">
        <v>1</v>
      </c>
      <c r="S27" s="155">
        <v>0</v>
      </c>
      <c r="T27" s="203"/>
      <c r="U27" s="202"/>
      <c r="V27" s="201"/>
      <c r="W27" s="202"/>
      <c r="X27" s="201"/>
      <c r="Y27" s="204">
        <f t="shared" si="0"/>
        <v>23</v>
      </c>
      <c r="Z27" s="205">
        <f t="shared" si="1"/>
        <v>27743.585011111092</v>
      </c>
      <c r="AA27" s="158">
        <f t="shared" si="3"/>
        <v>1206.2428265700476</v>
      </c>
      <c r="AB27" s="159">
        <f t="shared" si="2"/>
        <v>0.28749999999999998</v>
      </c>
      <c r="AC27" s="143"/>
      <c r="AD27" s="227"/>
      <c r="AE27" s="143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168"/>
      <c r="B28" s="136" t="s">
        <v>64</v>
      </c>
      <c r="C28" s="137">
        <v>22</v>
      </c>
      <c r="D28" s="138">
        <v>0</v>
      </c>
      <c r="E28" s="139">
        <v>0</v>
      </c>
      <c r="F28" s="140">
        <v>39</v>
      </c>
      <c r="G28" s="139">
        <v>1512.0425749999999</v>
      </c>
      <c r="H28" s="140">
        <v>0</v>
      </c>
      <c r="I28" s="139">
        <v>0</v>
      </c>
      <c r="J28" s="140">
        <v>0</v>
      </c>
      <c r="K28" s="141">
        <v>0</v>
      </c>
      <c r="L28" s="140">
        <v>4</v>
      </c>
      <c r="M28" s="141">
        <v>823.04725000000008</v>
      </c>
      <c r="N28" s="140">
        <v>0</v>
      </c>
      <c r="O28" s="141">
        <v>0</v>
      </c>
      <c r="P28" s="140">
        <v>20</v>
      </c>
      <c r="Q28" s="141">
        <v>1605</v>
      </c>
      <c r="R28" s="140">
        <v>0</v>
      </c>
      <c r="S28" s="141">
        <v>0</v>
      </c>
      <c r="T28" s="141"/>
      <c r="U28" s="140"/>
      <c r="V28" s="139"/>
      <c r="W28" s="140"/>
      <c r="X28" s="139"/>
      <c r="Y28" s="142">
        <f t="shared" si="0"/>
        <v>63</v>
      </c>
      <c r="Z28" s="143">
        <f t="shared" si="1"/>
        <v>94361.849424999993</v>
      </c>
      <c r="AA28" s="329">
        <f t="shared" si="3"/>
        <v>1497.8071337301585</v>
      </c>
      <c r="AB28" s="148">
        <f t="shared" si="2"/>
        <v>0.78749999999999998</v>
      </c>
      <c r="AC28" s="143"/>
      <c r="AD28" s="227"/>
      <c r="AE28" s="143"/>
    </row>
    <row r="29" spans="1:55" s="126" customFormat="1" ht="15.95" customHeight="1" x14ac:dyDescent="0.25">
      <c r="A29" s="769"/>
      <c r="B29" s="136" t="s">
        <v>65</v>
      </c>
      <c r="C29" s="137">
        <v>23</v>
      </c>
      <c r="D29" s="138">
        <v>0</v>
      </c>
      <c r="E29" s="139">
        <v>0</v>
      </c>
      <c r="F29" s="140">
        <v>21</v>
      </c>
      <c r="G29" s="139">
        <v>1439.7082500000001</v>
      </c>
      <c r="H29" s="140">
        <v>0</v>
      </c>
      <c r="I29" s="139">
        <v>0</v>
      </c>
      <c r="J29" s="140">
        <v>12</v>
      </c>
      <c r="K29" s="141">
        <v>934.78</v>
      </c>
      <c r="L29" s="140">
        <v>4</v>
      </c>
      <c r="M29" s="141">
        <v>899.29300000000001</v>
      </c>
      <c r="N29" s="140">
        <v>0</v>
      </c>
      <c r="O29" s="141">
        <v>0</v>
      </c>
      <c r="P29" s="140">
        <v>20</v>
      </c>
      <c r="Q29" s="141">
        <v>1605</v>
      </c>
      <c r="R29" s="140">
        <v>0</v>
      </c>
      <c r="S29" s="141">
        <v>0</v>
      </c>
      <c r="T29" s="141"/>
      <c r="U29" s="140"/>
      <c r="V29" s="139"/>
      <c r="W29" s="140"/>
      <c r="X29" s="139"/>
      <c r="Y29" s="142">
        <f t="shared" si="0"/>
        <v>57</v>
      </c>
      <c r="Z29" s="143">
        <f t="shared" si="1"/>
        <v>77148.405250000011</v>
      </c>
      <c r="AA29" s="329">
        <f t="shared" si="3"/>
        <v>1353.4807938596493</v>
      </c>
      <c r="AB29" s="148">
        <f t="shared" si="2"/>
        <v>0.71250000000000002</v>
      </c>
      <c r="AC29" s="143"/>
      <c r="AD29" s="227"/>
      <c r="AE29" s="143"/>
    </row>
    <row r="30" spans="1:55" s="126" customFormat="1" ht="16.5" customHeight="1" x14ac:dyDescent="0.25">
      <c r="A30" s="769"/>
      <c r="B30" s="136" t="s">
        <v>66</v>
      </c>
      <c r="C30" s="137">
        <v>24</v>
      </c>
      <c r="D30" s="138">
        <v>0</v>
      </c>
      <c r="E30" s="139">
        <v>0</v>
      </c>
      <c r="F30" s="140">
        <v>16</v>
      </c>
      <c r="G30" s="139">
        <v>1222.9563375</v>
      </c>
      <c r="H30" s="140">
        <v>0</v>
      </c>
      <c r="I30" s="139">
        <v>0</v>
      </c>
      <c r="J30" s="140">
        <v>12</v>
      </c>
      <c r="K30" s="141">
        <v>934.78</v>
      </c>
      <c r="L30" s="140">
        <v>9</v>
      </c>
      <c r="M30" s="141">
        <v>865.89353333333293</v>
      </c>
      <c r="N30" s="140">
        <v>0</v>
      </c>
      <c r="O30" s="141">
        <v>0</v>
      </c>
      <c r="P30" s="140">
        <v>20</v>
      </c>
      <c r="Q30" s="141">
        <v>1605</v>
      </c>
      <c r="R30" s="140">
        <v>0</v>
      </c>
      <c r="S30" s="141">
        <v>0</v>
      </c>
      <c r="T30" s="141"/>
      <c r="U30" s="140"/>
      <c r="V30" s="139"/>
      <c r="W30" s="140"/>
      <c r="X30" s="139"/>
      <c r="Y30" s="142">
        <f t="shared" si="0"/>
        <v>57</v>
      </c>
      <c r="Z30" s="143">
        <f t="shared" si="1"/>
        <v>70677.703199999989</v>
      </c>
      <c r="AA30" s="329">
        <f t="shared" si="3"/>
        <v>1239.9597052631577</v>
      </c>
      <c r="AB30" s="148">
        <f t="shared" si="2"/>
        <v>0.71250000000000002</v>
      </c>
      <c r="AC30" s="143"/>
      <c r="AD30" s="227"/>
      <c r="AE30" s="143"/>
    </row>
    <row r="31" spans="1:55" s="169" customFormat="1" ht="15.95" customHeight="1" x14ac:dyDescent="0.25">
      <c r="A31" s="769"/>
      <c r="B31" s="136" t="s">
        <v>67</v>
      </c>
      <c r="C31" s="137">
        <v>25</v>
      </c>
      <c r="D31" s="138">
        <v>0</v>
      </c>
      <c r="E31" s="139">
        <v>0</v>
      </c>
      <c r="F31" s="140">
        <v>29</v>
      </c>
      <c r="G31" s="139">
        <v>1195.6816799999999</v>
      </c>
      <c r="H31" s="140">
        <v>0</v>
      </c>
      <c r="I31" s="139">
        <v>0</v>
      </c>
      <c r="J31" s="140">
        <v>0</v>
      </c>
      <c r="K31" s="141">
        <v>0</v>
      </c>
      <c r="L31" s="140">
        <v>7</v>
      </c>
      <c r="M31" s="141">
        <v>834.13520000000005</v>
      </c>
      <c r="N31" s="140">
        <v>0</v>
      </c>
      <c r="O31" s="141">
        <v>0</v>
      </c>
      <c r="P31" s="140">
        <v>0</v>
      </c>
      <c r="Q31" s="141">
        <v>0</v>
      </c>
      <c r="R31" s="140">
        <v>0</v>
      </c>
      <c r="S31" s="141">
        <v>0</v>
      </c>
      <c r="T31" s="165"/>
      <c r="U31" s="164"/>
      <c r="V31" s="163"/>
      <c r="W31" s="164"/>
      <c r="X31" s="163"/>
      <c r="Y31" s="166">
        <f t="shared" si="0"/>
        <v>36</v>
      </c>
      <c r="Z31" s="167">
        <f t="shared" si="1"/>
        <v>40513.715120000001</v>
      </c>
      <c r="AA31" s="147">
        <f t="shared" si="3"/>
        <v>1125.3809755555556</v>
      </c>
      <c r="AB31" s="148">
        <f t="shared" si="2"/>
        <v>0.45</v>
      </c>
      <c r="AC31" s="143"/>
      <c r="AD31" s="227"/>
      <c r="AE31" s="143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60"/>
    </row>
    <row r="32" spans="1:55" s="128" customFormat="1" ht="15.95" customHeight="1" x14ac:dyDescent="0.25">
      <c r="A32" s="769"/>
      <c r="B32" s="136" t="s">
        <v>68</v>
      </c>
      <c r="C32" s="137">
        <v>26</v>
      </c>
      <c r="D32" s="138">
        <v>0</v>
      </c>
      <c r="E32" s="139">
        <v>0</v>
      </c>
      <c r="F32" s="140">
        <v>22</v>
      </c>
      <c r="G32" s="139">
        <v>1327.8931666666599</v>
      </c>
      <c r="H32" s="140">
        <v>0</v>
      </c>
      <c r="I32" s="139">
        <v>0</v>
      </c>
      <c r="J32" s="140">
        <v>0</v>
      </c>
      <c r="K32" s="141">
        <v>0</v>
      </c>
      <c r="L32" s="140">
        <v>4</v>
      </c>
      <c r="M32" s="141">
        <v>804.01285000000007</v>
      </c>
      <c r="N32" s="140">
        <v>0</v>
      </c>
      <c r="O32" s="141">
        <v>0</v>
      </c>
      <c r="P32" s="140">
        <v>0</v>
      </c>
      <c r="Q32" s="141">
        <v>0</v>
      </c>
      <c r="R32" s="140">
        <v>0</v>
      </c>
      <c r="S32" s="141">
        <v>0</v>
      </c>
      <c r="T32" s="165"/>
      <c r="U32" s="164"/>
      <c r="V32" s="163"/>
      <c r="W32" s="164"/>
      <c r="X32" s="163"/>
      <c r="Y32" s="166">
        <f t="shared" si="0"/>
        <v>26</v>
      </c>
      <c r="Z32" s="167">
        <f t="shared" si="1"/>
        <v>32429.701066666519</v>
      </c>
      <c r="AA32" s="147">
        <f t="shared" si="3"/>
        <v>1247.2961948717891</v>
      </c>
      <c r="AB32" s="148">
        <f t="shared" si="2"/>
        <v>0.32500000000000001</v>
      </c>
      <c r="AC32" s="143"/>
      <c r="AD32" s="227"/>
      <c r="AE32" s="143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  <c r="BC32" s="126"/>
    </row>
    <row r="33" spans="1:56" s="128" customFormat="1" ht="15.95" customHeight="1" x14ac:dyDescent="0.25">
      <c r="A33" s="769"/>
      <c r="B33" s="136" t="s">
        <v>69</v>
      </c>
      <c r="C33" s="137">
        <v>27</v>
      </c>
      <c r="D33" s="138">
        <v>0</v>
      </c>
      <c r="E33" s="139">
        <v>0</v>
      </c>
      <c r="F33" s="140">
        <v>21</v>
      </c>
      <c r="G33" s="139">
        <v>1061.3264199999999</v>
      </c>
      <c r="H33" s="140">
        <v>0</v>
      </c>
      <c r="I33" s="139">
        <v>0</v>
      </c>
      <c r="J33" s="140">
        <v>0</v>
      </c>
      <c r="K33" s="141">
        <v>0</v>
      </c>
      <c r="L33" s="140">
        <v>2</v>
      </c>
      <c r="M33" s="141">
        <v>695.12639999999999</v>
      </c>
      <c r="N33" s="140">
        <v>0</v>
      </c>
      <c r="O33" s="141">
        <v>0</v>
      </c>
      <c r="P33" s="140">
        <v>0</v>
      </c>
      <c r="Q33" s="141">
        <v>0</v>
      </c>
      <c r="R33" s="140">
        <v>0</v>
      </c>
      <c r="S33" s="141">
        <v>0</v>
      </c>
      <c r="T33" s="141"/>
      <c r="U33" s="140"/>
      <c r="V33" s="139"/>
      <c r="W33" s="140"/>
      <c r="X33" s="139"/>
      <c r="Y33" s="142">
        <f t="shared" si="0"/>
        <v>23</v>
      </c>
      <c r="Z33" s="143">
        <f t="shared" si="1"/>
        <v>23678.107619999995</v>
      </c>
      <c r="AA33" s="147">
        <f t="shared" si="3"/>
        <v>1029.4829399999999</v>
      </c>
      <c r="AB33" s="148">
        <f t="shared" si="2"/>
        <v>0.28749999999999998</v>
      </c>
      <c r="AC33" s="143"/>
      <c r="AD33" s="227"/>
      <c r="AE33" s="143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</row>
    <row r="34" spans="1:56" s="128" customFormat="1" ht="15.95" customHeight="1" x14ac:dyDescent="0.25">
      <c r="A34" s="170"/>
      <c r="B34" s="150" t="s">
        <v>63</v>
      </c>
      <c r="C34" s="151">
        <v>28</v>
      </c>
      <c r="D34" s="152">
        <v>0</v>
      </c>
      <c r="E34" s="153">
        <v>0</v>
      </c>
      <c r="F34" s="154">
        <v>32</v>
      </c>
      <c r="G34" s="153">
        <v>1225.0871500000001</v>
      </c>
      <c r="H34" s="154">
        <v>0</v>
      </c>
      <c r="I34" s="153">
        <v>0</v>
      </c>
      <c r="J34" s="154">
        <v>12</v>
      </c>
      <c r="K34" s="155">
        <v>934.78</v>
      </c>
      <c r="L34" s="154">
        <v>4</v>
      </c>
      <c r="M34" s="155">
        <v>773.62785000000008</v>
      </c>
      <c r="N34" s="154">
        <v>0</v>
      </c>
      <c r="O34" s="155">
        <v>0</v>
      </c>
      <c r="P34" s="154">
        <v>0</v>
      </c>
      <c r="Q34" s="155">
        <v>0</v>
      </c>
      <c r="R34" s="154">
        <v>1</v>
      </c>
      <c r="S34" s="155">
        <v>0</v>
      </c>
      <c r="T34" s="203"/>
      <c r="U34" s="202"/>
      <c r="V34" s="201"/>
      <c r="W34" s="202"/>
      <c r="X34" s="201"/>
      <c r="Y34" s="204">
        <f t="shared" si="0"/>
        <v>49</v>
      </c>
      <c r="Z34" s="205">
        <f t="shared" si="1"/>
        <v>53514.660200000006</v>
      </c>
      <c r="AA34" s="158">
        <f>IF(Z34=0,0,Z34/Y34)</f>
        <v>1092.1359224489797</v>
      </c>
      <c r="AB34" s="159">
        <f t="shared" si="2"/>
        <v>0.61250000000000004</v>
      </c>
      <c r="AC34" s="143"/>
      <c r="AD34" s="227"/>
      <c r="AE34" s="143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5.95" customHeight="1" x14ac:dyDescent="0.25">
      <c r="A35" s="770"/>
      <c r="B35" s="136" t="s">
        <v>64</v>
      </c>
      <c r="C35" s="137">
        <v>29</v>
      </c>
      <c r="D35" s="138">
        <v>0</v>
      </c>
      <c r="E35" s="139">
        <v>0</v>
      </c>
      <c r="F35" s="140">
        <v>24</v>
      </c>
      <c r="G35" s="139">
        <v>1202.9962249999999</v>
      </c>
      <c r="H35" s="140">
        <v>0</v>
      </c>
      <c r="I35" s="139">
        <v>0</v>
      </c>
      <c r="J35" s="140">
        <v>12</v>
      </c>
      <c r="K35" s="141">
        <v>934.78</v>
      </c>
      <c r="L35" s="140">
        <v>7</v>
      </c>
      <c r="M35" s="141">
        <v>964.48022857142814</v>
      </c>
      <c r="N35" s="140">
        <v>0</v>
      </c>
      <c r="O35" s="141">
        <v>0</v>
      </c>
      <c r="P35" s="140">
        <v>0</v>
      </c>
      <c r="Q35" s="141">
        <v>0</v>
      </c>
      <c r="R35" s="140">
        <v>1</v>
      </c>
      <c r="S35" s="141">
        <v>0</v>
      </c>
      <c r="T35" s="165"/>
      <c r="U35" s="164"/>
      <c r="V35" s="163"/>
      <c r="W35" s="164"/>
      <c r="X35" s="163"/>
      <c r="Y35" s="166">
        <f t="shared" si="0"/>
        <v>44</v>
      </c>
      <c r="Z35" s="167">
        <f t="shared" si="1"/>
        <v>46840.630999999994</v>
      </c>
      <c r="AA35" s="329">
        <f>IF(Z35=0,0,Z35/Y35)</f>
        <v>1064.5597954545453</v>
      </c>
      <c r="AB35" s="148">
        <f t="shared" si="2"/>
        <v>0.55000000000000004</v>
      </c>
      <c r="AC35" s="143"/>
      <c r="AD35" s="227"/>
      <c r="AE35" s="143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6" customFormat="1" ht="15.95" customHeight="1" x14ac:dyDescent="0.25">
      <c r="A36" s="770"/>
      <c r="B36" s="136" t="s">
        <v>65</v>
      </c>
      <c r="C36" s="137">
        <v>30</v>
      </c>
      <c r="D36" s="138">
        <v>0</v>
      </c>
      <c r="E36" s="139">
        <v>0</v>
      </c>
      <c r="F36" s="140">
        <v>17</v>
      </c>
      <c r="G36" s="139">
        <v>1747.0185818181762</v>
      </c>
      <c r="H36" s="140">
        <v>0</v>
      </c>
      <c r="I36" s="139">
        <v>0</v>
      </c>
      <c r="J36" s="140">
        <v>0</v>
      </c>
      <c r="K36" s="141">
        <v>0</v>
      </c>
      <c r="L36" s="140">
        <v>1</v>
      </c>
      <c r="M36" s="141">
        <v>1065.2157</v>
      </c>
      <c r="N36" s="140">
        <v>0</v>
      </c>
      <c r="O36" s="141">
        <v>0</v>
      </c>
      <c r="P36" s="140">
        <v>0</v>
      </c>
      <c r="Q36" s="141">
        <v>0</v>
      </c>
      <c r="R36" s="140">
        <v>1</v>
      </c>
      <c r="S36" s="141">
        <v>0</v>
      </c>
      <c r="T36" s="141"/>
      <c r="U36" s="140"/>
      <c r="V36" s="139"/>
      <c r="W36" s="140"/>
      <c r="X36" s="139"/>
      <c r="Y36" s="142">
        <f t="shared" si="0"/>
        <v>19</v>
      </c>
      <c r="Z36" s="143">
        <f t="shared" si="1"/>
        <v>30764.531590908999</v>
      </c>
      <c r="AA36" s="329">
        <f>IF(Z36=0,0,Z36/Y36)</f>
        <v>1619.1858732057367</v>
      </c>
      <c r="AB36" s="148">
        <f t="shared" si="2"/>
        <v>0.23749999999999999</v>
      </c>
      <c r="AC36" s="143"/>
      <c r="AD36" s="227"/>
      <c r="AE36" s="143"/>
    </row>
    <row r="37" spans="1:56" s="128" customFormat="1" ht="16.5" thickBot="1" x14ac:dyDescent="0.3">
      <c r="A37" s="149"/>
      <c r="B37" s="136" t="s">
        <v>66</v>
      </c>
      <c r="C37" s="137">
        <v>31</v>
      </c>
      <c r="D37" s="138">
        <v>0</v>
      </c>
      <c r="E37" s="139">
        <v>0</v>
      </c>
      <c r="F37" s="140">
        <v>13</v>
      </c>
      <c r="G37" s="139">
        <v>1363.9927592592544</v>
      </c>
      <c r="H37" s="140">
        <v>0</v>
      </c>
      <c r="I37" s="139">
        <v>0</v>
      </c>
      <c r="J37" s="140">
        <v>0</v>
      </c>
      <c r="K37" s="141">
        <v>0</v>
      </c>
      <c r="L37" s="140">
        <v>1</v>
      </c>
      <c r="M37" s="141">
        <v>873.99619999999993</v>
      </c>
      <c r="N37" s="140">
        <v>0</v>
      </c>
      <c r="O37" s="141">
        <v>0</v>
      </c>
      <c r="P37" s="140">
        <v>0</v>
      </c>
      <c r="Q37" s="141">
        <v>0</v>
      </c>
      <c r="R37" s="140">
        <v>1</v>
      </c>
      <c r="S37" s="141">
        <v>0</v>
      </c>
      <c r="T37" s="141"/>
      <c r="U37" s="140"/>
      <c r="V37" s="139"/>
      <c r="W37" s="140"/>
      <c r="X37" s="139"/>
      <c r="Y37" s="142">
        <f t="shared" si="0"/>
        <v>15</v>
      </c>
      <c r="Z37" s="143">
        <f t="shared" si="1"/>
        <v>18605.90207037031</v>
      </c>
      <c r="AA37" s="147">
        <f>IF(Z37=0,0,Z37/Y37)</f>
        <v>1240.3934713580206</v>
      </c>
      <c r="AB37" s="148">
        <f t="shared" si="2"/>
        <v>0.1875</v>
      </c>
      <c r="AC37" s="143"/>
      <c r="AD37" s="227"/>
      <c r="AE37" s="143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</row>
    <row r="38" spans="1:56" s="128" customFormat="1" ht="17.100000000000001" customHeight="1" thickTop="1" x14ac:dyDescent="0.25">
      <c r="A38" s="171" t="s">
        <v>70</v>
      </c>
      <c r="B38" s="172"/>
      <c r="C38" s="172"/>
      <c r="D38" s="173">
        <f>SUM(D7:D37)</f>
        <v>0</v>
      </c>
      <c r="E38" s="174">
        <f>IF(D38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+(D37*E37))/D38)</f>
        <v>0</v>
      </c>
      <c r="F38" s="175">
        <f>SUM(F7:F37)</f>
        <v>738</v>
      </c>
      <c r="G38" s="174">
        <f>IF(F38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+(F37*G37))/F38)</f>
        <v>1320.4614518065357</v>
      </c>
      <c r="H38" s="176">
        <f>SUM(H7:H37)</f>
        <v>30</v>
      </c>
      <c r="I38" s="174">
        <f>IF(H38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+(H37*I37))/H38)</f>
        <v>1338.518</v>
      </c>
      <c r="J38" s="175">
        <f>SUM(J7:J37)</f>
        <v>153</v>
      </c>
      <c r="K38" s="174">
        <f>IF(J38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+(J37*K37))/J38)</f>
        <v>965.24961510530125</v>
      </c>
      <c r="L38" s="175">
        <f>SUM(L7:L37)</f>
        <v>212</v>
      </c>
      <c r="M38" s="174">
        <f>IF(L38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+(L37*M37))/L38)</f>
        <v>906.32907264150913</v>
      </c>
      <c r="N38" s="175">
        <f>SUM(N7:N37)</f>
        <v>0</v>
      </c>
      <c r="O38" s="174">
        <f>IF(N38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+(N37*O37))/N38)</f>
        <v>0</v>
      </c>
      <c r="P38" s="175">
        <f>SUM(P7:P37)</f>
        <v>105</v>
      </c>
      <c r="Q38" s="174">
        <f>IF(P38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+(P37*Q37))/P38)</f>
        <v>1605</v>
      </c>
      <c r="R38" s="175">
        <f>SUM(R7:R37)</f>
        <v>24</v>
      </c>
      <c r="S38" s="174">
        <f>IF(R38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+(R37*S37))/R38)</f>
        <v>0</v>
      </c>
      <c r="T38" s="174"/>
      <c r="U38" s="175"/>
      <c r="V38" s="174"/>
      <c r="W38" s="175"/>
      <c r="X38" s="174"/>
      <c r="Y38" s="175">
        <f>SUM(Y7:Y37)</f>
        <v>1262</v>
      </c>
      <c r="Z38" s="177">
        <f>SUM(Z7:Z37)</f>
        <v>1523006.0459443342</v>
      </c>
      <c r="AA38" s="176">
        <f>IF(Z38=0,0,Z38/Y38)</f>
        <v>1206.8193707958274</v>
      </c>
      <c r="AB38" s="178">
        <f>Y38/(AB6*D2)</f>
        <v>0.50887096774193552</v>
      </c>
      <c r="AC38" s="126"/>
      <c r="AD38" s="127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28" customFormat="1" ht="17.100000000000001" customHeight="1" thickBot="1" x14ac:dyDescent="0.3">
      <c r="A39" s="179" t="s">
        <v>71</v>
      </c>
      <c r="B39" s="180"/>
      <c r="C39" s="180"/>
      <c r="D39" s="771">
        <f>+E38*D38</f>
        <v>0</v>
      </c>
      <c r="E39" s="767"/>
      <c r="F39" s="766">
        <f>+G38*F38</f>
        <v>974500.5514332233</v>
      </c>
      <c r="G39" s="767"/>
      <c r="H39" s="766">
        <f>+I38*H38</f>
        <v>40155.54</v>
      </c>
      <c r="I39" s="767"/>
      <c r="J39" s="766">
        <f>+K38*J38</f>
        <v>147683.19111111108</v>
      </c>
      <c r="K39" s="767"/>
      <c r="L39" s="766">
        <f>+M38*L38</f>
        <v>192141.76339999994</v>
      </c>
      <c r="M39" s="767"/>
      <c r="N39" s="766">
        <f>+O38*N38</f>
        <v>0</v>
      </c>
      <c r="O39" s="767"/>
      <c r="P39" s="766">
        <f>+Q38*P38</f>
        <v>168525</v>
      </c>
      <c r="Q39" s="767"/>
      <c r="R39" s="766">
        <f>+S38*R38</f>
        <v>0</v>
      </c>
      <c r="S39" s="768"/>
      <c r="T39" s="181"/>
      <c r="U39" s="182"/>
      <c r="V39" s="181"/>
      <c r="W39" s="182"/>
      <c r="X39" s="181"/>
      <c r="Y39" s="183"/>
      <c r="Z39" s="184"/>
      <c r="AA39" s="184"/>
      <c r="AB39" s="185"/>
      <c r="AC39" s="126"/>
      <c r="AD39" s="127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  <c r="BC39" s="126"/>
    </row>
    <row r="40" spans="1:56" s="111" customFormat="1" ht="13.5" thickTop="1" x14ac:dyDescent="0.2">
      <c r="P40" s="211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G42" s="226"/>
      <c r="Q42" s="226"/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9:56" s="111" customFormat="1" x14ac:dyDescent="0.2"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9:56" s="111" customFormat="1" x14ac:dyDescent="0.2"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  <row r="53" spans="29:56" s="111" customFormat="1" x14ac:dyDescent="0.2">
      <c r="AC53" s="112"/>
      <c r="AD53" s="113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4"/>
    </row>
  </sheetData>
  <mergeCells count="28"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  <mergeCell ref="R5:S5"/>
    <mergeCell ref="R39:S39"/>
    <mergeCell ref="F39:G39"/>
    <mergeCell ref="H39:I39"/>
    <mergeCell ref="J39:K39"/>
    <mergeCell ref="P39:Q39"/>
    <mergeCell ref="A10:A13"/>
    <mergeCell ref="A15:A16"/>
    <mergeCell ref="A23:A25"/>
    <mergeCell ref="L39:M39"/>
    <mergeCell ref="N39:O39"/>
    <mergeCell ref="D39:E39"/>
    <mergeCell ref="A26:A27"/>
    <mergeCell ref="A29:A31"/>
    <mergeCell ref="A32:A33"/>
    <mergeCell ref="A35:A36"/>
  </mergeCells>
  <phoneticPr fontId="74" type="noConversion"/>
  <dataValidations disablePrompts="1" count="1">
    <dataValidation type="textLength" errorStyle="information" allowBlank="1" showInputMessage="1" showErrorMessage="1" error="XLBVal:2=0_x000d__x000a_" sqref="C27:C37 HZ27:HZ37 RV27:RV37 ABR27:ABR37 ALN27:ALN37 AVJ27:AVJ37 BFF27:BFF37 BPB27:BPB37 BYX27:BYX37 CIT27:CIT37 CSP27:CSP37 DCL27:DCL37 DMH27:DMH37 DWD27:DWD37 EFZ27:EFZ37 EPV27:EPV37 EZR27:EZR37 FJN27:FJN37 FTJ27:FTJ37 GDF27:GDF37 GNB27:GNB37 GWX27:GWX37 HGT27:HGT37 HQP27:HQP37 IAL27:IAL37 IKH27:IKH37 IUD27:IUD37 JDZ27:JDZ37 JNV27:JNV37 JXR27:JXR37 KHN27:KHN37 KRJ27:KRJ37 LBF27:LBF37 LLB27:LLB37 LUX27:LUX37 MET27:MET37 MOP27:MOP37 MYL27:MYL37 NIH27:NIH37 NSD27:NSD37 OBZ27:OBZ37 OLV27:OLV37 OVR27:OVR37 PFN27:PFN37 PPJ27:PPJ37 PZF27:PZF37 QJB27:QJB37 QSX27:QSX37 RCT27:RCT37 RMP27:RMP37 RWL27:RWL37 SGH27:SGH37 SQD27:SQD37 SZZ27:SZZ37 TJV27:TJV37 TTR27:TTR37 UDN27:UDN37 UNJ27:UNJ37 UXF27:UXF37 VHB27:VHB37 VQX27:VQX37 WAT27:WAT37 WKP27:WKP37 WUL27:WUL37 C65511:C65521 HZ65511:HZ65521 RV65511:RV65521 ABR65511:ABR65521 ALN65511:ALN65521 AVJ65511:AVJ65521 BFF65511:BFF65521 BPB65511:BPB65521 BYX65511:BYX65521 CIT65511:CIT65521 CSP65511:CSP65521 DCL65511:DCL65521 DMH65511:DMH65521 DWD65511:DWD65521 EFZ65511:EFZ65521 EPV65511:EPV65521 EZR65511:EZR65521 FJN65511:FJN65521 FTJ65511:FTJ65521 GDF65511:GDF65521 GNB65511:GNB65521 GWX65511:GWX65521 HGT65511:HGT65521 HQP65511:HQP65521 IAL65511:IAL65521 IKH65511:IKH65521 IUD65511:IUD65521 JDZ65511:JDZ65521 JNV65511:JNV65521 JXR65511:JXR65521 KHN65511:KHN65521 KRJ65511:KRJ65521 LBF65511:LBF65521 LLB65511:LLB65521 LUX65511:LUX65521 MET65511:MET65521 MOP65511:MOP65521 MYL65511:MYL65521 NIH65511:NIH65521 NSD65511:NSD65521 OBZ65511:OBZ65521 OLV65511:OLV65521 OVR65511:OVR65521 PFN65511:PFN65521 PPJ65511:PPJ65521 PZF65511:PZF65521 QJB65511:QJB65521 QSX65511:QSX65521 RCT65511:RCT65521 RMP65511:RMP65521 RWL65511:RWL65521 SGH65511:SGH65521 SQD65511:SQD65521 SZZ65511:SZZ65521 TJV65511:TJV65521 TTR65511:TTR65521 UDN65511:UDN65521 UNJ65511:UNJ65521 UXF65511:UXF65521 VHB65511:VHB65521 VQX65511:VQX65521 WAT65511:WAT65521 WKP65511:WKP65521 WUL65511:WUL65521 C131047:C131057 HZ131047:HZ131057 RV131047:RV131057 ABR131047:ABR131057 ALN131047:ALN131057 AVJ131047:AVJ131057 BFF131047:BFF131057 BPB131047:BPB131057 BYX131047:BYX131057 CIT131047:CIT131057 CSP131047:CSP131057 DCL131047:DCL131057 DMH131047:DMH131057 DWD131047:DWD131057 EFZ131047:EFZ131057 EPV131047:EPV131057 EZR131047:EZR131057 FJN131047:FJN131057 FTJ131047:FTJ131057 GDF131047:GDF131057 GNB131047:GNB131057 GWX131047:GWX131057 HGT131047:HGT131057 HQP131047:HQP131057 IAL131047:IAL131057 IKH131047:IKH131057 IUD131047:IUD131057 JDZ131047:JDZ131057 JNV131047:JNV131057 JXR131047:JXR131057 KHN131047:KHN131057 KRJ131047:KRJ131057 LBF131047:LBF131057 LLB131047:LLB131057 LUX131047:LUX131057 MET131047:MET131057 MOP131047:MOP131057 MYL131047:MYL131057 NIH131047:NIH131057 NSD131047:NSD131057 OBZ131047:OBZ131057 OLV131047:OLV131057 OVR131047:OVR131057 PFN131047:PFN131057 PPJ131047:PPJ131057 PZF131047:PZF131057 QJB131047:QJB131057 QSX131047:QSX131057 RCT131047:RCT131057 RMP131047:RMP131057 RWL131047:RWL131057 SGH131047:SGH131057 SQD131047:SQD131057 SZZ131047:SZZ131057 TJV131047:TJV131057 TTR131047:TTR131057 UDN131047:UDN131057 UNJ131047:UNJ131057 UXF131047:UXF131057 VHB131047:VHB131057 VQX131047:VQX131057 WAT131047:WAT131057 WKP131047:WKP131057 WUL131047:WUL131057 C196583:C196593 HZ196583:HZ196593 RV196583:RV196593 ABR196583:ABR196593 ALN196583:ALN196593 AVJ196583:AVJ196593 BFF196583:BFF196593 BPB196583:BPB196593 BYX196583:BYX196593 CIT196583:CIT196593 CSP196583:CSP196593 DCL196583:DCL196593 DMH196583:DMH196593 DWD196583:DWD196593 EFZ196583:EFZ196593 EPV196583:EPV196593 EZR196583:EZR196593 FJN196583:FJN196593 FTJ196583:FTJ196593 GDF196583:GDF196593 GNB196583:GNB196593 GWX196583:GWX196593 HGT196583:HGT196593 HQP196583:HQP196593 IAL196583:IAL196593 IKH196583:IKH196593 IUD196583:IUD196593 JDZ196583:JDZ196593 JNV196583:JNV196593 JXR196583:JXR196593 KHN196583:KHN196593 KRJ196583:KRJ196593 LBF196583:LBF196593 LLB196583:LLB196593 LUX196583:LUX196593 MET196583:MET196593 MOP196583:MOP196593 MYL196583:MYL196593 NIH196583:NIH196593 NSD196583:NSD196593 OBZ196583:OBZ196593 OLV196583:OLV196593 OVR196583:OVR196593 PFN196583:PFN196593 PPJ196583:PPJ196593 PZF196583:PZF196593 QJB196583:QJB196593 QSX196583:QSX196593 RCT196583:RCT196593 RMP196583:RMP196593 RWL196583:RWL196593 SGH196583:SGH196593 SQD196583:SQD196593 SZZ196583:SZZ196593 TJV196583:TJV196593 TTR196583:TTR196593 UDN196583:UDN196593 UNJ196583:UNJ196593 UXF196583:UXF196593 VHB196583:VHB196593 VQX196583:VQX196593 WAT196583:WAT196593 WKP196583:WKP196593 WUL196583:WUL196593 C262119:C262129 HZ262119:HZ262129 RV262119:RV262129 ABR262119:ABR262129 ALN262119:ALN262129 AVJ262119:AVJ262129 BFF262119:BFF262129 BPB262119:BPB262129 BYX262119:BYX262129 CIT262119:CIT262129 CSP262119:CSP262129 DCL262119:DCL262129 DMH262119:DMH262129 DWD262119:DWD262129 EFZ262119:EFZ262129 EPV262119:EPV262129 EZR262119:EZR262129 FJN262119:FJN262129 FTJ262119:FTJ262129 GDF262119:GDF262129 GNB262119:GNB262129 GWX262119:GWX262129 HGT262119:HGT262129 HQP262119:HQP262129 IAL262119:IAL262129 IKH262119:IKH262129 IUD262119:IUD262129 JDZ262119:JDZ262129 JNV262119:JNV262129 JXR262119:JXR262129 KHN262119:KHN262129 KRJ262119:KRJ262129 LBF262119:LBF262129 LLB262119:LLB262129 LUX262119:LUX262129 MET262119:MET262129 MOP262119:MOP262129 MYL262119:MYL262129 NIH262119:NIH262129 NSD262119:NSD262129 OBZ262119:OBZ262129 OLV262119:OLV262129 OVR262119:OVR262129 PFN262119:PFN262129 PPJ262119:PPJ262129 PZF262119:PZF262129 QJB262119:QJB262129 QSX262119:QSX262129 RCT262119:RCT262129 RMP262119:RMP262129 RWL262119:RWL262129 SGH262119:SGH262129 SQD262119:SQD262129 SZZ262119:SZZ262129 TJV262119:TJV262129 TTR262119:TTR262129 UDN262119:UDN262129 UNJ262119:UNJ262129 UXF262119:UXF262129 VHB262119:VHB262129 VQX262119:VQX262129 WAT262119:WAT262129 WKP262119:WKP262129 WUL262119:WUL262129 C327655:C327665 HZ327655:HZ327665 RV327655:RV327665 ABR327655:ABR327665 ALN327655:ALN327665 AVJ327655:AVJ327665 BFF327655:BFF327665 BPB327655:BPB327665 BYX327655:BYX327665 CIT327655:CIT327665 CSP327655:CSP327665 DCL327655:DCL327665 DMH327655:DMH327665 DWD327655:DWD327665 EFZ327655:EFZ327665 EPV327655:EPV327665 EZR327655:EZR327665 FJN327655:FJN327665 FTJ327655:FTJ327665 GDF327655:GDF327665 GNB327655:GNB327665 GWX327655:GWX327665 HGT327655:HGT327665 HQP327655:HQP327665 IAL327655:IAL327665 IKH327655:IKH327665 IUD327655:IUD327665 JDZ327655:JDZ327665 JNV327655:JNV327665 JXR327655:JXR327665 KHN327655:KHN327665 KRJ327655:KRJ327665 LBF327655:LBF327665 LLB327655:LLB327665 LUX327655:LUX327665 MET327655:MET327665 MOP327655:MOP327665 MYL327655:MYL327665 NIH327655:NIH327665 NSD327655:NSD327665 OBZ327655:OBZ327665 OLV327655:OLV327665 OVR327655:OVR327665 PFN327655:PFN327665 PPJ327655:PPJ327665 PZF327655:PZF327665 QJB327655:QJB327665 QSX327655:QSX327665 RCT327655:RCT327665 RMP327655:RMP327665 RWL327655:RWL327665 SGH327655:SGH327665 SQD327655:SQD327665 SZZ327655:SZZ327665 TJV327655:TJV327665 TTR327655:TTR327665 UDN327655:UDN327665 UNJ327655:UNJ327665 UXF327655:UXF327665 VHB327655:VHB327665 VQX327655:VQX327665 WAT327655:WAT327665 WKP327655:WKP327665 WUL327655:WUL327665 C393191:C393201 HZ393191:HZ393201 RV393191:RV393201 ABR393191:ABR393201 ALN393191:ALN393201 AVJ393191:AVJ393201 BFF393191:BFF393201 BPB393191:BPB393201 BYX393191:BYX393201 CIT393191:CIT393201 CSP393191:CSP393201 DCL393191:DCL393201 DMH393191:DMH393201 DWD393191:DWD393201 EFZ393191:EFZ393201 EPV393191:EPV393201 EZR393191:EZR393201 FJN393191:FJN393201 FTJ393191:FTJ393201 GDF393191:GDF393201 GNB393191:GNB393201 GWX393191:GWX393201 HGT393191:HGT393201 HQP393191:HQP393201 IAL393191:IAL393201 IKH393191:IKH393201 IUD393191:IUD393201 JDZ393191:JDZ393201 JNV393191:JNV393201 JXR393191:JXR393201 KHN393191:KHN393201 KRJ393191:KRJ393201 LBF393191:LBF393201 LLB393191:LLB393201 LUX393191:LUX393201 MET393191:MET393201 MOP393191:MOP393201 MYL393191:MYL393201 NIH393191:NIH393201 NSD393191:NSD393201 OBZ393191:OBZ393201 OLV393191:OLV393201 OVR393191:OVR393201 PFN393191:PFN393201 PPJ393191:PPJ393201 PZF393191:PZF393201 QJB393191:QJB393201 QSX393191:QSX393201 RCT393191:RCT393201 RMP393191:RMP393201 RWL393191:RWL393201 SGH393191:SGH393201 SQD393191:SQD393201 SZZ393191:SZZ393201 TJV393191:TJV393201 TTR393191:TTR393201 UDN393191:UDN393201 UNJ393191:UNJ393201 UXF393191:UXF393201 VHB393191:VHB393201 VQX393191:VQX393201 WAT393191:WAT393201 WKP393191:WKP393201 WUL393191:WUL393201 C458727:C458737 HZ458727:HZ458737 RV458727:RV458737 ABR458727:ABR458737 ALN458727:ALN458737 AVJ458727:AVJ458737 BFF458727:BFF458737 BPB458727:BPB458737 BYX458727:BYX458737 CIT458727:CIT458737 CSP458727:CSP458737 DCL458727:DCL458737 DMH458727:DMH458737 DWD458727:DWD458737 EFZ458727:EFZ458737 EPV458727:EPV458737 EZR458727:EZR458737 FJN458727:FJN458737 FTJ458727:FTJ458737 GDF458727:GDF458737 GNB458727:GNB458737 GWX458727:GWX458737 HGT458727:HGT458737 HQP458727:HQP458737 IAL458727:IAL458737 IKH458727:IKH458737 IUD458727:IUD458737 JDZ458727:JDZ458737 JNV458727:JNV458737 JXR458727:JXR458737 KHN458727:KHN458737 KRJ458727:KRJ458737 LBF458727:LBF458737 LLB458727:LLB458737 LUX458727:LUX458737 MET458727:MET458737 MOP458727:MOP458737 MYL458727:MYL458737 NIH458727:NIH458737 NSD458727:NSD458737 OBZ458727:OBZ458737 OLV458727:OLV458737 OVR458727:OVR458737 PFN458727:PFN458737 PPJ458727:PPJ458737 PZF458727:PZF458737 QJB458727:QJB458737 QSX458727:QSX458737 RCT458727:RCT458737 RMP458727:RMP458737 RWL458727:RWL458737 SGH458727:SGH458737 SQD458727:SQD458737 SZZ458727:SZZ458737 TJV458727:TJV458737 TTR458727:TTR458737 UDN458727:UDN458737 UNJ458727:UNJ458737 UXF458727:UXF458737 VHB458727:VHB458737 VQX458727:VQX458737 WAT458727:WAT458737 WKP458727:WKP458737 WUL458727:WUL458737 C524263:C524273 HZ524263:HZ524273 RV524263:RV524273 ABR524263:ABR524273 ALN524263:ALN524273 AVJ524263:AVJ524273 BFF524263:BFF524273 BPB524263:BPB524273 BYX524263:BYX524273 CIT524263:CIT524273 CSP524263:CSP524273 DCL524263:DCL524273 DMH524263:DMH524273 DWD524263:DWD524273 EFZ524263:EFZ524273 EPV524263:EPV524273 EZR524263:EZR524273 FJN524263:FJN524273 FTJ524263:FTJ524273 GDF524263:GDF524273 GNB524263:GNB524273 GWX524263:GWX524273 HGT524263:HGT524273 HQP524263:HQP524273 IAL524263:IAL524273 IKH524263:IKH524273 IUD524263:IUD524273 JDZ524263:JDZ524273 JNV524263:JNV524273 JXR524263:JXR524273 KHN524263:KHN524273 KRJ524263:KRJ524273 LBF524263:LBF524273 LLB524263:LLB524273 LUX524263:LUX524273 MET524263:MET524273 MOP524263:MOP524273 MYL524263:MYL524273 NIH524263:NIH524273 NSD524263:NSD524273 OBZ524263:OBZ524273 OLV524263:OLV524273 OVR524263:OVR524273 PFN524263:PFN524273 PPJ524263:PPJ524273 PZF524263:PZF524273 QJB524263:QJB524273 QSX524263:QSX524273 RCT524263:RCT524273 RMP524263:RMP524273 RWL524263:RWL524273 SGH524263:SGH524273 SQD524263:SQD524273 SZZ524263:SZZ524273 TJV524263:TJV524273 TTR524263:TTR524273 UDN524263:UDN524273 UNJ524263:UNJ524273 UXF524263:UXF524273 VHB524263:VHB524273 VQX524263:VQX524273 WAT524263:WAT524273 WKP524263:WKP524273 WUL524263:WUL524273 C589799:C589809 HZ589799:HZ589809 RV589799:RV589809 ABR589799:ABR589809 ALN589799:ALN589809 AVJ589799:AVJ589809 BFF589799:BFF589809 BPB589799:BPB589809 BYX589799:BYX589809 CIT589799:CIT589809 CSP589799:CSP589809 DCL589799:DCL589809 DMH589799:DMH589809 DWD589799:DWD589809 EFZ589799:EFZ589809 EPV589799:EPV589809 EZR589799:EZR589809 FJN589799:FJN589809 FTJ589799:FTJ589809 GDF589799:GDF589809 GNB589799:GNB589809 GWX589799:GWX589809 HGT589799:HGT589809 HQP589799:HQP589809 IAL589799:IAL589809 IKH589799:IKH589809 IUD589799:IUD589809 JDZ589799:JDZ589809 JNV589799:JNV589809 JXR589799:JXR589809 KHN589799:KHN589809 KRJ589799:KRJ589809 LBF589799:LBF589809 LLB589799:LLB589809 LUX589799:LUX589809 MET589799:MET589809 MOP589799:MOP589809 MYL589799:MYL589809 NIH589799:NIH589809 NSD589799:NSD589809 OBZ589799:OBZ589809 OLV589799:OLV589809 OVR589799:OVR589809 PFN589799:PFN589809 PPJ589799:PPJ589809 PZF589799:PZF589809 QJB589799:QJB589809 QSX589799:QSX589809 RCT589799:RCT589809 RMP589799:RMP589809 RWL589799:RWL589809 SGH589799:SGH589809 SQD589799:SQD589809 SZZ589799:SZZ589809 TJV589799:TJV589809 TTR589799:TTR589809 UDN589799:UDN589809 UNJ589799:UNJ589809 UXF589799:UXF589809 VHB589799:VHB589809 VQX589799:VQX589809 WAT589799:WAT589809 WKP589799:WKP589809 WUL589799:WUL589809 C655335:C655345 HZ655335:HZ655345 RV655335:RV655345 ABR655335:ABR655345 ALN655335:ALN655345 AVJ655335:AVJ655345 BFF655335:BFF655345 BPB655335:BPB655345 BYX655335:BYX655345 CIT655335:CIT655345 CSP655335:CSP655345 DCL655335:DCL655345 DMH655335:DMH655345 DWD655335:DWD655345 EFZ655335:EFZ655345 EPV655335:EPV655345 EZR655335:EZR655345 FJN655335:FJN655345 FTJ655335:FTJ655345 GDF655335:GDF655345 GNB655335:GNB655345 GWX655335:GWX655345 HGT655335:HGT655345 HQP655335:HQP655345 IAL655335:IAL655345 IKH655335:IKH655345 IUD655335:IUD655345 JDZ655335:JDZ655345 JNV655335:JNV655345 JXR655335:JXR655345 KHN655335:KHN655345 KRJ655335:KRJ655345 LBF655335:LBF655345 LLB655335:LLB655345 LUX655335:LUX655345 MET655335:MET655345 MOP655335:MOP655345 MYL655335:MYL655345 NIH655335:NIH655345 NSD655335:NSD655345 OBZ655335:OBZ655345 OLV655335:OLV655345 OVR655335:OVR655345 PFN655335:PFN655345 PPJ655335:PPJ655345 PZF655335:PZF655345 QJB655335:QJB655345 QSX655335:QSX655345 RCT655335:RCT655345 RMP655335:RMP655345 RWL655335:RWL655345 SGH655335:SGH655345 SQD655335:SQD655345 SZZ655335:SZZ655345 TJV655335:TJV655345 TTR655335:TTR655345 UDN655335:UDN655345 UNJ655335:UNJ655345 UXF655335:UXF655345 VHB655335:VHB655345 VQX655335:VQX655345 WAT655335:WAT655345 WKP655335:WKP655345 WUL655335:WUL655345 C720871:C720881 HZ720871:HZ720881 RV720871:RV720881 ABR720871:ABR720881 ALN720871:ALN720881 AVJ720871:AVJ720881 BFF720871:BFF720881 BPB720871:BPB720881 BYX720871:BYX720881 CIT720871:CIT720881 CSP720871:CSP720881 DCL720871:DCL720881 DMH720871:DMH720881 DWD720871:DWD720881 EFZ720871:EFZ720881 EPV720871:EPV720881 EZR720871:EZR720881 FJN720871:FJN720881 FTJ720871:FTJ720881 GDF720871:GDF720881 GNB720871:GNB720881 GWX720871:GWX720881 HGT720871:HGT720881 HQP720871:HQP720881 IAL720871:IAL720881 IKH720871:IKH720881 IUD720871:IUD720881 JDZ720871:JDZ720881 JNV720871:JNV720881 JXR720871:JXR720881 KHN720871:KHN720881 KRJ720871:KRJ720881 LBF720871:LBF720881 LLB720871:LLB720881 LUX720871:LUX720881 MET720871:MET720881 MOP720871:MOP720881 MYL720871:MYL720881 NIH720871:NIH720881 NSD720871:NSD720881 OBZ720871:OBZ720881 OLV720871:OLV720881 OVR720871:OVR720881 PFN720871:PFN720881 PPJ720871:PPJ720881 PZF720871:PZF720881 QJB720871:QJB720881 QSX720871:QSX720881 RCT720871:RCT720881 RMP720871:RMP720881 RWL720871:RWL720881 SGH720871:SGH720881 SQD720871:SQD720881 SZZ720871:SZZ720881 TJV720871:TJV720881 TTR720871:TTR720881 UDN720871:UDN720881 UNJ720871:UNJ720881 UXF720871:UXF720881 VHB720871:VHB720881 VQX720871:VQX720881 WAT720871:WAT720881 WKP720871:WKP720881 WUL720871:WUL720881 C786407:C786417 HZ786407:HZ786417 RV786407:RV786417 ABR786407:ABR786417 ALN786407:ALN786417 AVJ786407:AVJ786417 BFF786407:BFF786417 BPB786407:BPB786417 BYX786407:BYX786417 CIT786407:CIT786417 CSP786407:CSP786417 DCL786407:DCL786417 DMH786407:DMH786417 DWD786407:DWD786417 EFZ786407:EFZ786417 EPV786407:EPV786417 EZR786407:EZR786417 FJN786407:FJN786417 FTJ786407:FTJ786417 GDF786407:GDF786417 GNB786407:GNB786417 GWX786407:GWX786417 HGT786407:HGT786417 HQP786407:HQP786417 IAL786407:IAL786417 IKH786407:IKH786417 IUD786407:IUD786417 JDZ786407:JDZ786417 JNV786407:JNV786417 JXR786407:JXR786417 KHN786407:KHN786417 KRJ786407:KRJ786417 LBF786407:LBF786417 LLB786407:LLB786417 LUX786407:LUX786417 MET786407:MET786417 MOP786407:MOP786417 MYL786407:MYL786417 NIH786407:NIH786417 NSD786407:NSD786417 OBZ786407:OBZ786417 OLV786407:OLV786417 OVR786407:OVR786417 PFN786407:PFN786417 PPJ786407:PPJ786417 PZF786407:PZF786417 QJB786407:QJB786417 QSX786407:QSX786417 RCT786407:RCT786417 RMP786407:RMP786417 RWL786407:RWL786417 SGH786407:SGH786417 SQD786407:SQD786417 SZZ786407:SZZ786417 TJV786407:TJV786417 TTR786407:TTR786417 UDN786407:UDN786417 UNJ786407:UNJ786417 UXF786407:UXF786417 VHB786407:VHB786417 VQX786407:VQX786417 WAT786407:WAT786417 WKP786407:WKP786417 WUL786407:WUL786417 C851943:C851953 HZ851943:HZ851953 RV851943:RV851953 ABR851943:ABR851953 ALN851943:ALN851953 AVJ851943:AVJ851953 BFF851943:BFF851953 BPB851943:BPB851953 BYX851943:BYX851953 CIT851943:CIT851953 CSP851943:CSP851953 DCL851943:DCL851953 DMH851943:DMH851953 DWD851943:DWD851953 EFZ851943:EFZ851953 EPV851943:EPV851953 EZR851943:EZR851953 FJN851943:FJN851953 FTJ851943:FTJ851953 GDF851943:GDF851953 GNB851943:GNB851953 GWX851943:GWX851953 HGT851943:HGT851953 HQP851943:HQP851953 IAL851943:IAL851953 IKH851943:IKH851953 IUD851943:IUD851953 JDZ851943:JDZ851953 JNV851943:JNV851953 JXR851943:JXR851953 KHN851943:KHN851953 KRJ851943:KRJ851953 LBF851943:LBF851953 LLB851943:LLB851953 LUX851943:LUX851953 MET851943:MET851953 MOP851943:MOP851953 MYL851943:MYL851953 NIH851943:NIH851953 NSD851943:NSD851953 OBZ851943:OBZ851953 OLV851943:OLV851953 OVR851943:OVR851953 PFN851943:PFN851953 PPJ851943:PPJ851953 PZF851943:PZF851953 QJB851943:QJB851953 QSX851943:QSX851953 RCT851943:RCT851953 RMP851943:RMP851953 RWL851943:RWL851953 SGH851943:SGH851953 SQD851943:SQD851953 SZZ851943:SZZ851953 TJV851943:TJV851953 TTR851943:TTR851953 UDN851943:UDN851953 UNJ851943:UNJ851953 UXF851943:UXF851953 VHB851943:VHB851953 VQX851943:VQX851953 WAT851943:WAT851953 WKP851943:WKP851953 WUL851943:WUL851953 C917479:C917489 HZ917479:HZ917489 RV917479:RV917489 ABR917479:ABR917489 ALN917479:ALN917489 AVJ917479:AVJ917489 BFF917479:BFF917489 BPB917479:BPB917489 BYX917479:BYX917489 CIT917479:CIT917489 CSP917479:CSP917489 DCL917479:DCL917489 DMH917479:DMH917489 DWD917479:DWD917489 EFZ917479:EFZ917489 EPV917479:EPV917489 EZR917479:EZR917489 FJN917479:FJN917489 FTJ917479:FTJ917489 GDF917479:GDF917489 GNB917479:GNB917489 GWX917479:GWX917489 HGT917479:HGT917489 HQP917479:HQP917489 IAL917479:IAL917489 IKH917479:IKH917489 IUD917479:IUD917489 JDZ917479:JDZ917489 JNV917479:JNV917489 JXR917479:JXR917489 KHN917479:KHN917489 KRJ917479:KRJ917489 LBF917479:LBF917489 LLB917479:LLB917489 LUX917479:LUX917489 MET917479:MET917489 MOP917479:MOP917489 MYL917479:MYL917489 NIH917479:NIH917489 NSD917479:NSD917489 OBZ917479:OBZ917489 OLV917479:OLV917489 OVR917479:OVR917489 PFN917479:PFN917489 PPJ917479:PPJ917489 PZF917479:PZF917489 QJB917479:QJB917489 QSX917479:QSX917489 RCT917479:RCT917489 RMP917479:RMP917489 RWL917479:RWL917489 SGH917479:SGH917489 SQD917479:SQD917489 SZZ917479:SZZ917489 TJV917479:TJV917489 TTR917479:TTR917489 UDN917479:UDN917489 UNJ917479:UNJ917489 UXF917479:UXF917489 VHB917479:VHB917489 VQX917479:VQX917489 WAT917479:WAT917489 WKP917479:WKP917489 WUL917479:WUL917489 C983015:C983025 HZ983015:HZ983025 RV983015:RV983025 ABR983015:ABR983025 ALN983015:ALN983025 AVJ983015:AVJ983025 BFF983015:BFF983025 BPB983015:BPB983025 BYX983015:BYX983025 CIT983015:CIT983025 CSP983015:CSP983025 DCL983015:DCL983025 DMH983015:DMH983025 DWD983015:DWD983025 EFZ983015:EFZ983025 EPV983015:EPV983025 EZR983015:EZR983025 FJN983015:FJN983025 FTJ983015:FTJ983025 GDF983015:GDF983025 GNB983015:GNB983025 GWX983015:GWX983025 HGT983015:HGT983025 HQP983015:HQP983025 IAL983015:IAL983025 IKH983015:IKH983025 IUD983015:IUD983025 JDZ983015:JDZ983025 JNV983015:JNV983025 JXR983015:JXR983025 KHN983015:KHN983025 KRJ983015:KRJ983025 LBF983015:LBF983025 LLB983015:LLB983025 LUX983015:LUX983025 MET983015:MET983025 MOP983015:MOP983025 MYL983015:MYL983025 NIH983015:NIH983025 NSD983015:NSD983025 OBZ983015:OBZ983025 OLV983015:OLV983025 OVR983015:OVR983025 PFN983015:PFN983025 PPJ983015:PPJ983025 PZF983015:PZF983025 QJB983015:QJB983025 QSX983015:QSX983025 RCT983015:RCT983025 RMP983015:RMP983025 RWL983015:RWL983025 SGH983015:SGH983025 SQD983015:SQD983025 SZZ983015:SZZ983025 TJV983015:TJV983025 TTR983015:TTR983025 UDN983015:UDN983025 UNJ983015:UNJ983025 UXF983015:UXF983025 VHB983015:VHB983025 VQX983015:VQX983025 WAT983015:WAT983025 WKP983015:WKP983025 WUL983015:WUL983025" xr:uid="{00000000-0002-0000-19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5" orientation="landscape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8">
    <pageSetUpPr fitToPage="1"/>
  </sheetPr>
  <dimension ref="B1:V36"/>
  <sheetViews>
    <sheetView view="pageBreakPreview" zoomScale="50" zoomScaleNormal="50" zoomScaleSheetLayoutView="50" workbookViewId="0">
      <pane xSplit="2" ySplit="6" topLeftCell="C7" activePane="bottomRight" state="frozen"/>
      <selection activeCell="G12" sqref="G12"/>
      <selection pane="topRight" activeCell="G12" sqref="G12"/>
      <selection pane="bottomLeft" activeCell="G12" sqref="G12"/>
      <selection pane="bottomRight" activeCell="K21" sqref="K21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5.855468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2.140625" style="5" bestFit="1" customWidth="1"/>
    <col min="20" max="21" width="9.140625" style="5"/>
    <col min="22" max="22" width="13.28515625" style="5" bestFit="1" customWidth="1"/>
    <col min="23" max="16384" width="9.140625" style="5"/>
  </cols>
  <sheetData>
    <row r="1" spans="2:22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2" s="1" customFormat="1" ht="26.25" x14ac:dyDescent="0.4">
      <c r="B2" s="759" t="s">
        <v>146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2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2" ht="33" customHeight="1" outlineLevel="1" x14ac:dyDescent="0.35">
      <c r="B4" s="6" t="s">
        <v>1</v>
      </c>
      <c r="C4" s="7">
        <f>155*31</f>
        <v>4805</v>
      </c>
      <c r="D4" s="8"/>
      <c r="E4" s="9"/>
      <c r="F4" s="10"/>
      <c r="G4" s="7">
        <f>80*31</f>
        <v>2480</v>
      </c>
      <c r="H4" s="11"/>
      <c r="I4" s="11"/>
      <c r="J4" s="11"/>
      <c r="K4" s="7">
        <f>80*31</f>
        <v>2480</v>
      </c>
      <c r="L4" s="12"/>
      <c r="M4" s="12"/>
      <c r="N4" s="12"/>
      <c r="O4" s="12"/>
      <c r="P4" s="12"/>
      <c r="Q4" s="13"/>
    </row>
    <row r="5" spans="2:22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160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22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2" s="94" customFormat="1" ht="33" customHeight="1" outlineLevel="1" x14ac:dyDescent="0.3">
      <c r="B7" s="89" t="s">
        <v>37</v>
      </c>
      <c r="C7" s="90">
        <v>11</v>
      </c>
      <c r="D7" s="91">
        <f t="shared" ref="D7:D16" si="0">+IF(C$24=0,0,C7/C$24)</f>
        <v>7.9767947788252358E-3</v>
      </c>
      <c r="E7" s="92">
        <f t="shared" ref="E7:E16" si="1">IF(C7=0,0,F7/C7)</f>
        <v>895.00545454545454</v>
      </c>
      <c r="F7" s="93">
        <v>9845.06</v>
      </c>
      <c r="G7" s="90">
        <v>0</v>
      </c>
      <c r="H7" s="91">
        <f t="shared" ref="H7:H16" si="2">+IF(G$24=0,0,G7/G$24)</f>
        <v>0</v>
      </c>
      <c r="I7" s="92">
        <f t="shared" ref="I7:I16" si="3">IF(G7=0,0,J7/G7)</f>
        <v>0</v>
      </c>
      <c r="J7" s="93">
        <v>0</v>
      </c>
      <c r="K7" s="90">
        <f>'DMay 2023'!D38</f>
        <v>0</v>
      </c>
      <c r="L7" s="91">
        <f>+IF(K$24=0,0,K7/K$24)</f>
        <v>0</v>
      </c>
      <c r="M7" s="92">
        <f>IF(K7=0,0,N7/K7)</f>
        <v>0</v>
      </c>
      <c r="N7" s="93">
        <f>'DMay 2023'!D39</f>
        <v>0</v>
      </c>
      <c r="O7" s="90">
        <f t="shared" ref="O7:O24" si="4">K7-G7</f>
        <v>0</v>
      </c>
      <c r="P7" s="92">
        <f t="shared" ref="P7:P24" si="5">M7-I7</f>
        <v>0</v>
      </c>
      <c r="Q7" s="93">
        <f t="shared" ref="Q7:Q24" si="6">N7-J7</f>
        <v>0</v>
      </c>
      <c r="S7" s="210"/>
      <c r="U7" s="224"/>
      <c r="V7" s="210"/>
    </row>
    <row r="8" spans="2:22" s="94" customFormat="1" ht="33" customHeight="1" outlineLevel="1" x14ac:dyDescent="0.3">
      <c r="B8" s="89" t="s">
        <v>38</v>
      </c>
      <c r="C8" s="90">
        <v>600</v>
      </c>
      <c r="D8" s="91">
        <f t="shared" si="0"/>
        <v>0.43509789702683105</v>
      </c>
      <c r="E8" s="92">
        <f t="shared" si="1"/>
        <v>1087.7667333333334</v>
      </c>
      <c r="F8" s="93">
        <v>652660.04</v>
      </c>
      <c r="G8" s="90">
        <v>600</v>
      </c>
      <c r="H8" s="91">
        <f t="shared" si="2"/>
        <v>0.49586776859504134</v>
      </c>
      <c r="I8" s="92">
        <f t="shared" si="3"/>
        <v>1127</v>
      </c>
      <c r="J8" s="93">
        <v>676200</v>
      </c>
      <c r="K8" s="90">
        <f>'DMay 2023'!F38</f>
        <v>738</v>
      </c>
      <c r="L8" s="91">
        <f t="shared" ref="L8:L16" si="7">+IF(K$24=0,0,K8/K$24)</f>
        <v>0.58478605388272586</v>
      </c>
      <c r="M8" s="92">
        <f>IF(K8=0,0,N8/K8)</f>
        <v>1320.4614518065357</v>
      </c>
      <c r="N8" s="93">
        <f>'DMay 2023'!F39</f>
        <v>974500.5514332233</v>
      </c>
      <c r="O8" s="90">
        <f t="shared" si="4"/>
        <v>138</v>
      </c>
      <c r="P8" s="92">
        <f t="shared" si="5"/>
        <v>193.46145180653571</v>
      </c>
      <c r="Q8" s="93">
        <f t="shared" si="6"/>
        <v>298300.5514332233</v>
      </c>
      <c r="S8" s="210"/>
      <c r="U8" s="224"/>
      <c r="V8" s="210"/>
    </row>
    <row r="9" spans="2:22" s="94" customFormat="1" ht="20.25" outlineLevel="1" x14ac:dyDescent="0.3">
      <c r="B9" s="89" t="s">
        <v>44</v>
      </c>
      <c r="C9" s="90">
        <v>34</v>
      </c>
      <c r="D9" s="91">
        <f t="shared" si="0"/>
        <v>2.4655547498187092E-2</v>
      </c>
      <c r="E9" s="92">
        <f t="shared" si="1"/>
        <v>1135.8055882352942</v>
      </c>
      <c r="F9" s="93">
        <v>38617.39</v>
      </c>
      <c r="G9" s="90">
        <v>0</v>
      </c>
      <c r="H9" s="91">
        <f t="shared" si="2"/>
        <v>0</v>
      </c>
      <c r="I9" s="92">
        <f t="shared" si="3"/>
        <v>0</v>
      </c>
      <c r="J9" s="93">
        <v>0</v>
      </c>
      <c r="K9" s="90">
        <f>'DMay 2023'!H38</f>
        <v>30</v>
      </c>
      <c r="L9" s="91">
        <f t="shared" si="7"/>
        <v>2.3771790808240888E-2</v>
      </c>
      <c r="M9" s="92">
        <f>IF(K9=0,0,N9/K9)</f>
        <v>1338.518</v>
      </c>
      <c r="N9" s="93">
        <f>'DMay 2023'!H39</f>
        <v>40155.54</v>
      </c>
      <c r="O9" s="90">
        <f t="shared" si="4"/>
        <v>30</v>
      </c>
      <c r="P9" s="92">
        <f t="shared" si="5"/>
        <v>1338.518</v>
      </c>
      <c r="Q9" s="93">
        <f t="shared" si="6"/>
        <v>40155.54</v>
      </c>
      <c r="S9" s="210"/>
      <c r="U9" s="224"/>
      <c r="V9" s="210"/>
    </row>
    <row r="10" spans="2:22" ht="33" customHeight="1" x14ac:dyDescent="0.35">
      <c r="B10" s="20" t="s">
        <v>36</v>
      </c>
      <c r="C10" s="55">
        <f>SUM(C7:C9)</f>
        <v>645</v>
      </c>
      <c r="D10" s="21">
        <f t="shared" si="0"/>
        <v>0.46773023930384339</v>
      </c>
      <c r="E10" s="58">
        <f t="shared" si="1"/>
        <v>1087.011612403101</v>
      </c>
      <c r="F10" s="59">
        <f>SUM(F7:F9)</f>
        <v>701122.49000000011</v>
      </c>
      <c r="G10" s="55">
        <v>600</v>
      </c>
      <c r="H10" s="21">
        <f t="shared" si="2"/>
        <v>0.49586776859504134</v>
      </c>
      <c r="I10" s="58">
        <f t="shared" si="3"/>
        <v>1127</v>
      </c>
      <c r="J10" s="59">
        <v>676200</v>
      </c>
      <c r="K10" s="55">
        <f>SUM(K7:K9)</f>
        <v>768</v>
      </c>
      <c r="L10" s="21">
        <f t="shared" si="7"/>
        <v>0.60855784469096674</v>
      </c>
      <c r="M10" s="58">
        <f>IF(K10=0,0,N10/K10)</f>
        <v>1321.1667857203429</v>
      </c>
      <c r="N10" s="59">
        <f>SUM(N7:N9)</f>
        <v>1014656.0914332233</v>
      </c>
      <c r="O10" s="55">
        <f t="shared" si="4"/>
        <v>168</v>
      </c>
      <c r="P10" s="58">
        <f t="shared" si="5"/>
        <v>194.16678572034289</v>
      </c>
      <c r="Q10" s="59">
        <f t="shared" si="6"/>
        <v>338456.09143322334</v>
      </c>
      <c r="S10" s="210"/>
      <c r="U10" s="224"/>
      <c r="V10" s="210"/>
    </row>
    <row r="11" spans="2:22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si="1"/>
        <v>0</v>
      </c>
      <c r="F11" s="93">
        <v>0</v>
      </c>
      <c r="G11" s="90">
        <v>0</v>
      </c>
      <c r="H11" s="91">
        <f t="shared" si="2"/>
        <v>0</v>
      </c>
      <c r="I11" s="92">
        <f t="shared" si="3"/>
        <v>0</v>
      </c>
      <c r="J11" s="93">
        <v>0</v>
      </c>
      <c r="K11" s="90">
        <f>'DMay 2023'!J38</f>
        <v>153</v>
      </c>
      <c r="L11" s="91">
        <f t="shared" si="7"/>
        <v>0.12123613312202852</v>
      </c>
      <c r="M11" s="92">
        <f t="shared" ref="M11:M16" si="8">IF(K11=0,0,N11/K11)</f>
        <v>965.24961510530125</v>
      </c>
      <c r="N11" s="93">
        <f>'DMay 2023'!J39</f>
        <v>147683.19111111108</v>
      </c>
      <c r="O11" s="90">
        <f t="shared" si="4"/>
        <v>153</v>
      </c>
      <c r="P11" s="92">
        <f t="shared" si="5"/>
        <v>965.24961510530125</v>
      </c>
      <c r="Q11" s="93">
        <f t="shared" si="6"/>
        <v>147683.19111111108</v>
      </c>
      <c r="S11" s="210"/>
      <c r="U11" s="224"/>
      <c r="V11" s="210"/>
    </row>
    <row r="12" spans="2:22" s="94" customFormat="1" ht="33" customHeight="1" x14ac:dyDescent="0.3">
      <c r="B12" s="89" t="s">
        <v>41</v>
      </c>
      <c r="C12" s="90">
        <v>36</v>
      </c>
      <c r="D12" s="91">
        <f t="shared" si="0"/>
        <v>2.6105873821609862E-2</v>
      </c>
      <c r="E12" s="92">
        <f t="shared" si="1"/>
        <v>818.36444444444442</v>
      </c>
      <c r="F12" s="93">
        <v>29461.119999999999</v>
      </c>
      <c r="G12" s="90">
        <v>205</v>
      </c>
      <c r="H12" s="91">
        <f t="shared" si="2"/>
        <v>0.16942148760330578</v>
      </c>
      <c r="I12" s="92">
        <f t="shared" si="3"/>
        <v>1113</v>
      </c>
      <c r="J12" s="93">
        <v>228165</v>
      </c>
      <c r="K12" s="90">
        <f>'DMay 2023'!L38</f>
        <v>212</v>
      </c>
      <c r="L12" s="91">
        <f t="shared" si="7"/>
        <v>0.16798732171156894</v>
      </c>
      <c r="M12" s="92">
        <f t="shared" si="8"/>
        <v>906.32907264150913</v>
      </c>
      <c r="N12" s="93">
        <f>'DMay 2023'!L39</f>
        <v>192141.76339999994</v>
      </c>
      <c r="O12" s="90">
        <f t="shared" si="4"/>
        <v>7</v>
      </c>
      <c r="P12" s="92">
        <f t="shared" si="5"/>
        <v>-206.67092735849087</v>
      </c>
      <c r="Q12" s="93">
        <f t="shared" si="6"/>
        <v>-36023.236600000062</v>
      </c>
      <c r="S12" s="210"/>
      <c r="U12" s="224"/>
      <c r="V12" s="210"/>
    </row>
    <row r="13" spans="2:22" ht="33" customHeight="1" x14ac:dyDescent="0.35">
      <c r="B13" s="20" t="s">
        <v>39</v>
      </c>
      <c r="C13" s="55">
        <f>SUM(C11:C12)</f>
        <v>36</v>
      </c>
      <c r="D13" s="21">
        <f t="shared" si="0"/>
        <v>2.6105873821609862E-2</v>
      </c>
      <c r="E13" s="58">
        <f t="shared" si="1"/>
        <v>818.36444444444442</v>
      </c>
      <c r="F13" s="59">
        <f>SUM(F11:F12)</f>
        <v>29461.119999999999</v>
      </c>
      <c r="G13" s="55">
        <v>205</v>
      </c>
      <c r="H13" s="21">
        <f t="shared" si="2"/>
        <v>0.16942148760330578</v>
      </c>
      <c r="I13" s="58">
        <f t="shared" si="3"/>
        <v>1113</v>
      </c>
      <c r="J13" s="59">
        <v>228165</v>
      </c>
      <c r="K13" s="55">
        <f>SUM(K11:K12)</f>
        <v>365</v>
      </c>
      <c r="L13" s="21">
        <f t="shared" si="7"/>
        <v>0.28922345483359746</v>
      </c>
      <c r="M13" s="58">
        <f t="shared" si="8"/>
        <v>931.02727263318093</v>
      </c>
      <c r="N13" s="59">
        <f>SUM(N11:N12)</f>
        <v>339824.95451111102</v>
      </c>
      <c r="O13" s="55">
        <f t="shared" si="4"/>
        <v>160</v>
      </c>
      <c r="P13" s="58">
        <f t="shared" si="5"/>
        <v>-181.97272736681907</v>
      </c>
      <c r="Q13" s="59">
        <f t="shared" si="6"/>
        <v>111659.95451111102</v>
      </c>
      <c r="S13" s="210"/>
      <c r="U13" s="224"/>
      <c r="V13" s="210"/>
    </row>
    <row r="14" spans="2:22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1"/>
        <v>0</v>
      </c>
      <c r="F14" s="95">
        <v>0</v>
      </c>
      <c r="G14" s="90">
        <v>0</v>
      </c>
      <c r="H14" s="91">
        <f t="shared" si="2"/>
        <v>0</v>
      </c>
      <c r="I14" s="92">
        <f t="shared" si="3"/>
        <v>0</v>
      </c>
      <c r="J14" s="95">
        <v>0</v>
      </c>
      <c r="K14" s="90">
        <f>'DMay 2023'!N38</f>
        <v>0</v>
      </c>
      <c r="L14" s="91">
        <f t="shared" si="7"/>
        <v>0</v>
      </c>
      <c r="M14" s="92">
        <f t="shared" si="8"/>
        <v>0</v>
      </c>
      <c r="N14" s="95">
        <f>'DMay 2023'!N39</f>
        <v>0</v>
      </c>
      <c r="O14" s="90">
        <f t="shared" si="4"/>
        <v>0</v>
      </c>
      <c r="P14" s="92">
        <f t="shared" si="5"/>
        <v>0</v>
      </c>
      <c r="Q14" s="96">
        <f t="shared" si="6"/>
        <v>0</v>
      </c>
      <c r="S14" s="210"/>
      <c r="U14" s="224"/>
      <c r="V14" s="210"/>
    </row>
    <row r="15" spans="2:22" s="94" customFormat="1" ht="33" customHeight="1" x14ac:dyDescent="0.3">
      <c r="B15" s="89" t="s">
        <v>43</v>
      </c>
      <c r="C15" s="90">
        <v>693</v>
      </c>
      <c r="D15" s="91">
        <f t="shared" si="0"/>
        <v>0.5025380710659898</v>
      </c>
      <c r="E15" s="92">
        <f t="shared" si="1"/>
        <v>1565.3623376623377</v>
      </c>
      <c r="F15" s="95">
        <v>1084796.1000000001</v>
      </c>
      <c r="G15" s="90">
        <v>405</v>
      </c>
      <c r="H15" s="91">
        <f t="shared" si="2"/>
        <v>0.33471074380165289</v>
      </c>
      <c r="I15" s="92">
        <f t="shared" si="3"/>
        <v>1520</v>
      </c>
      <c r="J15" s="95">
        <v>615600</v>
      </c>
      <c r="K15" s="90">
        <f>'DMay 2023'!P38</f>
        <v>105</v>
      </c>
      <c r="L15" s="91">
        <f t="shared" si="7"/>
        <v>8.3201267828843101E-2</v>
      </c>
      <c r="M15" s="92">
        <f t="shared" si="8"/>
        <v>1605</v>
      </c>
      <c r="N15" s="95">
        <f>'DMay 2023'!P39</f>
        <v>168525</v>
      </c>
      <c r="O15" s="90">
        <f t="shared" si="4"/>
        <v>-300</v>
      </c>
      <c r="P15" s="92">
        <f t="shared" si="5"/>
        <v>85</v>
      </c>
      <c r="Q15" s="96">
        <f t="shared" si="6"/>
        <v>-447075</v>
      </c>
      <c r="S15" s="210"/>
      <c r="U15" s="224"/>
      <c r="V15" s="210"/>
    </row>
    <row r="16" spans="2:22" ht="33" customHeight="1" x14ac:dyDescent="0.35">
      <c r="B16" s="20" t="s">
        <v>42</v>
      </c>
      <c r="C16" s="55">
        <f>SUM(C14:C15)</f>
        <v>693</v>
      </c>
      <c r="D16" s="21">
        <f t="shared" si="0"/>
        <v>0.5025380710659898</v>
      </c>
      <c r="E16" s="58">
        <f t="shared" si="1"/>
        <v>1565.3623376623377</v>
      </c>
      <c r="F16" s="87">
        <f>SUM(F14:F15)</f>
        <v>1084796.1000000001</v>
      </c>
      <c r="G16" s="55">
        <v>405</v>
      </c>
      <c r="H16" s="21">
        <f t="shared" si="2"/>
        <v>0.33471074380165289</v>
      </c>
      <c r="I16" s="58">
        <f t="shared" si="3"/>
        <v>1520</v>
      </c>
      <c r="J16" s="87">
        <v>615600</v>
      </c>
      <c r="K16" s="55">
        <f>SUM(K14:K15)</f>
        <v>105</v>
      </c>
      <c r="L16" s="21">
        <f t="shared" si="7"/>
        <v>8.3201267828843101E-2</v>
      </c>
      <c r="M16" s="58">
        <f t="shared" si="8"/>
        <v>1605</v>
      </c>
      <c r="N16" s="87">
        <f>SUM(N14:N15)</f>
        <v>168525</v>
      </c>
      <c r="O16" s="55">
        <f t="shared" si="4"/>
        <v>-300</v>
      </c>
      <c r="P16" s="58">
        <f t="shared" si="5"/>
        <v>85</v>
      </c>
      <c r="Q16" s="88">
        <f t="shared" si="6"/>
        <v>-447075</v>
      </c>
      <c r="S16" s="210"/>
      <c r="U16" s="224"/>
      <c r="V16" s="210"/>
    </row>
    <row r="17" spans="2:22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4"/>
        <v>0</v>
      </c>
      <c r="P17" s="58">
        <f t="shared" si="5"/>
        <v>0</v>
      </c>
      <c r="Q17" s="88">
        <f t="shared" si="6"/>
        <v>0</v>
      </c>
      <c r="S17" s="210"/>
      <c r="U17" s="224"/>
      <c r="V17" s="210"/>
    </row>
    <row r="18" spans="2:22" ht="33" hidden="1" customHeight="1" x14ac:dyDescent="0.35">
      <c r="B18" s="22" t="s">
        <v>13</v>
      </c>
      <c r="C18" s="56">
        <f>C8+C9+C11+C12</f>
        <v>670</v>
      </c>
      <c r="D18" s="23">
        <f>+IF(C$24=0,0,C18/C$24)</f>
        <v>0.48585931834662799</v>
      </c>
      <c r="E18" s="60">
        <f>IF(C18=0,0,F18/C18)</f>
        <v>1075.7291791044777</v>
      </c>
      <c r="F18" s="61">
        <f>F8+F9+F11+F12</f>
        <v>720738.55</v>
      </c>
      <c r="G18" s="56">
        <f>G8+G9+G11+G12</f>
        <v>805</v>
      </c>
      <c r="H18" s="23">
        <f>+IF(G$24=0,0,G18/G$24)</f>
        <v>0.66528925619834711</v>
      </c>
      <c r="I18" s="60">
        <f>IF(G18=0,0,J18/G18)</f>
        <v>1123.4347826086957</v>
      </c>
      <c r="J18" s="61">
        <f>J8+J9+J11+J12</f>
        <v>904365</v>
      </c>
      <c r="K18" s="56">
        <f>K8+K9+K11+K12</f>
        <v>1133</v>
      </c>
      <c r="L18" s="23">
        <f>+IF(K$24=0,0,K18/K$24)</f>
        <v>0.8977812995245642</v>
      </c>
      <c r="M18" s="60">
        <f>IF(K18=0,0,N18/K18)</f>
        <v>1195.4819469941169</v>
      </c>
      <c r="N18" s="61">
        <f>N8+N9+N11+N12</f>
        <v>1354481.0459443345</v>
      </c>
      <c r="O18" s="56">
        <f t="shared" si="4"/>
        <v>328</v>
      </c>
      <c r="P18" s="60">
        <f t="shared" si="5"/>
        <v>72.047164385421183</v>
      </c>
      <c r="Q18" s="66">
        <f t="shared" si="6"/>
        <v>450116.04594433447</v>
      </c>
      <c r="S18" s="210"/>
      <c r="U18" s="224"/>
      <c r="V18" s="210"/>
    </row>
    <row r="19" spans="2:22" ht="33" hidden="1" customHeight="1" x14ac:dyDescent="0.35">
      <c r="B19" s="22" t="s">
        <v>45</v>
      </c>
      <c r="C19" s="105">
        <f>C7+C14+C15</f>
        <v>704</v>
      </c>
      <c r="D19" s="106">
        <f>+IF(C$24=0,0,C19/C$24)</f>
        <v>0.51051486584481509</v>
      </c>
      <c r="E19" s="107">
        <f>IF(C19=0,0,F19/C19)</f>
        <v>1554.8880113636367</v>
      </c>
      <c r="F19" s="108">
        <f>F7+F14+F15</f>
        <v>1094641.1600000001</v>
      </c>
      <c r="G19" s="105">
        <f>G7+G14+G15</f>
        <v>405</v>
      </c>
      <c r="H19" s="106">
        <f>+IF(G$24=0,0,G19/G$24)</f>
        <v>0.33471074380165289</v>
      </c>
      <c r="I19" s="107">
        <f>IF(G19=0,0,J19/G19)</f>
        <v>1520</v>
      </c>
      <c r="J19" s="108">
        <f>J7+J14+J15</f>
        <v>615600</v>
      </c>
      <c r="K19" s="105">
        <f>K7+K14+K15</f>
        <v>105</v>
      </c>
      <c r="L19" s="106">
        <f>+IF(K$24=0,0,K19/K$24)</f>
        <v>8.3201267828843101E-2</v>
      </c>
      <c r="M19" s="107">
        <f>IF(K19=0,0,N19/K19)</f>
        <v>1605</v>
      </c>
      <c r="N19" s="108">
        <f>N7+N14+N15</f>
        <v>168525</v>
      </c>
      <c r="O19" s="56">
        <f t="shared" si="4"/>
        <v>-300</v>
      </c>
      <c r="P19" s="60">
        <f t="shared" si="5"/>
        <v>85</v>
      </c>
      <c r="Q19" s="66">
        <f t="shared" si="6"/>
        <v>-447075</v>
      </c>
      <c r="S19" s="210"/>
      <c r="U19" s="224"/>
      <c r="V19" s="210"/>
    </row>
    <row r="20" spans="2:22" ht="33" customHeight="1" x14ac:dyDescent="0.35">
      <c r="B20" s="28" t="s">
        <v>16</v>
      </c>
      <c r="C20" s="56">
        <f>C18+C19</f>
        <v>1374</v>
      </c>
      <c r="D20" s="23">
        <f>+IF(C$24=0,0,C20/C$24)</f>
        <v>0.99637418419144308</v>
      </c>
      <c r="E20" s="60">
        <f>IF(C20=0,0,F20/C20)</f>
        <v>1321.237052401747</v>
      </c>
      <c r="F20" s="64">
        <f>F18+F19</f>
        <v>1815379.7100000002</v>
      </c>
      <c r="G20" s="56">
        <f>+G10+G13+G16</f>
        <v>1210</v>
      </c>
      <c r="H20" s="23">
        <f>+IF(G$24=0,0,G20/G$24)</f>
        <v>1</v>
      </c>
      <c r="I20" s="60">
        <f>IF(G20=0,0,J20/G20)</f>
        <v>1256.1694214876034</v>
      </c>
      <c r="J20" s="64">
        <f>+J10+J13+J16</f>
        <v>1519965</v>
      </c>
      <c r="K20" s="56">
        <f>K18+K19</f>
        <v>1238</v>
      </c>
      <c r="L20" s="23">
        <f>+IF(K$24=0,0,K20/K$24)</f>
        <v>0.98098256735340728</v>
      </c>
      <c r="M20" s="60">
        <f>IF(K20=0,0,N20/K20)</f>
        <v>1230.2148997934851</v>
      </c>
      <c r="N20" s="64">
        <f>N18+N19</f>
        <v>1523006.0459443345</v>
      </c>
      <c r="O20" s="56">
        <f t="shared" si="4"/>
        <v>28</v>
      </c>
      <c r="P20" s="60">
        <f t="shared" si="5"/>
        <v>-25.954521694118284</v>
      </c>
      <c r="Q20" s="66">
        <f t="shared" si="6"/>
        <v>3041.0459443344735</v>
      </c>
      <c r="S20" s="210"/>
      <c r="U20" s="224"/>
      <c r="V20" s="210"/>
    </row>
    <row r="21" spans="2:22" ht="33" customHeight="1" x14ac:dyDescent="0.35">
      <c r="B21" s="29" t="s">
        <v>17</v>
      </c>
      <c r="C21" s="24">
        <f>IF(C4=0,C20,C20/$C$4)</f>
        <v>0.28595213319458895</v>
      </c>
      <c r="D21" s="30"/>
      <c r="E21" s="35"/>
      <c r="F21" s="36"/>
      <c r="G21" s="24">
        <f>IF(G4=0,G20,G20/$G$4)</f>
        <v>0.48790322580645162</v>
      </c>
      <c r="H21" s="30"/>
      <c r="I21" s="35"/>
      <c r="J21" s="36"/>
      <c r="K21" s="24">
        <f>IF(K4=0,K20,K20/$K$4)</f>
        <v>0.49919354838709679</v>
      </c>
      <c r="L21" s="30"/>
      <c r="M21" s="35"/>
      <c r="N21" s="36"/>
      <c r="O21" s="54">
        <f t="shared" si="4"/>
        <v>1.1290322580645162E-2</v>
      </c>
      <c r="P21" s="30">
        <f t="shared" si="5"/>
        <v>0</v>
      </c>
      <c r="Q21" s="31">
        <f t="shared" si="6"/>
        <v>0</v>
      </c>
      <c r="S21" s="210"/>
      <c r="U21" s="224"/>
      <c r="V21" s="210"/>
    </row>
    <row r="22" spans="2:22" ht="33" customHeight="1" x14ac:dyDescent="0.35">
      <c r="B22" s="25" t="s">
        <v>18</v>
      </c>
      <c r="C22" s="57">
        <v>5</v>
      </c>
      <c r="D22" s="26">
        <f>+IF(C$24=0,0,C22/C$24)</f>
        <v>3.6258158085569255E-3</v>
      </c>
      <c r="E22" s="65">
        <f>IF(C22=0,0,F22/C22)</f>
        <v>-1766.0939999999998</v>
      </c>
      <c r="F22" s="63">
        <v>-8830.4699999999993</v>
      </c>
      <c r="G22" s="57">
        <v>0</v>
      </c>
      <c r="H22" s="26">
        <f>+IF(G$24=0,0,G22/G$24)</f>
        <v>0</v>
      </c>
      <c r="I22" s="65">
        <f>IF(G22=0,0,J22/G22)</f>
        <v>0</v>
      </c>
      <c r="J22" s="63">
        <v>0</v>
      </c>
      <c r="K22" s="57">
        <f>'DMay 2023'!R38</f>
        <v>24</v>
      </c>
      <c r="L22" s="26">
        <f>+IF(K$24=0,0,K22/K$24)</f>
        <v>1.9017432646592711E-2</v>
      </c>
      <c r="M22" s="65">
        <f>IF(K22=0,0,N22/K22)</f>
        <v>0</v>
      </c>
      <c r="N22" s="63">
        <v>0</v>
      </c>
      <c r="O22" s="57">
        <f t="shared" si="4"/>
        <v>24</v>
      </c>
      <c r="P22" s="62">
        <f t="shared" si="5"/>
        <v>0</v>
      </c>
      <c r="Q22" s="63">
        <f t="shared" si="6"/>
        <v>0</v>
      </c>
      <c r="S22" s="210"/>
      <c r="U22" s="224"/>
      <c r="V22" s="210"/>
    </row>
    <row r="23" spans="2:22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4"/>
        <v>0</v>
      </c>
      <c r="P23" s="62">
        <f t="shared" si="5"/>
        <v>0</v>
      </c>
      <c r="Q23" s="72">
        <f t="shared" si="6"/>
        <v>0</v>
      </c>
      <c r="S23" s="210"/>
      <c r="U23" s="224"/>
      <c r="V23" s="210"/>
    </row>
    <row r="24" spans="2:22" ht="33" customHeight="1" x14ac:dyDescent="0.35">
      <c r="B24" s="22" t="s">
        <v>20</v>
      </c>
      <c r="C24" s="56">
        <f>C10+C13+C16+C22+C23</f>
        <v>1379</v>
      </c>
      <c r="D24" s="23">
        <f>+IF(C$24=0,0,C24/C$24)</f>
        <v>1</v>
      </c>
      <c r="E24" s="60">
        <f>IF(C24=0,0,F24/C24)</f>
        <v>1310.0429586656999</v>
      </c>
      <c r="F24" s="64">
        <f>F10+F13+F16+F22+F23</f>
        <v>1806549.2400000002</v>
      </c>
      <c r="G24" s="56">
        <f>G10+G13+G16+G22+G23</f>
        <v>1210</v>
      </c>
      <c r="H24" s="23">
        <f>+IF(G$24=0,0,G24/G$24)</f>
        <v>1</v>
      </c>
      <c r="I24" s="60">
        <f>IF(G24=0,0,J24/G24)</f>
        <v>1256.1694214876034</v>
      </c>
      <c r="J24" s="64">
        <f>J10+J13+J16+J22+J23</f>
        <v>1519965</v>
      </c>
      <c r="K24" s="56">
        <f>K10+K13+K16+K22+K23</f>
        <v>1262</v>
      </c>
      <c r="L24" s="23">
        <f>+IF(K$24=0,0,K24/K$24)</f>
        <v>1</v>
      </c>
      <c r="M24" s="60">
        <f>IF(K24=0,0,N24/K24)</f>
        <v>1206.8193707958276</v>
      </c>
      <c r="N24" s="64">
        <f>N10+N13+N16+N22+N23</f>
        <v>1523006.0459443345</v>
      </c>
      <c r="O24" s="56">
        <f t="shared" si="4"/>
        <v>52</v>
      </c>
      <c r="P24" s="60">
        <f t="shared" si="5"/>
        <v>-49.350050691775778</v>
      </c>
      <c r="Q24" s="64">
        <f t="shared" si="6"/>
        <v>3041.0459443344735</v>
      </c>
      <c r="S24" s="210"/>
      <c r="U24" s="224"/>
      <c r="V24" s="210"/>
    </row>
    <row r="25" spans="2:22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-3.9286142336862159E-2</v>
      </c>
      <c r="Q25" s="38">
        <f>IF(J24=0,(N24-J24),(N24-J24)/J24)</f>
        <v>2.0007341908099682E-3</v>
      </c>
    </row>
    <row r="26" spans="2:22" ht="33" customHeight="1" x14ac:dyDescent="0.35">
      <c r="B26" s="40" t="s">
        <v>21</v>
      </c>
      <c r="C26" s="41">
        <f>IF(C4=0,C24,C24/C4)</f>
        <v>0.28699271592091569</v>
      </c>
      <c r="D26" s="30"/>
      <c r="E26" s="30"/>
      <c r="F26" s="31"/>
      <c r="G26" s="41">
        <f>IF(G4=0,G24,G24/G4)</f>
        <v>0.48790322580645162</v>
      </c>
      <c r="H26" s="30"/>
      <c r="I26" s="30"/>
      <c r="J26" s="31"/>
      <c r="K26" s="41">
        <f>IF(K4=0,K24,K24/K4)</f>
        <v>0.50887096774193552</v>
      </c>
      <c r="L26" s="30"/>
      <c r="M26" s="30"/>
      <c r="N26" s="31"/>
      <c r="O26" s="41">
        <f>K26-G26</f>
        <v>2.0967741935483897E-2</v>
      </c>
      <c r="P26" s="30"/>
      <c r="Q26" s="31"/>
    </row>
    <row r="27" spans="2:22" ht="33" customHeight="1" x14ac:dyDescent="0.35">
      <c r="B27" s="42" t="s">
        <v>22</v>
      </c>
      <c r="C27" s="43">
        <f>IF(C4=0,0,F$24/C$4)</f>
        <v>375.97278668054116</v>
      </c>
      <c r="D27" s="44"/>
      <c r="E27" s="45"/>
      <c r="F27" s="46"/>
      <c r="G27" s="43">
        <f>IF(G4=0,0,J$24/G$4)</f>
        <v>612.88911290322585</v>
      </c>
      <c r="H27" s="44"/>
      <c r="I27" s="45"/>
      <c r="J27" s="46"/>
      <c r="K27" s="43">
        <f>IF(K4=0,0,N$24/K$4)</f>
        <v>614.11534110658647</v>
      </c>
      <c r="L27" s="44"/>
      <c r="M27" s="45"/>
      <c r="N27" s="46"/>
      <c r="O27" s="43">
        <f>K27-G27</f>
        <v>1.2262282033606198</v>
      </c>
      <c r="P27" s="45"/>
      <c r="Q27" s="46"/>
    </row>
    <row r="28" spans="2:22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2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22" x14ac:dyDescent="0.35">
      <c r="B30" s="358"/>
      <c r="Q30" s="86"/>
    </row>
    <row r="31" spans="2:22" x14ac:dyDescent="0.35">
      <c r="B31" s="358"/>
      <c r="Q31" s="86"/>
    </row>
    <row r="32" spans="2:22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41"/>
  <dimension ref="A1:BD52"/>
  <sheetViews>
    <sheetView view="pageBreakPreview" topLeftCell="A5" zoomScale="60" zoomScaleNormal="100" workbookViewId="0">
      <selection activeCell="F14" sqref="F14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8.7109375" style="111" bestFit="1" customWidth="1"/>
    <col min="29" max="29" width="9.140625" style="112"/>
    <col min="30" max="30" width="9.140625" style="113"/>
    <col min="31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65">
        <f>'Annual 2022l2023'!C3</f>
        <v>44690</v>
      </c>
      <c r="F1" s="765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30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76"/>
      <c r="C4" s="777"/>
      <c r="D4" s="778" t="s">
        <v>147</v>
      </c>
      <c r="E4" s="779"/>
      <c r="F4" s="779"/>
      <c r="G4" s="779"/>
      <c r="H4" s="779"/>
      <c r="I4" s="779"/>
      <c r="J4" s="779"/>
      <c r="K4" s="779"/>
      <c r="L4" s="779"/>
      <c r="M4" s="779"/>
      <c r="N4" s="779"/>
      <c r="O4" s="779"/>
      <c r="P4" s="779"/>
      <c r="Q4" s="779"/>
      <c r="R4" s="779"/>
      <c r="S4" s="779"/>
      <c r="T4" s="779"/>
      <c r="U4" s="779"/>
      <c r="V4" s="779"/>
      <c r="W4" s="779"/>
      <c r="X4" s="779"/>
      <c r="Y4" s="779"/>
      <c r="Z4" s="779"/>
      <c r="AA4" s="779"/>
      <c r="AB4" s="780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81" t="s">
        <v>50</v>
      </c>
      <c r="E5" s="784"/>
      <c r="F5" s="782" t="s">
        <v>51</v>
      </c>
      <c r="G5" s="782"/>
      <c r="H5" s="773" t="s">
        <v>52</v>
      </c>
      <c r="I5" s="773"/>
      <c r="J5" s="783" t="s">
        <v>53</v>
      </c>
      <c r="K5" s="773"/>
      <c r="L5" s="783" t="s">
        <v>54</v>
      </c>
      <c r="M5" s="773"/>
      <c r="N5" s="783" t="s">
        <v>55</v>
      </c>
      <c r="O5" s="773"/>
      <c r="P5" s="783" t="s">
        <v>56</v>
      </c>
      <c r="Q5" s="773"/>
      <c r="R5" s="783" t="s">
        <v>57</v>
      </c>
      <c r="S5" s="773"/>
      <c r="T5" s="122"/>
      <c r="U5" s="774"/>
      <c r="V5" s="775"/>
      <c r="W5" s="774"/>
      <c r="X5" s="775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126" customFormat="1" ht="15.75" customHeight="1" x14ac:dyDescent="0.25">
      <c r="A7" s="793"/>
      <c r="B7" s="187" t="s">
        <v>67</v>
      </c>
      <c r="C7" s="188">
        <v>1</v>
      </c>
      <c r="D7" s="189">
        <v>0</v>
      </c>
      <c r="E7" s="190">
        <v>0</v>
      </c>
      <c r="F7" s="191">
        <v>25</v>
      </c>
      <c r="G7" s="190">
        <v>1260.4007000000001</v>
      </c>
      <c r="H7" s="191">
        <v>0</v>
      </c>
      <c r="I7" s="190">
        <v>0</v>
      </c>
      <c r="J7" s="191">
        <v>0</v>
      </c>
      <c r="K7" s="192">
        <v>0</v>
      </c>
      <c r="L7" s="191">
        <v>9</v>
      </c>
      <c r="M7" s="192">
        <v>864.94156363636273</v>
      </c>
      <c r="N7" s="191">
        <v>0</v>
      </c>
      <c r="O7" s="192">
        <v>0</v>
      </c>
      <c r="P7" s="191">
        <v>0</v>
      </c>
      <c r="Q7" s="192">
        <v>0</v>
      </c>
      <c r="R7" s="191">
        <v>1</v>
      </c>
      <c r="S7" s="192">
        <v>0</v>
      </c>
      <c r="T7" s="192"/>
      <c r="U7" s="191"/>
      <c r="V7" s="190"/>
      <c r="W7" s="191"/>
      <c r="X7" s="190"/>
      <c r="Y7" s="193">
        <f t="shared" ref="Y7:Y36" si="0">SUM(D7,F7,H7,J7,L7,U7,W7,N7,P7,R7)</f>
        <v>35</v>
      </c>
      <c r="Z7" s="194">
        <f t="shared" ref="Z7:Z36" si="1">((D7*E7)+(F7*G7)+(H7*I7)+(J7*K7)+(L7*M7)+(U7*V7)+(W7*X7)+(N7*O7)+(P7*Q7)+(R7*S7))</f>
        <v>39294.491572727267</v>
      </c>
      <c r="AA7" s="195">
        <f>IF(Z7=0,0,Z7/Y7)</f>
        <v>1122.699759220779</v>
      </c>
      <c r="AB7" s="196">
        <f t="shared" ref="AB7:AB36" si="2">Y7/$AB$6</f>
        <v>0.4375</v>
      </c>
      <c r="AC7" s="143">
        <v>80</v>
      </c>
      <c r="AD7" s="227"/>
    </row>
    <row r="8" spans="1:55" s="126" customFormat="1" ht="15.95" customHeight="1" x14ac:dyDescent="0.25">
      <c r="A8" s="770"/>
      <c r="B8" s="136" t="s">
        <v>68</v>
      </c>
      <c r="C8" s="137">
        <v>2</v>
      </c>
      <c r="D8" s="138">
        <v>0</v>
      </c>
      <c r="E8" s="139">
        <v>0</v>
      </c>
      <c r="F8" s="140">
        <v>25</v>
      </c>
      <c r="G8" s="139">
        <v>1350.5360000000001</v>
      </c>
      <c r="H8" s="140">
        <v>2</v>
      </c>
      <c r="I8" s="139">
        <v>1339</v>
      </c>
      <c r="J8" s="140">
        <v>0</v>
      </c>
      <c r="K8" s="141">
        <v>0</v>
      </c>
      <c r="L8" s="140">
        <v>9</v>
      </c>
      <c r="M8" s="141">
        <v>950.75722105263083</v>
      </c>
      <c r="N8" s="140">
        <v>0</v>
      </c>
      <c r="O8" s="141">
        <v>0</v>
      </c>
      <c r="P8" s="140">
        <v>0</v>
      </c>
      <c r="Q8" s="141">
        <v>0</v>
      </c>
      <c r="R8" s="140">
        <v>1</v>
      </c>
      <c r="S8" s="141">
        <v>0</v>
      </c>
      <c r="T8" s="141"/>
      <c r="U8" s="140"/>
      <c r="V8" s="139"/>
      <c r="W8" s="140"/>
      <c r="X8" s="139"/>
      <c r="Y8" s="142">
        <f t="shared" si="0"/>
        <v>37</v>
      </c>
      <c r="Z8" s="143">
        <f t="shared" si="1"/>
        <v>44998.214989473679</v>
      </c>
      <c r="AA8" s="144">
        <f t="shared" ref="AA8:AA33" si="3">IF(Z8=0,0,Z8/Y8)</f>
        <v>1216.1679726884779</v>
      </c>
      <c r="AB8" s="145">
        <f t="shared" si="2"/>
        <v>0.46250000000000002</v>
      </c>
      <c r="AC8" s="143">
        <v>80</v>
      </c>
      <c r="AD8" s="227"/>
    </row>
    <row r="9" spans="1:55" s="126" customFormat="1" ht="15.95" customHeight="1" x14ac:dyDescent="0.25">
      <c r="A9" s="770"/>
      <c r="B9" s="136" t="s">
        <v>69</v>
      </c>
      <c r="C9" s="137">
        <v>3</v>
      </c>
      <c r="D9" s="138">
        <v>0</v>
      </c>
      <c r="E9" s="139">
        <v>0</v>
      </c>
      <c r="F9" s="140">
        <v>24</v>
      </c>
      <c r="G9" s="139">
        <v>1351.2673</v>
      </c>
      <c r="H9" s="140">
        <v>2</v>
      </c>
      <c r="I9" s="139">
        <v>1339</v>
      </c>
      <c r="J9" s="140">
        <v>0</v>
      </c>
      <c r="K9" s="141">
        <v>0</v>
      </c>
      <c r="L9" s="140">
        <v>9</v>
      </c>
      <c r="M9" s="141">
        <v>880.59216153846137</v>
      </c>
      <c r="N9" s="140">
        <v>0</v>
      </c>
      <c r="O9" s="141">
        <v>0</v>
      </c>
      <c r="P9" s="392">
        <v>0</v>
      </c>
      <c r="Q9" s="393">
        <v>0</v>
      </c>
      <c r="R9" s="140">
        <v>1</v>
      </c>
      <c r="S9" s="141">
        <v>0</v>
      </c>
      <c r="T9" s="141"/>
      <c r="U9" s="140"/>
      <c r="V9" s="139"/>
      <c r="W9" s="140"/>
      <c r="X9" s="139"/>
      <c r="Y9" s="142">
        <f t="shared" si="0"/>
        <v>36</v>
      </c>
      <c r="Z9" s="143">
        <f t="shared" si="1"/>
        <v>43033.744653846152</v>
      </c>
      <c r="AA9" s="144">
        <f t="shared" si="3"/>
        <v>1195.3817959401708</v>
      </c>
      <c r="AB9" s="145">
        <f t="shared" si="2"/>
        <v>0.45</v>
      </c>
      <c r="AC9" s="143">
        <v>80</v>
      </c>
      <c r="AD9" s="227"/>
    </row>
    <row r="10" spans="1:55" s="126" customFormat="1" ht="15.95" customHeight="1" x14ac:dyDescent="0.25">
      <c r="A10" s="770"/>
      <c r="B10" s="150" t="s">
        <v>63</v>
      </c>
      <c r="C10" s="151">
        <v>4</v>
      </c>
      <c r="D10" s="152">
        <v>0</v>
      </c>
      <c r="E10" s="153">
        <v>0</v>
      </c>
      <c r="F10" s="154">
        <v>33</v>
      </c>
      <c r="G10" s="153">
        <v>1315.0731000000001</v>
      </c>
      <c r="H10" s="154">
        <v>1</v>
      </c>
      <c r="I10" s="153">
        <v>1339</v>
      </c>
      <c r="J10" s="154">
        <v>0</v>
      </c>
      <c r="K10" s="155">
        <v>0</v>
      </c>
      <c r="L10" s="154">
        <v>7</v>
      </c>
      <c r="M10" s="155">
        <v>764.03192857142812</v>
      </c>
      <c r="N10" s="154">
        <v>0</v>
      </c>
      <c r="O10" s="155">
        <v>0</v>
      </c>
      <c r="P10" s="154">
        <v>0</v>
      </c>
      <c r="Q10" s="155">
        <v>0</v>
      </c>
      <c r="R10" s="154">
        <v>1</v>
      </c>
      <c r="S10" s="155">
        <v>0</v>
      </c>
      <c r="T10" s="155"/>
      <c r="U10" s="154"/>
      <c r="V10" s="153"/>
      <c r="W10" s="154"/>
      <c r="X10" s="153"/>
      <c r="Y10" s="156">
        <f t="shared" si="0"/>
        <v>42</v>
      </c>
      <c r="Z10" s="157">
        <f t="shared" si="1"/>
        <v>50084.635800000004</v>
      </c>
      <c r="AA10" s="197">
        <f t="shared" si="3"/>
        <v>1192.4913285714288</v>
      </c>
      <c r="AB10" s="198">
        <f t="shared" si="2"/>
        <v>0.52500000000000002</v>
      </c>
      <c r="AC10" s="143">
        <v>80</v>
      </c>
      <c r="AD10" s="227"/>
    </row>
    <row r="11" spans="1:55" s="146" customFormat="1" ht="15.95" customHeight="1" x14ac:dyDescent="0.25">
      <c r="A11" s="770"/>
      <c r="B11" s="136" t="s">
        <v>64</v>
      </c>
      <c r="C11" s="137">
        <v>5</v>
      </c>
      <c r="D11" s="138">
        <v>0</v>
      </c>
      <c r="E11" s="139">
        <v>0</v>
      </c>
      <c r="F11" s="140">
        <v>37</v>
      </c>
      <c r="G11" s="139">
        <v>1271.0920999999998</v>
      </c>
      <c r="H11" s="140">
        <v>1</v>
      </c>
      <c r="I11" s="139">
        <v>1339</v>
      </c>
      <c r="J11" s="140">
        <v>0</v>
      </c>
      <c r="K11" s="141">
        <v>0</v>
      </c>
      <c r="L11" s="140">
        <v>7</v>
      </c>
      <c r="M11" s="141">
        <v>687.19834285714262</v>
      </c>
      <c r="N11" s="140">
        <v>0</v>
      </c>
      <c r="O11" s="141">
        <v>0</v>
      </c>
      <c r="P11" s="140">
        <v>20</v>
      </c>
      <c r="Q11" s="141">
        <v>1335</v>
      </c>
      <c r="R11" s="140">
        <v>1</v>
      </c>
      <c r="S11" s="141">
        <v>0</v>
      </c>
      <c r="T11" s="141"/>
      <c r="U11" s="140"/>
      <c r="V11" s="139"/>
      <c r="W11" s="140"/>
      <c r="X11" s="139"/>
      <c r="Y11" s="142">
        <f t="shared" si="0"/>
        <v>66</v>
      </c>
      <c r="Z11" s="143">
        <f t="shared" si="1"/>
        <v>79879.796099999992</v>
      </c>
      <c r="AA11" s="331">
        <f t="shared" si="3"/>
        <v>1210.2999409090908</v>
      </c>
      <c r="AB11" s="145">
        <f t="shared" si="2"/>
        <v>0.82499999999999996</v>
      </c>
      <c r="AC11" s="143">
        <v>80</v>
      </c>
      <c r="AD11" s="227"/>
      <c r="AE11" s="126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  <c r="BB11" s="126"/>
    </row>
    <row r="12" spans="1:55" s="126" customFormat="1" ht="15.95" customHeight="1" x14ac:dyDescent="0.25">
      <c r="A12" s="770"/>
      <c r="B12" s="136" t="s">
        <v>65</v>
      </c>
      <c r="C12" s="137">
        <v>6</v>
      </c>
      <c r="D12" s="138">
        <v>0</v>
      </c>
      <c r="E12" s="139">
        <v>0</v>
      </c>
      <c r="F12" s="140">
        <v>42</v>
      </c>
      <c r="G12" s="139">
        <v>1343.5732</v>
      </c>
      <c r="H12" s="140">
        <v>1</v>
      </c>
      <c r="I12" s="139">
        <v>1369</v>
      </c>
      <c r="J12" s="140">
        <v>8</v>
      </c>
      <c r="K12" s="141">
        <v>1295.6500000000001</v>
      </c>
      <c r="L12" s="140">
        <v>8</v>
      </c>
      <c r="M12" s="141">
        <v>813.93174999999997</v>
      </c>
      <c r="N12" s="140">
        <v>0</v>
      </c>
      <c r="O12" s="141">
        <v>0</v>
      </c>
      <c r="P12" s="140">
        <v>20</v>
      </c>
      <c r="Q12" s="141">
        <v>1335</v>
      </c>
      <c r="R12" s="140">
        <v>1</v>
      </c>
      <c r="S12" s="141">
        <v>0</v>
      </c>
      <c r="T12" s="141"/>
      <c r="U12" s="140"/>
      <c r="V12" s="139"/>
      <c r="W12" s="140"/>
      <c r="X12" s="139"/>
      <c r="Y12" s="142">
        <f t="shared" si="0"/>
        <v>80</v>
      </c>
      <c r="Z12" s="143">
        <f>((D12*E12)+(F12*G12)+(H12*I12)+(J12*K12)+(L12*M12)+(U12*V12)+(W12*X12)+(N12*O12)+(P12*Q12)+(R12*S12))</f>
        <v>101375.72840000001</v>
      </c>
      <c r="AA12" s="329">
        <f t="shared" si="3"/>
        <v>1267.1966050000001</v>
      </c>
      <c r="AB12" s="148">
        <f t="shared" si="2"/>
        <v>1</v>
      </c>
      <c r="AC12" s="143">
        <v>80</v>
      </c>
      <c r="AD12" s="227"/>
    </row>
    <row r="13" spans="1:55" s="126" customFormat="1" ht="15.75" customHeight="1" x14ac:dyDescent="0.25">
      <c r="A13" s="770"/>
      <c r="B13" s="136" t="s">
        <v>66</v>
      </c>
      <c r="C13" s="137">
        <v>7</v>
      </c>
      <c r="D13" s="138">
        <v>0</v>
      </c>
      <c r="E13" s="139">
        <v>0</v>
      </c>
      <c r="F13" s="140">
        <v>35</v>
      </c>
      <c r="G13" s="139">
        <v>1368.4579999999999</v>
      </c>
      <c r="H13" s="140">
        <v>1</v>
      </c>
      <c r="I13" s="139">
        <v>1339</v>
      </c>
      <c r="J13" s="140">
        <v>8</v>
      </c>
      <c r="K13" s="141">
        <v>1295.6500000000001</v>
      </c>
      <c r="L13" s="140">
        <v>9</v>
      </c>
      <c r="M13" s="141">
        <v>831.64603333333298</v>
      </c>
      <c r="N13" s="140">
        <v>0</v>
      </c>
      <c r="O13" s="141">
        <v>0</v>
      </c>
      <c r="P13" s="140">
        <v>20</v>
      </c>
      <c r="Q13" s="141">
        <v>1335</v>
      </c>
      <c r="R13" s="140">
        <v>1</v>
      </c>
      <c r="S13" s="141">
        <v>0</v>
      </c>
      <c r="T13" s="141"/>
      <c r="U13" s="140"/>
      <c r="V13" s="139"/>
      <c r="W13" s="140"/>
      <c r="X13" s="139"/>
      <c r="Y13" s="142">
        <f t="shared" si="0"/>
        <v>74</v>
      </c>
      <c r="Z13" s="143">
        <f>((D13*E13)+(F13*G13)+(H13*I13)+(J13*K13)+(L13*M13)+(U13*V13)+(W13*X13)+(N13*O13)+(P13*Q13)+(R13*S13))</f>
        <v>93785.044299999994</v>
      </c>
      <c r="AA13" s="329">
        <f t="shared" si="3"/>
        <v>1267.3654635135135</v>
      </c>
      <c r="AB13" s="148">
        <f t="shared" si="2"/>
        <v>0.92500000000000004</v>
      </c>
      <c r="AC13" s="143">
        <v>80</v>
      </c>
      <c r="AD13" s="227"/>
    </row>
    <row r="14" spans="1:55" s="126" customFormat="1" ht="15.95" customHeight="1" x14ac:dyDescent="0.25">
      <c r="A14" s="149"/>
      <c r="B14" s="136" t="s">
        <v>67</v>
      </c>
      <c r="C14" s="137">
        <v>8</v>
      </c>
      <c r="D14" s="138">
        <v>0</v>
      </c>
      <c r="E14" s="139">
        <v>0</v>
      </c>
      <c r="F14" s="140">
        <v>17</v>
      </c>
      <c r="G14" s="139">
        <v>1310.1805999999999</v>
      </c>
      <c r="H14" s="140">
        <v>0</v>
      </c>
      <c r="I14" s="139">
        <v>0</v>
      </c>
      <c r="J14" s="140">
        <v>0</v>
      </c>
      <c r="K14" s="141">
        <v>0</v>
      </c>
      <c r="L14" s="140">
        <v>7</v>
      </c>
      <c r="M14" s="141">
        <v>1024.2835</v>
      </c>
      <c r="N14" s="140">
        <v>0</v>
      </c>
      <c r="O14" s="141">
        <v>0</v>
      </c>
      <c r="P14" s="140">
        <v>20</v>
      </c>
      <c r="Q14" s="141">
        <v>1335</v>
      </c>
      <c r="R14" s="140">
        <v>1</v>
      </c>
      <c r="S14" s="141">
        <v>0</v>
      </c>
      <c r="T14" s="141"/>
      <c r="U14" s="140"/>
      <c r="V14" s="139"/>
      <c r="W14" s="140"/>
      <c r="X14" s="139"/>
      <c r="Y14" s="142">
        <f t="shared" si="0"/>
        <v>45</v>
      </c>
      <c r="Z14" s="143">
        <f t="shared" si="1"/>
        <v>56143.054700000001</v>
      </c>
      <c r="AA14" s="147">
        <f t="shared" si="3"/>
        <v>1247.6234377777778</v>
      </c>
      <c r="AB14" s="148">
        <f t="shared" si="2"/>
        <v>0.5625</v>
      </c>
      <c r="AC14" s="143">
        <v>80</v>
      </c>
      <c r="AD14" s="227"/>
    </row>
    <row r="15" spans="1:55" s="126" customFormat="1" ht="15.95" customHeight="1" x14ac:dyDescent="0.25">
      <c r="A15" s="770"/>
      <c r="B15" s="136" t="s">
        <v>68</v>
      </c>
      <c r="C15" s="137">
        <v>9</v>
      </c>
      <c r="D15" s="138">
        <v>0</v>
      </c>
      <c r="E15" s="139">
        <v>0</v>
      </c>
      <c r="F15" s="140">
        <v>12</v>
      </c>
      <c r="G15" s="139">
        <v>1433.3462833333299</v>
      </c>
      <c r="H15" s="140">
        <v>0</v>
      </c>
      <c r="I15" s="139">
        <v>0</v>
      </c>
      <c r="J15" s="140">
        <v>0</v>
      </c>
      <c r="K15" s="141">
        <v>0</v>
      </c>
      <c r="L15" s="140">
        <v>8</v>
      </c>
      <c r="M15" s="141">
        <v>1028.6610000000001</v>
      </c>
      <c r="N15" s="140">
        <v>0</v>
      </c>
      <c r="O15" s="141">
        <v>0</v>
      </c>
      <c r="P15" s="140">
        <v>0</v>
      </c>
      <c r="Q15" s="141">
        <v>0</v>
      </c>
      <c r="R15" s="140">
        <v>1</v>
      </c>
      <c r="S15" s="141">
        <v>0</v>
      </c>
      <c r="T15" s="141"/>
      <c r="U15" s="140"/>
      <c r="V15" s="139"/>
      <c r="W15" s="140"/>
      <c r="X15" s="139"/>
      <c r="Y15" s="142">
        <f t="shared" si="0"/>
        <v>21</v>
      </c>
      <c r="Z15" s="143">
        <f t="shared" si="1"/>
        <v>25429.44339999996</v>
      </c>
      <c r="AA15" s="147">
        <f>IF(Z15=0,0,Z15/Y15)</f>
        <v>1210.9258761904744</v>
      </c>
      <c r="AB15" s="148">
        <f t="shared" si="2"/>
        <v>0.26250000000000001</v>
      </c>
      <c r="AC15" s="143">
        <v>80</v>
      </c>
      <c r="AD15" s="227"/>
    </row>
    <row r="16" spans="1:55" s="126" customFormat="1" ht="15.95" customHeight="1" x14ac:dyDescent="0.25">
      <c r="A16" s="770"/>
      <c r="B16" s="136" t="s">
        <v>69</v>
      </c>
      <c r="C16" s="137">
        <v>10</v>
      </c>
      <c r="D16" s="138">
        <v>0</v>
      </c>
      <c r="E16" s="139">
        <v>0</v>
      </c>
      <c r="F16" s="140">
        <v>18</v>
      </c>
      <c r="G16" s="139">
        <v>1274.2353166666599</v>
      </c>
      <c r="H16" s="140">
        <v>0</v>
      </c>
      <c r="I16" s="139">
        <v>0</v>
      </c>
      <c r="J16" s="140">
        <v>0</v>
      </c>
      <c r="K16" s="141">
        <v>0</v>
      </c>
      <c r="L16" s="140">
        <v>1</v>
      </c>
      <c r="M16" s="141">
        <v>1338.1039000000001</v>
      </c>
      <c r="N16" s="140">
        <v>0</v>
      </c>
      <c r="O16" s="141">
        <v>0</v>
      </c>
      <c r="P16" s="140">
        <v>0</v>
      </c>
      <c r="Q16" s="141">
        <v>0</v>
      </c>
      <c r="R16" s="140">
        <v>0</v>
      </c>
      <c r="S16" s="141">
        <v>0</v>
      </c>
      <c r="T16" s="141"/>
      <c r="U16" s="140"/>
      <c r="V16" s="139"/>
      <c r="W16" s="140"/>
      <c r="X16" s="139"/>
      <c r="Y16" s="142">
        <f t="shared" si="0"/>
        <v>19</v>
      </c>
      <c r="Z16" s="143">
        <f t="shared" si="1"/>
        <v>24274.339599999876</v>
      </c>
      <c r="AA16" s="147">
        <f>IF(Z16=0,0,Z16/Y16)</f>
        <v>1277.596821052625</v>
      </c>
      <c r="AB16" s="148">
        <f t="shared" si="2"/>
        <v>0.23749999999999999</v>
      </c>
      <c r="AC16" s="143">
        <v>80</v>
      </c>
      <c r="AD16" s="227"/>
    </row>
    <row r="17" spans="1:55" s="160" customFormat="1" ht="15.75" customHeight="1" x14ac:dyDescent="0.25">
      <c r="A17" s="209"/>
      <c r="B17" s="150" t="s">
        <v>63</v>
      </c>
      <c r="C17" s="151">
        <v>11</v>
      </c>
      <c r="D17" s="152">
        <v>0</v>
      </c>
      <c r="E17" s="153">
        <v>0</v>
      </c>
      <c r="F17" s="154">
        <v>12</v>
      </c>
      <c r="G17" s="153">
        <v>1161.01428333333</v>
      </c>
      <c r="H17" s="154">
        <v>0</v>
      </c>
      <c r="I17" s="153">
        <v>0</v>
      </c>
      <c r="J17" s="154">
        <v>0</v>
      </c>
      <c r="K17" s="155">
        <v>0</v>
      </c>
      <c r="L17" s="154">
        <v>1</v>
      </c>
      <c r="M17" s="155">
        <v>900.12729999999999</v>
      </c>
      <c r="N17" s="154">
        <v>0</v>
      </c>
      <c r="O17" s="155">
        <v>0</v>
      </c>
      <c r="P17" s="154">
        <v>0</v>
      </c>
      <c r="Q17" s="155">
        <v>0</v>
      </c>
      <c r="R17" s="154">
        <v>0</v>
      </c>
      <c r="S17" s="155">
        <v>0</v>
      </c>
      <c r="T17" s="155"/>
      <c r="U17" s="154"/>
      <c r="V17" s="153"/>
      <c r="W17" s="154"/>
      <c r="X17" s="153"/>
      <c r="Y17" s="156">
        <f t="shared" si="0"/>
        <v>13</v>
      </c>
      <c r="Z17" s="157">
        <f t="shared" si="1"/>
        <v>14832.298699999959</v>
      </c>
      <c r="AA17" s="158">
        <f t="shared" si="3"/>
        <v>1140.9460538461508</v>
      </c>
      <c r="AB17" s="159">
        <f t="shared" si="2"/>
        <v>0.16250000000000001</v>
      </c>
      <c r="AC17" s="143">
        <v>80</v>
      </c>
      <c r="AD17" s="227"/>
      <c r="AE17" s="126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  <c r="BA17" s="126"/>
      <c r="BB17" s="126"/>
    </row>
    <row r="18" spans="1:55" s="126" customFormat="1" ht="15.75" customHeight="1" x14ac:dyDescent="0.25">
      <c r="A18" s="209"/>
      <c r="B18" s="136" t="s">
        <v>64</v>
      </c>
      <c r="C18" s="137">
        <v>12</v>
      </c>
      <c r="D18" s="138">
        <v>0</v>
      </c>
      <c r="E18" s="139">
        <v>0</v>
      </c>
      <c r="F18" s="140">
        <v>20</v>
      </c>
      <c r="G18" s="139">
        <v>1398.14878</v>
      </c>
      <c r="H18" s="140">
        <v>0</v>
      </c>
      <c r="I18" s="139">
        <v>0</v>
      </c>
      <c r="J18" s="140">
        <v>0</v>
      </c>
      <c r="K18" s="141">
        <v>0</v>
      </c>
      <c r="L18" s="140">
        <v>6</v>
      </c>
      <c r="M18" s="141">
        <v>912</v>
      </c>
      <c r="N18" s="140">
        <v>0</v>
      </c>
      <c r="O18" s="141">
        <v>0</v>
      </c>
      <c r="P18" s="140">
        <v>20</v>
      </c>
      <c r="Q18" s="141">
        <v>1335</v>
      </c>
      <c r="R18" s="140">
        <v>0</v>
      </c>
      <c r="S18" s="141">
        <v>0</v>
      </c>
      <c r="T18" s="141"/>
      <c r="U18" s="140"/>
      <c r="V18" s="139"/>
      <c r="W18" s="140"/>
      <c r="X18" s="139"/>
      <c r="Y18" s="142">
        <f t="shared" si="0"/>
        <v>46</v>
      </c>
      <c r="Z18" s="143">
        <f t="shared" si="1"/>
        <v>60134.975599999998</v>
      </c>
      <c r="AA18" s="329">
        <f t="shared" si="3"/>
        <v>1307.2820782608694</v>
      </c>
      <c r="AB18" s="148">
        <f t="shared" si="2"/>
        <v>0.57499999999999996</v>
      </c>
      <c r="AC18" s="143">
        <v>80</v>
      </c>
      <c r="AD18" s="227"/>
    </row>
    <row r="19" spans="1:55" s="126" customFormat="1" ht="15.95" customHeight="1" x14ac:dyDescent="0.25">
      <c r="A19" s="209"/>
      <c r="B19" s="136" t="s">
        <v>65</v>
      </c>
      <c r="C19" s="137">
        <v>13</v>
      </c>
      <c r="D19" s="138">
        <v>0</v>
      </c>
      <c r="E19" s="139">
        <v>0</v>
      </c>
      <c r="F19" s="140">
        <v>21</v>
      </c>
      <c r="G19" s="139">
        <v>1191.3651952380869</v>
      </c>
      <c r="H19" s="140">
        <v>0</v>
      </c>
      <c r="I19" s="139">
        <v>0</v>
      </c>
      <c r="J19" s="140">
        <v>0</v>
      </c>
      <c r="K19" s="141">
        <v>0</v>
      </c>
      <c r="L19" s="140">
        <v>6</v>
      </c>
      <c r="M19" s="141">
        <v>1271.5864999999999</v>
      </c>
      <c r="N19" s="140">
        <v>0</v>
      </c>
      <c r="O19" s="141">
        <v>0</v>
      </c>
      <c r="P19" s="140">
        <v>20</v>
      </c>
      <c r="Q19" s="141">
        <v>1335</v>
      </c>
      <c r="R19" s="140">
        <v>0</v>
      </c>
      <c r="S19" s="141">
        <v>0</v>
      </c>
      <c r="T19" s="141"/>
      <c r="U19" s="140"/>
      <c r="V19" s="139"/>
      <c r="W19" s="140"/>
      <c r="X19" s="139"/>
      <c r="Y19" s="142">
        <f t="shared" si="0"/>
        <v>47</v>
      </c>
      <c r="Z19" s="143">
        <f t="shared" si="1"/>
        <v>59348.188099999825</v>
      </c>
      <c r="AA19" s="329">
        <f t="shared" si="3"/>
        <v>1262.727406382975</v>
      </c>
      <c r="AB19" s="148">
        <f t="shared" si="2"/>
        <v>0.58750000000000002</v>
      </c>
      <c r="AC19" s="143">
        <v>80</v>
      </c>
      <c r="AD19" s="227"/>
    </row>
    <row r="20" spans="1:55" s="126" customFormat="1" ht="15.95" customHeight="1" x14ac:dyDescent="0.25">
      <c r="A20" s="209"/>
      <c r="B20" s="136" t="s">
        <v>66</v>
      </c>
      <c r="C20" s="137">
        <v>14</v>
      </c>
      <c r="D20" s="138">
        <v>0</v>
      </c>
      <c r="E20" s="139">
        <v>0</v>
      </c>
      <c r="F20" s="140">
        <v>20</v>
      </c>
      <c r="G20" s="139">
        <v>1297.44362</v>
      </c>
      <c r="H20" s="140">
        <v>0</v>
      </c>
      <c r="I20" s="139">
        <v>0</v>
      </c>
      <c r="J20" s="140">
        <v>0</v>
      </c>
      <c r="K20" s="141">
        <v>0</v>
      </c>
      <c r="L20" s="140">
        <v>8</v>
      </c>
      <c r="M20" s="141">
        <v>911.82938750000005</v>
      </c>
      <c r="N20" s="140">
        <v>0</v>
      </c>
      <c r="O20" s="141">
        <v>0</v>
      </c>
      <c r="P20" s="140">
        <v>0</v>
      </c>
      <c r="Q20" s="141">
        <v>0</v>
      </c>
      <c r="R20" s="140">
        <v>0</v>
      </c>
      <c r="S20" s="141">
        <v>0</v>
      </c>
      <c r="T20" s="141"/>
      <c r="U20" s="140"/>
      <c r="V20" s="139"/>
      <c r="W20" s="140"/>
      <c r="X20" s="139"/>
      <c r="Y20" s="142">
        <f t="shared" si="0"/>
        <v>28</v>
      </c>
      <c r="Z20" s="143">
        <f t="shared" si="1"/>
        <v>33243.5075</v>
      </c>
      <c r="AA20" s="329">
        <f t="shared" si="3"/>
        <v>1187.2681250000001</v>
      </c>
      <c r="AB20" s="148">
        <f t="shared" si="2"/>
        <v>0.35</v>
      </c>
      <c r="AC20" s="143">
        <v>80</v>
      </c>
      <c r="AD20" s="227"/>
    </row>
    <row r="21" spans="1:55" s="126" customFormat="1" ht="15.95" customHeight="1" x14ac:dyDescent="0.25">
      <c r="A21" s="209"/>
      <c r="B21" s="136" t="s">
        <v>67</v>
      </c>
      <c r="C21" s="137">
        <v>15</v>
      </c>
      <c r="D21" s="138">
        <v>0</v>
      </c>
      <c r="E21" s="139">
        <v>0</v>
      </c>
      <c r="F21" s="140">
        <v>10</v>
      </c>
      <c r="G21" s="139">
        <v>1316.90444</v>
      </c>
      <c r="H21" s="140">
        <v>0</v>
      </c>
      <c r="I21" s="139">
        <v>0</v>
      </c>
      <c r="J21" s="140">
        <v>0</v>
      </c>
      <c r="K21" s="141">
        <v>0</v>
      </c>
      <c r="L21" s="140">
        <v>8</v>
      </c>
      <c r="M21" s="141">
        <v>934.17910000000006</v>
      </c>
      <c r="N21" s="140">
        <v>0</v>
      </c>
      <c r="O21" s="141">
        <v>0</v>
      </c>
      <c r="P21" s="140">
        <v>0</v>
      </c>
      <c r="Q21" s="141">
        <v>0</v>
      </c>
      <c r="R21" s="140">
        <v>0</v>
      </c>
      <c r="S21" s="141">
        <v>0</v>
      </c>
      <c r="T21" s="141"/>
      <c r="U21" s="140"/>
      <c r="V21" s="139"/>
      <c r="W21" s="140"/>
      <c r="X21" s="139"/>
      <c r="Y21" s="142">
        <f t="shared" si="0"/>
        <v>18</v>
      </c>
      <c r="Z21" s="143">
        <f t="shared" si="1"/>
        <v>20642.477200000001</v>
      </c>
      <c r="AA21" s="147">
        <f t="shared" si="3"/>
        <v>1146.804288888889</v>
      </c>
      <c r="AB21" s="148">
        <f t="shared" si="2"/>
        <v>0.22500000000000001</v>
      </c>
      <c r="AC21" s="143">
        <v>80</v>
      </c>
      <c r="AD21" s="227"/>
    </row>
    <row r="22" spans="1:55" s="128" customFormat="1" ht="15.95" customHeight="1" x14ac:dyDescent="0.25">
      <c r="A22" s="296" t="s">
        <v>76</v>
      </c>
      <c r="B22" s="281" t="s">
        <v>68</v>
      </c>
      <c r="C22" s="282">
        <v>16</v>
      </c>
      <c r="D22" s="283">
        <v>0</v>
      </c>
      <c r="E22" s="284">
        <v>0</v>
      </c>
      <c r="F22" s="285">
        <v>54</v>
      </c>
      <c r="G22" s="284">
        <v>1159.3164999999999</v>
      </c>
      <c r="H22" s="285">
        <v>0</v>
      </c>
      <c r="I22" s="284">
        <v>0</v>
      </c>
      <c r="J22" s="285">
        <v>0</v>
      </c>
      <c r="K22" s="344">
        <v>0</v>
      </c>
      <c r="L22" s="285">
        <v>13</v>
      </c>
      <c r="M22" s="344">
        <v>591.95130000000006</v>
      </c>
      <c r="N22" s="285">
        <v>0</v>
      </c>
      <c r="O22" s="344">
        <v>0</v>
      </c>
      <c r="P22" s="285">
        <v>0</v>
      </c>
      <c r="Q22" s="344">
        <v>0</v>
      </c>
      <c r="R22" s="285">
        <v>0</v>
      </c>
      <c r="S22" s="344">
        <v>0</v>
      </c>
      <c r="T22" s="344"/>
      <c r="U22" s="285"/>
      <c r="V22" s="284"/>
      <c r="W22" s="285"/>
      <c r="X22" s="284"/>
      <c r="Y22" s="286">
        <f t="shared" si="0"/>
        <v>67</v>
      </c>
      <c r="Z22" s="345">
        <f t="shared" si="1"/>
        <v>70298.457899999994</v>
      </c>
      <c r="AA22" s="348">
        <f t="shared" si="3"/>
        <v>1049.2307149253731</v>
      </c>
      <c r="AB22" s="287">
        <f t="shared" si="2"/>
        <v>0.83750000000000002</v>
      </c>
      <c r="AC22" s="143">
        <v>80</v>
      </c>
      <c r="AD22" s="227"/>
      <c r="AE22" s="126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</row>
    <row r="23" spans="1:55" s="128" customFormat="1" ht="15.95" customHeight="1" x14ac:dyDescent="0.25">
      <c r="A23" s="209"/>
      <c r="B23" s="136" t="s">
        <v>69</v>
      </c>
      <c r="C23" s="137">
        <v>17</v>
      </c>
      <c r="D23" s="138">
        <v>0</v>
      </c>
      <c r="E23" s="139">
        <v>0</v>
      </c>
      <c r="F23" s="140">
        <v>34</v>
      </c>
      <c r="G23" s="139">
        <v>1059.4683</v>
      </c>
      <c r="H23" s="140">
        <v>0</v>
      </c>
      <c r="I23" s="139">
        <v>0</v>
      </c>
      <c r="J23" s="140">
        <v>0</v>
      </c>
      <c r="K23" s="141">
        <v>0</v>
      </c>
      <c r="L23" s="140">
        <v>12</v>
      </c>
      <c r="M23" s="141">
        <v>944.21215833333292</v>
      </c>
      <c r="N23" s="140">
        <v>0</v>
      </c>
      <c r="O23" s="141">
        <v>0</v>
      </c>
      <c r="P23" s="140">
        <v>0</v>
      </c>
      <c r="Q23" s="141">
        <v>0</v>
      </c>
      <c r="R23" s="140">
        <v>0</v>
      </c>
      <c r="S23" s="141">
        <v>0</v>
      </c>
      <c r="T23" s="141"/>
      <c r="U23" s="140"/>
      <c r="V23" s="139"/>
      <c r="W23" s="140"/>
      <c r="X23" s="139"/>
      <c r="Y23" s="142">
        <f t="shared" si="0"/>
        <v>46</v>
      </c>
      <c r="Z23" s="143">
        <f t="shared" si="1"/>
        <v>47352.468099999998</v>
      </c>
      <c r="AA23" s="147">
        <f t="shared" si="3"/>
        <v>1029.4014804347826</v>
      </c>
      <c r="AB23" s="148">
        <f t="shared" si="2"/>
        <v>0.57499999999999996</v>
      </c>
      <c r="AC23" s="143">
        <v>80</v>
      </c>
      <c r="AD23" s="227"/>
      <c r="AE23" s="126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</row>
    <row r="24" spans="1:55" s="126" customFormat="1" ht="15.95" customHeight="1" x14ac:dyDescent="0.25">
      <c r="A24" s="209"/>
      <c r="B24" s="150" t="s">
        <v>63</v>
      </c>
      <c r="C24" s="151">
        <v>18</v>
      </c>
      <c r="D24" s="152">
        <v>0</v>
      </c>
      <c r="E24" s="153">
        <v>0</v>
      </c>
      <c r="F24" s="154">
        <v>24</v>
      </c>
      <c r="G24" s="153">
        <v>1546.03</v>
      </c>
      <c r="H24" s="154">
        <v>0</v>
      </c>
      <c r="I24" s="153">
        <v>0</v>
      </c>
      <c r="J24" s="154">
        <v>12</v>
      </c>
      <c r="K24" s="155">
        <v>934.78</v>
      </c>
      <c r="L24" s="154">
        <v>11</v>
      </c>
      <c r="M24" s="155">
        <v>980.17796363636273</v>
      </c>
      <c r="N24" s="154">
        <v>0</v>
      </c>
      <c r="O24" s="155">
        <v>0</v>
      </c>
      <c r="P24" s="154">
        <v>0</v>
      </c>
      <c r="Q24" s="155">
        <v>0</v>
      </c>
      <c r="R24" s="154">
        <v>0</v>
      </c>
      <c r="S24" s="155">
        <v>0</v>
      </c>
      <c r="T24" s="155"/>
      <c r="U24" s="154"/>
      <c r="V24" s="153"/>
      <c r="W24" s="154"/>
      <c r="X24" s="153"/>
      <c r="Y24" s="156">
        <f t="shared" si="0"/>
        <v>47</v>
      </c>
      <c r="Z24" s="157">
        <f t="shared" si="1"/>
        <v>59104.037599999996</v>
      </c>
      <c r="AA24" s="158">
        <f t="shared" si="3"/>
        <v>1257.5327148936169</v>
      </c>
      <c r="AB24" s="159">
        <f t="shared" si="2"/>
        <v>0.58750000000000002</v>
      </c>
      <c r="AC24" s="143">
        <v>80</v>
      </c>
      <c r="AD24" s="227"/>
    </row>
    <row r="25" spans="1:55" s="146" customFormat="1" ht="15.95" customHeight="1" x14ac:dyDescent="0.25">
      <c r="A25" s="209"/>
      <c r="B25" s="136" t="s">
        <v>64</v>
      </c>
      <c r="C25" s="137">
        <v>19</v>
      </c>
      <c r="D25" s="138">
        <v>0</v>
      </c>
      <c r="E25" s="139">
        <v>0</v>
      </c>
      <c r="F25" s="140">
        <v>20</v>
      </c>
      <c r="G25" s="139">
        <v>2058.15286666666</v>
      </c>
      <c r="H25" s="140">
        <v>1</v>
      </c>
      <c r="I25" s="139">
        <v>1339</v>
      </c>
      <c r="J25" s="140">
        <v>12</v>
      </c>
      <c r="K25" s="141">
        <v>934.78</v>
      </c>
      <c r="L25" s="140">
        <v>8</v>
      </c>
      <c r="M25" s="141">
        <v>976.22627499999999</v>
      </c>
      <c r="N25" s="140">
        <v>0</v>
      </c>
      <c r="O25" s="141">
        <v>0</v>
      </c>
      <c r="P25" s="140">
        <v>0</v>
      </c>
      <c r="Q25" s="141">
        <v>0</v>
      </c>
      <c r="R25" s="140">
        <v>1</v>
      </c>
      <c r="S25" s="141">
        <v>0</v>
      </c>
      <c r="T25" s="141"/>
      <c r="U25" s="140"/>
      <c r="V25" s="139"/>
      <c r="W25" s="140"/>
      <c r="X25" s="139"/>
      <c r="Y25" s="142">
        <f t="shared" si="0"/>
        <v>42</v>
      </c>
      <c r="Z25" s="143">
        <f t="shared" si="1"/>
        <v>61529.2275333332</v>
      </c>
      <c r="AA25" s="329">
        <f t="shared" si="3"/>
        <v>1464.9816079365048</v>
      </c>
      <c r="AB25" s="148">
        <f t="shared" si="2"/>
        <v>0.52500000000000002</v>
      </c>
      <c r="AC25" s="143">
        <v>80</v>
      </c>
      <c r="AD25" s="227"/>
      <c r="AE25" s="126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</row>
    <row r="26" spans="1:55" s="128" customFormat="1" ht="15.95" customHeight="1" x14ac:dyDescent="0.25">
      <c r="A26" s="770" t="s">
        <v>103</v>
      </c>
      <c r="B26" s="136" t="s">
        <v>65</v>
      </c>
      <c r="C26" s="161">
        <v>20</v>
      </c>
      <c r="D26" s="162">
        <v>0</v>
      </c>
      <c r="E26" s="163">
        <v>0</v>
      </c>
      <c r="F26" s="164">
        <v>27</v>
      </c>
      <c r="G26" s="163">
        <v>1175.3188375</v>
      </c>
      <c r="H26" s="164">
        <v>1</v>
      </c>
      <c r="I26" s="163">
        <v>1339</v>
      </c>
      <c r="J26" s="140">
        <v>0</v>
      </c>
      <c r="K26" s="141">
        <v>0</v>
      </c>
      <c r="L26" s="164">
        <v>8</v>
      </c>
      <c r="M26" s="165">
        <v>1109.2276000000002</v>
      </c>
      <c r="N26" s="164">
        <v>0</v>
      </c>
      <c r="O26" s="165">
        <v>0</v>
      </c>
      <c r="P26" s="164">
        <v>0</v>
      </c>
      <c r="Q26" s="165">
        <v>0</v>
      </c>
      <c r="R26" s="164">
        <v>1</v>
      </c>
      <c r="S26" s="165">
        <v>0</v>
      </c>
      <c r="T26" s="165"/>
      <c r="U26" s="164"/>
      <c r="V26" s="163"/>
      <c r="W26" s="164"/>
      <c r="X26" s="163"/>
      <c r="Y26" s="166">
        <f t="shared" si="0"/>
        <v>37</v>
      </c>
      <c r="Z26" s="167">
        <f t="shared" si="1"/>
        <v>41946.429412500001</v>
      </c>
      <c r="AA26" s="329">
        <f t="shared" si="3"/>
        <v>1133.6872814189189</v>
      </c>
      <c r="AB26" s="148">
        <f t="shared" si="2"/>
        <v>0.46250000000000002</v>
      </c>
      <c r="AC26" s="143">
        <v>80</v>
      </c>
      <c r="AD26" s="227"/>
      <c r="AE26" s="126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</row>
    <row r="27" spans="1:55" s="128" customFormat="1" ht="15.95" customHeight="1" x14ac:dyDescent="0.25">
      <c r="A27" s="770"/>
      <c r="B27" s="136" t="s">
        <v>66</v>
      </c>
      <c r="C27" s="161">
        <v>21</v>
      </c>
      <c r="D27" s="162">
        <v>0</v>
      </c>
      <c r="E27" s="163">
        <v>0</v>
      </c>
      <c r="F27" s="164">
        <v>16</v>
      </c>
      <c r="G27" s="163">
        <v>1405.3228444444433</v>
      </c>
      <c r="H27" s="164">
        <v>1</v>
      </c>
      <c r="I27" s="163">
        <v>1339</v>
      </c>
      <c r="J27" s="140">
        <v>0</v>
      </c>
      <c r="K27" s="141">
        <v>0</v>
      </c>
      <c r="L27" s="164">
        <v>5</v>
      </c>
      <c r="M27" s="165">
        <v>838.5539</v>
      </c>
      <c r="N27" s="164">
        <v>0</v>
      </c>
      <c r="O27" s="165">
        <v>0</v>
      </c>
      <c r="P27" s="164">
        <v>0</v>
      </c>
      <c r="Q27" s="165">
        <v>0</v>
      </c>
      <c r="R27" s="164">
        <v>1</v>
      </c>
      <c r="S27" s="165">
        <v>0</v>
      </c>
      <c r="T27" s="165"/>
      <c r="U27" s="164"/>
      <c r="V27" s="163"/>
      <c r="W27" s="164"/>
      <c r="X27" s="163"/>
      <c r="Y27" s="166">
        <f t="shared" si="0"/>
        <v>23</v>
      </c>
      <c r="Z27" s="167">
        <f t="shared" si="1"/>
        <v>28016.935011111091</v>
      </c>
      <c r="AA27" s="329">
        <f t="shared" si="3"/>
        <v>1218.1276091787431</v>
      </c>
      <c r="AB27" s="148">
        <f t="shared" si="2"/>
        <v>0.28749999999999998</v>
      </c>
      <c r="AC27" s="143">
        <v>80</v>
      </c>
      <c r="AD27" s="227"/>
      <c r="AE27" s="126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206" t="s">
        <v>104</v>
      </c>
      <c r="B28" s="136" t="s">
        <v>67</v>
      </c>
      <c r="C28" s="137">
        <v>22</v>
      </c>
      <c r="D28" s="138">
        <v>0</v>
      </c>
      <c r="E28" s="139">
        <v>0</v>
      </c>
      <c r="F28" s="140">
        <v>21</v>
      </c>
      <c r="G28" s="139">
        <v>1512.0425749999999</v>
      </c>
      <c r="H28" s="140">
        <v>1</v>
      </c>
      <c r="I28" s="139">
        <v>1339</v>
      </c>
      <c r="J28" s="140">
        <v>0</v>
      </c>
      <c r="K28" s="141">
        <v>0</v>
      </c>
      <c r="L28" s="140">
        <v>4</v>
      </c>
      <c r="M28" s="141">
        <v>823.04725000000008</v>
      </c>
      <c r="N28" s="140">
        <v>0</v>
      </c>
      <c r="O28" s="141">
        <v>0</v>
      </c>
      <c r="P28" s="140">
        <v>0</v>
      </c>
      <c r="Q28" s="141">
        <v>0</v>
      </c>
      <c r="R28" s="140">
        <v>1</v>
      </c>
      <c r="S28" s="141">
        <v>0</v>
      </c>
      <c r="T28" s="141"/>
      <c r="U28" s="140"/>
      <c r="V28" s="139"/>
      <c r="W28" s="140"/>
      <c r="X28" s="139"/>
      <c r="Y28" s="142">
        <f t="shared" si="0"/>
        <v>27</v>
      </c>
      <c r="Z28" s="143">
        <f t="shared" si="1"/>
        <v>36384.083075000002</v>
      </c>
      <c r="AA28" s="147">
        <f t="shared" si="3"/>
        <v>1347.5586324074075</v>
      </c>
      <c r="AB28" s="148">
        <f t="shared" si="2"/>
        <v>0.33750000000000002</v>
      </c>
      <c r="AC28" s="143">
        <v>80</v>
      </c>
      <c r="AD28" s="227"/>
    </row>
    <row r="29" spans="1:55" s="126" customFormat="1" ht="15.95" customHeight="1" x14ac:dyDescent="0.25">
      <c r="A29" s="168"/>
      <c r="B29" s="136" t="s">
        <v>68</v>
      </c>
      <c r="C29" s="137">
        <v>23</v>
      </c>
      <c r="D29" s="138">
        <v>0</v>
      </c>
      <c r="E29" s="139">
        <v>0</v>
      </c>
      <c r="F29" s="140">
        <v>21</v>
      </c>
      <c r="G29" s="139">
        <v>1439.7082500000001</v>
      </c>
      <c r="H29" s="140">
        <v>2</v>
      </c>
      <c r="I29" s="139">
        <v>1339</v>
      </c>
      <c r="J29" s="140">
        <v>0</v>
      </c>
      <c r="K29" s="141">
        <v>0</v>
      </c>
      <c r="L29" s="140">
        <v>10</v>
      </c>
      <c r="M29" s="141">
        <v>899.29300000000001</v>
      </c>
      <c r="N29" s="140">
        <v>0</v>
      </c>
      <c r="O29" s="141">
        <v>0</v>
      </c>
      <c r="P29" s="140">
        <v>0</v>
      </c>
      <c r="Q29" s="141">
        <v>0</v>
      </c>
      <c r="R29" s="140">
        <v>1</v>
      </c>
      <c r="S29" s="141">
        <v>0</v>
      </c>
      <c r="T29" s="141"/>
      <c r="U29" s="140"/>
      <c r="V29" s="139"/>
      <c r="W29" s="140"/>
      <c r="X29" s="139"/>
      <c r="Y29" s="142">
        <f t="shared" si="0"/>
        <v>34</v>
      </c>
      <c r="Z29" s="143">
        <f t="shared" si="1"/>
        <v>41904.803250000004</v>
      </c>
      <c r="AA29" s="147">
        <f t="shared" si="3"/>
        <v>1232.4942132352942</v>
      </c>
      <c r="AB29" s="148">
        <f t="shared" si="2"/>
        <v>0.42499999999999999</v>
      </c>
      <c r="AC29" s="143">
        <v>80</v>
      </c>
      <c r="AD29" s="227"/>
    </row>
    <row r="30" spans="1:55" s="126" customFormat="1" ht="16.5" customHeight="1" x14ac:dyDescent="0.25">
      <c r="A30" s="168"/>
      <c r="B30" s="136" t="s">
        <v>69</v>
      </c>
      <c r="C30" s="137">
        <v>24</v>
      </c>
      <c r="D30" s="138">
        <v>0</v>
      </c>
      <c r="E30" s="139">
        <v>0</v>
      </c>
      <c r="F30" s="140">
        <v>29</v>
      </c>
      <c r="G30" s="139">
        <v>1222.9563375</v>
      </c>
      <c r="H30" s="140">
        <v>2</v>
      </c>
      <c r="I30" s="139">
        <v>1339</v>
      </c>
      <c r="J30" s="140">
        <v>0</v>
      </c>
      <c r="K30" s="141">
        <v>0</v>
      </c>
      <c r="L30" s="140">
        <v>10</v>
      </c>
      <c r="M30" s="141">
        <v>865.89353333333293</v>
      </c>
      <c r="N30" s="140">
        <v>0</v>
      </c>
      <c r="O30" s="141">
        <v>0</v>
      </c>
      <c r="P30" s="140">
        <v>0</v>
      </c>
      <c r="Q30" s="141">
        <v>0</v>
      </c>
      <c r="R30" s="140">
        <v>1</v>
      </c>
      <c r="S30" s="141">
        <v>0</v>
      </c>
      <c r="T30" s="141"/>
      <c r="U30" s="140"/>
      <c r="V30" s="139"/>
      <c r="W30" s="140"/>
      <c r="X30" s="139"/>
      <c r="Y30" s="142">
        <f t="shared" si="0"/>
        <v>42</v>
      </c>
      <c r="Z30" s="143">
        <f t="shared" si="1"/>
        <v>46802.669120833329</v>
      </c>
      <c r="AA30" s="147">
        <f t="shared" si="3"/>
        <v>1114.3492647817459</v>
      </c>
      <c r="AB30" s="148">
        <f t="shared" si="2"/>
        <v>0.52500000000000002</v>
      </c>
      <c r="AC30" s="143">
        <v>80</v>
      </c>
      <c r="AD30" s="227"/>
    </row>
    <row r="31" spans="1:55" s="169" customFormat="1" ht="15.95" customHeight="1" x14ac:dyDescent="0.25">
      <c r="A31" s="309"/>
      <c r="B31" s="150" t="s">
        <v>63</v>
      </c>
      <c r="C31" s="199">
        <v>25</v>
      </c>
      <c r="D31" s="200">
        <v>0</v>
      </c>
      <c r="E31" s="201">
        <v>0</v>
      </c>
      <c r="F31" s="202">
        <v>21</v>
      </c>
      <c r="G31" s="201">
        <v>1195.6816799999999</v>
      </c>
      <c r="H31" s="202">
        <v>1</v>
      </c>
      <c r="I31" s="201">
        <v>1339</v>
      </c>
      <c r="J31" s="202">
        <v>12</v>
      </c>
      <c r="K31" s="203">
        <v>934.78</v>
      </c>
      <c r="L31" s="202">
        <v>7</v>
      </c>
      <c r="M31" s="203">
        <v>834.13520000000005</v>
      </c>
      <c r="N31" s="202">
        <v>0</v>
      </c>
      <c r="O31" s="203">
        <v>0</v>
      </c>
      <c r="P31" s="202">
        <v>0</v>
      </c>
      <c r="Q31" s="203">
        <v>0</v>
      </c>
      <c r="R31" s="202">
        <v>1</v>
      </c>
      <c r="S31" s="203">
        <v>0</v>
      </c>
      <c r="T31" s="203"/>
      <c r="U31" s="202"/>
      <c r="V31" s="201"/>
      <c r="W31" s="202"/>
      <c r="X31" s="201"/>
      <c r="Y31" s="204">
        <f t="shared" si="0"/>
        <v>42</v>
      </c>
      <c r="Z31" s="205">
        <f t="shared" si="1"/>
        <v>43504.621679999997</v>
      </c>
      <c r="AA31" s="158">
        <f t="shared" si="3"/>
        <v>1035.8243257142856</v>
      </c>
      <c r="AB31" s="159">
        <f t="shared" si="2"/>
        <v>0.52500000000000002</v>
      </c>
      <c r="AC31" s="143">
        <v>80</v>
      </c>
      <c r="AD31" s="227"/>
      <c r="AE31" s="126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60"/>
    </row>
    <row r="32" spans="1:55" s="128" customFormat="1" ht="15.95" customHeight="1" x14ac:dyDescent="0.25">
      <c r="A32" s="309"/>
      <c r="B32" s="136" t="s">
        <v>64</v>
      </c>
      <c r="C32" s="161">
        <v>26</v>
      </c>
      <c r="D32" s="162">
        <v>0</v>
      </c>
      <c r="E32" s="163">
        <v>0</v>
      </c>
      <c r="F32" s="164">
        <v>22</v>
      </c>
      <c r="G32" s="163">
        <v>1327.8931666666599</v>
      </c>
      <c r="H32" s="164">
        <v>0</v>
      </c>
      <c r="I32" s="163">
        <v>0</v>
      </c>
      <c r="J32" s="164">
        <v>12</v>
      </c>
      <c r="K32" s="165">
        <v>934.78</v>
      </c>
      <c r="L32" s="164">
        <v>4</v>
      </c>
      <c r="M32" s="165">
        <v>804.01285000000007</v>
      </c>
      <c r="N32" s="164">
        <v>0</v>
      </c>
      <c r="O32" s="165">
        <v>0</v>
      </c>
      <c r="P32" s="164">
        <v>0</v>
      </c>
      <c r="Q32" s="165">
        <v>0</v>
      </c>
      <c r="R32" s="164">
        <v>1</v>
      </c>
      <c r="S32" s="165">
        <v>0</v>
      </c>
      <c r="T32" s="165"/>
      <c r="U32" s="164"/>
      <c r="V32" s="163"/>
      <c r="W32" s="164"/>
      <c r="X32" s="163"/>
      <c r="Y32" s="166">
        <f t="shared" si="0"/>
        <v>39</v>
      </c>
      <c r="Z32" s="167">
        <f t="shared" si="1"/>
        <v>43647.061066666516</v>
      </c>
      <c r="AA32" s="329">
        <f t="shared" si="3"/>
        <v>1119.1554119658081</v>
      </c>
      <c r="AB32" s="148">
        <f t="shared" si="2"/>
        <v>0.48749999999999999</v>
      </c>
      <c r="AC32" s="143">
        <v>80</v>
      </c>
      <c r="AD32" s="227"/>
      <c r="AE32" s="126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  <c r="BC32" s="126"/>
    </row>
    <row r="33" spans="1:56" s="128" customFormat="1" ht="15.95" customHeight="1" x14ac:dyDescent="0.25">
      <c r="A33" s="309"/>
      <c r="B33" s="136" t="s">
        <v>65</v>
      </c>
      <c r="C33" s="137">
        <v>27</v>
      </c>
      <c r="D33" s="138">
        <v>0</v>
      </c>
      <c r="E33" s="139">
        <v>0</v>
      </c>
      <c r="F33" s="140">
        <v>21</v>
      </c>
      <c r="G33" s="139">
        <v>1061.3264199999999</v>
      </c>
      <c r="H33" s="140">
        <v>0</v>
      </c>
      <c r="I33" s="139">
        <v>0</v>
      </c>
      <c r="J33" s="140">
        <v>0</v>
      </c>
      <c r="K33" s="141">
        <v>0</v>
      </c>
      <c r="L33" s="140">
        <v>2</v>
      </c>
      <c r="M33" s="141">
        <v>695.12639999999999</v>
      </c>
      <c r="N33" s="140">
        <v>0</v>
      </c>
      <c r="O33" s="141">
        <v>0</v>
      </c>
      <c r="P33" s="140">
        <v>0</v>
      </c>
      <c r="Q33" s="141">
        <v>0</v>
      </c>
      <c r="R33" s="140">
        <v>0</v>
      </c>
      <c r="S33" s="141">
        <v>0</v>
      </c>
      <c r="T33" s="141"/>
      <c r="U33" s="140"/>
      <c r="V33" s="139"/>
      <c r="W33" s="140"/>
      <c r="X33" s="139"/>
      <c r="Y33" s="142">
        <f t="shared" si="0"/>
        <v>23</v>
      </c>
      <c r="Z33" s="143">
        <f t="shared" si="1"/>
        <v>23678.107619999995</v>
      </c>
      <c r="AA33" s="329">
        <f t="shared" si="3"/>
        <v>1029.4829399999999</v>
      </c>
      <c r="AB33" s="148">
        <f t="shared" si="2"/>
        <v>0.28749999999999998</v>
      </c>
      <c r="AC33" s="143">
        <v>80</v>
      </c>
      <c r="AD33" s="227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</row>
    <row r="34" spans="1:56" s="128" customFormat="1" ht="15.95" customHeight="1" x14ac:dyDescent="0.25">
      <c r="A34" s="396"/>
      <c r="B34" s="136" t="s">
        <v>66</v>
      </c>
      <c r="C34" s="161">
        <v>28</v>
      </c>
      <c r="D34" s="162">
        <v>0</v>
      </c>
      <c r="E34" s="163">
        <v>0</v>
      </c>
      <c r="F34" s="164">
        <v>32</v>
      </c>
      <c r="G34" s="163">
        <v>1225.0871500000001</v>
      </c>
      <c r="H34" s="164">
        <v>0</v>
      </c>
      <c r="I34" s="163">
        <v>0</v>
      </c>
      <c r="J34" s="140">
        <v>0</v>
      </c>
      <c r="K34" s="141">
        <v>0</v>
      </c>
      <c r="L34" s="164">
        <v>4</v>
      </c>
      <c r="M34" s="165">
        <v>773.62785000000008</v>
      </c>
      <c r="N34" s="164">
        <v>0</v>
      </c>
      <c r="O34" s="165">
        <v>0</v>
      </c>
      <c r="P34" s="164">
        <v>0</v>
      </c>
      <c r="Q34" s="165">
        <v>0</v>
      </c>
      <c r="R34" s="164">
        <v>1</v>
      </c>
      <c r="S34" s="165">
        <v>0</v>
      </c>
      <c r="T34" s="165"/>
      <c r="U34" s="164"/>
      <c r="V34" s="163"/>
      <c r="W34" s="164"/>
      <c r="X34" s="163"/>
      <c r="Y34" s="166">
        <f t="shared" si="0"/>
        <v>37</v>
      </c>
      <c r="Z34" s="167">
        <f t="shared" si="1"/>
        <v>42297.300200000005</v>
      </c>
      <c r="AA34" s="329">
        <f>IF(Z34=0,0,Z34/Y34)</f>
        <v>1143.1702756756758</v>
      </c>
      <c r="AB34" s="148">
        <f t="shared" si="2"/>
        <v>0.46250000000000002</v>
      </c>
      <c r="AC34" s="143">
        <v>80</v>
      </c>
      <c r="AD34" s="227"/>
      <c r="AE34" s="126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5.95" customHeight="1" x14ac:dyDescent="0.25">
      <c r="A35" s="206"/>
      <c r="B35" s="136" t="s">
        <v>67</v>
      </c>
      <c r="C35" s="161">
        <v>29</v>
      </c>
      <c r="D35" s="162">
        <v>0</v>
      </c>
      <c r="E35" s="163">
        <v>0</v>
      </c>
      <c r="F35" s="164">
        <v>24</v>
      </c>
      <c r="G35" s="163">
        <v>1202.9962249999999</v>
      </c>
      <c r="H35" s="164">
        <v>0</v>
      </c>
      <c r="I35" s="163">
        <v>0</v>
      </c>
      <c r="J35" s="164">
        <v>0</v>
      </c>
      <c r="K35" s="165">
        <v>0</v>
      </c>
      <c r="L35" s="164">
        <v>7</v>
      </c>
      <c r="M35" s="165">
        <v>964.48022857142814</v>
      </c>
      <c r="N35" s="164">
        <v>0</v>
      </c>
      <c r="O35" s="165">
        <v>0</v>
      </c>
      <c r="P35" s="164">
        <v>0</v>
      </c>
      <c r="Q35" s="165">
        <v>0</v>
      </c>
      <c r="R35" s="164">
        <v>1</v>
      </c>
      <c r="S35" s="165">
        <v>0</v>
      </c>
      <c r="T35" s="165"/>
      <c r="U35" s="164"/>
      <c r="V35" s="163"/>
      <c r="W35" s="164"/>
      <c r="X35" s="163"/>
      <c r="Y35" s="166">
        <f t="shared" si="0"/>
        <v>32</v>
      </c>
      <c r="Z35" s="167">
        <f t="shared" si="1"/>
        <v>35623.270999999993</v>
      </c>
      <c r="AA35" s="147">
        <f>IF(Z35=0,0,Z35/Y35)</f>
        <v>1113.2272187499998</v>
      </c>
      <c r="AB35" s="148">
        <f t="shared" si="2"/>
        <v>0.4</v>
      </c>
      <c r="AC35" s="143">
        <v>80</v>
      </c>
      <c r="AD35" s="227"/>
      <c r="AE35" s="126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6" customFormat="1" ht="15.95" customHeight="1" thickBot="1" x14ac:dyDescent="0.3">
      <c r="A36" s="413"/>
      <c r="B36" s="136" t="s">
        <v>68</v>
      </c>
      <c r="C36" s="137">
        <v>30</v>
      </c>
      <c r="D36" s="138">
        <v>0</v>
      </c>
      <c r="E36" s="139">
        <v>0</v>
      </c>
      <c r="F36" s="140">
        <v>17</v>
      </c>
      <c r="G36" s="139">
        <v>1747.0185818181762</v>
      </c>
      <c r="H36" s="140">
        <v>2</v>
      </c>
      <c r="I36" s="139">
        <v>1339</v>
      </c>
      <c r="J36" s="140">
        <v>0</v>
      </c>
      <c r="K36" s="141">
        <v>0</v>
      </c>
      <c r="L36" s="140">
        <v>1</v>
      </c>
      <c r="M36" s="141">
        <v>1065.2157</v>
      </c>
      <c r="N36" s="140">
        <v>0</v>
      </c>
      <c r="O36" s="141">
        <v>0</v>
      </c>
      <c r="P36" s="140">
        <v>0</v>
      </c>
      <c r="Q36" s="141">
        <v>0</v>
      </c>
      <c r="R36" s="140">
        <v>1</v>
      </c>
      <c r="S36" s="141">
        <v>0</v>
      </c>
      <c r="T36" s="141"/>
      <c r="U36" s="140"/>
      <c r="V36" s="139"/>
      <c r="W36" s="140"/>
      <c r="X36" s="139"/>
      <c r="Y36" s="142">
        <f t="shared" si="0"/>
        <v>21</v>
      </c>
      <c r="Z36" s="143">
        <f t="shared" si="1"/>
        <v>33442.531590908999</v>
      </c>
      <c r="AA36" s="147">
        <f>IF(Z36=0,0,Z36/Y36)</f>
        <v>1592.501504329</v>
      </c>
      <c r="AB36" s="148">
        <f t="shared" si="2"/>
        <v>0.26250000000000001</v>
      </c>
      <c r="AC36" s="143">
        <v>80</v>
      </c>
      <c r="AD36" s="227"/>
    </row>
    <row r="37" spans="1:56" s="128" customFormat="1" ht="17.100000000000001" customHeight="1" thickTop="1" x14ac:dyDescent="0.25">
      <c r="A37" s="171" t="s">
        <v>70</v>
      </c>
      <c r="B37" s="172"/>
      <c r="C37" s="172"/>
      <c r="D37" s="173">
        <f>SUM(D7:D36)</f>
        <v>0</v>
      </c>
      <c r="E37" s="174">
        <f>IF(D37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)/D37)</f>
        <v>0</v>
      </c>
      <c r="F37" s="175">
        <f>SUM(F7:F36)</f>
        <v>734</v>
      </c>
      <c r="G37" s="174">
        <f>IF(F37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)/F37)</f>
        <v>1313.1442110722337</v>
      </c>
      <c r="H37" s="176">
        <f>SUM(H7:H36)</f>
        <v>19</v>
      </c>
      <c r="I37" s="174">
        <f>IF(H37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)/H37)</f>
        <v>1340.578947368421</v>
      </c>
      <c r="J37" s="175">
        <f>SUM(J7:J36)</f>
        <v>64</v>
      </c>
      <c r="K37" s="174">
        <f>IF(J37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)/J37)</f>
        <v>1024.9974999999999</v>
      </c>
      <c r="L37" s="175">
        <f>SUM(L7:L36)</f>
        <v>209</v>
      </c>
      <c r="M37" s="174">
        <f>IF(L37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)/L37)</f>
        <v>894.32178875301634</v>
      </c>
      <c r="N37" s="175">
        <f>SUM(N7:N36)</f>
        <v>0</v>
      </c>
      <c r="O37" s="174">
        <f>IF(N37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)/N37)</f>
        <v>0</v>
      </c>
      <c r="P37" s="175">
        <f>SUM(P7:P36)</f>
        <v>120</v>
      </c>
      <c r="Q37" s="174">
        <f>IF(P37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)/P37)</f>
        <v>1335</v>
      </c>
      <c r="R37" s="175">
        <f>SUM(R7:R36)</f>
        <v>20</v>
      </c>
      <c r="S37" s="174">
        <f>IF(R37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)/R37)</f>
        <v>0</v>
      </c>
      <c r="T37" s="174"/>
      <c r="U37" s="175"/>
      <c r="V37" s="174"/>
      <c r="W37" s="175"/>
      <c r="X37" s="174"/>
      <c r="Y37" s="175">
        <f>SUM(Y7:Y36)</f>
        <v>1166</v>
      </c>
      <c r="Z37" s="177">
        <f>SUM(Z7:Z36)</f>
        <v>1402031.9447763998</v>
      </c>
      <c r="AA37" s="176">
        <f>IF(Z37=0,0,Z37/Y37)</f>
        <v>1202.428769104974</v>
      </c>
      <c r="AB37" s="178">
        <f>Y37/(AB6*D2)</f>
        <v>0.48583333333333334</v>
      </c>
      <c r="AC37" s="126"/>
      <c r="AD37" s="127"/>
      <c r="AE37" s="126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</row>
    <row r="38" spans="1:56" s="128" customFormat="1" ht="17.100000000000001" customHeight="1" thickBot="1" x14ac:dyDescent="0.3">
      <c r="A38" s="179" t="s">
        <v>71</v>
      </c>
      <c r="B38" s="180"/>
      <c r="C38" s="180"/>
      <c r="D38" s="771">
        <f>+E37*D37</f>
        <v>0</v>
      </c>
      <c r="E38" s="767"/>
      <c r="F38" s="766">
        <f>+G37*F37</f>
        <v>963847.85092701949</v>
      </c>
      <c r="G38" s="767"/>
      <c r="H38" s="766">
        <f>+I37*H37</f>
        <v>25471</v>
      </c>
      <c r="I38" s="767"/>
      <c r="J38" s="766">
        <f>+K37*J37</f>
        <v>65599.839999999997</v>
      </c>
      <c r="K38" s="767"/>
      <c r="L38" s="766">
        <f>+M37*L37</f>
        <v>186913.25384938042</v>
      </c>
      <c r="M38" s="767"/>
      <c r="N38" s="766">
        <f>+O37*N37</f>
        <v>0</v>
      </c>
      <c r="O38" s="767"/>
      <c r="P38" s="766">
        <f>+Q37*P37</f>
        <v>160200</v>
      </c>
      <c r="Q38" s="767"/>
      <c r="R38" s="766">
        <f>+S37*R37</f>
        <v>0</v>
      </c>
      <c r="S38" s="768"/>
      <c r="T38" s="181"/>
      <c r="U38" s="182"/>
      <c r="V38" s="181"/>
      <c r="W38" s="182"/>
      <c r="X38" s="181"/>
      <c r="Y38" s="183"/>
      <c r="Z38" s="184"/>
      <c r="AA38" s="184"/>
      <c r="AB38" s="185"/>
      <c r="AC38" s="126"/>
      <c r="AD38" s="127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11" customFormat="1" ht="13.5" thickTop="1" x14ac:dyDescent="0.2">
      <c r="P39" s="211"/>
      <c r="Q39" s="211"/>
      <c r="AC39" s="112"/>
      <c r="AD39" s="113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4"/>
    </row>
    <row r="40" spans="1:56" s="111" customFormat="1" x14ac:dyDescent="0.2">
      <c r="Q40" s="211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G41" s="226"/>
      <c r="Q41" s="316"/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9:56" s="111" customFormat="1" x14ac:dyDescent="0.2"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9:56" s="111" customFormat="1" x14ac:dyDescent="0.2"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</sheetData>
  <mergeCells count="25"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  <mergeCell ref="R5:S5"/>
    <mergeCell ref="R38:S38"/>
    <mergeCell ref="F38:G38"/>
    <mergeCell ref="H38:I38"/>
    <mergeCell ref="J38:K38"/>
    <mergeCell ref="P38:Q38"/>
    <mergeCell ref="A7:A9"/>
    <mergeCell ref="A10:A13"/>
    <mergeCell ref="A15:A16"/>
    <mergeCell ref="L38:M38"/>
    <mergeCell ref="N38:O38"/>
    <mergeCell ref="D38:E38"/>
    <mergeCell ref="A26:A27"/>
  </mergeCells>
  <phoneticPr fontId="74" type="noConversion"/>
  <dataValidations disablePrompts="1" count="1">
    <dataValidation type="textLength" errorStyle="information" allowBlank="1" showInputMessage="1" showErrorMessage="1" error="XLBVal:2=0_x000d__x000a_" sqref="C27:C36 HZ27:HZ36 RV27:RV36 ABR27:ABR36 ALN27:ALN36 AVJ27:AVJ36 BFF27:BFF36 BPB27:BPB36 BYX27:BYX36 CIT27:CIT36 CSP27:CSP36 DCL27:DCL36 DMH27:DMH36 DWD27:DWD36 EFZ27:EFZ36 EPV27:EPV36 EZR27:EZR36 FJN27:FJN36 FTJ27:FTJ36 GDF27:GDF36 GNB27:GNB36 GWX27:GWX36 HGT27:HGT36 HQP27:HQP36 IAL27:IAL36 IKH27:IKH36 IUD27:IUD36 JDZ27:JDZ36 JNV27:JNV36 JXR27:JXR36 KHN27:KHN36 KRJ27:KRJ36 LBF27:LBF36 LLB27:LLB36 LUX27:LUX36 MET27:MET36 MOP27:MOP36 MYL27:MYL36 NIH27:NIH36 NSD27:NSD36 OBZ27:OBZ36 OLV27:OLV36 OVR27:OVR36 PFN27:PFN36 PPJ27:PPJ36 PZF27:PZF36 QJB27:QJB36 QSX27:QSX36 RCT27:RCT36 RMP27:RMP36 RWL27:RWL36 SGH27:SGH36 SQD27:SQD36 SZZ27:SZZ36 TJV27:TJV36 TTR27:TTR36 UDN27:UDN36 UNJ27:UNJ36 UXF27:UXF36 VHB27:VHB36 VQX27:VQX36 WAT27:WAT36 WKP27:WKP36 WUL27:WUL36 C65510:C65520 HZ65510:HZ65520 RV65510:RV65520 ABR65510:ABR65520 ALN65510:ALN65520 AVJ65510:AVJ65520 BFF65510:BFF65520 BPB65510:BPB65520 BYX65510:BYX65520 CIT65510:CIT65520 CSP65510:CSP65520 DCL65510:DCL65520 DMH65510:DMH65520 DWD65510:DWD65520 EFZ65510:EFZ65520 EPV65510:EPV65520 EZR65510:EZR65520 FJN65510:FJN65520 FTJ65510:FTJ65520 GDF65510:GDF65520 GNB65510:GNB65520 GWX65510:GWX65520 HGT65510:HGT65520 HQP65510:HQP65520 IAL65510:IAL65520 IKH65510:IKH65520 IUD65510:IUD65520 JDZ65510:JDZ65520 JNV65510:JNV65520 JXR65510:JXR65520 KHN65510:KHN65520 KRJ65510:KRJ65520 LBF65510:LBF65520 LLB65510:LLB65520 LUX65510:LUX65520 MET65510:MET65520 MOP65510:MOP65520 MYL65510:MYL65520 NIH65510:NIH65520 NSD65510:NSD65520 OBZ65510:OBZ65520 OLV65510:OLV65520 OVR65510:OVR65520 PFN65510:PFN65520 PPJ65510:PPJ65520 PZF65510:PZF65520 QJB65510:QJB65520 QSX65510:QSX65520 RCT65510:RCT65520 RMP65510:RMP65520 RWL65510:RWL65520 SGH65510:SGH65520 SQD65510:SQD65520 SZZ65510:SZZ65520 TJV65510:TJV65520 TTR65510:TTR65520 UDN65510:UDN65520 UNJ65510:UNJ65520 UXF65510:UXF65520 VHB65510:VHB65520 VQX65510:VQX65520 WAT65510:WAT65520 WKP65510:WKP65520 WUL65510:WUL65520 C131046:C131056 HZ131046:HZ131056 RV131046:RV131056 ABR131046:ABR131056 ALN131046:ALN131056 AVJ131046:AVJ131056 BFF131046:BFF131056 BPB131046:BPB131056 BYX131046:BYX131056 CIT131046:CIT131056 CSP131046:CSP131056 DCL131046:DCL131056 DMH131046:DMH131056 DWD131046:DWD131056 EFZ131046:EFZ131056 EPV131046:EPV131056 EZR131046:EZR131056 FJN131046:FJN131056 FTJ131046:FTJ131056 GDF131046:GDF131056 GNB131046:GNB131056 GWX131046:GWX131056 HGT131046:HGT131056 HQP131046:HQP131056 IAL131046:IAL131056 IKH131046:IKH131056 IUD131046:IUD131056 JDZ131046:JDZ131056 JNV131046:JNV131056 JXR131046:JXR131056 KHN131046:KHN131056 KRJ131046:KRJ131056 LBF131046:LBF131056 LLB131046:LLB131056 LUX131046:LUX131056 MET131046:MET131056 MOP131046:MOP131056 MYL131046:MYL131056 NIH131046:NIH131056 NSD131046:NSD131056 OBZ131046:OBZ131056 OLV131046:OLV131056 OVR131046:OVR131056 PFN131046:PFN131056 PPJ131046:PPJ131056 PZF131046:PZF131056 QJB131046:QJB131056 QSX131046:QSX131056 RCT131046:RCT131056 RMP131046:RMP131056 RWL131046:RWL131056 SGH131046:SGH131056 SQD131046:SQD131056 SZZ131046:SZZ131056 TJV131046:TJV131056 TTR131046:TTR131056 UDN131046:UDN131056 UNJ131046:UNJ131056 UXF131046:UXF131056 VHB131046:VHB131056 VQX131046:VQX131056 WAT131046:WAT131056 WKP131046:WKP131056 WUL131046:WUL131056 C196582:C196592 HZ196582:HZ196592 RV196582:RV196592 ABR196582:ABR196592 ALN196582:ALN196592 AVJ196582:AVJ196592 BFF196582:BFF196592 BPB196582:BPB196592 BYX196582:BYX196592 CIT196582:CIT196592 CSP196582:CSP196592 DCL196582:DCL196592 DMH196582:DMH196592 DWD196582:DWD196592 EFZ196582:EFZ196592 EPV196582:EPV196592 EZR196582:EZR196592 FJN196582:FJN196592 FTJ196582:FTJ196592 GDF196582:GDF196592 GNB196582:GNB196592 GWX196582:GWX196592 HGT196582:HGT196592 HQP196582:HQP196592 IAL196582:IAL196592 IKH196582:IKH196592 IUD196582:IUD196592 JDZ196582:JDZ196592 JNV196582:JNV196592 JXR196582:JXR196592 KHN196582:KHN196592 KRJ196582:KRJ196592 LBF196582:LBF196592 LLB196582:LLB196592 LUX196582:LUX196592 MET196582:MET196592 MOP196582:MOP196592 MYL196582:MYL196592 NIH196582:NIH196592 NSD196582:NSD196592 OBZ196582:OBZ196592 OLV196582:OLV196592 OVR196582:OVR196592 PFN196582:PFN196592 PPJ196582:PPJ196592 PZF196582:PZF196592 QJB196582:QJB196592 QSX196582:QSX196592 RCT196582:RCT196592 RMP196582:RMP196592 RWL196582:RWL196592 SGH196582:SGH196592 SQD196582:SQD196592 SZZ196582:SZZ196592 TJV196582:TJV196592 TTR196582:TTR196592 UDN196582:UDN196592 UNJ196582:UNJ196592 UXF196582:UXF196592 VHB196582:VHB196592 VQX196582:VQX196592 WAT196582:WAT196592 WKP196582:WKP196592 WUL196582:WUL196592 C262118:C262128 HZ262118:HZ262128 RV262118:RV262128 ABR262118:ABR262128 ALN262118:ALN262128 AVJ262118:AVJ262128 BFF262118:BFF262128 BPB262118:BPB262128 BYX262118:BYX262128 CIT262118:CIT262128 CSP262118:CSP262128 DCL262118:DCL262128 DMH262118:DMH262128 DWD262118:DWD262128 EFZ262118:EFZ262128 EPV262118:EPV262128 EZR262118:EZR262128 FJN262118:FJN262128 FTJ262118:FTJ262128 GDF262118:GDF262128 GNB262118:GNB262128 GWX262118:GWX262128 HGT262118:HGT262128 HQP262118:HQP262128 IAL262118:IAL262128 IKH262118:IKH262128 IUD262118:IUD262128 JDZ262118:JDZ262128 JNV262118:JNV262128 JXR262118:JXR262128 KHN262118:KHN262128 KRJ262118:KRJ262128 LBF262118:LBF262128 LLB262118:LLB262128 LUX262118:LUX262128 MET262118:MET262128 MOP262118:MOP262128 MYL262118:MYL262128 NIH262118:NIH262128 NSD262118:NSD262128 OBZ262118:OBZ262128 OLV262118:OLV262128 OVR262118:OVR262128 PFN262118:PFN262128 PPJ262118:PPJ262128 PZF262118:PZF262128 QJB262118:QJB262128 QSX262118:QSX262128 RCT262118:RCT262128 RMP262118:RMP262128 RWL262118:RWL262128 SGH262118:SGH262128 SQD262118:SQD262128 SZZ262118:SZZ262128 TJV262118:TJV262128 TTR262118:TTR262128 UDN262118:UDN262128 UNJ262118:UNJ262128 UXF262118:UXF262128 VHB262118:VHB262128 VQX262118:VQX262128 WAT262118:WAT262128 WKP262118:WKP262128 WUL262118:WUL262128 C327654:C327664 HZ327654:HZ327664 RV327654:RV327664 ABR327654:ABR327664 ALN327654:ALN327664 AVJ327654:AVJ327664 BFF327654:BFF327664 BPB327654:BPB327664 BYX327654:BYX327664 CIT327654:CIT327664 CSP327654:CSP327664 DCL327654:DCL327664 DMH327654:DMH327664 DWD327654:DWD327664 EFZ327654:EFZ327664 EPV327654:EPV327664 EZR327654:EZR327664 FJN327654:FJN327664 FTJ327654:FTJ327664 GDF327654:GDF327664 GNB327654:GNB327664 GWX327654:GWX327664 HGT327654:HGT327664 HQP327654:HQP327664 IAL327654:IAL327664 IKH327654:IKH327664 IUD327654:IUD327664 JDZ327654:JDZ327664 JNV327654:JNV327664 JXR327654:JXR327664 KHN327654:KHN327664 KRJ327654:KRJ327664 LBF327654:LBF327664 LLB327654:LLB327664 LUX327654:LUX327664 MET327654:MET327664 MOP327654:MOP327664 MYL327654:MYL327664 NIH327654:NIH327664 NSD327654:NSD327664 OBZ327654:OBZ327664 OLV327654:OLV327664 OVR327654:OVR327664 PFN327654:PFN327664 PPJ327654:PPJ327664 PZF327654:PZF327664 QJB327654:QJB327664 QSX327654:QSX327664 RCT327654:RCT327664 RMP327654:RMP327664 RWL327654:RWL327664 SGH327654:SGH327664 SQD327654:SQD327664 SZZ327654:SZZ327664 TJV327654:TJV327664 TTR327654:TTR327664 UDN327654:UDN327664 UNJ327654:UNJ327664 UXF327654:UXF327664 VHB327654:VHB327664 VQX327654:VQX327664 WAT327654:WAT327664 WKP327654:WKP327664 WUL327654:WUL327664 C393190:C393200 HZ393190:HZ393200 RV393190:RV393200 ABR393190:ABR393200 ALN393190:ALN393200 AVJ393190:AVJ393200 BFF393190:BFF393200 BPB393190:BPB393200 BYX393190:BYX393200 CIT393190:CIT393200 CSP393190:CSP393200 DCL393190:DCL393200 DMH393190:DMH393200 DWD393190:DWD393200 EFZ393190:EFZ393200 EPV393190:EPV393200 EZR393190:EZR393200 FJN393190:FJN393200 FTJ393190:FTJ393200 GDF393190:GDF393200 GNB393190:GNB393200 GWX393190:GWX393200 HGT393190:HGT393200 HQP393190:HQP393200 IAL393190:IAL393200 IKH393190:IKH393200 IUD393190:IUD393200 JDZ393190:JDZ393200 JNV393190:JNV393200 JXR393190:JXR393200 KHN393190:KHN393200 KRJ393190:KRJ393200 LBF393190:LBF393200 LLB393190:LLB393200 LUX393190:LUX393200 MET393190:MET393200 MOP393190:MOP393200 MYL393190:MYL393200 NIH393190:NIH393200 NSD393190:NSD393200 OBZ393190:OBZ393200 OLV393190:OLV393200 OVR393190:OVR393200 PFN393190:PFN393200 PPJ393190:PPJ393200 PZF393190:PZF393200 QJB393190:QJB393200 QSX393190:QSX393200 RCT393190:RCT393200 RMP393190:RMP393200 RWL393190:RWL393200 SGH393190:SGH393200 SQD393190:SQD393200 SZZ393190:SZZ393200 TJV393190:TJV393200 TTR393190:TTR393200 UDN393190:UDN393200 UNJ393190:UNJ393200 UXF393190:UXF393200 VHB393190:VHB393200 VQX393190:VQX393200 WAT393190:WAT393200 WKP393190:WKP393200 WUL393190:WUL393200 C458726:C458736 HZ458726:HZ458736 RV458726:RV458736 ABR458726:ABR458736 ALN458726:ALN458736 AVJ458726:AVJ458736 BFF458726:BFF458736 BPB458726:BPB458736 BYX458726:BYX458736 CIT458726:CIT458736 CSP458726:CSP458736 DCL458726:DCL458736 DMH458726:DMH458736 DWD458726:DWD458736 EFZ458726:EFZ458736 EPV458726:EPV458736 EZR458726:EZR458736 FJN458726:FJN458736 FTJ458726:FTJ458736 GDF458726:GDF458736 GNB458726:GNB458736 GWX458726:GWX458736 HGT458726:HGT458736 HQP458726:HQP458736 IAL458726:IAL458736 IKH458726:IKH458736 IUD458726:IUD458736 JDZ458726:JDZ458736 JNV458726:JNV458736 JXR458726:JXR458736 KHN458726:KHN458736 KRJ458726:KRJ458736 LBF458726:LBF458736 LLB458726:LLB458736 LUX458726:LUX458736 MET458726:MET458736 MOP458726:MOP458736 MYL458726:MYL458736 NIH458726:NIH458736 NSD458726:NSD458736 OBZ458726:OBZ458736 OLV458726:OLV458736 OVR458726:OVR458736 PFN458726:PFN458736 PPJ458726:PPJ458736 PZF458726:PZF458736 QJB458726:QJB458736 QSX458726:QSX458736 RCT458726:RCT458736 RMP458726:RMP458736 RWL458726:RWL458736 SGH458726:SGH458736 SQD458726:SQD458736 SZZ458726:SZZ458736 TJV458726:TJV458736 TTR458726:TTR458736 UDN458726:UDN458736 UNJ458726:UNJ458736 UXF458726:UXF458736 VHB458726:VHB458736 VQX458726:VQX458736 WAT458726:WAT458736 WKP458726:WKP458736 WUL458726:WUL458736 C524262:C524272 HZ524262:HZ524272 RV524262:RV524272 ABR524262:ABR524272 ALN524262:ALN524272 AVJ524262:AVJ524272 BFF524262:BFF524272 BPB524262:BPB524272 BYX524262:BYX524272 CIT524262:CIT524272 CSP524262:CSP524272 DCL524262:DCL524272 DMH524262:DMH524272 DWD524262:DWD524272 EFZ524262:EFZ524272 EPV524262:EPV524272 EZR524262:EZR524272 FJN524262:FJN524272 FTJ524262:FTJ524272 GDF524262:GDF524272 GNB524262:GNB524272 GWX524262:GWX524272 HGT524262:HGT524272 HQP524262:HQP524272 IAL524262:IAL524272 IKH524262:IKH524272 IUD524262:IUD524272 JDZ524262:JDZ524272 JNV524262:JNV524272 JXR524262:JXR524272 KHN524262:KHN524272 KRJ524262:KRJ524272 LBF524262:LBF524272 LLB524262:LLB524272 LUX524262:LUX524272 MET524262:MET524272 MOP524262:MOP524272 MYL524262:MYL524272 NIH524262:NIH524272 NSD524262:NSD524272 OBZ524262:OBZ524272 OLV524262:OLV524272 OVR524262:OVR524272 PFN524262:PFN524272 PPJ524262:PPJ524272 PZF524262:PZF524272 QJB524262:QJB524272 QSX524262:QSX524272 RCT524262:RCT524272 RMP524262:RMP524272 RWL524262:RWL524272 SGH524262:SGH524272 SQD524262:SQD524272 SZZ524262:SZZ524272 TJV524262:TJV524272 TTR524262:TTR524272 UDN524262:UDN524272 UNJ524262:UNJ524272 UXF524262:UXF524272 VHB524262:VHB524272 VQX524262:VQX524272 WAT524262:WAT524272 WKP524262:WKP524272 WUL524262:WUL524272 C589798:C589808 HZ589798:HZ589808 RV589798:RV589808 ABR589798:ABR589808 ALN589798:ALN589808 AVJ589798:AVJ589808 BFF589798:BFF589808 BPB589798:BPB589808 BYX589798:BYX589808 CIT589798:CIT589808 CSP589798:CSP589808 DCL589798:DCL589808 DMH589798:DMH589808 DWD589798:DWD589808 EFZ589798:EFZ589808 EPV589798:EPV589808 EZR589798:EZR589808 FJN589798:FJN589808 FTJ589798:FTJ589808 GDF589798:GDF589808 GNB589798:GNB589808 GWX589798:GWX589808 HGT589798:HGT589808 HQP589798:HQP589808 IAL589798:IAL589808 IKH589798:IKH589808 IUD589798:IUD589808 JDZ589798:JDZ589808 JNV589798:JNV589808 JXR589798:JXR589808 KHN589798:KHN589808 KRJ589798:KRJ589808 LBF589798:LBF589808 LLB589798:LLB589808 LUX589798:LUX589808 MET589798:MET589808 MOP589798:MOP589808 MYL589798:MYL589808 NIH589798:NIH589808 NSD589798:NSD589808 OBZ589798:OBZ589808 OLV589798:OLV589808 OVR589798:OVR589808 PFN589798:PFN589808 PPJ589798:PPJ589808 PZF589798:PZF589808 QJB589798:QJB589808 QSX589798:QSX589808 RCT589798:RCT589808 RMP589798:RMP589808 RWL589798:RWL589808 SGH589798:SGH589808 SQD589798:SQD589808 SZZ589798:SZZ589808 TJV589798:TJV589808 TTR589798:TTR589808 UDN589798:UDN589808 UNJ589798:UNJ589808 UXF589798:UXF589808 VHB589798:VHB589808 VQX589798:VQX589808 WAT589798:WAT589808 WKP589798:WKP589808 WUL589798:WUL589808 C655334:C655344 HZ655334:HZ655344 RV655334:RV655344 ABR655334:ABR655344 ALN655334:ALN655344 AVJ655334:AVJ655344 BFF655334:BFF655344 BPB655334:BPB655344 BYX655334:BYX655344 CIT655334:CIT655344 CSP655334:CSP655344 DCL655334:DCL655344 DMH655334:DMH655344 DWD655334:DWD655344 EFZ655334:EFZ655344 EPV655334:EPV655344 EZR655334:EZR655344 FJN655334:FJN655344 FTJ655334:FTJ655344 GDF655334:GDF655344 GNB655334:GNB655344 GWX655334:GWX655344 HGT655334:HGT655344 HQP655334:HQP655344 IAL655334:IAL655344 IKH655334:IKH655344 IUD655334:IUD655344 JDZ655334:JDZ655344 JNV655334:JNV655344 JXR655334:JXR655344 KHN655334:KHN655344 KRJ655334:KRJ655344 LBF655334:LBF655344 LLB655334:LLB655344 LUX655334:LUX655344 MET655334:MET655344 MOP655334:MOP655344 MYL655334:MYL655344 NIH655334:NIH655344 NSD655334:NSD655344 OBZ655334:OBZ655344 OLV655334:OLV655344 OVR655334:OVR655344 PFN655334:PFN655344 PPJ655334:PPJ655344 PZF655334:PZF655344 QJB655334:QJB655344 QSX655334:QSX655344 RCT655334:RCT655344 RMP655334:RMP655344 RWL655334:RWL655344 SGH655334:SGH655344 SQD655334:SQD655344 SZZ655334:SZZ655344 TJV655334:TJV655344 TTR655334:TTR655344 UDN655334:UDN655344 UNJ655334:UNJ655344 UXF655334:UXF655344 VHB655334:VHB655344 VQX655334:VQX655344 WAT655334:WAT655344 WKP655334:WKP655344 WUL655334:WUL655344 C720870:C720880 HZ720870:HZ720880 RV720870:RV720880 ABR720870:ABR720880 ALN720870:ALN720880 AVJ720870:AVJ720880 BFF720870:BFF720880 BPB720870:BPB720880 BYX720870:BYX720880 CIT720870:CIT720880 CSP720870:CSP720880 DCL720870:DCL720880 DMH720870:DMH720880 DWD720870:DWD720880 EFZ720870:EFZ720880 EPV720870:EPV720880 EZR720870:EZR720880 FJN720870:FJN720880 FTJ720870:FTJ720880 GDF720870:GDF720880 GNB720870:GNB720880 GWX720870:GWX720880 HGT720870:HGT720880 HQP720870:HQP720880 IAL720870:IAL720880 IKH720870:IKH720880 IUD720870:IUD720880 JDZ720870:JDZ720880 JNV720870:JNV720880 JXR720870:JXR720880 KHN720870:KHN720880 KRJ720870:KRJ720880 LBF720870:LBF720880 LLB720870:LLB720880 LUX720870:LUX720880 MET720870:MET720880 MOP720870:MOP720880 MYL720870:MYL720880 NIH720870:NIH720880 NSD720870:NSD720880 OBZ720870:OBZ720880 OLV720870:OLV720880 OVR720870:OVR720880 PFN720870:PFN720880 PPJ720870:PPJ720880 PZF720870:PZF720880 QJB720870:QJB720880 QSX720870:QSX720880 RCT720870:RCT720880 RMP720870:RMP720880 RWL720870:RWL720880 SGH720870:SGH720880 SQD720870:SQD720880 SZZ720870:SZZ720880 TJV720870:TJV720880 TTR720870:TTR720880 UDN720870:UDN720880 UNJ720870:UNJ720880 UXF720870:UXF720880 VHB720870:VHB720880 VQX720870:VQX720880 WAT720870:WAT720880 WKP720870:WKP720880 WUL720870:WUL720880 C786406:C786416 HZ786406:HZ786416 RV786406:RV786416 ABR786406:ABR786416 ALN786406:ALN786416 AVJ786406:AVJ786416 BFF786406:BFF786416 BPB786406:BPB786416 BYX786406:BYX786416 CIT786406:CIT786416 CSP786406:CSP786416 DCL786406:DCL786416 DMH786406:DMH786416 DWD786406:DWD786416 EFZ786406:EFZ786416 EPV786406:EPV786416 EZR786406:EZR786416 FJN786406:FJN786416 FTJ786406:FTJ786416 GDF786406:GDF786416 GNB786406:GNB786416 GWX786406:GWX786416 HGT786406:HGT786416 HQP786406:HQP786416 IAL786406:IAL786416 IKH786406:IKH786416 IUD786406:IUD786416 JDZ786406:JDZ786416 JNV786406:JNV786416 JXR786406:JXR786416 KHN786406:KHN786416 KRJ786406:KRJ786416 LBF786406:LBF786416 LLB786406:LLB786416 LUX786406:LUX786416 MET786406:MET786416 MOP786406:MOP786416 MYL786406:MYL786416 NIH786406:NIH786416 NSD786406:NSD786416 OBZ786406:OBZ786416 OLV786406:OLV786416 OVR786406:OVR786416 PFN786406:PFN786416 PPJ786406:PPJ786416 PZF786406:PZF786416 QJB786406:QJB786416 QSX786406:QSX786416 RCT786406:RCT786416 RMP786406:RMP786416 RWL786406:RWL786416 SGH786406:SGH786416 SQD786406:SQD786416 SZZ786406:SZZ786416 TJV786406:TJV786416 TTR786406:TTR786416 UDN786406:UDN786416 UNJ786406:UNJ786416 UXF786406:UXF786416 VHB786406:VHB786416 VQX786406:VQX786416 WAT786406:WAT786416 WKP786406:WKP786416 WUL786406:WUL786416 C851942:C851952 HZ851942:HZ851952 RV851942:RV851952 ABR851942:ABR851952 ALN851942:ALN851952 AVJ851942:AVJ851952 BFF851942:BFF851952 BPB851942:BPB851952 BYX851942:BYX851952 CIT851942:CIT851952 CSP851942:CSP851952 DCL851942:DCL851952 DMH851942:DMH851952 DWD851942:DWD851952 EFZ851942:EFZ851952 EPV851942:EPV851952 EZR851942:EZR851952 FJN851942:FJN851952 FTJ851942:FTJ851952 GDF851942:GDF851952 GNB851942:GNB851952 GWX851942:GWX851952 HGT851942:HGT851952 HQP851942:HQP851952 IAL851942:IAL851952 IKH851942:IKH851952 IUD851942:IUD851952 JDZ851942:JDZ851952 JNV851942:JNV851952 JXR851942:JXR851952 KHN851942:KHN851952 KRJ851942:KRJ851952 LBF851942:LBF851952 LLB851942:LLB851952 LUX851942:LUX851952 MET851942:MET851952 MOP851942:MOP851952 MYL851942:MYL851952 NIH851942:NIH851952 NSD851942:NSD851952 OBZ851942:OBZ851952 OLV851942:OLV851952 OVR851942:OVR851952 PFN851942:PFN851952 PPJ851942:PPJ851952 PZF851942:PZF851952 QJB851942:QJB851952 QSX851942:QSX851952 RCT851942:RCT851952 RMP851942:RMP851952 RWL851942:RWL851952 SGH851942:SGH851952 SQD851942:SQD851952 SZZ851942:SZZ851952 TJV851942:TJV851952 TTR851942:TTR851952 UDN851942:UDN851952 UNJ851942:UNJ851952 UXF851942:UXF851952 VHB851942:VHB851952 VQX851942:VQX851952 WAT851942:WAT851952 WKP851942:WKP851952 WUL851942:WUL851952 C917478:C917488 HZ917478:HZ917488 RV917478:RV917488 ABR917478:ABR917488 ALN917478:ALN917488 AVJ917478:AVJ917488 BFF917478:BFF917488 BPB917478:BPB917488 BYX917478:BYX917488 CIT917478:CIT917488 CSP917478:CSP917488 DCL917478:DCL917488 DMH917478:DMH917488 DWD917478:DWD917488 EFZ917478:EFZ917488 EPV917478:EPV917488 EZR917478:EZR917488 FJN917478:FJN917488 FTJ917478:FTJ917488 GDF917478:GDF917488 GNB917478:GNB917488 GWX917478:GWX917488 HGT917478:HGT917488 HQP917478:HQP917488 IAL917478:IAL917488 IKH917478:IKH917488 IUD917478:IUD917488 JDZ917478:JDZ917488 JNV917478:JNV917488 JXR917478:JXR917488 KHN917478:KHN917488 KRJ917478:KRJ917488 LBF917478:LBF917488 LLB917478:LLB917488 LUX917478:LUX917488 MET917478:MET917488 MOP917478:MOP917488 MYL917478:MYL917488 NIH917478:NIH917488 NSD917478:NSD917488 OBZ917478:OBZ917488 OLV917478:OLV917488 OVR917478:OVR917488 PFN917478:PFN917488 PPJ917478:PPJ917488 PZF917478:PZF917488 QJB917478:QJB917488 QSX917478:QSX917488 RCT917478:RCT917488 RMP917478:RMP917488 RWL917478:RWL917488 SGH917478:SGH917488 SQD917478:SQD917488 SZZ917478:SZZ917488 TJV917478:TJV917488 TTR917478:TTR917488 UDN917478:UDN917488 UNJ917478:UNJ917488 UXF917478:UXF917488 VHB917478:VHB917488 VQX917478:VQX917488 WAT917478:WAT917488 WKP917478:WKP917488 WUL917478:WUL917488 C983014:C983024 HZ983014:HZ983024 RV983014:RV983024 ABR983014:ABR983024 ALN983014:ALN983024 AVJ983014:AVJ983024 BFF983014:BFF983024 BPB983014:BPB983024 BYX983014:BYX983024 CIT983014:CIT983024 CSP983014:CSP983024 DCL983014:DCL983024 DMH983014:DMH983024 DWD983014:DWD983024 EFZ983014:EFZ983024 EPV983014:EPV983024 EZR983014:EZR983024 FJN983014:FJN983024 FTJ983014:FTJ983024 GDF983014:GDF983024 GNB983014:GNB983024 GWX983014:GWX983024 HGT983014:HGT983024 HQP983014:HQP983024 IAL983014:IAL983024 IKH983014:IKH983024 IUD983014:IUD983024 JDZ983014:JDZ983024 JNV983014:JNV983024 JXR983014:JXR983024 KHN983014:KHN983024 KRJ983014:KRJ983024 LBF983014:LBF983024 LLB983014:LLB983024 LUX983014:LUX983024 MET983014:MET983024 MOP983014:MOP983024 MYL983014:MYL983024 NIH983014:NIH983024 NSD983014:NSD983024 OBZ983014:OBZ983024 OLV983014:OLV983024 OVR983014:OVR983024 PFN983014:PFN983024 PPJ983014:PPJ983024 PZF983014:PZF983024 QJB983014:QJB983024 QSX983014:QSX983024 RCT983014:RCT983024 RMP983014:RMP983024 RWL983014:RWL983024 SGH983014:SGH983024 SQD983014:SQD983024 SZZ983014:SZZ983024 TJV983014:TJV983024 TTR983014:TTR983024 UDN983014:UDN983024 UNJ983014:UNJ983024 UXF983014:UXF983024 VHB983014:VHB983024 VQX983014:VQX983024 WAT983014:WAT983024 WKP983014:WKP983024 WUL983014:WUL983024" xr:uid="{00000000-0002-0000-1B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5" orientation="landscape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>
    <pageSetUpPr fitToPage="1"/>
  </sheetPr>
  <dimension ref="B1:T36"/>
  <sheetViews>
    <sheetView view="pageBreakPreview" zoomScale="50" zoomScaleNormal="50" zoomScaleSheetLayoutView="50" workbookViewId="0">
      <pane xSplit="2" ySplit="6" topLeftCell="C7" activePane="bottomRight" state="frozen"/>
      <selection activeCell="G12" sqref="G12"/>
      <selection pane="topRight" activeCell="G12" sqref="G12"/>
      <selection pane="bottomLeft" activeCell="G12" sqref="G12"/>
      <selection pane="bottomRight" activeCell="K8" sqref="K8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5.855468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3.28515625" style="5" bestFit="1" customWidth="1"/>
    <col min="20" max="20" width="17.7109375" style="5" bestFit="1" customWidth="1"/>
    <col min="21" max="16384" width="9.140625" style="5"/>
  </cols>
  <sheetData>
    <row r="1" spans="2:20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0" s="1" customFormat="1" ht="26.25" x14ac:dyDescent="0.4">
      <c r="B2" s="759" t="s">
        <v>148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0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0" ht="33" customHeight="1" outlineLevel="1" x14ac:dyDescent="0.35">
      <c r="B4" s="6" t="s">
        <v>1</v>
      </c>
      <c r="C4" s="7">
        <f>155*30</f>
        <v>4650</v>
      </c>
      <c r="D4" s="8"/>
      <c r="E4" s="9"/>
      <c r="F4" s="10"/>
      <c r="G4" s="7">
        <f>80*30</f>
        <v>2400</v>
      </c>
      <c r="H4" s="11"/>
      <c r="I4" s="11"/>
      <c r="J4" s="11"/>
      <c r="K4" s="7">
        <f>80*30</f>
        <v>2400</v>
      </c>
      <c r="L4" s="12"/>
      <c r="M4" s="12"/>
      <c r="N4" s="12"/>
      <c r="O4" s="12"/>
      <c r="P4" s="12"/>
      <c r="Q4" s="13"/>
    </row>
    <row r="5" spans="2:20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20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0" s="94" customFormat="1" ht="33" customHeight="1" outlineLevel="1" x14ac:dyDescent="0.3">
      <c r="B7" s="89" t="s">
        <v>37</v>
      </c>
      <c r="C7" s="90">
        <v>16</v>
      </c>
      <c r="D7" s="91">
        <f t="shared" ref="D7:D16" si="0">+IF(C$24=0,0,C7/C$24)</f>
        <v>1.5625E-2</v>
      </c>
      <c r="E7" s="92">
        <f>IF(C7=0,0,F7/C7)</f>
        <v>1040.9237499999999</v>
      </c>
      <c r="F7" s="93">
        <v>16654.78</v>
      </c>
      <c r="G7" s="90">
        <v>0</v>
      </c>
      <c r="H7" s="91">
        <f t="shared" ref="H7:H16" si="1">+IF(G$24=0,0,G7/G$24)</f>
        <v>0</v>
      </c>
      <c r="I7" s="92">
        <f>IF(G7=0,0,J7/G7)</f>
        <v>0</v>
      </c>
      <c r="J7" s="93">
        <v>0</v>
      </c>
      <c r="K7" s="90">
        <f>'DJune 2023'!D37</f>
        <v>0</v>
      </c>
      <c r="L7" s="91">
        <f>+IF(K$24=0,0,K7/K$24)</f>
        <v>0</v>
      </c>
      <c r="M7" s="92">
        <f>IF(K7=0,0,N7/K7)</f>
        <v>0</v>
      </c>
      <c r="N7" s="93">
        <f>'DJune 2023'!D38</f>
        <v>0</v>
      </c>
      <c r="O7" s="90">
        <f t="shared" ref="O7:O24" si="2">K7-G7</f>
        <v>0</v>
      </c>
      <c r="P7" s="92">
        <f t="shared" ref="P7:P24" si="3">M7-I7</f>
        <v>0</v>
      </c>
      <c r="Q7" s="93">
        <f t="shared" ref="Q7:Q24" si="4">N7-J7</f>
        <v>0</v>
      </c>
      <c r="T7" s="210"/>
    </row>
    <row r="8" spans="2:20" s="94" customFormat="1" ht="33" customHeight="1" outlineLevel="1" x14ac:dyDescent="0.3">
      <c r="B8" s="89" t="s">
        <v>38</v>
      </c>
      <c r="C8" s="90">
        <v>566</v>
      </c>
      <c r="D8" s="91">
        <f t="shared" si="0"/>
        <v>0.552734375</v>
      </c>
      <c r="E8" s="92">
        <f>IF(C8=0,0,F8/C8)</f>
        <v>1119.7685865724382</v>
      </c>
      <c r="F8" s="93">
        <v>633789.02</v>
      </c>
      <c r="G8" s="90">
        <v>466</v>
      </c>
      <c r="H8" s="91">
        <f t="shared" si="1"/>
        <v>0.47165991902834009</v>
      </c>
      <c r="I8" s="92">
        <f>IF(G8=0,0,J8/G8)</f>
        <v>1127</v>
      </c>
      <c r="J8" s="93">
        <v>525182</v>
      </c>
      <c r="K8" s="90">
        <f>'DJune 2023'!F37</f>
        <v>734</v>
      </c>
      <c r="L8" s="91">
        <f t="shared" ref="L8:L16" si="5">+IF(K$24=0,0,K8/K$24)</f>
        <v>0.6295025728987993</v>
      </c>
      <c r="M8" s="92">
        <f>IF(K8=0,0,N8/K8)</f>
        <v>1313.1442110722337</v>
      </c>
      <c r="N8" s="93">
        <f>'DJune 2023'!F38</f>
        <v>963847.85092701949</v>
      </c>
      <c r="O8" s="90">
        <f t="shared" si="2"/>
        <v>268</v>
      </c>
      <c r="P8" s="92">
        <f t="shared" si="3"/>
        <v>186.1442110722337</v>
      </c>
      <c r="Q8" s="93">
        <f t="shared" si="4"/>
        <v>438665.85092701949</v>
      </c>
      <c r="S8" s="210"/>
      <c r="T8" s="210"/>
    </row>
    <row r="9" spans="2:20" s="94" customFormat="1" ht="20.25" outlineLevel="1" x14ac:dyDescent="0.3">
      <c r="B9" s="89" t="s">
        <v>44</v>
      </c>
      <c r="C9" s="90">
        <v>33</v>
      </c>
      <c r="D9" s="91">
        <f t="shared" si="0"/>
        <v>3.22265625E-2</v>
      </c>
      <c r="E9" s="92">
        <f>IF(C9=0,0,F9/C9)</f>
        <v>1163.6348484848484</v>
      </c>
      <c r="F9" s="93">
        <v>38399.949999999997</v>
      </c>
      <c r="G9" s="90">
        <v>0</v>
      </c>
      <c r="H9" s="91">
        <f t="shared" si="1"/>
        <v>0</v>
      </c>
      <c r="I9" s="92">
        <f>IF(G9=0,0,J9/G9)</f>
        <v>0</v>
      </c>
      <c r="J9" s="93">
        <v>0</v>
      </c>
      <c r="K9" s="90">
        <f>'DJune 2023'!H37</f>
        <v>19</v>
      </c>
      <c r="L9" s="91">
        <f t="shared" si="5"/>
        <v>1.6295025728987993E-2</v>
      </c>
      <c r="M9" s="92">
        <f>IF(K9=0,0,N9/K9)</f>
        <v>1340.578947368421</v>
      </c>
      <c r="N9" s="93">
        <f>'DJune 2023'!H38</f>
        <v>25471</v>
      </c>
      <c r="O9" s="90">
        <f t="shared" si="2"/>
        <v>19</v>
      </c>
      <c r="P9" s="92">
        <f t="shared" si="3"/>
        <v>1340.578947368421</v>
      </c>
      <c r="Q9" s="93">
        <f t="shared" si="4"/>
        <v>25471</v>
      </c>
      <c r="S9" s="210"/>
      <c r="T9" s="210"/>
    </row>
    <row r="10" spans="2:20" ht="33" customHeight="1" x14ac:dyDescent="0.35">
      <c r="B10" s="20" t="s">
        <v>36</v>
      </c>
      <c r="C10" s="55">
        <f>SUM(C7:C9)</f>
        <v>615</v>
      </c>
      <c r="D10" s="21">
        <f t="shared" si="0"/>
        <v>0.6005859375</v>
      </c>
      <c r="E10" s="58">
        <f>IF(C10=0,0,F10/C10)</f>
        <v>1120.071138211382</v>
      </c>
      <c r="F10" s="59">
        <f>SUM(F7:F9)</f>
        <v>688843.75</v>
      </c>
      <c r="G10" s="55">
        <v>466</v>
      </c>
      <c r="H10" s="21">
        <f t="shared" si="1"/>
        <v>0.47165991902834009</v>
      </c>
      <c r="I10" s="58">
        <f>IF(G10=0,0,J10/G10)</f>
        <v>1127</v>
      </c>
      <c r="J10" s="59">
        <v>525182</v>
      </c>
      <c r="K10" s="55">
        <f>SUM(K7:K9)</f>
        <v>753</v>
      </c>
      <c r="L10" s="21">
        <f t="shared" si="5"/>
        <v>0.64579759862778729</v>
      </c>
      <c r="M10" s="58">
        <f>IF(K10=0,0,N10/K10)</f>
        <v>1313.8364554143684</v>
      </c>
      <c r="N10" s="59">
        <f>SUM(N7:N9)</f>
        <v>989318.85092701949</v>
      </c>
      <c r="O10" s="55">
        <f t="shared" si="2"/>
        <v>287</v>
      </c>
      <c r="P10" s="58">
        <f t="shared" si="3"/>
        <v>186.8364554143684</v>
      </c>
      <c r="Q10" s="59">
        <f t="shared" si="4"/>
        <v>464136.85092701949</v>
      </c>
      <c r="S10" s="210"/>
      <c r="T10" s="210"/>
    </row>
    <row r="11" spans="2:20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ref="E11:E16" si="6">IF(C11=0,0,F11/C11)</f>
        <v>0</v>
      </c>
      <c r="F11" s="93">
        <v>0</v>
      </c>
      <c r="G11" s="90">
        <v>0</v>
      </c>
      <c r="H11" s="91">
        <f t="shared" si="1"/>
        <v>0</v>
      </c>
      <c r="I11" s="92">
        <f t="shared" ref="I11:I16" si="7">IF(G11=0,0,J11/G11)</f>
        <v>0</v>
      </c>
      <c r="J11" s="93">
        <v>0</v>
      </c>
      <c r="K11" s="90">
        <f>'DJune 2023'!J37</f>
        <v>64</v>
      </c>
      <c r="L11" s="91">
        <f t="shared" si="5"/>
        <v>5.4888507718696397E-2</v>
      </c>
      <c r="M11" s="92">
        <f t="shared" ref="M11:M16" si="8">IF(K11=0,0,N11/K11)</f>
        <v>1024.9974999999999</v>
      </c>
      <c r="N11" s="93">
        <f>'DJune 2023'!J38</f>
        <v>65599.839999999997</v>
      </c>
      <c r="O11" s="90">
        <f t="shared" si="2"/>
        <v>64</v>
      </c>
      <c r="P11" s="92">
        <f t="shared" si="3"/>
        <v>1024.9974999999999</v>
      </c>
      <c r="Q11" s="93">
        <f t="shared" si="4"/>
        <v>65599.839999999997</v>
      </c>
      <c r="S11" s="210"/>
      <c r="T11" s="210"/>
    </row>
    <row r="12" spans="2:20" s="94" customFormat="1" ht="33" customHeight="1" x14ac:dyDescent="0.3">
      <c r="B12" s="89" t="s">
        <v>41</v>
      </c>
      <c r="C12" s="90">
        <v>63</v>
      </c>
      <c r="D12" s="91">
        <f t="shared" si="0"/>
        <v>6.15234375E-2</v>
      </c>
      <c r="E12" s="92">
        <f t="shared" si="6"/>
        <v>811.61968253968257</v>
      </c>
      <c r="F12" s="93">
        <v>51132.04</v>
      </c>
      <c r="G12" s="90">
        <v>205</v>
      </c>
      <c r="H12" s="91">
        <f t="shared" si="1"/>
        <v>0.20748987854251011</v>
      </c>
      <c r="I12" s="92">
        <f t="shared" si="7"/>
        <v>1113</v>
      </c>
      <c r="J12" s="93">
        <v>228165</v>
      </c>
      <c r="K12" s="90">
        <f>'DJune 2023'!L37</f>
        <v>209</v>
      </c>
      <c r="L12" s="91">
        <f t="shared" si="5"/>
        <v>0.17924528301886791</v>
      </c>
      <c r="M12" s="92">
        <f t="shared" si="8"/>
        <v>894.32178875301634</v>
      </c>
      <c r="N12" s="93">
        <f>'DJune 2023'!L38</f>
        <v>186913.25384938042</v>
      </c>
      <c r="O12" s="90">
        <f t="shared" si="2"/>
        <v>4</v>
      </c>
      <c r="P12" s="92">
        <f t="shared" si="3"/>
        <v>-218.67821124698366</v>
      </c>
      <c r="Q12" s="93">
        <f t="shared" si="4"/>
        <v>-41251.746150619583</v>
      </c>
      <c r="S12" s="210"/>
      <c r="T12" s="210"/>
    </row>
    <row r="13" spans="2:20" ht="33" customHeight="1" x14ac:dyDescent="0.35">
      <c r="B13" s="20" t="s">
        <v>39</v>
      </c>
      <c r="C13" s="55">
        <f>SUM(C11:C12)</f>
        <v>63</v>
      </c>
      <c r="D13" s="21">
        <f t="shared" si="0"/>
        <v>6.15234375E-2</v>
      </c>
      <c r="E13" s="58">
        <f t="shared" si="6"/>
        <v>811.61968253968257</v>
      </c>
      <c r="F13" s="59">
        <f>SUM(F11:F12)</f>
        <v>51132.04</v>
      </c>
      <c r="G13" s="55">
        <v>205</v>
      </c>
      <c r="H13" s="21">
        <f t="shared" si="1"/>
        <v>0.20748987854251011</v>
      </c>
      <c r="I13" s="58">
        <f t="shared" si="7"/>
        <v>1113</v>
      </c>
      <c r="J13" s="59">
        <v>228165</v>
      </c>
      <c r="K13" s="55">
        <f>SUM(K11:K12)</f>
        <v>273</v>
      </c>
      <c r="L13" s="21">
        <f t="shared" si="5"/>
        <v>0.23413379073756432</v>
      </c>
      <c r="M13" s="58">
        <f t="shared" si="8"/>
        <v>924.95638772666814</v>
      </c>
      <c r="N13" s="59">
        <f>SUM(N11:N12)</f>
        <v>252513.09384938041</v>
      </c>
      <c r="O13" s="55">
        <f t="shared" si="2"/>
        <v>68</v>
      </c>
      <c r="P13" s="58">
        <f t="shared" si="3"/>
        <v>-188.04361227333186</v>
      </c>
      <c r="Q13" s="59">
        <f t="shared" si="4"/>
        <v>24348.093849380413</v>
      </c>
      <c r="S13" s="210"/>
      <c r="T13" s="210"/>
    </row>
    <row r="14" spans="2:20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6"/>
        <v>0</v>
      </c>
      <c r="F14" s="95">
        <v>0</v>
      </c>
      <c r="G14" s="90">
        <v>0</v>
      </c>
      <c r="H14" s="91">
        <f t="shared" si="1"/>
        <v>0</v>
      </c>
      <c r="I14" s="92">
        <f t="shared" si="7"/>
        <v>0</v>
      </c>
      <c r="J14" s="95">
        <v>0</v>
      </c>
      <c r="K14" s="90">
        <f>'DJune 2023'!N37</f>
        <v>0</v>
      </c>
      <c r="L14" s="91">
        <f t="shared" si="5"/>
        <v>0</v>
      </c>
      <c r="M14" s="92">
        <f t="shared" si="8"/>
        <v>0</v>
      </c>
      <c r="N14" s="95">
        <f>'DJune 2023'!N38</f>
        <v>0</v>
      </c>
      <c r="O14" s="90">
        <f t="shared" si="2"/>
        <v>0</v>
      </c>
      <c r="P14" s="92">
        <f t="shared" si="3"/>
        <v>0</v>
      </c>
      <c r="Q14" s="96">
        <f t="shared" si="4"/>
        <v>0</v>
      </c>
      <c r="S14" s="210"/>
      <c r="T14" s="210"/>
    </row>
    <row r="15" spans="2:20" s="94" customFormat="1" ht="33" customHeight="1" x14ac:dyDescent="0.3">
      <c r="B15" s="89" t="s">
        <v>43</v>
      </c>
      <c r="C15" s="90">
        <v>333</v>
      </c>
      <c r="D15" s="91">
        <f t="shared" si="0"/>
        <v>0.3251953125</v>
      </c>
      <c r="E15" s="92">
        <f t="shared" si="6"/>
        <v>1334.8793093093093</v>
      </c>
      <c r="F15" s="95">
        <v>444514.81</v>
      </c>
      <c r="G15" s="90">
        <v>317</v>
      </c>
      <c r="H15" s="91">
        <f t="shared" si="1"/>
        <v>0.3208502024291498</v>
      </c>
      <c r="I15" s="92">
        <f t="shared" si="7"/>
        <v>1524</v>
      </c>
      <c r="J15" s="95">
        <v>483108</v>
      </c>
      <c r="K15" s="90">
        <f>'DJune 2023'!P37</f>
        <v>120</v>
      </c>
      <c r="L15" s="91">
        <f t="shared" si="5"/>
        <v>0.10291595197255575</v>
      </c>
      <c r="M15" s="92">
        <f t="shared" si="8"/>
        <v>1335</v>
      </c>
      <c r="N15" s="95">
        <f>'DJune 2023'!P38</f>
        <v>160200</v>
      </c>
      <c r="O15" s="90">
        <f t="shared" si="2"/>
        <v>-197</v>
      </c>
      <c r="P15" s="92">
        <f t="shared" si="3"/>
        <v>-189</v>
      </c>
      <c r="Q15" s="96">
        <f t="shared" si="4"/>
        <v>-322908</v>
      </c>
      <c r="S15" s="210"/>
      <c r="T15" s="210"/>
    </row>
    <row r="16" spans="2:20" ht="33" customHeight="1" x14ac:dyDescent="0.35">
      <c r="B16" s="20" t="s">
        <v>42</v>
      </c>
      <c r="C16" s="55">
        <f>SUM(C14:C15)</f>
        <v>333</v>
      </c>
      <c r="D16" s="21">
        <f t="shared" si="0"/>
        <v>0.3251953125</v>
      </c>
      <c r="E16" s="58">
        <f t="shared" si="6"/>
        <v>1334.8793093093093</v>
      </c>
      <c r="F16" s="87">
        <f>SUM(F14:F15)</f>
        <v>444514.81</v>
      </c>
      <c r="G16" s="55">
        <v>317</v>
      </c>
      <c r="H16" s="21">
        <f t="shared" si="1"/>
        <v>0.3208502024291498</v>
      </c>
      <c r="I16" s="58">
        <f t="shared" si="7"/>
        <v>1524</v>
      </c>
      <c r="J16" s="87">
        <v>483108</v>
      </c>
      <c r="K16" s="55">
        <f>SUM(K14:K15)</f>
        <v>120</v>
      </c>
      <c r="L16" s="21">
        <f t="shared" si="5"/>
        <v>0.10291595197255575</v>
      </c>
      <c r="M16" s="58">
        <f t="shared" si="8"/>
        <v>1335</v>
      </c>
      <c r="N16" s="87">
        <f>SUM(N14:N15)</f>
        <v>160200</v>
      </c>
      <c r="O16" s="55">
        <f t="shared" si="2"/>
        <v>-197</v>
      </c>
      <c r="P16" s="58">
        <f t="shared" si="3"/>
        <v>-189</v>
      </c>
      <c r="Q16" s="88">
        <f t="shared" si="4"/>
        <v>-322908</v>
      </c>
      <c r="S16" s="210"/>
      <c r="T16" s="210"/>
    </row>
    <row r="17" spans="2:20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S17" s="210"/>
      <c r="T17" s="210"/>
    </row>
    <row r="18" spans="2:20" ht="33" hidden="1" customHeight="1" x14ac:dyDescent="0.35">
      <c r="B18" s="22" t="s">
        <v>13</v>
      </c>
      <c r="C18" s="56">
        <f>C8+C9+C11+C12</f>
        <v>662</v>
      </c>
      <c r="D18" s="23">
        <f>+IF(C$24=0,0,C18/C$24)</f>
        <v>0.646484375</v>
      </c>
      <c r="E18" s="60">
        <f>IF(C18=0,0,F18/C18)</f>
        <v>1092.6299244712991</v>
      </c>
      <c r="F18" s="61">
        <f>F8+F9+F11+F12</f>
        <v>723321.01</v>
      </c>
      <c r="G18" s="56">
        <f>G8+G9+G11+G12</f>
        <v>671</v>
      </c>
      <c r="H18" s="23">
        <f>+IF(G$24=0,0,G18/G$24)</f>
        <v>0.67914979757085026</v>
      </c>
      <c r="I18" s="60">
        <f>IF(G18=0,0,J18/G18)</f>
        <v>1122.7228017883756</v>
      </c>
      <c r="J18" s="61">
        <f>J8+J9+J11+J12</f>
        <v>753347</v>
      </c>
      <c r="K18" s="56">
        <f>K8+K9+K11+K12</f>
        <v>1026</v>
      </c>
      <c r="L18" s="23">
        <f>+IF(K$24=0,0,K18/K$24)</f>
        <v>0.87993138936535165</v>
      </c>
      <c r="M18" s="60">
        <f>IF(K18=0,0,N18/K18)</f>
        <v>1210.3625192752436</v>
      </c>
      <c r="N18" s="61">
        <f>N8+N9+N11+N12</f>
        <v>1241831.9447764</v>
      </c>
      <c r="O18" s="56">
        <f t="shared" si="2"/>
        <v>355</v>
      </c>
      <c r="P18" s="60">
        <f t="shared" si="3"/>
        <v>87.639717486867994</v>
      </c>
      <c r="Q18" s="66">
        <f t="shared" si="4"/>
        <v>488484.94477639999</v>
      </c>
      <c r="S18" s="210"/>
      <c r="T18" s="210"/>
    </row>
    <row r="19" spans="2:20" ht="33" hidden="1" customHeight="1" x14ac:dyDescent="0.35">
      <c r="B19" s="22" t="s">
        <v>45</v>
      </c>
      <c r="C19" s="105">
        <f>C7+C14+C15</f>
        <v>349</v>
      </c>
      <c r="D19" s="106">
        <f>+IF(C$24=0,0,C19/C$24)</f>
        <v>0.3408203125</v>
      </c>
      <c r="E19" s="107">
        <f>IF(C19=0,0,F19/C19)</f>
        <v>1321.4028366762177</v>
      </c>
      <c r="F19" s="108">
        <f>F7+F14+F15</f>
        <v>461169.58999999997</v>
      </c>
      <c r="G19" s="105">
        <f>G7+G14+G15</f>
        <v>317</v>
      </c>
      <c r="H19" s="106">
        <f>+IF(G$24=0,0,G19/G$24)</f>
        <v>0.3208502024291498</v>
      </c>
      <c r="I19" s="107">
        <f>IF(G19=0,0,J19/G19)</f>
        <v>1524</v>
      </c>
      <c r="J19" s="108">
        <f>J7+J14+J15</f>
        <v>483108</v>
      </c>
      <c r="K19" s="105">
        <f>K7+K14+K15</f>
        <v>120</v>
      </c>
      <c r="L19" s="106">
        <f>+IF(K$24=0,0,K19/K$24)</f>
        <v>0.10291595197255575</v>
      </c>
      <c r="M19" s="107">
        <f>IF(K19=0,0,N19/K19)</f>
        <v>1335</v>
      </c>
      <c r="N19" s="108">
        <f>N7+N14+N15</f>
        <v>160200</v>
      </c>
      <c r="O19" s="56">
        <f t="shared" si="2"/>
        <v>-197</v>
      </c>
      <c r="P19" s="60">
        <f t="shared" si="3"/>
        <v>-189</v>
      </c>
      <c r="Q19" s="66">
        <f t="shared" si="4"/>
        <v>-322908</v>
      </c>
      <c r="S19" s="210"/>
      <c r="T19" s="210"/>
    </row>
    <row r="20" spans="2:20" ht="33" customHeight="1" x14ac:dyDescent="0.35">
      <c r="B20" s="28" t="s">
        <v>16</v>
      </c>
      <c r="C20" s="56">
        <f>C18+C19</f>
        <v>1011</v>
      </c>
      <c r="D20" s="23">
        <f>+IF(C$24=0,0,C20/C$24)</f>
        <v>0.9873046875</v>
      </c>
      <c r="E20" s="60">
        <f>IF(C20=0,0,F20/C20)</f>
        <v>1171.6029673590506</v>
      </c>
      <c r="F20" s="64">
        <f>F18+F19</f>
        <v>1184490.6000000001</v>
      </c>
      <c r="G20" s="56">
        <f>+G10+G13+G16</f>
        <v>988</v>
      </c>
      <c r="H20" s="23">
        <f>+IF(G$24=0,0,G20/G$24)</f>
        <v>1</v>
      </c>
      <c r="I20" s="60">
        <f>IF(G20=0,0,J20/G20)</f>
        <v>1251.4726720647773</v>
      </c>
      <c r="J20" s="64">
        <f>+J10+J13+J16</f>
        <v>1236455</v>
      </c>
      <c r="K20" s="56">
        <f>K18+K19</f>
        <v>1146</v>
      </c>
      <c r="L20" s="23">
        <f>+IF(K$24=0,0,K20/K$24)</f>
        <v>0.98284734133790741</v>
      </c>
      <c r="M20" s="60">
        <f>IF(K20=0,0,N20/K20)</f>
        <v>1223.4135643773125</v>
      </c>
      <c r="N20" s="64">
        <f>N18+N19</f>
        <v>1402031.9447764</v>
      </c>
      <c r="O20" s="56">
        <f t="shared" si="2"/>
        <v>158</v>
      </c>
      <c r="P20" s="60">
        <f t="shared" si="3"/>
        <v>-28.059107687464802</v>
      </c>
      <c r="Q20" s="66">
        <f t="shared" si="4"/>
        <v>165576.94477639999</v>
      </c>
      <c r="S20" s="210"/>
      <c r="T20" s="210"/>
    </row>
    <row r="21" spans="2:20" ht="33" customHeight="1" x14ac:dyDescent="0.35">
      <c r="B21" s="29" t="s">
        <v>17</v>
      </c>
      <c r="C21" s="24">
        <f>IF(C4=0,C20,C20/$C$4)</f>
        <v>0.21741935483870967</v>
      </c>
      <c r="D21" s="30"/>
      <c r="E21" s="35"/>
      <c r="F21" s="36"/>
      <c r="G21" s="24">
        <f>IF(G4=0,G20,G20/$C$4)</f>
        <v>0.21247311827956988</v>
      </c>
      <c r="H21" s="30"/>
      <c r="I21" s="35"/>
      <c r="J21" s="36"/>
      <c r="K21" s="24">
        <f>IF(K4=0,K20,K20/$C$4)</f>
        <v>0.24645161290322581</v>
      </c>
      <c r="L21" s="30"/>
      <c r="M21" s="35"/>
      <c r="N21" s="36"/>
      <c r="O21" s="54">
        <f t="shared" si="2"/>
        <v>3.397849462365593E-2</v>
      </c>
      <c r="P21" s="30">
        <f t="shared" si="3"/>
        <v>0</v>
      </c>
      <c r="Q21" s="31">
        <f t="shared" si="4"/>
        <v>0</v>
      </c>
      <c r="S21" s="210"/>
      <c r="T21" s="210"/>
    </row>
    <row r="22" spans="2:20" ht="33" customHeight="1" x14ac:dyDescent="0.35">
      <c r="B22" s="25" t="s">
        <v>18</v>
      </c>
      <c r="C22" s="57">
        <v>13</v>
      </c>
      <c r="D22" s="26">
        <f>+IF(C$24=0,0,C22/C$24)</f>
        <v>1.26953125E-2</v>
      </c>
      <c r="E22" s="65">
        <f>IF(C22=0,0,F22/C22)</f>
        <v>-1325.6546153846152</v>
      </c>
      <c r="F22" s="63">
        <v>-17233.509999999998</v>
      </c>
      <c r="G22" s="57">
        <v>0</v>
      </c>
      <c r="H22" s="26">
        <f>+IF(G$24=0,0,G22/G$24)</f>
        <v>0</v>
      </c>
      <c r="I22" s="65">
        <f>IF(G22=0,0,J22/G22)</f>
        <v>0</v>
      </c>
      <c r="J22" s="63">
        <v>0</v>
      </c>
      <c r="K22" s="57">
        <f>'DJune 2023'!R37</f>
        <v>20</v>
      </c>
      <c r="L22" s="26">
        <f>+IF(K$24=0,0,K22/K$24)</f>
        <v>1.7152658662092625E-2</v>
      </c>
      <c r="M22" s="65">
        <f>IF(K22=0,0,N22/K22)</f>
        <v>0</v>
      </c>
      <c r="N22" s="63">
        <v>0</v>
      </c>
      <c r="O22" s="57">
        <f t="shared" si="2"/>
        <v>20</v>
      </c>
      <c r="P22" s="62">
        <f t="shared" si="3"/>
        <v>0</v>
      </c>
      <c r="Q22" s="63">
        <f t="shared" si="4"/>
        <v>0</v>
      </c>
      <c r="S22" s="210"/>
      <c r="T22" s="210"/>
    </row>
    <row r="23" spans="2:20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  <c r="S23" s="210"/>
      <c r="T23" s="210"/>
    </row>
    <row r="24" spans="2:20" ht="33" customHeight="1" x14ac:dyDescent="0.35">
      <c r="B24" s="22" t="s">
        <v>20</v>
      </c>
      <c r="C24" s="56">
        <f>C10+C13+C16+C22+C23</f>
        <v>1024</v>
      </c>
      <c r="D24" s="23">
        <f>+IF(C$24=0,0,C24/C$24)</f>
        <v>1</v>
      </c>
      <c r="E24" s="60">
        <f>IF(C24=0,0,F24/C24)</f>
        <v>1139.8995019531251</v>
      </c>
      <c r="F24" s="64">
        <f>F10+F13+F16+F22+F23</f>
        <v>1167257.0900000001</v>
      </c>
      <c r="G24" s="56">
        <f>G10+G13+G16+G22+G23</f>
        <v>988</v>
      </c>
      <c r="H24" s="23">
        <f>+IF(G$24=0,0,G24/G$24)</f>
        <v>1</v>
      </c>
      <c r="I24" s="60">
        <f>IF(G24=0,0,J24/G24)</f>
        <v>1251.4726720647773</v>
      </c>
      <c r="J24" s="64">
        <f>J10+J13+J16+J22+J23</f>
        <v>1236455</v>
      </c>
      <c r="K24" s="56">
        <f>K10+K13+K16+K22+K23</f>
        <v>1166</v>
      </c>
      <c r="L24" s="23">
        <f>+IF(K$24=0,0,K24/K$24)</f>
        <v>1</v>
      </c>
      <c r="M24" s="60">
        <f>IF(K24=0,0,N24/K24)</f>
        <v>1202.4287691049742</v>
      </c>
      <c r="N24" s="64">
        <f>N10+N13+N16+N22+N23</f>
        <v>1402031.9447764</v>
      </c>
      <c r="O24" s="56">
        <f t="shared" si="2"/>
        <v>178</v>
      </c>
      <c r="P24" s="60">
        <f t="shared" si="3"/>
        <v>-49.043902959803063</v>
      </c>
      <c r="Q24" s="64">
        <f t="shared" si="4"/>
        <v>165576.94477639999</v>
      </c>
      <c r="S24" s="210"/>
      <c r="T24" s="210"/>
    </row>
    <row r="25" spans="2:20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-3.9188952387499282E-2</v>
      </c>
      <c r="Q25" s="38">
        <f>IF(J24=0,(N24-J24),(N24-J24)/J24)</f>
        <v>0.13391263311353829</v>
      </c>
    </row>
    <row r="26" spans="2:20" ht="33" customHeight="1" x14ac:dyDescent="0.35">
      <c r="B26" s="40" t="s">
        <v>21</v>
      </c>
      <c r="C26" s="41">
        <f>IF(C4=0,C24,C24/C4)</f>
        <v>0.22021505376344086</v>
      </c>
      <c r="D26" s="30"/>
      <c r="E26" s="30"/>
      <c r="F26" s="31"/>
      <c r="G26" s="41">
        <f>IF(G4=0,G24,G24/G4)</f>
        <v>0.41166666666666668</v>
      </c>
      <c r="H26" s="30"/>
      <c r="I26" s="30"/>
      <c r="J26" s="31"/>
      <c r="K26" s="41">
        <f>IF(K4=0,K24,K24/K4)</f>
        <v>0.48583333333333334</v>
      </c>
      <c r="L26" s="30"/>
      <c r="M26" s="30"/>
      <c r="N26" s="31"/>
      <c r="O26" s="41">
        <f>K26-G26</f>
        <v>7.4166666666666659E-2</v>
      </c>
      <c r="P26" s="30"/>
      <c r="Q26" s="31"/>
    </row>
    <row r="27" spans="2:20" ht="33" customHeight="1" x14ac:dyDescent="0.35">
      <c r="B27" s="42" t="s">
        <v>22</v>
      </c>
      <c r="C27" s="43">
        <f>IF(C4=0,0,F$24/C$4)</f>
        <v>251.02303010752689</v>
      </c>
      <c r="D27" s="44"/>
      <c r="E27" s="45"/>
      <c r="F27" s="46"/>
      <c r="G27" s="43">
        <f>IF(G4=0,0,J$24/G$4)</f>
        <v>515.1895833333333</v>
      </c>
      <c r="H27" s="44"/>
      <c r="I27" s="45"/>
      <c r="J27" s="46"/>
      <c r="K27" s="43">
        <f>IF(K4=0,0,N$24/K$4)</f>
        <v>584.17997699016667</v>
      </c>
      <c r="L27" s="44"/>
      <c r="M27" s="45"/>
      <c r="N27" s="46"/>
      <c r="O27" s="43">
        <f>K27-G27</f>
        <v>68.990393656833362</v>
      </c>
      <c r="P27" s="45"/>
      <c r="Q27" s="46"/>
    </row>
    <row r="28" spans="2:20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0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20" x14ac:dyDescent="0.35">
      <c r="B30" s="358"/>
      <c r="Q30" s="86"/>
    </row>
    <row r="31" spans="2:20" x14ac:dyDescent="0.35">
      <c r="B31" s="358"/>
      <c r="Q31" s="86"/>
    </row>
    <row r="32" spans="2:20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>
    <tabColor theme="0" tint="-0.34998626667073579"/>
    <pageSetUpPr fitToPage="1"/>
  </sheetPr>
  <dimension ref="B1:X36"/>
  <sheetViews>
    <sheetView view="pageBreakPreview" zoomScale="50" zoomScaleNormal="50" zoomScaleSheetLayoutView="50" workbookViewId="0">
      <pane xSplit="2" ySplit="6" topLeftCell="C22" activePane="bottomRight" state="frozen"/>
      <selection activeCell="G12" sqref="G12"/>
      <selection pane="topRight" activeCell="G12" sqref="G12"/>
      <selection pane="bottomLeft" activeCell="G12" sqref="G12"/>
      <selection pane="bottomRight" activeCell="I23" sqref="I23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17.71093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7.85546875" style="5" bestFit="1" customWidth="1"/>
    <col min="10" max="10" width="19.28515625" style="5" bestFit="1" customWidth="1"/>
    <col min="11" max="13" width="15.7109375" style="5" customWidth="1" outlineLevel="1"/>
    <col min="14" max="14" width="19.28515625" style="5" bestFit="1" customWidth="1" outlineLevel="1"/>
    <col min="15" max="16" width="15.7109375" style="5" customWidth="1"/>
    <col min="17" max="17" width="20.7109375" style="5" bestFit="1" customWidth="1"/>
    <col min="18" max="18" width="1.85546875" style="5" customWidth="1"/>
    <col min="19" max="16384" width="9.140625" style="5"/>
  </cols>
  <sheetData>
    <row r="1" spans="2:24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4" s="1" customFormat="1" ht="26.25" x14ac:dyDescent="0.4">
      <c r="B2" s="759" t="s">
        <v>149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4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4" ht="33" customHeight="1" outlineLevel="1" x14ac:dyDescent="0.35">
      <c r="B4" s="6" t="s">
        <v>1</v>
      </c>
      <c r="C4" s="7">
        <f>'April 2023'!C4+'May 2023'!C4+'June 2023'!C4</f>
        <v>14105</v>
      </c>
      <c r="D4" s="8"/>
      <c r="E4" s="9"/>
      <c r="F4" s="10"/>
      <c r="G4" s="7">
        <f>'April 2023'!G4+'May 2023'!G4+'June 2023'!G4</f>
        <v>7280</v>
      </c>
      <c r="H4" s="11"/>
      <c r="I4" s="11"/>
      <c r="J4" s="11"/>
      <c r="K4" s="7">
        <f>'April 2023'!K4+'May 2023'!K4+'June 2023'!K4</f>
        <v>7280</v>
      </c>
      <c r="L4" s="12"/>
      <c r="M4" s="12"/>
      <c r="N4" s="12"/>
      <c r="O4" s="12"/>
      <c r="P4" s="12"/>
      <c r="Q4" s="13"/>
    </row>
    <row r="5" spans="2:24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24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4" s="94" customFormat="1" ht="33" customHeight="1" outlineLevel="1" x14ac:dyDescent="0.3">
      <c r="B7" s="89" t="s">
        <v>37</v>
      </c>
      <c r="C7" s="90">
        <f>'April 2023'!C7+'May 2023'!C7+'June 2023'!C7</f>
        <v>121</v>
      </c>
      <c r="D7" s="91">
        <f t="shared" ref="D7:D20" si="0">+IF(C$24=0,0,C7/C$24)</f>
        <v>2.8087279480037142E-2</v>
      </c>
      <c r="E7" s="92">
        <f>IF(C7=0,0,F7/C7)</f>
        <v>1595.7461983471076</v>
      </c>
      <c r="F7" s="93">
        <f>'April 2023'!F7+'May 2023'!F7+'June 2023'!F7</f>
        <v>193085.29</v>
      </c>
      <c r="G7" s="90">
        <f>'April 2023'!G7+'May 2023'!G7+'June 2023'!G7</f>
        <v>0</v>
      </c>
      <c r="H7" s="91">
        <f t="shared" ref="H7:H16" si="1">+IF(G$24=0,0,G7/G$24)</f>
        <v>0</v>
      </c>
      <c r="I7" s="92">
        <f>IF(G7=0,0,J7/G7)</f>
        <v>0</v>
      </c>
      <c r="J7" s="93">
        <f>'April 2023'!J7+'May 2023'!J7+'June 2023'!J7</f>
        <v>0</v>
      </c>
      <c r="K7" s="90">
        <f>'April 2023'!K7+'May 2023'!K7+'June 2023'!K7</f>
        <v>0</v>
      </c>
      <c r="L7" s="91">
        <f>+IF(K$24=0,0,K7/K$24)</f>
        <v>0</v>
      </c>
      <c r="M7" s="92">
        <f>IF(K7=0,0,N7/K7)</f>
        <v>0</v>
      </c>
      <c r="N7" s="93">
        <f>'April 2023'!N7+'May 2023'!N7+'June 2023'!N7</f>
        <v>0</v>
      </c>
      <c r="O7" s="90">
        <f t="shared" ref="O7:O24" si="2">K7-G7</f>
        <v>0</v>
      </c>
      <c r="P7" s="92">
        <f t="shared" ref="P7:P24" si="3">M7-I7</f>
        <v>0</v>
      </c>
      <c r="Q7" s="93">
        <f t="shared" ref="Q7:Q24" si="4">N7-J7</f>
        <v>0</v>
      </c>
    </row>
    <row r="8" spans="2:24" s="94" customFormat="1" ht="33" customHeight="1" outlineLevel="1" x14ac:dyDescent="0.3">
      <c r="B8" s="89" t="s">
        <v>38</v>
      </c>
      <c r="C8" s="90">
        <f>'April 2023'!C8+'May 2023'!C8+'June 2023'!C8</f>
        <v>2454</v>
      </c>
      <c r="D8" s="91">
        <f t="shared" si="0"/>
        <v>0.56963788300835649</v>
      </c>
      <c r="E8" s="92">
        <f t="shared" ref="E8:E24" si="5">IF(C8=0,0,F8/C8)</f>
        <v>1076.4348981255096</v>
      </c>
      <c r="F8" s="93">
        <f>'April 2023'!F8+'May 2023'!F8+'June 2023'!F8</f>
        <v>2641571.2400000002</v>
      </c>
      <c r="G8" s="90">
        <f>'April 2023'!G8+'May 2023'!G8+'June 2023'!G8</f>
        <v>2369</v>
      </c>
      <c r="H8" s="91">
        <f t="shared" si="1"/>
        <v>0.5955253896430367</v>
      </c>
      <c r="I8" s="92">
        <f>IF(G8=0,0,J8/G8)</f>
        <v>1440.0645842127481</v>
      </c>
      <c r="J8" s="93">
        <f>'April 2023'!J8+'May 2023'!J8+'June 2023'!J8</f>
        <v>3411513</v>
      </c>
      <c r="K8" s="90">
        <f>'April 2023'!K8+'May 2023'!K8+'June 2023'!K8</f>
        <v>2406</v>
      </c>
      <c r="L8" s="91">
        <f t="shared" ref="L8:L16" si="6">+IF(K$24=0,0,K8/K$24)</f>
        <v>0.5687943262411348</v>
      </c>
      <c r="M8" s="92">
        <f>IF(K8=0,0,N8/K8)</f>
        <v>1493.2229614963601</v>
      </c>
      <c r="N8" s="93">
        <f>'April 2023'!N8+'May 2023'!N8+'June 2023'!N8</f>
        <v>3592694.4453602424</v>
      </c>
      <c r="O8" s="90">
        <f t="shared" si="2"/>
        <v>37</v>
      </c>
      <c r="P8" s="92">
        <f t="shared" si="3"/>
        <v>53.158377283612026</v>
      </c>
      <c r="Q8" s="93">
        <f t="shared" si="4"/>
        <v>181181.44536024239</v>
      </c>
    </row>
    <row r="9" spans="2:24" s="94" customFormat="1" ht="20.25" outlineLevel="1" x14ac:dyDescent="0.3">
      <c r="B9" s="89" t="s">
        <v>44</v>
      </c>
      <c r="C9" s="90">
        <f>'April 2023'!C9+'May 2023'!C9+'June 2023'!C9</f>
        <v>196</v>
      </c>
      <c r="D9" s="91">
        <f t="shared" si="0"/>
        <v>4.5496750232126279E-2</v>
      </c>
      <c r="E9" s="92">
        <f>IF(C9=0,0,F9/C9)</f>
        <v>1153.3289285714288</v>
      </c>
      <c r="F9" s="93">
        <f>'April 2023'!F9+'May 2023'!F9+'June 2023'!F9</f>
        <v>226052.47000000003</v>
      </c>
      <c r="G9" s="90">
        <f>'April 2023'!G9+'May 2023'!G9+'June 2023'!G9</f>
        <v>92</v>
      </c>
      <c r="H9" s="91">
        <f t="shared" si="1"/>
        <v>2.3127199597787834E-2</v>
      </c>
      <c r="I9" s="92">
        <f>IF(G9=0,0,J9/G9)</f>
        <v>1405.7717391304348</v>
      </c>
      <c r="J9" s="93">
        <f>'April 2023'!J9+'May 2023'!J9+'June 2023'!J9</f>
        <v>129331</v>
      </c>
      <c r="K9" s="90">
        <f>'April 2023'!K9+'May 2023'!K9+'June 2023'!K9</f>
        <v>140</v>
      </c>
      <c r="L9" s="91">
        <f t="shared" si="6"/>
        <v>3.309692671394799E-2</v>
      </c>
      <c r="M9" s="92">
        <f>IF(K9=0,0,N9/K9)</f>
        <v>1373.9635714285714</v>
      </c>
      <c r="N9" s="93">
        <f>'April 2023'!N9+'May 2023'!N9+'June 2023'!N9</f>
        <v>192354.9</v>
      </c>
      <c r="O9" s="90">
        <f t="shared" si="2"/>
        <v>48</v>
      </c>
      <c r="P9" s="92">
        <f t="shared" si="3"/>
        <v>-31.80816770186334</v>
      </c>
      <c r="Q9" s="93">
        <f t="shared" si="4"/>
        <v>63023.899999999994</v>
      </c>
    </row>
    <row r="10" spans="2:24" ht="33" customHeight="1" x14ac:dyDescent="0.35">
      <c r="B10" s="20" t="s">
        <v>36</v>
      </c>
      <c r="C10" s="55">
        <f>SUM(C7:C9)</f>
        <v>2771</v>
      </c>
      <c r="D10" s="21">
        <f t="shared" si="0"/>
        <v>0.64322191272051998</v>
      </c>
      <c r="E10" s="58">
        <f>IF(C10=0,0,F10/C10)</f>
        <v>1104.5503428365212</v>
      </c>
      <c r="F10" s="59">
        <f>SUM(F7:F9)</f>
        <v>3060709.0000000005</v>
      </c>
      <c r="G10" s="55">
        <f>SUM(G7:G9)</f>
        <v>2461</v>
      </c>
      <c r="H10" s="21">
        <f t="shared" si="1"/>
        <v>0.61865258924082456</v>
      </c>
      <c r="I10" s="58">
        <f>IF(G10=0,0,J10/G10)</f>
        <v>1438.7826086956522</v>
      </c>
      <c r="J10" s="59">
        <f>SUM(J7:J9)</f>
        <v>3540844</v>
      </c>
      <c r="K10" s="55">
        <f>SUM(K7:K9)</f>
        <v>2546</v>
      </c>
      <c r="L10" s="21">
        <f t="shared" si="6"/>
        <v>0.60189125295508272</v>
      </c>
      <c r="M10" s="58">
        <f>IF(K10=0,0,N10/K10)</f>
        <v>1486.6651002986027</v>
      </c>
      <c r="N10" s="59">
        <f>SUM(N7:N9)</f>
        <v>3785049.3453602423</v>
      </c>
      <c r="O10" s="55">
        <f t="shared" si="2"/>
        <v>85</v>
      </c>
      <c r="P10" s="58">
        <f t="shared" si="3"/>
        <v>47.882491602950495</v>
      </c>
      <c r="Q10" s="59">
        <f t="shared" si="4"/>
        <v>244205.3453602423</v>
      </c>
      <c r="T10" s="223"/>
      <c r="U10" s="223"/>
      <c r="V10" s="223"/>
      <c r="W10" s="223"/>
      <c r="X10" s="223"/>
    </row>
    <row r="11" spans="2:24" s="94" customFormat="1" ht="33" customHeight="1" x14ac:dyDescent="0.3">
      <c r="B11" s="89" t="s">
        <v>40</v>
      </c>
      <c r="C11" s="90">
        <f>'April 2023'!C11+'May 2023'!C11+'June 2023'!C11</f>
        <v>4</v>
      </c>
      <c r="D11" s="91">
        <f t="shared" si="0"/>
        <v>9.2850510677808728E-4</v>
      </c>
      <c r="E11" s="92">
        <f t="shared" si="5"/>
        <v>873.91499999999996</v>
      </c>
      <c r="F11" s="93">
        <f>'April 2023'!F11+'May 2023'!F11+'June 2023'!F11</f>
        <v>3495.66</v>
      </c>
      <c r="G11" s="90">
        <f>'April 2023'!G11+'May 2023'!G11+'June 2023'!G11</f>
        <v>42</v>
      </c>
      <c r="H11" s="91">
        <f t="shared" si="1"/>
        <v>1.0558069381598794E-2</v>
      </c>
      <c r="I11" s="92">
        <f t="shared" ref="I11:I16" si="7">IF(G11=0,0,J11/G11)</f>
        <v>846.21428571428567</v>
      </c>
      <c r="J11" s="93">
        <f>'April 2023'!J11+'May 2023'!J11+'June 2023'!J11</f>
        <v>35541</v>
      </c>
      <c r="K11" s="90">
        <f>'April 2023'!K11+'May 2023'!K11+'June 2023'!K11</f>
        <v>354</v>
      </c>
      <c r="L11" s="91">
        <f t="shared" si="6"/>
        <v>8.3687943262411343E-2</v>
      </c>
      <c r="M11" s="92">
        <f t="shared" ref="M11:M16" si="8">IF(K11=0,0,N11/K11)</f>
        <v>1093.5650878844945</v>
      </c>
      <c r="N11" s="93">
        <f>'April 2023'!N11+'May 2023'!N11+'June 2023'!N11</f>
        <v>387122.04111111106</v>
      </c>
      <c r="O11" s="90">
        <f t="shared" si="2"/>
        <v>312</v>
      </c>
      <c r="P11" s="92">
        <f t="shared" si="3"/>
        <v>247.35080217020879</v>
      </c>
      <c r="Q11" s="93">
        <f t="shared" si="4"/>
        <v>351581.04111111106</v>
      </c>
      <c r="T11" s="210"/>
      <c r="U11" s="210"/>
      <c r="V11" s="210"/>
      <c r="W11" s="210"/>
      <c r="X11" s="210"/>
    </row>
    <row r="12" spans="2:24" s="94" customFormat="1" ht="33" customHeight="1" x14ac:dyDescent="0.3">
      <c r="B12" s="89" t="s">
        <v>41</v>
      </c>
      <c r="C12" s="90">
        <f>'April 2023'!C12+'May 2023'!C12+'June 2023'!C12</f>
        <v>173</v>
      </c>
      <c r="D12" s="91">
        <f t="shared" si="0"/>
        <v>4.0157845868152277E-2</v>
      </c>
      <c r="E12" s="92">
        <f t="shared" si="5"/>
        <v>813.331098265896</v>
      </c>
      <c r="F12" s="93">
        <f>'April 2023'!F12+'May 2023'!F12+'June 2023'!F12</f>
        <v>140706.28</v>
      </c>
      <c r="G12" s="90">
        <f>'April 2023'!G12+'May 2023'!G12+'June 2023'!G12</f>
        <v>624</v>
      </c>
      <c r="H12" s="91">
        <f t="shared" si="1"/>
        <v>0.15686274509803921</v>
      </c>
      <c r="I12" s="92">
        <f t="shared" si="7"/>
        <v>1166.5160256410256</v>
      </c>
      <c r="J12" s="93">
        <f>'April 2023'!J12+'May 2023'!J12+'June 2023'!J12</f>
        <v>727906</v>
      </c>
      <c r="K12" s="90">
        <f>'April 2023'!K12+'May 2023'!K12+'June 2023'!K12</f>
        <v>968</v>
      </c>
      <c r="L12" s="91">
        <f t="shared" si="6"/>
        <v>0.22884160756501182</v>
      </c>
      <c r="M12" s="92">
        <f t="shared" si="8"/>
        <v>1130.1487781501862</v>
      </c>
      <c r="N12" s="93">
        <f>'April 2023'!N12+'May 2023'!N12+'June 2023'!N12</f>
        <v>1093984.0172493802</v>
      </c>
      <c r="O12" s="90">
        <f t="shared" si="2"/>
        <v>344</v>
      </c>
      <c r="P12" s="92">
        <f t="shared" si="3"/>
        <v>-36.367247490839418</v>
      </c>
      <c r="Q12" s="93">
        <f t="shared" si="4"/>
        <v>366078.01724938024</v>
      </c>
      <c r="T12" s="210"/>
      <c r="U12" s="210"/>
      <c r="V12" s="210"/>
      <c r="W12" s="210"/>
      <c r="X12" s="210"/>
    </row>
    <row r="13" spans="2:24" ht="33" customHeight="1" x14ac:dyDescent="0.35">
      <c r="B13" s="20" t="s">
        <v>39</v>
      </c>
      <c r="C13" s="55">
        <f>SUM(C11:C12)</f>
        <v>177</v>
      </c>
      <c r="D13" s="21">
        <f t="shared" si="0"/>
        <v>4.1086350974930359E-2</v>
      </c>
      <c r="E13" s="58">
        <f t="shared" si="5"/>
        <v>814.70022598870059</v>
      </c>
      <c r="F13" s="59">
        <f>SUM(F11:F12)</f>
        <v>144201.94</v>
      </c>
      <c r="G13" s="55">
        <f>SUM(G11:G12)</f>
        <v>666</v>
      </c>
      <c r="H13" s="21">
        <f t="shared" si="1"/>
        <v>0.167420814479638</v>
      </c>
      <c r="I13" s="58">
        <f t="shared" si="7"/>
        <v>1146.3168168168168</v>
      </c>
      <c r="J13" s="59">
        <f>SUM(J11:J12)</f>
        <v>763447</v>
      </c>
      <c r="K13" s="55">
        <f>SUM(K11:K12)</f>
        <v>1322</v>
      </c>
      <c r="L13" s="21">
        <f t="shared" si="6"/>
        <v>0.31252955082742317</v>
      </c>
      <c r="M13" s="58">
        <f t="shared" si="8"/>
        <v>1120.352540363458</v>
      </c>
      <c r="N13" s="59">
        <f>SUM(N11:N12)</f>
        <v>1481106.0583604914</v>
      </c>
      <c r="O13" s="55">
        <f t="shared" si="2"/>
        <v>656</v>
      </c>
      <c r="P13" s="58">
        <f t="shared" si="3"/>
        <v>-25.964276453358707</v>
      </c>
      <c r="Q13" s="59">
        <f t="shared" si="4"/>
        <v>717659.05836049141</v>
      </c>
      <c r="T13" s="223"/>
      <c r="U13" s="223"/>
      <c r="V13" s="223"/>
      <c r="W13" s="223"/>
      <c r="X13" s="223"/>
    </row>
    <row r="14" spans="2:24" s="94" customFormat="1" ht="33" customHeight="1" x14ac:dyDescent="0.3">
      <c r="B14" s="89" t="s">
        <v>47</v>
      </c>
      <c r="C14" s="90">
        <f>'April 2023'!C14+'May 2023'!C14+'June 2023'!C14</f>
        <v>0</v>
      </c>
      <c r="D14" s="91">
        <f t="shared" si="0"/>
        <v>0</v>
      </c>
      <c r="E14" s="92">
        <f t="shared" si="5"/>
        <v>0</v>
      </c>
      <c r="F14" s="95">
        <f>'April 2023'!F14+'May 2023'!F14+'June 2023'!F14</f>
        <v>0</v>
      </c>
      <c r="G14" s="90">
        <f>'April 2023'!G14+'May 2023'!G14+'June 2023'!G14</f>
        <v>48</v>
      </c>
      <c r="H14" s="91">
        <f t="shared" si="1"/>
        <v>1.2066365007541479E-2</v>
      </c>
      <c r="I14" s="92">
        <f t="shared" si="7"/>
        <v>2141.4791666666665</v>
      </c>
      <c r="J14" s="95">
        <f>'April 2023'!J14+'May 2023'!J14+'June 2023'!J14</f>
        <v>102791</v>
      </c>
      <c r="K14" s="90">
        <f>'April 2023'!K14+'May 2023'!K14+'June 2023'!K14</f>
        <v>0</v>
      </c>
      <c r="L14" s="91">
        <f t="shared" si="6"/>
        <v>0</v>
      </c>
      <c r="M14" s="92">
        <f t="shared" si="8"/>
        <v>0</v>
      </c>
      <c r="N14" s="95">
        <f>'April 2023'!N14+'May 2023'!N14+'June 2023'!N14</f>
        <v>0</v>
      </c>
      <c r="O14" s="90">
        <f t="shared" si="2"/>
        <v>-48</v>
      </c>
      <c r="P14" s="92">
        <f t="shared" si="3"/>
        <v>-2141.4791666666665</v>
      </c>
      <c r="Q14" s="96">
        <f t="shared" si="4"/>
        <v>-102791</v>
      </c>
      <c r="T14" s="210"/>
      <c r="U14" s="210"/>
      <c r="V14" s="210"/>
      <c r="W14" s="210"/>
      <c r="X14" s="210"/>
    </row>
    <row r="15" spans="2:24" s="94" customFormat="1" ht="33" customHeight="1" x14ac:dyDescent="0.3">
      <c r="B15" s="89" t="s">
        <v>43</v>
      </c>
      <c r="C15" s="90">
        <f>'April 2023'!C15+'May 2023'!C15+'June 2023'!C15</f>
        <v>1325</v>
      </c>
      <c r="D15" s="91">
        <f t="shared" si="0"/>
        <v>0.30756731662024139</v>
      </c>
      <c r="E15" s="92">
        <f t="shared" si="5"/>
        <v>1465.9737584905663</v>
      </c>
      <c r="F15" s="95">
        <f>'April 2023'!F15+'May 2023'!F15+'June 2023'!F15</f>
        <v>1942415.2300000002</v>
      </c>
      <c r="G15" s="90">
        <f>'April 2023'!G15+'May 2023'!G15+'June 2023'!G15</f>
        <v>792</v>
      </c>
      <c r="H15" s="91">
        <f t="shared" si="1"/>
        <v>0.19909502262443438</v>
      </c>
      <c r="I15" s="92">
        <f t="shared" si="7"/>
        <v>1566.6351010101009</v>
      </c>
      <c r="J15" s="95">
        <f>'April 2023'!J15+'May 2023'!J15+'June 2023'!J15</f>
        <v>1240775</v>
      </c>
      <c r="K15" s="90">
        <f>'April 2023'!K15+'May 2023'!K15+'June 2023'!K15</f>
        <v>300</v>
      </c>
      <c r="L15" s="91">
        <f t="shared" si="6"/>
        <v>7.0921985815602842E-2</v>
      </c>
      <c r="M15" s="92">
        <f t="shared" si="8"/>
        <v>1603.25</v>
      </c>
      <c r="N15" s="95">
        <f>'April 2023'!N15+'May 2023'!N15+'June 2023'!N15</f>
        <v>480975</v>
      </c>
      <c r="O15" s="90">
        <f t="shared" si="2"/>
        <v>-492</v>
      </c>
      <c r="P15" s="92">
        <f t="shared" si="3"/>
        <v>36.614898989899075</v>
      </c>
      <c r="Q15" s="96">
        <f t="shared" si="4"/>
        <v>-759800</v>
      </c>
      <c r="T15" s="210"/>
      <c r="U15" s="210"/>
      <c r="V15" s="210"/>
      <c r="W15" s="210"/>
      <c r="X15" s="210"/>
    </row>
    <row r="16" spans="2:24" ht="33" customHeight="1" x14ac:dyDescent="0.35">
      <c r="B16" s="20" t="s">
        <v>42</v>
      </c>
      <c r="C16" s="55">
        <f>SUM(C14:C15)</f>
        <v>1325</v>
      </c>
      <c r="D16" s="21">
        <f t="shared" si="0"/>
        <v>0.30756731662024139</v>
      </c>
      <c r="E16" s="58">
        <f t="shared" si="5"/>
        <v>1465.9737584905663</v>
      </c>
      <c r="F16" s="87">
        <f>SUM(F14:F15)</f>
        <v>1942415.2300000002</v>
      </c>
      <c r="G16" s="55">
        <f>SUM(G14:G15)</f>
        <v>840</v>
      </c>
      <c r="H16" s="21">
        <f t="shared" si="1"/>
        <v>0.21116138763197587</v>
      </c>
      <c r="I16" s="58">
        <f t="shared" si="7"/>
        <v>1599.4833333333333</v>
      </c>
      <c r="J16" s="87">
        <f>SUM(J14:J15)</f>
        <v>1343566</v>
      </c>
      <c r="K16" s="55">
        <f>SUM(K14:K15)</f>
        <v>300</v>
      </c>
      <c r="L16" s="21">
        <f t="shared" si="6"/>
        <v>7.0921985815602842E-2</v>
      </c>
      <c r="M16" s="58">
        <f t="shared" si="8"/>
        <v>1603.25</v>
      </c>
      <c r="N16" s="87">
        <f>SUM(N14:N15)</f>
        <v>480975</v>
      </c>
      <c r="O16" s="55">
        <f t="shared" si="2"/>
        <v>-540</v>
      </c>
      <c r="P16" s="58">
        <f t="shared" si="3"/>
        <v>3.7666666666666515</v>
      </c>
      <c r="Q16" s="88">
        <f t="shared" si="4"/>
        <v>-862591</v>
      </c>
      <c r="T16" s="223"/>
      <c r="U16" s="223"/>
      <c r="V16" s="223"/>
      <c r="W16" s="223"/>
      <c r="X16" s="223"/>
    </row>
    <row r="17" spans="2:24" ht="33" hidden="1" customHeight="1" x14ac:dyDescent="0.35">
      <c r="B17" s="20" t="s">
        <v>46</v>
      </c>
      <c r="C17" s="55">
        <v>0</v>
      </c>
      <c r="D17" s="21">
        <f t="shared" si="0"/>
        <v>0</v>
      </c>
      <c r="E17" s="58">
        <f t="shared" si="5"/>
        <v>0</v>
      </c>
      <c r="F17" s="87">
        <v>0</v>
      </c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T17" s="223"/>
      <c r="U17" s="223"/>
      <c r="V17" s="223"/>
      <c r="W17" s="223"/>
      <c r="X17" s="223"/>
    </row>
    <row r="18" spans="2:24" ht="33" hidden="1" customHeight="1" x14ac:dyDescent="0.35">
      <c r="B18" s="22" t="s">
        <v>13</v>
      </c>
      <c r="C18" s="56">
        <f>C8+C9+C11+C12+C17</f>
        <v>2827</v>
      </c>
      <c r="D18" s="23">
        <f t="shared" si="0"/>
        <v>0.65622098421541319</v>
      </c>
      <c r="E18" s="60">
        <f>IF(C18=0,0,F18/C18)</f>
        <v>1065.3787230279449</v>
      </c>
      <c r="F18" s="61">
        <f>F8+F9+F11+F12+F17</f>
        <v>3011825.6500000004</v>
      </c>
      <c r="G18" s="56">
        <f>G8+G9+G11+G12</f>
        <v>3127</v>
      </c>
      <c r="H18" s="23">
        <f>+IF(G$24=0,0,G18/G$24)</f>
        <v>0.78607340372046253</v>
      </c>
      <c r="I18" s="60">
        <f>IF(G18=0,0,J18/G18)</f>
        <v>1376.4921650143908</v>
      </c>
      <c r="J18" s="61">
        <f>J8+J9+J11+J12</f>
        <v>4304291</v>
      </c>
      <c r="K18" s="56">
        <f>K8+K9+K11+K12</f>
        <v>3868</v>
      </c>
      <c r="L18" s="23">
        <f>+IF(K$24=0,0,K18/K$24)</f>
        <v>0.9144208037825059</v>
      </c>
      <c r="M18" s="60">
        <f>IF(K18=0,0,N18/K18)</f>
        <v>1361.4672708688556</v>
      </c>
      <c r="N18" s="61">
        <f>N8+N9+N11+N12</f>
        <v>5266155.4037207337</v>
      </c>
      <c r="O18" s="56">
        <f t="shared" si="2"/>
        <v>741</v>
      </c>
      <c r="P18" s="60">
        <f t="shared" si="3"/>
        <v>-15.0248941455352</v>
      </c>
      <c r="Q18" s="66">
        <f t="shared" si="4"/>
        <v>961864.40372073371</v>
      </c>
      <c r="T18" s="223"/>
      <c r="U18" s="223"/>
      <c r="V18" s="223"/>
      <c r="W18" s="223"/>
      <c r="X18" s="223"/>
    </row>
    <row r="19" spans="2:24" ht="33" hidden="1" customHeight="1" x14ac:dyDescent="0.35">
      <c r="B19" s="22" t="s">
        <v>45</v>
      </c>
      <c r="C19" s="56">
        <f>C7+C14+C15</f>
        <v>1446</v>
      </c>
      <c r="D19" s="23">
        <f t="shared" si="0"/>
        <v>0.33565459610027853</v>
      </c>
      <c r="E19" s="60">
        <f>IF(C19=0,0,F19/C19)</f>
        <v>1476.833001383126</v>
      </c>
      <c r="F19" s="61">
        <f>F7+F14+F15</f>
        <v>2135500.52</v>
      </c>
      <c r="G19" s="105">
        <f>G7+G14+G15</f>
        <v>840</v>
      </c>
      <c r="H19" s="106">
        <f>+IF(G$24=0,0,G19/G$24)</f>
        <v>0.21116138763197587</v>
      </c>
      <c r="I19" s="107">
        <f>IF(G19=0,0,J19/G19)</f>
        <v>1599.4833333333333</v>
      </c>
      <c r="J19" s="108">
        <f>J7+J14+J15</f>
        <v>1343566</v>
      </c>
      <c r="K19" s="105">
        <f>K7+K14+K15</f>
        <v>300</v>
      </c>
      <c r="L19" s="106">
        <f>+IF(K$24=0,0,K19/K$24)</f>
        <v>7.0921985815602842E-2</v>
      </c>
      <c r="M19" s="107">
        <f>IF(K19=0,0,N19/K19)</f>
        <v>1603.25</v>
      </c>
      <c r="N19" s="108">
        <f>N7+N14+N15</f>
        <v>480975</v>
      </c>
      <c r="O19" s="56">
        <f t="shared" si="2"/>
        <v>-540</v>
      </c>
      <c r="P19" s="60">
        <f t="shared" si="3"/>
        <v>3.7666666666666515</v>
      </c>
      <c r="Q19" s="66">
        <f t="shared" si="4"/>
        <v>-862591</v>
      </c>
      <c r="T19" s="223"/>
      <c r="U19" s="223"/>
      <c r="V19" s="223"/>
      <c r="W19" s="223"/>
      <c r="X19" s="223"/>
    </row>
    <row r="20" spans="2:24" ht="33" customHeight="1" x14ac:dyDescent="0.35">
      <c r="B20" s="28" t="s">
        <v>16</v>
      </c>
      <c r="C20" s="56">
        <f>C18+C19</f>
        <v>4273</v>
      </c>
      <c r="D20" s="23">
        <f t="shared" si="0"/>
        <v>0.99187558031569178</v>
      </c>
      <c r="E20" s="60">
        <f t="shared" si="5"/>
        <v>1204.6164685232857</v>
      </c>
      <c r="F20" s="64">
        <f>F18+F19</f>
        <v>5147326.17</v>
      </c>
      <c r="G20" s="56">
        <f>G18+G19</f>
        <v>3967</v>
      </c>
      <c r="H20" s="23">
        <f>+IF(G$24=0,0,G20/G$24)</f>
        <v>0.99723479135243842</v>
      </c>
      <c r="I20" s="60">
        <f>IF(G20=0,0,J20/G20)</f>
        <v>1423.7098563145953</v>
      </c>
      <c r="J20" s="64">
        <f>J18+J19</f>
        <v>5647857</v>
      </c>
      <c r="K20" s="56">
        <f>K18+K19</f>
        <v>4168</v>
      </c>
      <c r="L20" s="23">
        <f>+IF(K$24=0,0,K20/K$24)</f>
        <v>0.98534278959810873</v>
      </c>
      <c r="M20" s="60">
        <f>IF(K20=0,0,N20/K20)</f>
        <v>1378.8700584742644</v>
      </c>
      <c r="N20" s="64">
        <f>N18+N19</f>
        <v>5747130.4037207337</v>
      </c>
      <c r="O20" s="56">
        <f t="shared" si="2"/>
        <v>201</v>
      </c>
      <c r="P20" s="60">
        <f t="shared" si="3"/>
        <v>-44.839797840330903</v>
      </c>
      <c r="Q20" s="66">
        <f t="shared" si="4"/>
        <v>99273.40372073371</v>
      </c>
      <c r="T20" s="223"/>
      <c r="U20" s="223"/>
      <c r="V20" s="223"/>
      <c r="W20" s="223"/>
      <c r="X20" s="223"/>
    </row>
    <row r="21" spans="2:24" ht="33" customHeight="1" x14ac:dyDescent="0.35">
      <c r="B21" s="29" t="s">
        <v>17</v>
      </c>
      <c r="C21" s="24">
        <f>IF(C4=0,C20,C20/$C$4)</f>
        <v>0.30294221907125135</v>
      </c>
      <c r="D21" s="30"/>
      <c r="E21" s="35"/>
      <c r="F21" s="36"/>
      <c r="G21" s="24">
        <f>IF(G4=0,G20,G20/$C$4)</f>
        <v>0.28124778447359094</v>
      </c>
      <c r="H21" s="30"/>
      <c r="I21" s="35"/>
      <c r="J21" s="36"/>
      <c r="K21" s="24">
        <f>IF(K4=0,K20,K20/$C$4)</f>
        <v>0.29549805033676002</v>
      </c>
      <c r="L21" s="30"/>
      <c r="M21" s="35"/>
      <c r="N21" s="36"/>
      <c r="O21" s="54">
        <f t="shared" si="2"/>
        <v>1.4250265863169076E-2</v>
      </c>
      <c r="P21" s="30">
        <f t="shared" si="3"/>
        <v>0</v>
      </c>
      <c r="Q21" s="31">
        <f t="shared" si="4"/>
        <v>0</v>
      </c>
      <c r="T21" s="223"/>
      <c r="U21" s="223"/>
      <c r="V21" s="223"/>
      <c r="W21" s="223"/>
      <c r="X21" s="223"/>
    </row>
    <row r="22" spans="2:24" ht="33" customHeight="1" x14ac:dyDescent="0.35">
      <c r="B22" s="25" t="s">
        <v>18</v>
      </c>
      <c r="C22" s="57">
        <f>'April 2023'!C22+'May 2023'!C22+'June 2023'!C22</f>
        <v>35</v>
      </c>
      <c r="D22" s="26">
        <f>+IF(C$24=0,0,C22/C$24)</f>
        <v>8.1244196843082636E-3</v>
      </c>
      <c r="E22" s="65">
        <f t="shared" si="5"/>
        <v>-1026.1362857142858</v>
      </c>
      <c r="F22" s="63">
        <f>'April 2023'!F22+'May 2023'!F22+'June 2023'!F22</f>
        <v>-35914.770000000004</v>
      </c>
      <c r="G22" s="57">
        <f>'April 2023'!G22+'May 2023'!G22+'June 2023'!G22</f>
        <v>11</v>
      </c>
      <c r="H22" s="26">
        <f>+IF(G$24=0,0,G22/G$24)</f>
        <v>2.7652086475615889E-3</v>
      </c>
      <c r="I22" s="65">
        <f>IF(G22=0,0,J22/G22)</f>
        <v>711.90909090909088</v>
      </c>
      <c r="J22" s="63">
        <f>'April 2023'!J22+'May 2023'!J22+'June 2023'!J22</f>
        <v>7831</v>
      </c>
      <c r="K22" s="57">
        <f>'April 2023'!K22+'May 2023'!K22+'June 2023'!K22</f>
        <v>62</v>
      </c>
      <c r="L22" s="26">
        <f>+IF(K$24=0,0,K22/K$24)</f>
        <v>1.4657210401891253E-2</v>
      </c>
      <c r="M22" s="65">
        <f>IF(K22=0,0,N22/K22)</f>
        <v>0</v>
      </c>
      <c r="N22" s="63">
        <f>'April 2023'!N22+'May 2023'!N22+'June 2023'!N22</f>
        <v>0</v>
      </c>
      <c r="O22" s="57">
        <f t="shared" si="2"/>
        <v>51</v>
      </c>
      <c r="P22" s="62">
        <f t="shared" si="3"/>
        <v>-711.90909090909088</v>
      </c>
      <c r="Q22" s="63">
        <f t="shared" si="4"/>
        <v>-7831</v>
      </c>
      <c r="T22" s="223"/>
      <c r="U22" s="223"/>
      <c r="V22" s="223"/>
      <c r="W22" s="223"/>
      <c r="X22" s="223"/>
    </row>
    <row r="23" spans="2:24" ht="33" customHeight="1" x14ac:dyDescent="0.35">
      <c r="B23" s="25" t="s">
        <v>28</v>
      </c>
      <c r="C23" s="57">
        <f>'April 2023'!C23+'May 2023'!C23+'June 2023'!C23</f>
        <v>0</v>
      </c>
      <c r="D23" s="26">
        <f>+IF(C$24=0,0,C23/C$24)</f>
        <v>0</v>
      </c>
      <c r="E23" s="62">
        <f t="shared" si="5"/>
        <v>0</v>
      </c>
      <c r="F23" s="63">
        <v>0</v>
      </c>
      <c r="G23" s="57">
        <f>'April 2023'!G23+'May 2023'!G23+'June 2023'!G23</f>
        <v>0</v>
      </c>
      <c r="H23" s="26">
        <f>+IF(G$24=0,0,G23/G$24)</f>
        <v>0</v>
      </c>
      <c r="I23" s="62">
        <f>IF(G23=0,0,J23/G23)</f>
        <v>0</v>
      </c>
      <c r="J23" s="63">
        <f>'April 2023'!J23+'May 2023'!J23+'June 2023'!J23</f>
        <v>0</v>
      </c>
      <c r="K23" s="57">
        <f>'April 2023'!K23+'May 2023'!K23+'June 2023'!K23</f>
        <v>0</v>
      </c>
      <c r="L23" s="26">
        <f>+IF(K$24=0,0,K23/K$24)</f>
        <v>0</v>
      </c>
      <c r="M23" s="62">
        <f>IF(K23=0,0,N23/K23)</f>
        <v>0</v>
      </c>
      <c r="N23" s="63">
        <f>'April 2023'!N23+'May 2023'!N23+'June 2023'!N23</f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  <c r="T23" s="223"/>
      <c r="U23" s="223"/>
      <c r="V23" s="223"/>
      <c r="W23" s="223"/>
      <c r="X23" s="223"/>
    </row>
    <row r="24" spans="2:24" ht="33" customHeight="1" x14ac:dyDescent="0.35">
      <c r="B24" s="22" t="s">
        <v>20</v>
      </c>
      <c r="C24" s="56">
        <f>C10+C13+C16+C22+C23+C17</f>
        <v>4308</v>
      </c>
      <c r="D24" s="23">
        <f>+IF(C$24=0,0,C24/C$24)</f>
        <v>1</v>
      </c>
      <c r="E24" s="60">
        <f t="shared" si="5"/>
        <v>1186.4928969359335</v>
      </c>
      <c r="F24" s="64">
        <f>F10+F13+F16+F22+F23+F17</f>
        <v>5111411.4000000013</v>
      </c>
      <c r="G24" s="56">
        <f>G10+G13+G16+G22+G23</f>
        <v>3978</v>
      </c>
      <c r="H24" s="23">
        <f>+IF(G$24=0,0,G24/G$24)</f>
        <v>1</v>
      </c>
      <c r="I24" s="60">
        <f>IF(G24=0,0,J24/G24)</f>
        <v>1421.7415786827551</v>
      </c>
      <c r="J24" s="64">
        <f>J10+J13+J16+J22+J23</f>
        <v>5655688</v>
      </c>
      <c r="K24" s="56">
        <f>K10+K13+K16+K22+K23</f>
        <v>4230</v>
      </c>
      <c r="L24" s="23">
        <f>+IF(K$24=0,0,K24/K$24)</f>
        <v>1</v>
      </c>
      <c r="M24" s="60">
        <f>IF(K24=0,0,N24/K24)</f>
        <v>1358.6596699103388</v>
      </c>
      <c r="N24" s="64">
        <f>N10+N13+N16+N22+N23</f>
        <v>5747130.4037207337</v>
      </c>
      <c r="O24" s="56">
        <f t="shared" si="2"/>
        <v>252</v>
      </c>
      <c r="P24" s="60">
        <f t="shared" si="3"/>
        <v>-63.081908772416227</v>
      </c>
      <c r="Q24" s="64">
        <f t="shared" si="4"/>
        <v>91442.40372073371</v>
      </c>
      <c r="T24" s="223"/>
      <c r="U24" s="223"/>
      <c r="V24" s="223"/>
      <c r="W24" s="223"/>
      <c r="X24" s="223"/>
    </row>
    <row r="25" spans="2:24" ht="33" customHeight="1" x14ac:dyDescent="0.35">
      <c r="B25" s="32"/>
      <c r="C25" s="33"/>
      <c r="D25" s="109"/>
      <c r="E25" s="35"/>
      <c r="F25" s="36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-4.436946187566778E-2</v>
      </c>
      <c r="Q25" s="38">
        <f>IF(J24=0,(N24-J24),(N24-J24)/J24)</f>
        <v>1.6168219272479974E-2</v>
      </c>
    </row>
    <row r="26" spans="2:24" ht="33" customHeight="1" x14ac:dyDescent="0.35">
      <c r="B26" s="40" t="s">
        <v>21</v>
      </c>
      <c r="C26" s="41">
        <f>IF(C4=0,C24,C24/C4)</f>
        <v>0.30542360864941509</v>
      </c>
      <c r="D26" s="30"/>
      <c r="E26" s="30"/>
      <c r="F26" s="31"/>
      <c r="G26" s="41">
        <f>IF(G4=0,G24,G24/G4)</f>
        <v>0.54642857142857137</v>
      </c>
      <c r="H26" s="30"/>
      <c r="I26" s="30"/>
      <c r="J26" s="31"/>
      <c r="K26" s="41">
        <f>IF(K4=0,K24,K24/K4)</f>
        <v>0.58104395604395609</v>
      </c>
      <c r="L26" s="30"/>
      <c r="M26" s="30"/>
      <c r="N26" s="31"/>
      <c r="O26" s="41">
        <f>K26-G26</f>
        <v>3.4615384615384714E-2</v>
      </c>
      <c r="P26" s="30"/>
      <c r="Q26" s="31"/>
    </row>
    <row r="27" spans="2:24" ht="33" customHeight="1" x14ac:dyDescent="0.35">
      <c r="B27" s="42" t="s">
        <v>22</v>
      </c>
      <c r="C27" s="43">
        <f>IF(C4=0,0,F$24/C$4)</f>
        <v>362.38294221907137</v>
      </c>
      <c r="D27" s="44"/>
      <c r="E27" s="45"/>
      <c r="F27" s="46"/>
      <c r="G27" s="43">
        <f>IF(G4=0,0,J$24/G$4)</f>
        <v>776.88021978021982</v>
      </c>
      <c r="H27" s="44"/>
      <c r="I27" s="45"/>
      <c r="J27" s="46"/>
      <c r="K27" s="43">
        <f>IF(K4=0,0,N$24/K$4)</f>
        <v>789.44098952207878</v>
      </c>
      <c r="L27" s="44"/>
      <c r="M27" s="45"/>
      <c r="N27" s="46"/>
      <c r="O27" s="43">
        <f>K27-G27</f>
        <v>12.560769741858962</v>
      </c>
      <c r="P27" s="45"/>
      <c r="Q27" s="46"/>
    </row>
    <row r="28" spans="2:24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4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24" x14ac:dyDescent="0.35">
      <c r="B30" s="358"/>
      <c r="Q30" s="86"/>
    </row>
    <row r="31" spans="2:24" x14ac:dyDescent="0.35">
      <c r="B31" s="358"/>
      <c r="Q31" s="86"/>
    </row>
    <row r="32" spans="2:24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2" orientation="landscape" errors="blank" horizontalDpi="300" verticalDpi="300" r:id="rId1"/>
  <headerFooter>
    <oddFooter>Page &amp;P of &amp;N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15">
    <tabColor rgb="FFFF0000"/>
    <pageSetUpPr fitToPage="1"/>
  </sheetPr>
  <dimension ref="B1:X33"/>
  <sheetViews>
    <sheetView view="pageBreakPreview" zoomScale="55" zoomScaleNormal="50" zoomScaleSheetLayoutView="55" workbookViewId="0">
      <pane xSplit="2" ySplit="6" topLeftCell="C7" activePane="bottomRight" state="frozen"/>
      <selection activeCell="B2" sqref="B2:X2"/>
      <selection pane="topRight" activeCell="B2" sqref="B2:X2"/>
      <selection pane="bottomLeft" activeCell="B2" sqref="B2:X2"/>
      <selection pane="bottomRight" activeCell="B2" sqref="B2:X2"/>
    </sheetView>
  </sheetViews>
  <sheetFormatPr defaultColWidth="9.140625" defaultRowHeight="23.25" outlineLevelRow="1" x14ac:dyDescent="0.35"/>
  <cols>
    <col min="1" max="1" width="1.28515625" style="5" customWidth="1"/>
    <col min="2" max="2" width="43.7109375" style="5" customWidth="1"/>
    <col min="3" max="3" width="18.140625" style="5" bestFit="1" customWidth="1"/>
    <col min="4" max="4" width="12.7109375" style="5" bestFit="1" customWidth="1"/>
    <col min="5" max="5" width="13" style="5" bestFit="1" customWidth="1"/>
    <col min="6" max="6" width="23" style="5" bestFit="1" customWidth="1"/>
    <col min="7" max="7" width="16.140625" style="5" bestFit="1" customWidth="1"/>
    <col min="8" max="8" width="12.7109375" style="5" bestFit="1" customWidth="1"/>
    <col min="9" max="9" width="13" style="5" bestFit="1" customWidth="1"/>
    <col min="10" max="10" width="23" style="5" bestFit="1" customWidth="1"/>
    <col min="11" max="11" width="16.140625" style="5" bestFit="1" customWidth="1"/>
    <col min="12" max="12" width="11.85546875" style="5" bestFit="1" customWidth="1"/>
    <col min="13" max="13" width="22" style="5" bestFit="1" customWidth="1"/>
    <col min="14" max="14" width="28.7109375" style="5" bestFit="1" customWidth="1"/>
    <col min="15" max="15" width="16.140625" style="5" bestFit="1" customWidth="1"/>
    <col min="16" max="16" width="11.85546875" style="5" bestFit="1" customWidth="1"/>
    <col min="17" max="17" width="13" style="5" bestFit="1" customWidth="1"/>
    <col min="18" max="18" width="23" style="5" bestFit="1" customWidth="1"/>
    <col min="19" max="19" width="13.85546875" style="5" bestFit="1" customWidth="1"/>
    <col min="20" max="20" width="14.28515625" style="5" bestFit="1" customWidth="1"/>
    <col min="21" max="21" width="19.7109375" style="5" bestFit="1" customWidth="1"/>
    <col min="22" max="22" width="13.85546875" style="5" bestFit="1" customWidth="1"/>
    <col min="23" max="23" width="14.28515625" style="5" bestFit="1" customWidth="1"/>
    <col min="24" max="24" width="19.7109375" style="5" bestFit="1" customWidth="1"/>
    <col min="25" max="16384" width="9.140625" style="5"/>
  </cols>
  <sheetData>
    <row r="1" spans="2:24" s="1" customFormat="1" ht="23.25" customHeight="1" x14ac:dyDescent="0.4">
      <c r="B1" s="756" t="e">
        <f>#REF!</f>
        <v>#REF!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7"/>
      <c r="R1" s="757"/>
      <c r="S1" s="757"/>
      <c r="T1" s="757"/>
      <c r="U1" s="757"/>
      <c r="V1" s="757"/>
      <c r="W1" s="757"/>
      <c r="X1" s="758"/>
    </row>
    <row r="2" spans="2:24" s="1" customFormat="1" ht="26.25" x14ac:dyDescent="0.4">
      <c r="B2" s="798" t="s">
        <v>24</v>
      </c>
      <c r="C2" s="799"/>
      <c r="D2" s="799"/>
      <c r="E2" s="799"/>
      <c r="F2" s="799"/>
      <c r="G2" s="799"/>
      <c r="H2" s="799"/>
      <c r="I2" s="799"/>
      <c r="J2" s="799"/>
      <c r="K2" s="799"/>
      <c r="L2" s="799"/>
      <c r="M2" s="799"/>
      <c r="N2" s="799"/>
      <c r="O2" s="799"/>
      <c r="P2" s="799"/>
      <c r="Q2" s="799"/>
      <c r="R2" s="799"/>
      <c r="S2" s="799"/>
      <c r="T2" s="799"/>
      <c r="U2" s="799"/>
      <c r="V2" s="799"/>
      <c r="W2" s="799"/>
      <c r="X2" s="800"/>
    </row>
    <row r="3" spans="2:24" ht="35.25" customHeight="1" x14ac:dyDescent="0.35">
      <c r="B3" s="2" t="s">
        <v>0</v>
      </c>
      <c r="C3" s="53" t="e">
        <f>#REF!</f>
        <v>#REF!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2:24" ht="33" customHeight="1" outlineLevel="1" x14ac:dyDescent="0.35">
      <c r="B4" s="6" t="s">
        <v>1</v>
      </c>
      <c r="C4" s="7" t="e">
        <f>#REF!+#REF!+#REF!</f>
        <v>#REF!</v>
      </c>
      <c r="D4" s="8"/>
      <c r="E4" s="9"/>
      <c r="F4" s="10"/>
      <c r="G4" s="7" t="e">
        <f>#REF!+#REF!+#REF!</f>
        <v>#REF!</v>
      </c>
      <c r="H4" s="11"/>
      <c r="I4" s="11"/>
      <c r="J4" s="11"/>
      <c r="K4" s="7" t="e">
        <f>#REF!+#REF!+#REF!</f>
        <v>#REF!</v>
      </c>
      <c r="L4" s="11"/>
      <c r="M4" s="11"/>
      <c r="N4" s="11"/>
      <c r="O4" s="7" t="e">
        <f>#REF!+#REF!+#REF!</f>
        <v>#REF!</v>
      </c>
      <c r="P4" s="12"/>
      <c r="Q4" s="12"/>
      <c r="R4" s="12"/>
      <c r="S4" s="12"/>
      <c r="T4" s="12"/>
      <c r="U4" s="12"/>
      <c r="V4" s="12"/>
      <c r="W4" s="12"/>
      <c r="X4" s="13"/>
    </row>
    <row r="5" spans="2:24" ht="33" customHeight="1" x14ac:dyDescent="0.35">
      <c r="B5" s="14" t="s">
        <v>2</v>
      </c>
      <c r="C5" s="762" t="s">
        <v>3</v>
      </c>
      <c r="D5" s="763"/>
      <c r="E5" s="763"/>
      <c r="F5" s="764"/>
      <c r="G5" s="762" t="s">
        <v>30</v>
      </c>
      <c r="H5" s="763"/>
      <c r="I5" s="763"/>
      <c r="J5" s="764"/>
      <c r="K5" s="762" t="s">
        <v>32</v>
      </c>
      <c r="L5" s="763"/>
      <c r="M5" s="763"/>
      <c r="N5" s="764"/>
      <c r="O5" s="762" t="s">
        <v>31</v>
      </c>
      <c r="P5" s="763"/>
      <c r="Q5" s="763"/>
      <c r="R5" s="764"/>
      <c r="S5" s="762" t="s">
        <v>33</v>
      </c>
      <c r="T5" s="763"/>
      <c r="U5" s="764"/>
      <c r="V5" s="762" t="s">
        <v>34</v>
      </c>
      <c r="W5" s="763"/>
      <c r="X5" s="764"/>
    </row>
    <row r="6" spans="2:24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7" t="s">
        <v>5</v>
      </c>
      <c r="Q6" s="18" t="s">
        <v>6</v>
      </c>
      <c r="R6" s="19" t="s">
        <v>7</v>
      </c>
      <c r="S6" s="16" t="s">
        <v>4</v>
      </c>
      <c r="T6" s="18" t="s">
        <v>6</v>
      </c>
      <c r="U6" s="19" t="s">
        <v>7</v>
      </c>
      <c r="V6" s="16" t="s">
        <v>4</v>
      </c>
      <c r="W6" s="18" t="s">
        <v>6</v>
      </c>
      <c r="X6" s="19" t="s">
        <v>7</v>
      </c>
    </row>
    <row r="7" spans="2:24" s="84" customFormat="1" ht="33" customHeight="1" outlineLevel="1" x14ac:dyDescent="0.3">
      <c r="B7" s="79" t="s">
        <v>8</v>
      </c>
      <c r="C7" s="80" t="e">
        <f>#REF!+#REF!+#REF!</f>
        <v>#REF!</v>
      </c>
      <c r="D7" s="81" t="e">
        <f t="shared" ref="D7:D16" si="0">+IF(C$21=0,0,C7/C$21)</f>
        <v>#REF!</v>
      </c>
      <c r="E7" s="82" t="e">
        <f>IF(C7=0,0,F7/C7)</f>
        <v>#REF!</v>
      </c>
      <c r="F7" s="83" t="e">
        <f>#REF!+#REF!+#REF!</f>
        <v>#REF!</v>
      </c>
      <c r="G7" s="80" t="e">
        <f>#REF!+#REF!+#REF!</f>
        <v>#REF!</v>
      </c>
      <c r="H7" s="81" t="e">
        <f t="shared" ref="H7:H16" si="1">+IF(G$21=0,0,G7/G$21)</f>
        <v>#REF!</v>
      </c>
      <c r="I7" s="82" t="e">
        <f>IF(G7=0,0,J7/G7)</f>
        <v>#REF!</v>
      </c>
      <c r="J7" s="83" t="e">
        <f>#REF!+#REF!+#REF!</f>
        <v>#REF!</v>
      </c>
      <c r="K7" s="80" t="e">
        <f>#REF!+#REF!+#REF!</f>
        <v>#REF!</v>
      </c>
      <c r="L7" s="81" t="e">
        <f t="shared" ref="L7:L16" si="2">+IF(K$21=0,0,K7/K$21)</f>
        <v>#REF!</v>
      </c>
      <c r="M7" s="82" t="e">
        <f>IF(K7=0,0,N7/K7)</f>
        <v>#REF!</v>
      </c>
      <c r="N7" s="83" t="e">
        <f>#REF!+#REF!+#REF!</f>
        <v>#REF!</v>
      </c>
      <c r="O7" s="80" t="e">
        <f>#REF!+#REF!+#REF!</f>
        <v>#REF!</v>
      </c>
      <c r="P7" s="81" t="e">
        <f t="shared" ref="P7:P16" si="3">+IF(O$21=0,0,O7/O$21)</f>
        <v>#REF!</v>
      </c>
      <c r="Q7" s="82" t="e">
        <f>IF(O7=0,0,R7/O7)</f>
        <v>#REF!</v>
      </c>
      <c r="R7" s="83" t="e">
        <f>#REF!+#REF!+#REF!</f>
        <v>#REF!</v>
      </c>
      <c r="S7" s="80" t="e">
        <f>O7-K7</f>
        <v>#REF!</v>
      </c>
      <c r="T7" s="82" t="e">
        <f>Q7-M7</f>
        <v>#REF!</v>
      </c>
      <c r="U7" s="83" t="e">
        <f>R7-N7</f>
        <v>#REF!</v>
      </c>
      <c r="V7" s="80" t="e">
        <f>O7-G7</f>
        <v>#REF!</v>
      </c>
      <c r="W7" s="82" t="e">
        <f>Q7-I7</f>
        <v>#REF!</v>
      </c>
      <c r="X7" s="83" t="e">
        <f>R7-J7</f>
        <v>#REF!</v>
      </c>
    </row>
    <row r="8" spans="2:24" s="84" customFormat="1" ht="33" customHeight="1" outlineLevel="1" x14ac:dyDescent="0.3">
      <c r="B8" s="79" t="s">
        <v>9</v>
      </c>
      <c r="C8" s="80" t="e">
        <f>#REF!+#REF!+#REF!</f>
        <v>#REF!</v>
      </c>
      <c r="D8" s="81" t="e">
        <f t="shared" si="0"/>
        <v>#REF!</v>
      </c>
      <c r="E8" s="82" t="e">
        <f t="shared" ref="E8:E21" si="4">IF(C8=0,0,F8/C8)</f>
        <v>#REF!</v>
      </c>
      <c r="F8" s="83" t="e">
        <f>#REF!+#REF!+#REF!</f>
        <v>#REF!</v>
      </c>
      <c r="G8" s="80" t="e">
        <f>#REF!+#REF!+#REF!</f>
        <v>#REF!</v>
      </c>
      <c r="H8" s="81" t="e">
        <f t="shared" si="1"/>
        <v>#REF!</v>
      </c>
      <c r="I8" s="82" t="e">
        <f t="shared" ref="I8:I21" si="5">IF(G8=0,0,J8/G8)</f>
        <v>#REF!</v>
      </c>
      <c r="J8" s="83" t="e">
        <f>#REF!+#REF!+#REF!</f>
        <v>#REF!</v>
      </c>
      <c r="K8" s="80" t="e">
        <f>#REF!+#REF!+#REF!</f>
        <v>#REF!</v>
      </c>
      <c r="L8" s="81" t="e">
        <f t="shared" si="2"/>
        <v>#REF!</v>
      </c>
      <c r="M8" s="82" t="e">
        <f t="shared" ref="M8:M21" si="6">IF(K8=0,0,N8/K8)</f>
        <v>#REF!</v>
      </c>
      <c r="N8" s="83" t="e">
        <f>#REF!+#REF!+#REF!</f>
        <v>#REF!</v>
      </c>
      <c r="O8" s="80" t="e">
        <f>#REF!+#REF!+#REF!</f>
        <v>#REF!</v>
      </c>
      <c r="P8" s="81" t="e">
        <f t="shared" si="3"/>
        <v>#REF!</v>
      </c>
      <c r="Q8" s="82" t="e">
        <f t="shared" ref="Q8:Q21" si="7">IF(O8=0,0,R8/O8)</f>
        <v>#REF!</v>
      </c>
      <c r="R8" s="83" t="e">
        <f>#REF!+#REF!+#REF!</f>
        <v>#REF!</v>
      </c>
      <c r="S8" s="80" t="e">
        <f t="shared" ref="S8:S24" si="8">O8-K8</f>
        <v>#REF!</v>
      </c>
      <c r="T8" s="82" t="e">
        <f t="shared" ref="T8:U21" si="9">Q8-M8</f>
        <v>#REF!</v>
      </c>
      <c r="U8" s="83" t="e">
        <f t="shared" si="9"/>
        <v>#REF!</v>
      </c>
      <c r="V8" s="80" t="e">
        <f t="shared" ref="V8:V21" si="10">O8-G8</f>
        <v>#REF!</v>
      </c>
      <c r="W8" s="82" t="e">
        <f t="shared" ref="W8:W16" si="11">Q8-I8</f>
        <v>#REF!</v>
      </c>
      <c r="X8" s="83" t="e">
        <f t="shared" ref="X8:X16" si="12">R8-J8</f>
        <v>#REF!</v>
      </c>
    </row>
    <row r="9" spans="2:24" s="84" customFormat="1" ht="33" customHeight="1" outlineLevel="1" x14ac:dyDescent="0.3">
      <c r="B9" s="79" t="s">
        <v>11</v>
      </c>
      <c r="C9" s="80" t="e">
        <f>#REF!+#REF!+#REF!</f>
        <v>#REF!</v>
      </c>
      <c r="D9" s="81" t="e">
        <f t="shared" si="0"/>
        <v>#REF!</v>
      </c>
      <c r="E9" s="82" t="e">
        <f>IF(C9=0,0,F9/C9)</f>
        <v>#REF!</v>
      </c>
      <c r="F9" s="83" t="e">
        <f>#REF!+#REF!+#REF!</f>
        <v>#REF!</v>
      </c>
      <c r="G9" s="80" t="e">
        <f>#REF!+#REF!+#REF!</f>
        <v>#REF!</v>
      </c>
      <c r="H9" s="81" t="e">
        <f t="shared" si="1"/>
        <v>#REF!</v>
      </c>
      <c r="I9" s="82" t="e">
        <f>IF(G9=0,0,J9/G9)</f>
        <v>#REF!</v>
      </c>
      <c r="J9" s="83" t="e">
        <f>#REF!+#REF!+#REF!</f>
        <v>#REF!</v>
      </c>
      <c r="K9" s="80" t="e">
        <f>#REF!+#REF!+#REF!</f>
        <v>#REF!</v>
      </c>
      <c r="L9" s="81" t="e">
        <f t="shared" si="2"/>
        <v>#REF!</v>
      </c>
      <c r="M9" s="82" t="e">
        <f>IF(K9=0,0,N9/K9)</f>
        <v>#REF!</v>
      </c>
      <c r="N9" s="83" t="e">
        <f>#REF!+#REF!+#REF!</f>
        <v>#REF!</v>
      </c>
      <c r="O9" s="80" t="e">
        <f>#REF!+#REF!+#REF!</f>
        <v>#REF!</v>
      </c>
      <c r="P9" s="81" t="e">
        <f t="shared" si="3"/>
        <v>#REF!</v>
      </c>
      <c r="Q9" s="82" t="e">
        <f>IF(O9=0,0,R9/O9)</f>
        <v>#REF!</v>
      </c>
      <c r="R9" s="83" t="e">
        <f>#REF!+#REF!+#REF!</f>
        <v>#REF!</v>
      </c>
      <c r="S9" s="80" t="e">
        <f>O9-K9</f>
        <v>#REF!</v>
      </c>
      <c r="T9" s="82" t="e">
        <f t="shared" ref="T9:U11" si="13">Q9-M9</f>
        <v>#REF!</v>
      </c>
      <c r="U9" s="83" t="e">
        <f t="shared" si="13"/>
        <v>#REF!</v>
      </c>
      <c r="V9" s="80" t="e">
        <f t="shared" si="10"/>
        <v>#REF!</v>
      </c>
      <c r="W9" s="82" t="e">
        <f t="shared" si="11"/>
        <v>#REF!</v>
      </c>
      <c r="X9" s="83" t="e">
        <f t="shared" si="12"/>
        <v>#REF!</v>
      </c>
    </row>
    <row r="10" spans="2:24" ht="33" customHeight="1" x14ac:dyDescent="0.35">
      <c r="B10" s="20" t="s">
        <v>29</v>
      </c>
      <c r="C10" s="55" t="e">
        <f>SUM(C7:C9)</f>
        <v>#REF!</v>
      </c>
      <c r="D10" s="21" t="e">
        <f t="shared" si="0"/>
        <v>#REF!</v>
      </c>
      <c r="E10" s="58" t="e">
        <f>IF(C10=0,0,F10/C10)</f>
        <v>#REF!</v>
      </c>
      <c r="F10" s="59" t="e">
        <f>SUM(F7:F9)</f>
        <v>#REF!</v>
      </c>
      <c r="G10" s="55" t="e">
        <f>SUM(G7:G9)</f>
        <v>#REF!</v>
      </c>
      <c r="H10" s="21" t="e">
        <f t="shared" si="1"/>
        <v>#REF!</v>
      </c>
      <c r="I10" s="58" t="e">
        <f>IF(G10=0,0,J10/G10)</f>
        <v>#REF!</v>
      </c>
      <c r="J10" s="59" t="e">
        <f>SUM(J7:J9)</f>
        <v>#REF!</v>
      </c>
      <c r="K10" s="55" t="e">
        <f>SUM(K7:K9)</f>
        <v>#REF!</v>
      </c>
      <c r="L10" s="21" t="e">
        <f t="shared" si="2"/>
        <v>#REF!</v>
      </c>
      <c r="M10" s="58" t="e">
        <f>IF(K10=0,0,N10/K10)</f>
        <v>#REF!</v>
      </c>
      <c r="N10" s="59" t="e">
        <f>SUM(N7:N9)</f>
        <v>#REF!</v>
      </c>
      <c r="O10" s="55" t="e">
        <f>SUM(O7:O9)</f>
        <v>#REF!</v>
      </c>
      <c r="P10" s="21" t="e">
        <f t="shared" si="3"/>
        <v>#REF!</v>
      </c>
      <c r="Q10" s="58" t="e">
        <f>IF(O10=0,0,R10/O10)</f>
        <v>#REF!</v>
      </c>
      <c r="R10" s="59" t="e">
        <f>SUM(R7:R9)</f>
        <v>#REF!</v>
      </c>
      <c r="S10" s="55" t="e">
        <f>O10-K10</f>
        <v>#REF!</v>
      </c>
      <c r="T10" s="58" t="e">
        <f t="shared" si="13"/>
        <v>#REF!</v>
      </c>
      <c r="U10" s="59" t="e">
        <f t="shared" si="13"/>
        <v>#REF!</v>
      </c>
      <c r="V10" s="55" t="e">
        <f t="shared" si="10"/>
        <v>#REF!</v>
      </c>
      <c r="W10" s="58" t="e">
        <f t="shared" si="11"/>
        <v>#REF!</v>
      </c>
      <c r="X10" s="59" t="e">
        <f t="shared" si="12"/>
        <v>#REF!</v>
      </c>
    </row>
    <row r="11" spans="2:24" ht="33" customHeight="1" x14ac:dyDescent="0.35">
      <c r="B11" s="20" t="s">
        <v>10</v>
      </c>
      <c r="C11" s="55" t="e">
        <f>#REF!+#REF!+#REF!</f>
        <v>#REF!</v>
      </c>
      <c r="D11" s="21" t="e">
        <f t="shared" si="0"/>
        <v>#REF!</v>
      </c>
      <c r="E11" s="58" t="e">
        <f t="shared" si="4"/>
        <v>#REF!</v>
      </c>
      <c r="F11" s="59" t="e">
        <f>#REF!+#REF!+#REF!</f>
        <v>#REF!</v>
      </c>
      <c r="G11" s="55" t="e">
        <f>#REF!+#REF!+#REF!</f>
        <v>#REF!</v>
      </c>
      <c r="H11" s="21" t="e">
        <f t="shared" si="1"/>
        <v>#REF!</v>
      </c>
      <c r="I11" s="58" t="e">
        <f t="shared" si="5"/>
        <v>#REF!</v>
      </c>
      <c r="J11" s="59" t="e">
        <f>#REF!+#REF!+#REF!</f>
        <v>#REF!</v>
      </c>
      <c r="K11" s="55" t="e">
        <f>#REF!+#REF!+#REF!</f>
        <v>#REF!</v>
      </c>
      <c r="L11" s="21" t="e">
        <f t="shared" si="2"/>
        <v>#REF!</v>
      </c>
      <c r="M11" s="58" t="e">
        <f t="shared" si="6"/>
        <v>#REF!</v>
      </c>
      <c r="N11" s="59" t="e">
        <f>#REF!+#REF!+#REF!</f>
        <v>#REF!</v>
      </c>
      <c r="O11" s="55" t="e">
        <f>#REF!+#REF!+#REF!</f>
        <v>#REF!</v>
      </c>
      <c r="P11" s="21" t="e">
        <f t="shared" si="3"/>
        <v>#REF!</v>
      </c>
      <c r="Q11" s="58" t="e">
        <f t="shared" si="7"/>
        <v>#REF!</v>
      </c>
      <c r="R11" s="59" t="e">
        <f>#REF!+#REF!+#REF!</f>
        <v>#REF!</v>
      </c>
      <c r="S11" s="55" t="e">
        <f t="shared" si="8"/>
        <v>#REF!</v>
      </c>
      <c r="T11" s="58" t="e">
        <f t="shared" si="13"/>
        <v>#REF!</v>
      </c>
      <c r="U11" s="59" t="e">
        <f t="shared" si="13"/>
        <v>#REF!</v>
      </c>
      <c r="V11" s="55" t="e">
        <f t="shared" si="10"/>
        <v>#REF!</v>
      </c>
      <c r="W11" s="58" t="e">
        <f t="shared" si="11"/>
        <v>#REF!</v>
      </c>
      <c r="X11" s="59" t="e">
        <f t="shared" si="12"/>
        <v>#REF!</v>
      </c>
    </row>
    <row r="12" spans="2:24" ht="33" customHeight="1" x14ac:dyDescent="0.35">
      <c r="B12" s="20" t="s">
        <v>12</v>
      </c>
      <c r="C12" s="55" t="e">
        <f>#REF!+#REF!+#REF!</f>
        <v>#REF!</v>
      </c>
      <c r="D12" s="21" t="e">
        <f t="shared" si="0"/>
        <v>#REF!</v>
      </c>
      <c r="E12" s="58" t="e">
        <f t="shared" si="4"/>
        <v>#REF!</v>
      </c>
      <c r="F12" s="59" t="e">
        <f>#REF!+#REF!+#REF!</f>
        <v>#REF!</v>
      </c>
      <c r="G12" s="55" t="e">
        <f>#REF!+#REF!+#REF!</f>
        <v>#REF!</v>
      </c>
      <c r="H12" s="21" t="e">
        <f t="shared" si="1"/>
        <v>#REF!</v>
      </c>
      <c r="I12" s="58" t="e">
        <f t="shared" si="5"/>
        <v>#REF!</v>
      </c>
      <c r="J12" s="59" t="e">
        <f>#REF!+#REF!+#REF!</f>
        <v>#REF!</v>
      </c>
      <c r="K12" s="55" t="e">
        <f>#REF!+#REF!+#REF!</f>
        <v>#REF!</v>
      </c>
      <c r="L12" s="21" t="e">
        <f t="shared" si="2"/>
        <v>#REF!</v>
      </c>
      <c r="M12" s="58" t="e">
        <f t="shared" si="6"/>
        <v>#REF!</v>
      </c>
      <c r="N12" s="59" t="e">
        <f>#REF!+#REF!+#REF!</f>
        <v>#REF!</v>
      </c>
      <c r="O12" s="55" t="e">
        <f>#REF!+#REF!+#REF!</f>
        <v>#REF!</v>
      </c>
      <c r="P12" s="21" t="e">
        <f t="shared" si="3"/>
        <v>#REF!</v>
      </c>
      <c r="Q12" s="58" t="e">
        <f t="shared" si="7"/>
        <v>#REF!</v>
      </c>
      <c r="R12" s="59" t="e">
        <f>#REF!+#REF!+#REF!</f>
        <v>#REF!</v>
      </c>
      <c r="S12" s="55" t="e">
        <f t="shared" si="8"/>
        <v>#REF!</v>
      </c>
      <c r="T12" s="58" t="e">
        <f t="shared" si="9"/>
        <v>#REF!</v>
      </c>
      <c r="U12" s="59" t="e">
        <f t="shared" si="9"/>
        <v>#REF!</v>
      </c>
      <c r="V12" s="55" t="e">
        <f t="shared" si="10"/>
        <v>#REF!</v>
      </c>
      <c r="W12" s="58" t="e">
        <f t="shared" si="11"/>
        <v>#REF!</v>
      </c>
      <c r="X12" s="59" t="e">
        <f t="shared" si="12"/>
        <v>#REF!</v>
      </c>
    </row>
    <row r="13" spans="2:24" ht="33" customHeight="1" x14ac:dyDescent="0.35">
      <c r="B13" s="22" t="s">
        <v>13</v>
      </c>
      <c r="C13" s="56" t="e">
        <f>SUM(C10:C12)</f>
        <v>#REF!</v>
      </c>
      <c r="D13" s="23" t="e">
        <f>+IF(C$21=0,0,C13/C$21)</f>
        <v>#REF!</v>
      </c>
      <c r="E13" s="60" t="e">
        <f>IF(C13=0,0,F13/C13)</f>
        <v>#REF!</v>
      </c>
      <c r="F13" s="61" t="e">
        <f>SUM(F10:F12)</f>
        <v>#REF!</v>
      </c>
      <c r="G13" s="56" t="e">
        <f>SUM(G10:G12)</f>
        <v>#REF!</v>
      </c>
      <c r="H13" s="23" t="e">
        <f t="shared" si="1"/>
        <v>#REF!</v>
      </c>
      <c r="I13" s="60" t="e">
        <f t="shared" si="5"/>
        <v>#REF!</v>
      </c>
      <c r="J13" s="61" t="e">
        <f>SUM(J10:J12)</f>
        <v>#REF!</v>
      </c>
      <c r="K13" s="56" t="e">
        <f>SUM(K10:K12)</f>
        <v>#REF!</v>
      </c>
      <c r="L13" s="23" t="e">
        <f t="shared" si="2"/>
        <v>#REF!</v>
      </c>
      <c r="M13" s="60" t="e">
        <f t="shared" si="6"/>
        <v>#REF!</v>
      </c>
      <c r="N13" s="61" t="e">
        <f>SUM(N10:N12)</f>
        <v>#REF!</v>
      </c>
      <c r="O13" s="56" t="e">
        <f>SUM(O10:O12)</f>
        <v>#REF!</v>
      </c>
      <c r="P13" s="23" t="e">
        <f t="shared" si="3"/>
        <v>#REF!</v>
      </c>
      <c r="Q13" s="60" t="e">
        <f t="shared" si="7"/>
        <v>#REF!</v>
      </c>
      <c r="R13" s="61" t="e">
        <f>SUM(R10:R12)</f>
        <v>#REF!</v>
      </c>
      <c r="S13" s="56" t="e">
        <f t="shared" si="8"/>
        <v>#REF!</v>
      </c>
      <c r="T13" s="60" t="e">
        <f t="shared" si="9"/>
        <v>#REF!</v>
      </c>
      <c r="U13" s="66" t="e">
        <f t="shared" si="9"/>
        <v>#REF!</v>
      </c>
      <c r="V13" s="56" t="e">
        <f t="shared" si="10"/>
        <v>#REF!</v>
      </c>
      <c r="W13" s="60" t="e">
        <f t="shared" si="11"/>
        <v>#REF!</v>
      </c>
      <c r="X13" s="66" t="e">
        <f t="shared" si="12"/>
        <v>#REF!</v>
      </c>
    </row>
    <row r="14" spans="2:24" ht="33" customHeight="1" x14ac:dyDescent="0.35">
      <c r="B14" s="25" t="s">
        <v>14</v>
      </c>
      <c r="C14" s="57" t="e">
        <f>#REF!+#REF!+#REF!</f>
        <v>#REF!</v>
      </c>
      <c r="D14" s="26" t="e">
        <f t="shared" si="0"/>
        <v>#REF!</v>
      </c>
      <c r="E14" s="62" t="e">
        <f t="shared" si="4"/>
        <v>#REF!</v>
      </c>
      <c r="F14" s="63" t="e">
        <f>#REF!+#REF!+#REF!</f>
        <v>#REF!</v>
      </c>
      <c r="G14" s="57" t="e">
        <f>#REF!+#REF!+#REF!</f>
        <v>#REF!</v>
      </c>
      <c r="H14" s="26" t="e">
        <f t="shared" si="1"/>
        <v>#REF!</v>
      </c>
      <c r="I14" s="62" t="e">
        <f t="shared" si="5"/>
        <v>#REF!</v>
      </c>
      <c r="J14" s="63" t="e">
        <f>#REF!+#REF!+#REF!</f>
        <v>#REF!</v>
      </c>
      <c r="K14" s="57" t="e">
        <f>#REF!+#REF!+#REF!</f>
        <v>#REF!</v>
      </c>
      <c r="L14" s="26" t="e">
        <f t="shared" si="2"/>
        <v>#REF!</v>
      </c>
      <c r="M14" s="62" t="e">
        <f t="shared" si="6"/>
        <v>#REF!</v>
      </c>
      <c r="N14" s="63" t="e">
        <f>#REF!+#REF!+#REF!</f>
        <v>#REF!</v>
      </c>
      <c r="O14" s="57" t="e">
        <f>#REF!+#REF!+#REF!</f>
        <v>#REF!</v>
      </c>
      <c r="P14" s="26" t="e">
        <f t="shared" si="3"/>
        <v>#REF!</v>
      </c>
      <c r="Q14" s="62" t="e">
        <f t="shared" si="7"/>
        <v>#REF!</v>
      </c>
      <c r="R14" s="63" t="e">
        <f>#REF!+#REF!+#REF!</f>
        <v>#REF!</v>
      </c>
      <c r="S14" s="67" t="e">
        <f t="shared" si="8"/>
        <v>#REF!</v>
      </c>
      <c r="T14" s="68" t="e">
        <f t="shared" si="9"/>
        <v>#REF!</v>
      </c>
      <c r="U14" s="69" t="e">
        <f t="shared" si="9"/>
        <v>#REF!</v>
      </c>
      <c r="V14" s="67" t="e">
        <f t="shared" si="10"/>
        <v>#REF!</v>
      </c>
      <c r="W14" s="68" t="e">
        <f t="shared" si="11"/>
        <v>#REF!</v>
      </c>
      <c r="X14" s="69" t="e">
        <f t="shared" si="12"/>
        <v>#REF!</v>
      </c>
    </row>
    <row r="15" spans="2:24" ht="33" customHeight="1" outlineLevel="1" x14ac:dyDescent="0.35">
      <c r="B15" s="27" t="s">
        <v>15</v>
      </c>
      <c r="C15" s="55" t="e">
        <f>#REF!+#REF!+#REF!</f>
        <v>#REF!</v>
      </c>
      <c r="D15" s="21" t="e">
        <f t="shared" si="0"/>
        <v>#REF!</v>
      </c>
      <c r="E15" s="58" t="e">
        <f t="shared" si="4"/>
        <v>#REF!</v>
      </c>
      <c r="F15" s="59" t="e">
        <f>#REF!+#REF!+#REF!</f>
        <v>#REF!</v>
      </c>
      <c r="G15" s="55" t="e">
        <f>#REF!+#REF!+#REF!</f>
        <v>#REF!</v>
      </c>
      <c r="H15" s="21" t="e">
        <f t="shared" si="1"/>
        <v>#REF!</v>
      </c>
      <c r="I15" s="58" t="e">
        <f t="shared" si="5"/>
        <v>#REF!</v>
      </c>
      <c r="J15" s="59" t="e">
        <f>#REF!+#REF!+#REF!</f>
        <v>#REF!</v>
      </c>
      <c r="K15" s="55" t="e">
        <f>#REF!+#REF!+#REF!</f>
        <v>#REF!</v>
      </c>
      <c r="L15" s="21" t="e">
        <f t="shared" si="2"/>
        <v>#REF!</v>
      </c>
      <c r="M15" s="58" t="e">
        <f t="shared" si="6"/>
        <v>#REF!</v>
      </c>
      <c r="N15" s="59" t="e">
        <f>#REF!+#REF!+#REF!</f>
        <v>#REF!</v>
      </c>
      <c r="O15" s="55" t="e">
        <f>#REF!+#REF!+#REF!</f>
        <v>#REF!</v>
      </c>
      <c r="P15" s="21" t="e">
        <f t="shared" si="3"/>
        <v>#REF!</v>
      </c>
      <c r="Q15" s="58" t="e">
        <f t="shared" si="7"/>
        <v>#REF!</v>
      </c>
      <c r="R15" s="59" t="e">
        <f>#REF!+#REF!+#REF!</f>
        <v>#REF!</v>
      </c>
      <c r="S15" s="70" t="e">
        <f t="shared" si="8"/>
        <v>#REF!</v>
      </c>
      <c r="T15" s="71" t="e">
        <f t="shared" si="9"/>
        <v>#REF!</v>
      </c>
      <c r="U15" s="36" t="e">
        <f t="shared" si="9"/>
        <v>#REF!</v>
      </c>
      <c r="V15" s="70" t="e">
        <f t="shared" si="10"/>
        <v>#REF!</v>
      </c>
      <c r="W15" s="71" t="e">
        <f t="shared" si="11"/>
        <v>#REF!</v>
      </c>
      <c r="X15" s="36" t="e">
        <f t="shared" si="12"/>
        <v>#REF!</v>
      </c>
    </row>
    <row r="16" spans="2:24" ht="33" customHeight="1" x14ac:dyDescent="0.35">
      <c r="B16" s="28" t="s">
        <v>16</v>
      </c>
      <c r="C16" s="56" t="e">
        <f>SUM(C13+C14+C15)</f>
        <v>#REF!</v>
      </c>
      <c r="D16" s="23" t="e">
        <f t="shared" si="0"/>
        <v>#REF!</v>
      </c>
      <c r="E16" s="60" t="e">
        <f t="shared" si="4"/>
        <v>#REF!</v>
      </c>
      <c r="F16" s="64" t="e">
        <f>SUM(F13+F14+F15)</f>
        <v>#REF!</v>
      </c>
      <c r="G16" s="56" t="e">
        <f>SUM(G13+G14+G15)</f>
        <v>#REF!</v>
      </c>
      <c r="H16" s="23" t="e">
        <f t="shared" si="1"/>
        <v>#REF!</v>
      </c>
      <c r="I16" s="60" t="e">
        <f t="shared" si="5"/>
        <v>#REF!</v>
      </c>
      <c r="J16" s="64" t="e">
        <f>SUM(J13+J14+J15)</f>
        <v>#REF!</v>
      </c>
      <c r="K16" s="56" t="e">
        <f>SUM(K13+K14+K15)</f>
        <v>#REF!</v>
      </c>
      <c r="L16" s="23" t="e">
        <f t="shared" si="2"/>
        <v>#REF!</v>
      </c>
      <c r="M16" s="60" t="e">
        <f t="shared" si="6"/>
        <v>#REF!</v>
      </c>
      <c r="N16" s="64" t="e">
        <f>SUM(N13+N14+N15)</f>
        <v>#REF!</v>
      </c>
      <c r="O16" s="56" t="e">
        <f>SUM(O13+O14+O15)</f>
        <v>#REF!</v>
      </c>
      <c r="P16" s="23" t="e">
        <f t="shared" si="3"/>
        <v>#REF!</v>
      </c>
      <c r="Q16" s="60" t="e">
        <f t="shared" si="7"/>
        <v>#REF!</v>
      </c>
      <c r="R16" s="64" t="e">
        <f>SUM(R13+R14+R15)</f>
        <v>#REF!</v>
      </c>
      <c r="S16" s="56" t="e">
        <f t="shared" si="8"/>
        <v>#REF!</v>
      </c>
      <c r="T16" s="60" t="e">
        <f t="shared" si="9"/>
        <v>#REF!</v>
      </c>
      <c r="U16" s="66" t="e">
        <f t="shared" si="9"/>
        <v>#REF!</v>
      </c>
      <c r="V16" s="56" t="e">
        <f t="shared" si="10"/>
        <v>#REF!</v>
      </c>
      <c r="W16" s="60" t="e">
        <f t="shared" si="11"/>
        <v>#REF!</v>
      </c>
      <c r="X16" s="66" t="e">
        <f t="shared" si="12"/>
        <v>#REF!</v>
      </c>
    </row>
    <row r="17" spans="2:24" ht="33" customHeight="1" x14ac:dyDescent="0.35">
      <c r="B17" s="29" t="s">
        <v>17</v>
      </c>
      <c r="C17" s="24" t="e">
        <f>IF(C4=0,C16,C16/$C$4)</f>
        <v>#REF!</v>
      </c>
      <c r="D17" s="30"/>
      <c r="E17" s="35"/>
      <c r="F17" s="36"/>
      <c r="G17" s="24" t="e">
        <f>IF(G4=0, G16, G16/$G$4)</f>
        <v>#REF!</v>
      </c>
      <c r="H17" s="30"/>
      <c r="I17" s="35"/>
      <c r="J17" s="36"/>
      <c r="K17" s="24" t="e">
        <f>IF(K4=0, K16, K16/$K$4)</f>
        <v>#REF!</v>
      </c>
      <c r="L17" s="30"/>
      <c r="M17" s="35"/>
      <c r="N17" s="36"/>
      <c r="O17" s="24" t="e">
        <f>IF(O4=0, O16, O16/$O$4)</f>
        <v>#REF!</v>
      </c>
      <c r="P17" s="30"/>
      <c r="Q17" s="35"/>
      <c r="R17" s="36"/>
      <c r="S17" s="54" t="e">
        <f t="shared" si="8"/>
        <v>#REF!</v>
      </c>
      <c r="T17" s="30"/>
      <c r="U17" s="31"/>
      <c r="V17" s="54" t="e">
        <f t="shared" si="10"/>
        <v>#REF!</v>
      </c>
      <c r="W17" s="30"/>
      <c r="X17" s="31"/>
    </row>
    <row r="18" spans="2:24" ht="33" customHeight="1" x14ac:dyDescent="0.35">
      <c r="B18" s="25" t="s">
        <v>18</v>
      </c>
      <c r="C18" s="57" t="e">
        <f>#REF!+#REF!+#REF!</f>
        <v>#REF!</v>
      </c>
      <c r="D18" s="26" t="e">
        <f>+IF(C$21=0,0,C18/C$21)</f>
        <v>#REF!</v>
      </c>
      <c r="E18" s="65" t="e">
        <f t="shared" si="4"/>
        <v>#REF!</v>
      </c>
      <c r="F18" s="63" t="e">
        <f>#REF!+#REF!+#REF!</f>
        <v>#REF!</v>
      </c>
      <c r="G18" s="57" t="e">
        <f>#REF!+#REF!+#REF!</f>
        <v>#REF!</v>
      </c>
      <c r="H18" s="26" t="e">
        <f>+IF(G$21=0,0,G18/G$21)</f>
        <v>#REF!</v>
      </c>
      <c r="I18" s="65" t="e">
        <f t="shared" si="5"/>
        <v>#REF!</v>
      </c>
      <c r="J18" s="63" t="e">
        <f>#REF!+#REF!+#REF!</f>
        <v>#REF!</v>
      </c>
      <c r="K18" s="57" t="e">
        <f>#REF!+#REF!+#REF!</f>
        <v>#REF!</v>
      </c>
      <c r="L18" s="26" t="e">
        <f>+IF(K$21=0,0,K18/K$21)</f>
        <v>#REF!</v>
      </c>
      <c r="M18" s="65" t="e">
        <f t="shared" si="6"/>
        <v>#REF!</v>
      </c>
      <c r="N18" s="63" t="e">
        <f>#REF!+#REF!+#REF!</f>
        <v>#REF!</v>
      </c>
      <c r="O18" s="57" t="e">
        <f>#REF!+#REF!+#REF!</f>
        <v>#REF!</v>
      </c>
      <c r="P18" s="26" t="e">
        <f>+IF(O$21=0,0,O18/O$21)</f>
        <v>#REF!</v>
      </c>
      <c r="Q18" s="65" t="e">
        <f t="shared" si="7"/>
        <v>#REF!</v>
      </c>
      <c r="R18" s="63" t="e">
        <f>#REF!+#REF!+#REF!</f>
        <v>#REF!</v>
      </c>
      <c r="S18" s="57" t="e">
        <f t="shared" si="8"/>
        <v>#REF!</v>
      </c>
      <c r="T18" s="62" t="e">
        <f t="shared" si="9"/>
        <v>#REF!</v>
      </c>
      <c r="U18" s="63" t="e">
        <f t="shared" si="9"/>
        <v>#REF!</v>
      </c>
      <c r="V18" s="57" t="e">
        <f t="shared" si="10"/>
        <v>#REF!</v>
      </c>
      <c r="W18" s="62" t="e">
        <f t="shared" ref="W18:X22" si="14">Q18-I18</f>
        <v>#REF!</v>
      </c>
      <c r="X18" s="63" t="e">
        <f t="shared" si="14"/>
        <v>#REF!</v>
      </c>
    </row>
    <row r="19" spans="2:24" ht="33" customHeight="1" outlineLevel="1" x14ac:dyDescent="0.35">
      <c r="B19" s="25" t="s">
        <v>19</v>
      </c>
      <c r="C19" s="57" t="e">
        <f>#REF!+#REF!+#REF!</f>
        <v>#REF!</v>
      </c>
      <c r="D19" s="26" t="e">
        <f>+IF(C$21=0,0,C19/C$21)</f>
        <v>#REF!</v>
      </c>
      <c r="E19" s="62" t="e">
        <f t="shared" si="4"/>
        <v>#REF!</v>
      </c>
      <c r="F19" s="63" t="e">
        <f>#REF!+#REF!+#REF!</f>
        <v>#REF!</v>
      </c>
      <c r="G19" s="57" t="e">
        <f>#REF!+#REF!+#REF!</f>
        <v>#REF!</v>
      </c>
      <c r="H19" s="26" t="e">
        <f>+IF(G$21=0,0,G19/G$21)</f>
        <v>#REF!</v>
      </c>
      <c r="I19" s="62" t="e">
        <f t="shared" si="5"/>
        <v>#REF!</v>
      </c>
      <c r="J19" s="63" t="e">
        <f>#REF!+#REF!+#REF!</f>
        <v>#REF!</v>
      </c>
      <c r="K19" s="57" t="e">
        <f>#REF!+#REF!+#REF!</f>
        <v>#REF!</v>
      </c>
      <c r="L19" s="26" t="e">
        <f>+IF(K$21=0,0,K19/K$21)</f>
        <v>#REF!</v>
      </c>
      <c r="M19" s="62" t="e">
        <f t="shared" si="6"/>
        <v>#REF!</v>
      </c>
      <c r="N19" s="63" t="e">
        <f>#REF!+#REF!+#REF!</f>
        <v>#REF!</v>
      </c>
      <c r="O19" s="57" t="e">
        <f>#REF!+#REF!+#REF!</f>
        <v>#REF!</v>
      </c>
      <c r="P19" s="26" t="e">
        <f>+IF(O$21=0,0,O19/O$21)</f>
        <v>#REF!</v>
      </c>
      <c r="Q19" s="62" t="e">
        <f t="shared" si="7"/>
        <v>#REF!</v>
      </c>
      <c r="R19" s="63" t="e">
        <f>#REF!+#REF!+#REF!</f>
        <v>#REF!</v>
      </c>
      <c r="S19" s="57" t="e">
        <f>O19-K19</f>
        <v>#REF!</v>
      </c>
      <c r="T19" s="62" t="e">
        <f>Q19-M19</f>
        <v>#REF!</v>
      </c>
      <c r="U19" s="72" t="e">
        <f>R19-N19</f>
        <v>#REF!</v>
      </c>
      <c r="V19" s="57" t="e">
        <f t="shared" si="10"/>
        <v>#REF!</v>
      </c>
      <c r="W19" s="62" t="e">
        <f t="shared" si="14"/>
        <v>#REF!</v>
      </c>
      <c r="X19" s="72" t="e">
        <f t="shared" si="14"/>
        <v>#REF!</v>
      </c>
    </row>
    <row r="20" spans="2:24" ht="33" customHeight="1" outlineLevel="1" x14ac:dyDescent="0.35">
      <c r="B20" s="25" t="s">
        <v>28</v>
      </c>
      <c r="C20" s="57" t="e">
        <f>#REF!+#REF!+#REF!</f>
        <v>#REF!</v>
      </c>
      <c r="D20" s="26" t="e">
        <f>+IF(C$21=0,0,C20/C$21)</f>
        <v>#REF!</v>
      </c>
      <c r="E20" s="62" t="e">
        <f t="shared" si="4"/>
        <v>#REF!</v>
      </c>
      <c r="F20" s="63" t="e">
        <f>#REF!+#REF!+#REF!</f>
        <v>#REF!</v>
      </c>
      <c r="G20" s="57" t="e">
        <f>#REF!+#REF!+#REF!</f>
        <v>#REF!</v>
      </c>
      <c r="H20" s="26" t="e">
        <f>+IF(G$21=0,0,G20/G$21)</f>
        <v>#REF!</v>
      </c>
      <c r="I20" s="62" t="e">
        <f t="shared" si="5"/>
        <v>#REF!</v>
      </c>
      <c r="J20" s="63" t="e">
        <f>#REF!+#REF!+#REF!</f>
        <v>#REF!</v>
      </c>
      <c r="K20" s="57" t="e">
        <f>#REF!+#REF!+#REF!</f>
        <v>#REF!</v>
      </c>
      <c r="L20" s="26" t="e">
        <f>+IF(K$21=0,0,K20/K$21)</f>
        <v>#REF!</v>
      </c>
      <c r="M20" s="62" t="e">
        <f t="shared" si="6"/>
        <v>#REF!</v>
      </c>
      <c r="N20" s="63" t="e">
        <f>#REF!+#REF!+#REF!</f>
        <v>#REF!</v>
      </c>
      <c r="O20" s="57" t="e">
        <f>#REF!+#REF!+#REF!</f>
        <v>#REF!</v>
      </c>
      <c r="P20" s="26" t="e">
        <f>+IF(O$21=0,0,O20/O$21)</f>
        <v>#REF!</v>
      </c>
      <c r="Q20" s="62" t="e">
        <f t="shared" si="7"/>
        <v>#REF!</v>
      </c>
      <c r="R20" s="63" t="e">
        <f>#REF!+#REF!+#REF!</f>
        <v>#REF!</v>
      </c>
      <c r="S20" s="57" t="e">
        <f>O20-K20</f>
        <v>#REF!</v>
      </c>
      <c r="T20" s="62" t="e">
        <f>Q20-M20</f>
        <v>#REF!</v>
      </c>
      <c r="U20" s="72" t="e">
        <f>R20-N20</f>
        <v>#REF!</v>
      </c>
      <c r="V20" s="57" t="e">
        <f t="shared" si="10"/>
        <v>#REF!</v>
      </c>
      <c r="W20" s="62" t="e">
        <f t="shared" si="14"/>
        <v>#REF!</v>
      </c>
      <c r="X20" s="72" t="e">
        <f t="shared" si="14"/>
        <v>#REF!</v>
      </c>
    </row>
    <row r="21" spans="2:24" ht="33" customHeight="1" x14ac:dyDescent="0.35">
      <c r="B21" s="22" t="s">
        <v>20</v>
      </c>
      <c r="C21" s="56" t="e">
        <f>SUM(C16,C18,C19,C20)</f>
        <v>#REF!</v>
      </c>
      <c r="D21" s="23" t="e">
        <f>+IF(C$21=0,0,C21/C$21)</f>
        <v>#REF!</v>
      </c>
      <c r="E21" s="60" t="e">
        <f t="shared" si="4"/>
        <v>#REF!</v>
      </c>
      <c r="F21" s="64" t="e">
        <f>SUM(F16,F18,F19,F20)</f>
        <v>#REF!</v>
      </c>
      <c r="G21" s="56" t="e">
        <f>SUM(G16,G18,G19,G20)</f>
        <v>#REF!</v>
      </c>
      <c r="H21" s="23" t="e">
        <f>+IF(G$21=0,0,G21/G$21)</f>
        <v>#REF!</v>
      </c>
      <c r="I21" s="60" t="e">
        <f t="shared" si="5"/>
        <v>#REF!</v>
      </c>
      <c r="J21" s="64" t="e">
        <f>SUM(J16,J18,J19,J20)</f>
        <v>#REF!</v>
      </c>
      <c r="K21" s="56" t="e">
        <f>SUM(K16,K18,K19,K20)</f>
        <v>#REF!</v>
      </c>
      <c r="L21" s="23" t="e">
        <f>+IF(K$21=0,0,K21/K$21)</f>
        <v>#REF!</v>
      </c>
      <c r="M21" s="60" t="e">
        <f t="shared" si="6"/>
        <v>#REF!</v>
      </c>
      <c r="N21" s="64" t="e">
        <f>SUM(N16,N18,N19,N20)</f>
        <v>#REF!</v>
      </c>
      <c r="O21" s="56" t="e">
        <f>SUM(O16,O18,O19,O20)</f>
        <v>#REF!</v>
      </c>
      <c r="P21" s="23" t="e">
        <f>+IF(O$21=0,0,O21/O$21)</f>
        <v>#REF!</v>
      </c>
      <c r="Q21" s="60" t="e">
        <f t="shared" si="7"/>
        <v>#REF!</v>
      </c>
      <c r="R21" s="64" t="e">
        <f>SUM(R16,R18,R19,R20)</f>
        <v>#REF!</v>
      </c>
      <c r="S21" s="56" t="e">
        <f t="shared" si="8"/>
        <v>#REF!</v>
      </c>
      <c r="T21" s="60" t="e">
        <f t="shared" si="9"/>
        <v>#REF!</v>
      </c>
      <c r="U21" s="64" t="e">
        <f t="shared" si="9"/>
        <v>#REF!</v>
      </c>
      <c r="V21" s="56" t="e">
        <f t="shared" si="10"/>
        <v>#REF!</v>
      </c>
      <c r="W21" s="60" t="e">
        <f t="shared" si="14"/>
        <v>#REF!</v>
      </c>
      <c r="X21" s="64" t="e">
        <f t="shared" si="14"/>
        <v>#REF!</v>
      </c>
    </row>
    <row r="22" spans="2:24" ht="33" customHeight="1" x14ac:dyDescent="0.35">
      <c r="B22" s="32"/>
      <c r="C22" s="33"/>
      <c r="D22" s="34"/>
      <c r="E22" s="35"/>
      <c r="F22" s="36"/>
      <c r="G22" s="33"/>
      <c r="H22" s="34"/>
      <c r="I22" s="37" t="e">
        <f>IF(E21=0,(I21-E21),(I21-E21)/E21)</f>
        <v>#REF!</v>
      </c>
      <c r="J22" s="38" t="e">
        <f>IF(F21=0,(J21-F21),(J21-F21)/F21)</f>
        <v>#REF!</v>
      </c>
      <c r="K22" s="39"/>
      <c r="L22" s="34"/>
      <c r="M22" s="37" t="e">
        <f>IF(I21=0,(M21-I21),(M21-I21)/I21)</f>
        <v>#REF!</v>
      </c>
      <c r="N22" s="38" t="e">
        <f>IF(J21=0,(N21-J21),(N21-J21)/J21)</f>
        <v>#REF!</v>
      </c>
      <c r="O22" s="39"/>
      <c r="P22" s="34"/>
      <c r="Q22" s="30"/>
      <c r="R22" s="31"/>
      <c r="S22" s="39"/>
      <c r="T22" s="37" t="e">
        <f>IF(T21=0,0,T21/M21)</f>
        <v>#REF!</v>
      </c>
      <c r="U22" s="38" t="e">
        <f>IF(N21=0,0,U21/N21)</f>
        <v>#REF!</v>
      </c>
      <c r="V22" s="39"/>
      <c r="W22" s="37" t="e">
        <f t="shared" si="14"/>
        <v>#REF!</v>
      </c>
      <c r="X22" s="38" t="e">
        <f t="shared" si="14"/>
        <v>#REF!</v>
      </c>
    </row>
    <row r="23" spans="2:24" ht="33" customHeight="1" x14ac:dyDescent="0.35">
      <c r="B23" s="40" t="s">
        <v>21</v>
      </c>
      <c r="C23" s="41" t="e">
        <f>IF(C4=0,C21,C21/C4)</f>
        <v>#REF!</v>
      </c>
      <c r="D23" s="30"/>
      <c r="E23" s="30"/>
      <c r="F23" s="31"/>
      <c r="G23" s="41" t="e">
        <f>IF(G4=0,G21,G21/G4)</f>
        <v>#REF!</v>
      </c>
      <c r="H23" s="30"/>
      <c r="I23" s="30"/>
      <c r="J23" s="31"/>
      <c r="K23" s="41" t="e">
        <f>IF(K4=0,K21,K21/K4)</f>
        <v>#REF!</v>
      </c>
      <c r="L23" s="30"/>
      <c r="M23" s="30"/>
      <c r="N23" s="31"/>
      <c r="O23" s="41" t="e">
        <f>IF(O4=0,O21,O21/O4)</f>
        <v>#REF!</v>
      </c>
      <c r="P23" s="30"/>
      <c r="Q23" s="30"/>
      <c r="R23" s="31"/>
      <c r="S23" s="41" t="e">
        <f t="shared" si="8"/>
        <v>#REF!</v>
      </c>
      <c r="T23" s="30"/>
      <c r="U23" s="31"/>
      <c r="V23" s="41" t="e">
        <f>O23-G23</f>
        <v>#REF!</v>
      </c>
      <c r="W23" s="30"/>
      <c r="X23" s="31"/>
    </row>
    <row r="24" spans="2:24" ht="33" customHeight="1" x14ac:dyDescent="0.35">
      <c r="B24" s="42" t="s">
        <v>22</v>
      </c>
      <c r="C24" s="43" t="e">
        <f>IF(C4=0,0,F$21/C$4)</f>
        <v>#REF!</v>
      </c>
      <c r="D24" s="44"/>
      <c r="E24" s="45"/>
      <c r="F24" s="46"/>
      <c r="G24" s="43" t="e">
        <f>IF(G4=0,0,J$21/G$4)</f>
        <v>#REF!</v>
      </c>
      <c r="H24" s="44"/>
      <c r="I24" s="45"/>
      <c r="J24" s="46"/>
      <c r="K24" s="43" t="e">
        <f>IF(K4=0,0,N$21/K$4)</f>
        <v>#REF!</v>
      </c>
      <c r="L24" s="44"/>
      <c r="M24" s="45"/>
      <c r="N24" s="46"/>
      <c r="O24" s="43" t="e">
        <f>IF(O4=0,0,R$21/O$4)</f>
        <v>#REF!</v>
      </c>
      <c r="P24" s="44"/>
      <c r="Q24" s="45"/>
      <c r="R24" s="46"/>
      <c r="S24" s="43" t="e">
        <f t="shared" si="8"/>
        <v>#REF!</v>
      </c>
      <c r="T24" s="45"/>
      <c r="U24" s="46"/>
      <c r="V24" s="43" t="e">
        <f>O24-G24</f>
        <v>#REF!</v>
      </c>
      <c r="W24" s="45"/>
      <c r="X24" s="46"/>
    </row>
    <row r="25" spans="2:24" x14ac:dyDescent="0.35">
      <c r="B25" s="3"/>
      <c r="C25" s="3"/>
      <c r="D25" s="3"/>
      <c r="E25" s="3"/>
      <c r="F25" s="3"/>
      <c r="G25" s="3"/>
      <c r="H25" s="3"/>
      <c r="I25" s="3"/>
      <c r="J25" s="3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2:24" x14ac:dyDescent="0.35">
      <c r="B26" s="789" t="s">
        <v>23</v>
      </c>
      <c r="C26" s="790"/>
      <c r="D26" s="790"/>
      <c r="E26" s="790"/>
      <c r="F26" s="790"/>
      <c r="G26" s="790"/>
      <c r="H26" s="790"/>
      <c r="I26" s="790"/>
      <c r="J26" s="790"/>
      <c r="K26" s="790"/>
      <c r="L26" s="790"/>
      <c r="M26" s="790"/>
      <c r="N26" s="790"/>
      <c r="O26" s="790"/>
      <c r="P26" s="790"/>
      <c r="Q26" s="790"/>
      <c r="R26" s="790"/>
      <c r="S26" s="790"/>
      <c r="T26" s="790"/>
      <c r="U26" s="790"/>
      <c r="V26" s="790"/>
      <c r="W26" s="790"/>
      <c r="X26" s="791"/>
    </row>
    <row r="27" spans="2:24" x14ac:dyDescent="0.35">
      <c r="B27" s="47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9"/>
    </row>
    <row r="28" spans="2:24" x14ac:dyDescent="0.35">
      <c r="B28" s="47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9"/>
    </row>
    <row r="29" spans="2:24" x14ac:dyDescent="0.35">
      <c r="B29" s="47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9"/>
    </row>
    <row r="30" spans="2:24" x14ac:dyDescent="0.35">
      <c r="B30" s="47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9"/>
    </row>
    <row r="31" spans="2:24" x14ac:dyDescent="0.35">
      <c r="B31" s="47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9"/>
    </row>
    <row r="32" spans="2:24" x14ac:dyDescent="0.35">
      <c r="B32" s="47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9"/>
    </row>
    <row r="33" spans="2:24" x14ac:dyDescent="0.35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2"/>
    </row>
  </sheetData>
  <sheetProtection formatCells="0" formatColumns="0" formatRows="0" insertColumns="0" insertRows="0" deleteColumns="0" deleteRows="0" selectLockedCells="1" selectUnlockedCells="1"/>
  <mergeCells count="9">
    <mergeCell ref="V5:X5"/>
    <mergeCell ref="B26:X26"/>
    <mergeCell ref="B1:X1"/>
    <mergeCell ref="B2:X2"/>
    <mergeCell ref="C5:F5"/>
    <mergeCell ref="G5:J5"/>
    <mergeCell ref="K5:N5"/>
    <mergeCell ref="O5:R5"/>
    <mergeCell ref="S5:U5"/>
  </mergeCells>
  <printOptions horizontalCentered="1" verticalCentered="1"/>
  <pageMargins left="0.5" right="0.5" top="0.5" bottom="0.5" header="0.3" footer="0.3"/>
  <pageSetup paperSize="8" scale="47" orientation="landscape" errors="blank" r:id="rId1"/>
  <headerFooter>
    <oddFooter>Page &amp;P of &amp;N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16">
    <tabColor rgb="FFFF0000"/>
    <pageSetUpPr fitToPage="1"/>
  </sheetPr>
  <dimension ref="B1:X33"/>
  <sheetViews>
    <sheetView view="pageBreakPreview" zoomScale="55" zoomScaleNormal="50" zoomScaleSheetLayoutView="55" workbookViewId="0">
      <pane xSplit="2" ySplit="6" topLeftCell="C7" activePane="bottomRight" state="frozen"/>
      <selection activeCell="B2" sqref="B2:X2"/>
      <selection pane="topRight" activeCell="B2" sqref="B2:X2"/>
      <selection pane="bottomLeft" activeCell="B2" sqref="B2:X2"/>
      <selection pane="bottomRight" activeCell="B2" sqref="B2:X2"/>
    </sheetView>
  </sheetViews>
  <sheetFormatPr defaultColWidth="9.140625" defaultRowHeight="23.25" outlineLevelRow="1" x14ac:dyDescent="0.35"/>
  <cols>
    <col min="1" max="1" width="1.28515625" style="5" customWidth="1"/>
    <col min="2" max="2" width="43.7109375" style="5" customWidth="1"/>
    <col min="3" max="3" width="18.140625" style="5" bestFit="1" customWidth="1"/>
    <col min="4" max="4" width="12.7109375" style="5" bestFit="1" customWidth="1"/>
    <col min="5" max="5" width="13" style="5" bestFit="1" customWidth="1"/>
    <col min="6" max="6" width="23" style="5" bestFit="1" customWidth="1"/>
    <col min="7" max="7" width="16.140625" style="5" bestFit="1" customWidth="1"/>
    <col min="8" max="8" width="12.7109375" style="5" bestFit="1" customWidth="1"/>
    <col min="9" max="9" width="13" style="5" bestFit="1" customWidth="1"/>
    <col min="10" max="10" width="23" style="5" bestFit="1" customWidth="1"/>
    <col min="11" max="11" width="16.140625" style="5" bestFit="1" customWidth="1"/>
    <col min="12" max="12" width="11.85546875" style="5" bestFit="1" customWidth="1"/>
    <col min="13" max="13" width="22" style="5" bestFit="1" customWidth="1"/>
    <col min="14" max="14" width="28.7109375" style="5" bestFit="1" customWidth="1"/>
    <col min="15" max="15" width="16.140625" style="5" bestFit="1" customWidth="1"/>
    <col min="16" max="16" width="11.85546875" style="5" bestFit="1" customWidth="1"/>
    <col min="17" max="17" width="13" style="5" bestFit="1" customWidth="1"/>
    <col min="18" max="18" width="23" style="5" bestFit="1" customWidth="1"/>
    <col min="19" max="19" width="13.85546875" style="5" bestFit="1" customWidth="1"/>
    <col min="20" max="20" width="14.28515625" style="5" bestFit="1" customWidth="1"/>
    <col min="21" max="21" width="19.7109375" style="5" bestFit="1" customWidth="1"/>
    <col min="22" max="22" width="13.85546875" style="5" bestFit="1" customWidth="1"/>
    <col min="23" max="23" width="14.28515625" style="5" bestFit="1" customWidth="1"/>
    <col min="24" max="24" width="19.7109375" style="5" bestFit="1" customWidth="1"/>
    <col min="25" max="16384" width="9.140625" style="5"/>
  </cols>
  <sheetData>
    <row r="1" spans="2:24" s="1" customFormat="1" ht="23.25" customHeight="1" x14ac:dyDescent="0.4">
      <c r="B1" s="756" t="e">
        <f>#REF!</f>
        <v>#REF!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7"/>
      <c r="R1" s="757"/>
      <c r="S1" s="757"/>
      <c r="T1" s="757"/>
      <c r="U1" s="757"/>
      <c r="V1" s="757"/>
      <c r="W1" s="757"/>
      <c r="X1" s="758"/>
    </row>
    <row r="2" spans="2:24" s="1" customFormat="1" ht="26.25" x14ac:dyDescent="0.4">
      <c r="B2" s="798" t="s">
        <v>25</v>
      </c>
      <c r="C2" s="799"/>
      <c r="D2" s="799"/>
      <c r="E2" s="799"/>
      <c r="F2" s="799"/>
      <c r="G2" s="799"/>
      <c r="H2" s="799"/>
      <c r="I2" s="799"/>
      <c r="J2" s="799"/>
      <c r="K2" s="799"/>
      <c r="L2" s="799"/>
      <c r="M2" s="799"/>
      <c r="N2" s="799"/>
      <c r="O2" s="799"/>
      <c r="P2" s="799"/>
      <c r="Q2" s="799"/>
      <c r="R2" s="799"/>
      <c r="S2" s="799"/>
      <c r="T2" s="799"/>
      <c r="U2" s="799"/>
      <c r="V2" s="799"/>
      <c r="W2" s="799"/>
      <c r="X2" s="800"/>
    </row>
    <row r="3" spans="2:24" ht="35.25" customHeight="1" x14ac:dyDescent="0.35">
      <c r="B3" s="2" t="s">
        <v>0</v>
      </c>
      <c r="C3" s="53" t="e">
        <f>#REF!</f>
        <v>#REF!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2:24" ht="33" customHeight="1" outlineLevel="1" x14ac:dyDescent="0.35">
      <c r="B4" s="6" t="s">
        <v>1</v>
      </c>
      <c r="C4" s="7" t="e">
        <f>#REF!+#REF!+#REF!</f>
        <v>#REF!</v>
      </c>
      <c r="D4" s="8"/>
      <c r="E4" s="9"/>
      <c r="F4" s="10"/>
      <c r="G4" s="7" t="e">
        <f>#REF!+#REF!+#REF!</f>
        <v>#REF!</v>
      </c>
      <c r="H4" s="11"/>
      <c r="I4" s="11"/>
      <c r="J4" s="11"/>
      <c r="K4" s="7" t="e">
        <f>#REF!+#REF!+#REF!</f>
        <v>#REF!</v>
      </c>
      <c r="L4" s="11"/>
      <c r="M4" s="11"/>
      <c r="N4" s="11"/>
      <c r="O4" s="7" t="e">
        <f>#REF!+#REF!+#REF!</f>
        <v>#REF!</v>
      </c>
      <c r="P4" s="12"/>
      <c r="Q4" s="12"/>
      <c r="R4" s="12"/>
      <c r="S4" s="12"/>
      <c r="T4" s="12"/>
      <c r="U4" s="12"/>
      <c r="V4" s="12"/>
      <c r="W4" s="12"/>
      <c r="X4" s="13"/>
    </row>
    <row r="5" spans="2:24" ht="33" customHeight="1" x14ac:dyDescent="0.35">
      <c r="B5" s="14" t="s">
        <v>2</v>
      </c>
      <c r="C5" s="762" t="s">
        <v>3</v>
      </c>
      <c r="D5" s="763"/>
      <c r="E5" s="763"/>
      <c r="F5" s="764"/>
      <c r="G5" s="762" t="s">
        <v>30</v>
      </c>
      <c r="H5" s="763"/>
      <c r="I5" s="763"/>
      <c r="J5" s="764"/>
      <c r="K5" s="762" t="s">
        <v>32</v>
      </c>
      <c r="L5" s="763"/>
      <c r="M5" s="763"/>
      <c r="N5" s="764"/>
      <c r="O5" s="762" t="s">
        <v>31</v>
      </c>
      <c r="P5" s="763"/>
      <c r="Q5" s="763"/>
      <c r="R5" s="764"/>
      <c r="S5" s="762" t="s">
        <v>33</v>
      </c>
      <c r="T5" s="763"/>
      <c r="U5" s="764"/>
      <c r="V5" s="762" t="s">
        <v>34</v>
      </c>
      <c r="W5" s="763"/>
      <c r="X5" s="764"/>
    </row>
    <row r="6" spans="2:24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7" t="s">
        <v>5</v>
      </c>
      <c r="Q6" s="18" t="s">
        <v>6</v>
      </c>
      <c r="R6" s="19" t="s">
        <v>7</v>
      </c>
      <c r="S6" s="16" t="s">
        <v>4</v>
      </c>
      <c r="T6" s="18" t="s">
        <v>6</v>
      </c>
      <c r="U6" s="19" t="s">
        <v>7</v>
      </c>
      <c r="V6" s="16" t="s">
        <v>4</v>
      </c>
      <c r="W6" s="18" t="s">
        <v>6</v>
      </c>
      <c r="X6" s="19" t="s">
        <v>7</v>
      </c>
    </row>
    <row r="7" spans="2:24" s="84" customFormat="1" ht="33" customHeight="1" x14ac:dyDescent="0.3">
      <c r="B7" s="79" t="s">
        <v>8</v>
      </c>
      <c r="C7" s="80" t="e">
        <f>#REF!+#REF!+#REF!</f>
        <v>#REF!</v>
      </c>
      <c r="D7" s="81" t="e">
        <f t="shared" ref="D7:D16" si="0">+IF(C$21=0,0,C7/C$21)</f>
        <v>#REF!</v>
      </c>
      <c r="E7" s="82" t="e">
        <f>IF(C7=0,0,F7/C7)</f>
        <v>#REF!</v>
      </c>
      <c r="F7" s="83" t="e">
        <f>#REF!+#REF!+#REF!</f>
        <v>#REF!</v>
      </c>
      <c r="G7" s="80" t="e">
        <f>#REF!+#REF!+#REF!</f>
        <v>#REF!</v>
      </c>
      <c r="H7" s="81" t="e">
        <f t="shared" ref="H7:H16" si="1">+IF(G$21=0,0,G7/G$21)</f>
        <v>#REF!</v>
      </c>
      <c r="I7" s="82" t="e">
        <f>IF(G7=0,0,J7/G7)</f>
        <v>#REF!</v>
      </c>
      <c r="J7" s="83" t="e">
        <f>#REF!+#REF!+#REF!</f>
        <v>#REF!</v>
      </c>
      <c r="K7" s="80" t="e">
        <f>#REF!+#REF!+#REF!</f>
        <v>#REF!</v>
      </c>
      <c r="L7" s="81" t="e">
        <f t="shared" ref="L7:L16" si="2">+IF(K$21=0,0,K7/K$21)</f>
        <v>#REF!</v>
      </c>
      <c r="M7" s="82" t="e">
        <f>IF(K7=0,0,N7/K7)</f>
        <v>#REF!</v>
      </c>
      <c r="N7" s="83" t="e">
        <f>#REF!+#REF!+#REF!</f>
        <v>#REF!</v>
      </c>
      <c r="O7" s="80" t="e">
        <f>#REF!+#REF!+#REF!</f>
        <v>#REF!</v>
      </c>
      <c r="P7" s="81" t="e">
        <f t="shared" ref="P7:P16" si="3">+IF(O$21=0,0,O7/O$21)</f>
        <v>#REF!</v>
      </c>
      <c r="Q7" s="82" t="e">
        <f>IF(O7=0,0,R7/O7)</f>
        <v>#REF!</v>
      </c>
      <c r="R7" s="83" t="e">
        <f>#REF!+#REF!+#REF!</f>
        <v>#REF!</v>
      </c>
      <c r="S7" s="80" t="e">
        <f>O7-K7</f>
        <v>#REF!</v>
      </c>
      <c r="T7" s="82" t="e">
        <f>Q7-M7</f>
        <v>#REF!</v>
      </c>
      <c r="U7" s="83" t="e">
        <f>R7-N7</f>
        <v>#REF!</v>
      </c>
      <c r="V7" s="80" t="e">
        <f>O7-G7</f>
        <v>#REF!</v>
      </c>
      <c r="W7" s="82" t="e">
        <f>Q7-I7</f>
        <v>#REF!</v>
      </c>
      <c r="X7" s="83" t="e">
        <f>R7-J7</f>
        <v>#REF!</v>
      </c>
    </row>
    <row r="8" spans="2:24" s="84" customFormat="1" ht="33" customHeight="1" x14ac:dyDescent="0.3">
      <c r="B8" s="79" t="s">
        <v>9</v>
      </c>
      <c r="C8" s="80" t="e">
        <f>#REF!+#REF!+#REF!</f>
        <v>#REF!</v>
      </c>
      <c r="D8" s="81" t="e">
        <f t="shared" si="0"/>
        <v>#REF!</v>
      </c>
      <c r="E8" s="82" t="e">
        <f t="shared" ref="E8:E21" si="4">IF(C8=0,0,F8/C8)</f>
        <v>#REF!</v>
      </c>
      <c r="F8" s="83" t="e">
        <f>#REF!+#REF!+#REF!</f>
        <v>#REF!</v>
      </c>
      <c r="G8" s="80" t="e">
        <f>#REF!+#REF!+#REF!</f>
        <v>#REF!</v>
      </c>
      <c r="H8" s="81" t="e">
        <f t="shared" si="1"/>
        <v>#REF!</v>
      </c>
      <c r="I8" s="82" t="e">
        <f t="shared" ref="I8:I21" si="5">IF(G8=0,0,J8/G8)</f>
        <v>#REF!</v>
      </c>
      <c r="J8" s="83" t="e">
        <f>#REF!+#REF!+#REF!</f>
        <v>#REF!</v>
      </c>
      <c r="K8" s="80" t="e">
        <f>#REF!+#REF!+#REF!</f>
        <v>#REF!</v>
      </c>
      <c r="L8" s="81" t="e">
        <f t="shared" si="2"/>
        <v>#REF!</v>
      </c>
      <c r="M8" s="82" t="e">
        <f t="shared" ref="M8:M21" si="6">IF(K8=0,0,N8/K8)</f>
        <v>#REF!</v>
      </c>
      <c r="N8" s="83" t="e">
        <f>#REF!+#REF!+#REF!</f>
        <v>#REF!</v>
      </c>
      <c r="O8" s="80" t="e">
        <f>#REF!+#REF!+#REF!</f>
        <v>#REF!</v>
      </c>
      <c r="P8" s="81" t="e">
        <f t="shared" si="3"/>
        <v>#REF!</v>
      </c>
      <c r="Q8" s="82" t="e">
        <f t="shared" ref="Q8:Q21" si="7">IF(O8=0,0,R8/O8)</f>
        <v>#REF!</v>
      </c>
      <c r="R8" s="83" t="e">
        <f>#REF!+#REF!+#REF!</f>
        <v>#REF!</v>
      </c>
      <c r="S8" s="80" t="e">
        <f t="shared" ref="S8:S24" si="8">O8-K8</f>
        <v>#REF!</v>
      </c>
      <c r="T8" s="82" t="e">
        <f t="shared" ref="T8:U21" si="9">Q8-M8</f>
        <v>#REF!</v>
      </c>
      <c r="U8" s="83" t="e">
        <f t="shared" si="9"/>
        <v>#REF!</v>
      </c>
      <c r="V8" s="80" t="e">
        <f t="shared" ref="V8:V21" si="10">O8-G8</f>
        <v>#REF!</v>
      </c>
      <c r="W8" s="82" t="e">
        <f t="shared" ref="W8:W16" si="11">Q8-I8</f>
        <v>#REF!</v>
      </c>
      <c r="X8" s="83" t="e">
        <f t="shared" ref="X8:X16" si="12">R8-J8</f>
        <v>#REF!</v>
      </c>
    </row>
    <row r="9" spans="2:24" s="84" customFormat="1" ht="33" customHeight="1" x14ac:dyDescent="0.3">
      <c r="B9" s="79" t="s">
        <v>11</v>
      </c>
      <c r="C9" s="80" t="e">
        <f>#REF!+#REF!+#REF!</f>
        <v>#REF!</v>
      </c>
      <c r="D9" s="81" t="e">
        <f t="shared" si="0"/>
        <v>#REF!</v>
      </c>
      <c r="E9" s="82" t="e">
        <f>IF(C9=0,0,F9/C9)</f>
        <v>#REF!</v>
      </c>
      <c r="F9" s="83" t="e">
        <f>#REF!+#REF!+#REF!</f>
        <v>#REF!</v>
      </c>
      <c r="G9" s="80" t="e">
        <f>#REF!+#REF!+#REF!</f>
        <v>#REF!</v>
      </c>
      <c r="H9" s="81" t="e">
        <f t="shared" si="1"/>
        <v>#REF!</v>
      </c>
      <c r="I9" s="82" t="e">
        <f>IF(G9=0,0,J9/G9)</f>
        <v>#REF!</v>
      </c>
      <c r="J9" s="83" t="e">
        <f>#REF!+#REF!+#REF!</f>
        <v>#REF!</v>
      </c>
      <c r="K9" s="80" t="e">
        <f>#REF!+#REF!+#REF!</f>
        <v>#REF!</v>
      </c>
      <c r="L9" s="81" t="e">
        <f t="shared" si="2"/>
        <v>#REF!</v>
      </c>
      <c r="M9" s="82" t="e">
        <f>IF(K9=0,0,N9/K9)</f>
        <v>#REF!</v>
      </c>
      <c r="N9" s="83" t="e">
        <f>#REF!+#REF!+#REF!</f>
        <v>#REF!</v>
      </c>
      <c r="O9" s="80" t="e">
        <f>#REF!+#REF!+#REF!</f>
        <v>#REF!</v>
      </c>
      <c r="P9" s="81" t="e">
        <f t="shared" si="3"/>
        <v>#REF!</v>
      </c>
      <c r="Q9" s="82" t="e">
        <f>IF(O9=0,0,R9/O9)</f>
        <v>#REF!</v>
      </c>
      <c r="R9" s="83" t="e">
        <f>#REF!+#REF!+#REF!</f>
        <v>#REF!</v>
      </c>
      <c r="S9" s="80" t="e">
        <f>O9-K9</f>
        <v>#REF!</v>
      </c>
      <c r="T9" s="82" t="e">
        <f t="shared" ref="T9:U11" si="13">Q9-M9</f>
        <v>#REF!</v>
      </c>
      <c r="U9" s="83" t="e">
        <f t="shared" si="13"/>
        <v>#REF!</v>
      </c>
      <c r="V9" s="80" t="e">
        <f t="shared" si="10"/>
        <v>#REF!</v>
      </c>
      <c r="W9" s="82" t="e">
        <f t="shared" si="11"/>
        <v>#REF!</v>
      </c>
      <c r="X9" s="83" t="e">
        <f t="shared" si="12"/>
        <v>#REF!</v>
      </c>
    </row>
    <row r="10" spans="2:24" ht="33" customHeight="1" x14ac:dyDescent="0.35">
      <c r="B10" s="20" t="s">
        <v>29</v>
      </c>
      <c r="C10" s="55" t="e">
        <f>SUM(C7:C9)</f>
        <v>#REF!</v>
      </c>
      <c r="D10" s="21" t="e">
        <f t="shared" si="0"/>
        <v>#REF!</v>
      </c>
      <c r="E10" s="58" t="e">
        <f>IF(C10=0,0,F10/C10)</f>
        <v>#REF!</v>
      </c>
      <c r="F10" s="59" t="e">
        <f>SUM(F7:F9)</f>
        <v>#REF!</v>
      </c>
      <c r="G10" s="55" t="e">
        <f>SUM(G7:G9)</f>
        <v>#REF!</v>
      </c>
      <c r="H10" s="21" t="e">
        <f t="shared" si="1"/>
        <v>#REF!</v>
      </c>
      <c r="I10" s="58" t="e">
        <f>IF(G10=0,0,J10/G10)</f>
        <v>#REF!</v>
      </c>
      <c r="J10" s="59" t="e">
        <f>SUM(J7:J9)</f>
        <v>#REF!</v>
      </c>
      <c r="K10" s="55" t="e">
        <f>SUM(K7:K9)</f>
        <v>#REF!</v>
      </c>
      <c r="L10" s="21" t="e">
        <f t="shared" si="2"/>
        <v>#REF!</v>
      </c>
      <c r="M10" s="58" t="e">
        <f>IF(K10=0,0,N10/K10)</f>
        <v>#REF!</v>
      </c>
      <c r="N10" s="59" t="e">
        <f>SUM(N7:N9)</f>
        <v>#REF!</v>
      </c>
      <c r="O10" s="55" t="e">
        <f>SUM(O7:O9)</f>
        <v>#REF!</v>
      </c>
      <c r="P10" s="21" t="e">
        <f t="shared" si="3"/>
        <v>#REF!</v>
      </c>
      <c r="Q10" s="58" t="e">
        <f>IF(O10=0,0,R10/O10)</f>
        <v>#REF!</v>
      </c>
      <c r="R10" s="59" t="e">
        <f>SUM(R7:R9)</f>
        <v>#REF!</v>
      </c>
      <c r="S10" s="55" t="e">
        <f>O10-K10</f>
        <v>#REF!</v>
      </c>
      <c r="T10" s="58" t="e">
        <f t="shared" si="13"/>
        <v>#REF!</v>
      </c>
      <c r="U10" s="59" t="e">
        <f t="shared" si="13"/>
        <v>#REF!</v>
      </c>
      <c r="V10" s="55" t="e">
        <f t="shared" si="10"/>
        <v>#REF!</v>
      </c>
      <c r="W10" s="58" t="e">
        <f t="shared" si="11"/>
        <v>#REF!</v>
      </c>
      <c r="X10" s="59" t="e">
        <f t="shared" si="12"/>
        <v>#REF!</v>
      </c>
    </row>
    <row r="11" spans="2:24" ht="33" customHeight="1" x14ac:dyDescent="0.35">
      <c r="B11" s="20" t="s">
        <v>10</v>
      </c>
      <c r="C11" s="55" t="e">
        <f>#REF!+#REF!+#REF!</f>
        <v>#REF!</v>
      </c>
      <c r="D11" s="21" t="e">
        <f t="shared" si="0"/>
        <v>#REF!</v>
      </c>
      <c r="E11" s="58" t="e">
        <f t="shared" si="4"/>
        <v>#REF!</v>
      </c>
      <c r="F11" s="59" t="e">
        <f>#REF!+#REF!+#REF!</f>
        <v>#REF!</v>
      </c>
      <c r="G11" s="55" t="e">
        <f>#REF!+#REF!+#REF!</f>
        <v>#REF!</v>
      </c>
      <c r="H11" s="21" t="e">
        <f t="shared" si="1"/>
        <v>#REF!</v>
      </c>
      <c r="I11" s="58" t="e">
        <f t="shared" si="5"/>
        <v>#REF!</v>
      </c>
      <c r="J11" s="59" t="e">
        <f>#REF!+#REF!+#REF!</f>
        <v>#REF!</v>
      </c>
      <c r="K11" s="55" t="e">
        <f>#REF!+#REF!+#REF!</f>
        <v>#REF!</v>
      </c>
      <c r="L11" s="21" t="e">
        <f t="shared" si="2"/>
        <v>#REF!</v>
      </c>
      <c r="M11" s="58" t="e">
        <f t="shared" si="6"/>
        <v>#REF!</v>
      </c>
      <c r="N11" s="59" t="e">
        <f>#REF!+#REF!+#REF!</f>
        <v>#REF!</v>
      </c>
      <c r="O11" s="55" t="e">
        <f>#REF!+#REF!+#REF!</f>
        <v>#REF!</v>
      </c>
      <c r="P11" s="21" t="e">
        <f t="shared" si="3"/>
        <v>#REF!</v>
      </c>
      <c r="Q11" s="58" t="e">
        <f t="shared" si="7"/>
        <v>#REF!</v>
      </c>
      <c r="R11" s="59" t="e">
        <f>#REF!+#REF!+#REF!</f>
        <v>#REF!</v>
      </c>
      <c r="S11" s="55" t="e">
        <f t="shared" si="8"/>
        <v>#REF!</v>
      </c>
      <c r="T11" s="58" t="e">
        <f t="shared" si="13"/>
        <v>#REF!</v>
      </c>
      <c r="U11" s="59" t="e">
        <f t="shared" si="13"/>
        <v>#REF!</v>
      </c>
      <c r="V11" s="55" t="e">
        <f t="shared" si="10"/>
        <v>#REF!</v>
      </c>
      <c r="W11" s="58" t="e">
        <f t="shared" si="11"/>
        <v>#REF!</v>
      </c>
      <c r="X11" s="59" t="e">
        <f t="shared" si="12"/>
        <v>#REF!</v>
      </c>
    </row>
    <row r="12" spans="2:24" ht="33" customHeight="1" x14ac:dyDescent="0.35">
      <c r="B12" s="20" t="s">
        <v>12</v>
      </c>
      <c r="C12" s="55" t="e">
        <f>#REF!+#REF!+#REF!</f>
        <v>#REF!</v>
      </c>
      <c r="D12" s="21" t="e">
        <f t="shared" si="0"/>
        <v>#REF!</v>
      </c>
      <c r="E12" s="58" t="e">
        <f t="shared" si="4"/>
        <v>#REF!</v>
      </c>
      <c r="F12" s="59" t="e">
        <f>#REF!+#REF!+#REF!</f>
        <v>#REF!</v>
      </c>
      <c r="G12" s="55" t="e">
        <f>#REF!+#REF!+#REF!</f>
        <v>#REF!</v>
      </c>
      <c r="H12" s="21" t="e">
        <f t="shared" si="1"/>
        <v>#REF!</v>
      </c>
      <c r="I12" s="58" t="e">
        <f t="shared" si="5"/>
        <v>#REF!</v>
      </c>
      <c r="J12" s="59" t="e">
        <f>#REF!+#REF!+#REF!</f>
        <v>#REF!</v>
      </c>
      <c r="K12" s="55" t="e">
        <f>#REF!+#REF!+#REF!</f>
        <v>#REF!</v>
      </c>
      <c r="L12" s="21" t="e">
        <f t="shared" si="2"/>
        <v>#REF!</v>
      </c>
      <c r="M12" s="58" t="e">
        <f t="shared" si="6"/>
        <v>#REF!</v>
      </c>
      <c r="N12" s="59" t="e">
        <f>#REF!+#REF!+#REF!</f>
        <v>#REF!</v>
      </c>
      <c r="O12" s="55" t="e">
        <f>#REF!+#REF!+#REF!</f>
        <v>#REF!</v>
      </c>
      <c r="P12" s="21" t="e">
        <f t="shared" si="3"/>
        <v>#REF!</v>
      </c>
      <c r="Q12" s="58" t="e">
        <f t="shared" si="7"/>
        <v>#REF!</v>
      </c>
      <c r="R12" s="59" t="e">
        <f>#REF!+#REF!+#REF!</f>
        <v>#REF!</v>
      </c>
      <c r="S12" s="55" t="e">
        <f t="shared" si="8"/>
        <v>#REF!</v>
      </c>
      <c r="T12" s="58" t="e">
        <f t="shared" si="9"/>
        <v>#REF!</v>
      </c>
      <c r="U12" s="59" t="e">
        <f t="shared" si="9"/>
        <v>#REF!</v>
      </c>
      <c r="V12" s="55" t="e">
        <f t="shared" si="10"/>
        <v>#REF!</v>
      </c>
      <c r="W12" s="58" t="e">
        <f t="shared" si="11"/>
        <v>#REF!</v>
      </c>
      <c r="X12" s="59" t="e">
        <f t="shared" si="12"/>
        <v>#REF!</v>
      </c>
    </row>
    <row r="13" spans="2:24" ht="33" customHeight="1" x14ac:dyDescent="0.35">
      <c r="B13" s="22" t="s">
        <v>13</v>
      </c>
      <c r="C13" s="56">
        <v>0</v>
      </c>
      <c r="D13" s="23">
        <v>0</v>
      </c>
      <c r="E13" s="60">
        <v>0</v>
      </c>
      <c r="F13" s="61">
        <v>0</v>
      </c>
      <c r="G13" s="56">
        <v>0</v>
      </c>
      <c r="H13" s="23">
        <v>0</v>
      </c>
      <c r="I13" s="60">
        <v>0</v>
      </c>
      <c r="J13" s="61">
        <v>0</v>
      </c>
      <c r="K13" s="56">
        <v>0</v>
      </c>
      <c r="L13" s="23">
        <v>0</v>
      </c>
      <c r="M13" s="60">
        <v>0</v>
      </c>
      <c r="N13" s="61">
        <v>0</v>
      </c>
      <c r="O13" s="56">
        <v>0</v>
      </c>
      <c r="P13" s="23">
        <v>0</v>
      </c>
      <c r="Q13" s="60">
        <v>0</v>
      </c>
      <c r="R13" s="61">
        <v>0</v>
      </c>
      <c r="S13" s="56">
        <f t="shared" si="8"/>
        <v>0</v>
      </c>
      <c r="T13" s="60">
        <f t="shared" si="9"/>
        <v>0</v>
      </c>
      <c r="U13" s="66">
        <f t="shared" si="9"/>
        <v>0</v>
      </c>
      <c r="V13" s="56">
        <f t="shared" si="10"/>
        <v>0</v>
      </c>
      <c r="W13" s="60">
        <f t="shared" si="11"/>
        <v>0</v>
      </c>
      <c r="X13" s="66">
        <f t="shared" si="12"/>
        <v>0</v>
      </c>
    </row>
    <row r="14" spans="2:24" ht="33" customHeight="1" x14ac:dyDescent="0.35">
      <c r="B14" s="25" t="s">
        <v>14</v>
      </c>
      <c r="C14" s="57" t="e">
        <f>#REF!+#REF!+#REF!</f>
        <v>#REF!</v>
      </c>
      <c r="D14" s="26" t="e">
        <f t="shared" si="0"/>
        <v>#REF!</v>
      </c>
      <c r="E14" s="62" t="e">
        <f t="shared" si="4"/>
        <v>#REF!</v>
      </c>
      <c r="F14" s="63" t="e">
        <f>#REF!+#REF!+#REF!</f>
        <v>#REF!</v>
      </c>
      <c r="G14" s="57" t="e">
        <f>#REF!+#REF!+#REF!</f>
        <v>#REF!</v>
      </c>
      <c r="H14" s="26" t="e">
        <f t="shared" si="1"/>
        <v>#REF!</v>
      </c>
      <c r="I14" s="62" t="e">
        <f t="shared" si="5"/>
        <v>#REF!</v>
      </c>
      <c r="J14" s="63" t="e">
        <f>#REF!+#REF!+#REF!</f>
        <v>#REF!</v>
      </c>
      <c r="K14" s="57" t="e">
        <f>#REF!+#REF!+#REF!</f>
        <v>#REF!</v>
      </c>
      <c r="L14" s="26" t="e">
        <f t="shared" si="2"/>
        <v>#REF!</v>
      </c>
      <c r="M14" s="62" t="e">
        <f t="shared" si="6"/>
        <v>#REF!</v>
      </c>
      <c r="N14" s="63" t="e">
        <f>#REF!+#REF!+#REF!</f>
        <v>#REF!</v>
      </c>
      <c r="O14" s="57" t="e">
        <f>#REF!+#REF!+#REF!</f>
        <v>#REF!</v>
      </c>
      <c r="P14" s="26" t="e">
        <f t="shared" si="3"/>
        <v>#REF!</v>
      </c>
      <c r="Q14" s="62" t="e">
        <f t="shared" si="7"/>
        <v>#REF!</v>
      </c>
      <c r="R14" s="63" t="e">
        <f>#REF!+#REF!+#REF!</f>
        <v>#REF!</v>
      </c>
      <c r="S14" s="67" t="e">
        <f t="shared" si="8"/>
        <v>#REF!</v>
      </c>
      <c r="T14" s="68" t="e">
        <f t="shared" si="9"/>
        <v>#REF!</v>
      </c>
      <c r="U14" s="69" t="e">
        <f t="shared" si="9"/>
        <v>#REF!</v>
      </c>
      <c r="V14" s="67" t="e">
        <f t="shared" si="10"/>
        <v>#REF!</v>
      </c>
      <c r="W14" s="68" t="e">
        <f t="shared" si="11"/>
        <v>#REF!</v>
      </c>
      <c r="X14" s="69" t="e">
        <f t="shared" si="12"/>
        <v>#REF!</v>
      </c>
    </row>
    <row r="15" spans="2:24" ht="33" customHeight="1" outlineLevel="1" x14ac:dyDescent="0.35">
      <c r="B15" s="27" t="s">
        <v>15</v>
      </c>
      <c r="C15" s="55" t="e">
        <f>#REF!+#REF!+#REF!</f>
        <v>#REF!</v>
      </c>
      <c r="D15" s="21" t="e">
        <f t="shared" si="0"/>
        <v>#REF!</v>
      </c>
      <c r="E15" s="58" t="e">
        <f t="shared" si="4"/>
        <v>#REF!</v>
      </c>
      <c r="F15" s="59" t="e">
        <f>#REF!+#REF!+#REF!</f>
        <v>#REF!</v>
      </c>
      <c r="G15" s="55" t="e">
        <f>#REF!+#REF!+#REF!</f>
        <v>#REF!</v>
      </c>
      <c r="H15" s="21" t="e">
        <f t="shared" si="1"/>
        <v>#REF!</v>
      </c>
      <c r="I15" s="58" t="e">
        <f t="shared" si="5"/>
        <v>#REF!</v>
      </c>
      <c r="J15" s="59" t="e">
        <f>#REF!+#REF!+#REF!</f>
        <v>#REF!</v>
      </c>
      <c r="K15" s="55" t="e">
        <f>#REF!+#REF!+#REF!</f>
        <v>#REF!</v>
      </c>
      <c r="L15" s="21" t="e">
        <f t="shared" si="2"/>
        <v>#REF!</v>
      </c>
      <c r="M15" s="58" t="e">
        <f t="shared" si="6"/>
        <v>#REF!</v>
      </c>
      <c r="N15" s="59" t="e">
        <f>#REF!+#REF!+#REF!</f>
        <v>#REF!</v>
      </c>
      <c r="O15" s="55" t="e">
        <f>#REF!+#REF!+#REF!</f>
        <v>#REF!</v>
      </c>
      <c r="P15" s="21" t="e">
        <f t="shared" si="3"/>
        <v>#REF!</v>
      </c>
      <c r="Q15" s="58" t="e">
        <f t="shared" si="7"/>
        <v>#REF!</v>
      </c>
      <c r="R15" s="59" t="e">
        <f>#REF!+#REF!+#REF!</f>
        <v>#REF!</v>
      </c>
      <c r="S15" s="70" t="e">
        <f t="shared" si="8"/>
        <v>#REF!</v>
      </c>
      <c r="T15" s="71" t="e">
        <f t="shared" si="9"/>
        <v>#REF!</v>
      </c>
      <c r="U15" s="36" t="e">
        <f t="shared" si="9"/>
        <v>#REF!</v>
      </c>
      <c r="V15" s="70" t="e">
        <f t="shared" si="10"/>
        <v>#REF!</v>
      </c>
      <c r="W15" s="71" t="e">
        <f t="shared" si="11"/>
        <v>#REF!</v>
      </c>
      <c r="X15" s="36" t="e">
        <f t="shared" si="12"/>
        <v>#REF!</v>
      </c>
    </row>
    <row r="16" spans="2:24" ht="33" customHeight="1" x14ac:dyDescent="0.35">
      <c r="B16" s="28" t="s">
        <v>16</v>
      </c>
      <c r="C16" s="56" t="e">
        <f>SUM(C13+C14+C15)</f>
        <v>#REF!</v>
      </c>
      <c r="D16" s="23" t="e">
        <f t="shared" si="0"/>
        <v>#REF!</v>
      </c>
      <c r="E16" s="60" t="e">
        <f t="shared" si="4"/>
        <v>#REF!</v>
      </c>
      <c r="F16" s="64" t="e">
        <f>SUM(F13+F14+F15)</f>
        <v>#REF!</v>
      </c>
      <c r="G16" s="56" t="e">
        <f>SUM(G13+G14+G15)</f>
        <v>#REF!</v>
      </c>
      <c r="H16" s="23" t="e">
        <f t="shared" si="1"/>
        <v>#REF!</v>
      </c>
      <c r="I16" s="60" t="e">
        <f t="shared" si="5"/>
        <v>#REF!</v>
      </c>
      <c r="J16" s="64" t="e">
        <f>SUM(J13+J14+J15)</f>
        <v>#REF!</v>
      </c>
      <c r="K16" s="56" t="e">
        <f>SUM(K13+K14+K15)</f>
        <v>#REF!</v>
      </c>
      <c r="L16" s="23" t="e">
        <f t="shared" si="2"/>
        <v>#REF!</v>
      </c>
      <c r="M16" s="60" t="e">
        <f t="shared" si="6"/>
        <v>#REF!</v>
      </c>
      <c r="N16" s="64" t="e">
        <f>SUM(N13+N14+N15)</f>
        <v>#REF!</v>
      </c>
      <c r="O16" s="56" t="e">
        <f>SUM(O13+O14+O15)</f>
        <v>#REF!</v>
      </c>
      <c r="P16" s="23" t="e">
        <f t="shared" si="3"/>
        <v>#REF!</v>
      </c>
      <c r="Q16" s="60" t="e">
        <f t="shared" si="7"/>
        <v>#REF!</v>
      </c>
      <c r="R16" s="64" t="e">
        <f>SUM(R13+R14+R15)</f>
        <v>#REF!</v>
      </c>
      <c r="S16" s="56" t="e">
        <f t="shared" si="8"/>
        <v>#REF!</v>
      </c>
      <c r="T16" s="60" t="e">
        <f t="shared" si="9"/>
        <v>#REF!</v>
      </c>
      <c r="U16" s="66" t="e">
        <f t="shared" si="9"/>
        <v>#REF!</v>
      </c>
      <c r="V16" s="56" t="e">
        <f t="shared" si="10"/>
        <v>#REF!</v>
      </c>
      <c r="W16" s="60" t="e">
        <f t="shared" si="11"/>
        <v>#REF!</v>
      </c>
      <c r="X16" s="66" t="e">
        <f t="shared" si="12"/>
        <v>#REF!</v>
      </c>
    </row>
    <row r="17" spans="2:24" ht="33" customHeight="1" x14ac:dyDescent="0.35">
      <c r="B17" s="29" t="s">
        <v>17</v>
      </c>
      <c r="C17" s="24" t="e">
        <f>IF(C4=0,C16,C16/$C$4)</f>
        <v>#REF!</v>
      </c>
      <c r="D17" s="30"/>
      <c r="E17" s="35"/>
      <c r="F17" s="36"/>
      <c r="G17" s="24" t="e">
        <f>IF(G4=0, G16, G16/$G$4)</f>
        <v>#REF!</v>
      </c>
      <c r="H17" s="30"/>
      <c r="I17" s="35"/>
      <c r="J17" s="36"/>
      <c r="K17" s="24" t="e">
        <f>IF(K4=0, K16, K16/$K$4)</f>
        <v>#REF!</v>
      </c>
      <c r="L17" s="30"/>
      <c r="M17" s="35"/>
      <c r="N17" s="36"/>
      <c r="O17" s="24" t="e">
        <f>IF(O4=0, O16, O16/$O$4)</f>
        <v>#REF!</v>
      </c>
      <c r="P17" s="30"/>
      <c r="Q17" s="35"/>
      <c r="R17" s="36"/>
      <c r="S17" s="54" t="e">
        <f t="shared" si="8"/>
        <v>#REF!</v>
      </c>
      <c r="T17" s="30"/>
      <c r="U17" s="31"/>
      <c r="V17" s="54" t="e">
        <f t="shared" si="10"/>
        <v>#REF!</v>
      </c>
      <c r="W17" s="30"/>
      <c r="X17" s="31"/>
    </row>
    <row r="18" spans="2:24" ht="33" customHeight="1" x14ac:dyDescent="0.35">
      <c r="B18" s="25" t="s">
        <v>18</v>
      </c>
      <c r="C18" s="57" t="e">
        <f>#REF!+#REF!+#REF!</f>
        <v>#REF!</v>
      </c>
      <c r="D18" s="26" t="e">
        <f>+IF(C$21=0,0,C18/C$21)</f>
        <v>#REF!</v>
      </c>
      <c r="E18" s="65" t="e">
        <f t="shared" si="4"/>
        <v>#REF!</v>
      </c>
      <c r="F18" s="63" t="e">
        <f>#REF!+#REF!+#REF!</f>
        <v>#REF!</v>
      </c>
      <c r="G18" s="57" t="e">
        <f>#REF!+#REF!+#REF!</f>
        <v>#REF!</v>
      </c>
      <c r="H18" s="26" t="e">
        <f>+IF(G$21=0,0,G18/G$21)</f>
        <v>#REF!</v>
      </c>
      <c r="I18" s="65" t="e">
        <f t="shared" si="5"/>
        <v>#REF!</v>
      </c>
      <c r="J18" s="63" t="e">
        <f>#REF!+#REF!+#REF!</f>
        <v>#REF!</v>
      </c>
      <c r="K18" s="57" t="e">
        <f>#REF!+#REF!+#REF!</f>
        <v>#REF!</v>
      </c>
      <c r="L18" s="26" t="e">
        <f>+IF(K$21=0,0,K18/K$21)</f>
        <v>#REF!</v>
      </c>
      <c r="M18" s="65" t="e">
        <f t="shared" si="6"/>
        <v>#REF!</v>
      </c>
      <c r="N18" s="63" t="e">
        <f>#REF!+#REF!+#REF!</f>
        <v>#REF!</v>
      </c>
      <c r="O18" s="57" t="e">
        <f>#REF!+#REF!+#REF!</f>
        <v>#REF!</v>
      </c>
      <c r="P18" s="26" t="e">
        <f>+IF(O$21=0,0,O18/O$21)</f>
        <v>#REF!</v>
      </c>
      <c r="Q18" s="65" t="e">
        <f t="shared" si="7"/>
        <v>#REF!</v>
      </c>
      <c r="R18" s="63" t="e">
        <f>#REF!+#REF!+#REF!</f>
        <v>#REF!</v>
      </c>
      <c r="S18" s="57" t="e">
        <f t="shared" si="8"/>
        <v>#REF!</v>
      </c>
      <c r="T18" s="62" t="e">
        <f t="shared" si="9"/>
        <v>#REF!</v>
      </c>
      <c r="U18" s="63" t="e">
        <f t="shared" si="9"/>
        <v>#REF!</v>
      </c>
      <c r="V18" s="57" t="e">
        <f t="shared" si="10"/>
        <v>#REF!</v>
      </c>
      <c r="W18" s="62" t="e">
        <f t="shared" ref="W18:X22" si="14">Q18-I18</f>
        <v>#REF!</v>
      </c>
      <c r="X18" s="63" t="e">
        <f t="shared" si="14"/>
        <v>#REF!</v>
      </c>
    </row>
    <row r="19" spans="2:24" ht="33" customHeight="1" outlineLevel="1" x14ac:dyDescent="0.35">
      <c r="B19" s="25" t="s">
        <v>19</v>
      </c>
      <c r="C19" s="57" t="e">
        <f>#REF!+#REF!+#REF!</f>
        <v>#REF!</v>
      </c>
      <c r="D19" s="26" t="e">
        <f>+IF(C$21=0,0,C19/C$21)</f>
        <v>#REF!</v>
      </c>
      <c r="E19" s="62" t="e">
        <f t="shared" si="4"/>
        <v>#REF!</v>
      </c>
      <c r="F19" s="63" t="e">
        <f>#REF!+#REF!+#REF!</f>
        <v>#REF!</v>
      </c>
      <c r="G19" s="57" t="e">
        <f>#REF!+#REF!+#REF!</f>
        <v>#REF!</v>
      </c>
      <c r="H19" s="26" t="e">
        <f>+IF(G$21=0,0,G19/G$21)</f>
        <v>#REF!</v>
      </c>
      <c r="I19" s="62" t="e">
        <f t="shared" si="5"/>
        <v>#REF!</v>
      </c>
      <c r="J19" s="63" t="e">
        <f>#REF!+#REF!+#REF!</f>
        <v>#REF!</v>
      </c>
      <c r="K19" s="57" t="e">
        <f>#REF!+#REF!+#REF!</f>
        <v>#REF!</v>
      </c>
      <c r="L19" s="26" t="e">
        <f>+IF(K$21=0,0,K19/K$21)</f>
        <v>#REF!</v>
      </c>
      <c r="M19" s="62" t="e">
        <f t="shared" si="6"/>
        <v>#REF!</v>
      </c>
      <c r="N19" s="63" t="e">
        <f>#REF!+#REF!+#REF!</f>
        <v>#REF!</v>
      </c>
      <c r="O19" s="57" t="e">
        <f>#REF!+#REF!+#REF!</f>
        <v>#REF!</v>
      </c>
      <c r="P19" s="26" t="e">
        <f>+IF(O$21=0,0,O19/O$21)</f>
        <v>#REF!</v>
      </c>
      <c r="Q19" s="62" t="e">
        <f t="shared" si="7"/>
        <v>#REF!</v>
      </c>
      <c r="R19" s="63" t="e">
        <f>#REF!+#REF!+#REF!</f>
        <v>#REF!</v>
      </c>
      <c r="S19" s="57" t="e">
        <f>O19-K19</f>
        <v>#REF!</v>
      </c>
      <c r="T19" s="62" t="e">
        <f>Q19-M19</f>
        <v>#REF!</v>
      </c>
      <c r="U19" s="72" t="e">
        <f>R19-N19</f>
        <v>#REF!</v>
      </c>
      <c r="V19" s="57" t="e">
        <f t="shared" si="10"/>
        <v>#REF!</v>
      </c>
      <c r="W19" s="62" t="e">
        <f t="shared" si="14"/>
        <v>#REF!</v>
      </c>
      <c r="X19" s="72" t="e">
        <f t="shared" si="14"/>
        <v>#REF!</v>
      </c>
    </row>
    <row r="20" spans="2:24" ht="33" customHeight="1" outlineLevel="1" x14ac:dyDescent="0.35">
      <c r="B20" s="25" t="s">
        <v>28</v>
      </c>
      <c r="C20" s="57" t="e">
        <f>#REF!+#REF!+#REF!</f>
        <v>#REF!</v>
      </c>
      <c r="D20" s="26" t="e">
        <f>+IF(C$21=0,0,C20/C$21)</f>
        <v>#REF!</v>
      </c>
      <c r="E20" s="62" t="e">
        <f t="shared" si="4"/>
        <v>#REF!</v>
      </c>
      <c r="F20" s="63" t="e">
        <f>#REF!+#REF!+#REF!</f>
        <v>#REF!</v>
      </c>
      <c r="G20" s="57" t="e">
        <f>#REF!+#REF!+#REF!</f>
        <v>#REF!</v>
      </c>
      <c r="H20" s="26" t="e">
        <f>+IF(G$21=0,0,G20/G$21)</f>
        <v>#REF!</v>
      </c>
      <c r="I20" s="62" t="e">
        <f t="shared" si="5"/>
        <v>#REF!</v>
      </c>
      <c r="J20" s="63" t="e">
        <f>#REF!+#REF!+#REF!</f>
        <v>#REF!</v>
      </c>
      <c r="K20" s="57" t="e">
        <f>#REF!+#REF!+#REF!</f>
        <v>#REF!</v>
      </c>
      <c r="L20" s="26" t="e">
        <f>+IF(K$21=0,0,K20/K$21)</f>
        <v>#REF!</v>
      </c>
      <c r="M20" s="62" t="e">
        <f t="shared" si="6"/>
        <v>#REF!</v>
      </c>
      <c r="N20" s="63" t="e">
        <f>#REF!+#REF!+#REF!</f>
        <v>#REF!</v>
      </c>
      <c r="O20" s="57" t="e">
        <f>#REF!+#REF!+#REF!</f>
        <v>#REF!</v>
      </c>
      <c r="P20" s="26" t="e">
        <f>+IF(O$21=0,0,O20/O$21)</f>
        <v>#REF!</v>
      </c>
      <c r="Q20" s="62" t="e">
        <f t="shared" si="7"/>
        <v>#REF!</v>
      </c>
      <c r="R20" s="63" t="e">
        <f>#REF!+#REF!+#REF!</f>
        <v>#REF!</v>
      </c>
      <c r="S20" s="57" t="e">
        <f>O20-K20</f>
        <v>#REF!</v>
      </c>
      <c r="T20" s="62" t="e">
        <f>Q20-M20</f>
        <v>#REF!</v>
      </c>
      <c r="U20" s="72" t="e">
        <f>R20-N20</f>
        <v>#REF!</v>
      </c>
      <c r="V20" s="57" t="e">
        <f t="shared" si="10"/>
        <v>#REF!</v>
      </c>
      <c r="W20" s="62" t="e">
        <f t="shared" si="14"/>
        <v>#REF!</v>
      </c>
      <c r="X20" s="72" t="e">
        <f t="shared" si="14"/>
        <v>#REF!</v>
      </c>
    </row>
    <row r="21" spans="2:24" ht="33" customHeight="1" x14ac:dyDescent="0.35">
      <c r="B21" s="22" t="s">
        <v>20</v>
      </c>
      <c r="C21" s="56" t="e">
        <f>SUM(C16,C18,C19,C20)</f>
        <v>#REF!</v>
      </c>
      <c r="D21" s="23" t="e">
        <f>+IF(C$21=0,0,C21/C$21)</f>
        <v>#REF!</v>
      </c>
      <c r="E21" s="60" t="e">
        <f t="shared" si="4"/>
        <v>#REF!</v>
      </c>
      <c r="F21" s="64" t="e">
        <f>SUM(F16,F18,F19,F20)</f>
        <v>#REF!</v>
      </c>
      <c r="G21" s="56" t="e">
        <f>SUM(G16,G18,G19,G20)</f>
        <v>#REF!</v>
      </c>
      <c r="H21" s="23" t="e">
        <f>+IF(G$21=0,0,G21/G$21)</f>
        <v>#REF!</v>
      </c>
      <c r="I21" s="60" t="e">
        <f t="shared" si="5"/>
        <v>#REF!</v>
      </c>
      <c r="J21" s="64" t="e">
        <f>SUM(J16,J18,J19,J20)</f>
        <v>#REF!</v>
      </c>
      <c r="K21" s="56" t="e">
        <f>SUM(K16,K18,K19,K20)</f>
        <v>#REF!</v>
      </c>
      <c r="L21" s="23" t="e">
        <f>+IF(K$21=0,0,K21/K$21)</f>
        <v>#REF!</v>
      </c>
      <c r="M21" s="60" t="e">
        <f t="shared" si="6"/>
        <v>#REF!</v>
      </c>
      <c r="N21" s="64" t="e">
        <f>SUM(N16,N18,N19,N20)</f>
        <v>#REF!</v>
      </c>
      <c r="O21" s="56" t="e">
        <f>SUM(O16,O18,O19,O20)</f>
        <v>#REF!</v>
      </c>
      <c r="P21" s="23" t="e">
        <f>+IF(O$21=0,0,O21/O$21)</f>
        <v>#REF!</v>
      </c>
      <c r="Q21" s="60" t="e">
        <f t="shared" si="7"/>
        <v>#REF!</v>
      </c>
      <c r="R21" s="64" t="e">
        <f>SUM(R16,R18,R19,R20)</f>
        <v>#REF!</v>
      </c>
      <c r="S21" s="56" t="e">
        <f t="shared" si="8"/>
        <v>#REF!</v>
      </c>
      <c r="T21" s="60" t="e">
        <f t="shared" si="9"/>
        <v>#REF!</v>
      </c>
      <c r="U21" s="64" t="e">
        <f t="shared" si="9"/>
        <v>#REF!</v>
      </c>
      <c r="V21" s="56" t="e">
        <f t="shared" si="10"/>
        <v>#REF!</v>
      </c>
      <c r="W21" s="60" t="e">
        <f t="shared" si="14"/>
        <v>#REF!</v>
      </c>
      <c r="X21" s="64" t="e">
        <f t="shared" si="14"/>
        <v>#REF!</v>
      </c>
    </row>
    <row r="22" spans="2:24" ht="33" customHeight="1" x14ac:dyDescent="0.35">
      <c r="B22" s="32"/>
      <c r="C22" s="33"/>
      <c r="D22" s="34"/>
      <c r="E22" s="35"/>
      <c r="F22" s="36"/>
      <c r="G22" s="33"/>
      <c r="H22" s="34"/>
      <c r="I22" s="37" t="e">
        <f>IF(E21=0,(I21-E21),(I21-E21)/E21)</f>
        <v>#REF!</v>
      </c>
      <c r="J22" s="38" t="e">
        <f>IF(F21=0,(J21-F21),(J21-F21)/F21)</f>
        <v>#REF!</v>
      </c>
      <c r="K22" s="39"/>
      <c r="L22" s="34"/>
      <c r="M22" s="37" t="e">
        <f>IF(I21=0,(M21-I21),(M21-I21)/I21)</f>
        <v>#REF!</v>
      </c>
      <c r="N22" s="38" t="e">
        <f>IF(J21=0,(N21-J21),(N21-J21)/J21)</f>
        <v>#REF!</v>
      </c>
      <c r="O22" s="39"/>
      <c r="P22" s="34"/>
      <c r="Q22" s="30"/>
      <c r="R22" s="31"/>
      <c r="S22" s="39"/>
      <c r="T22" s="37" t="e">
        <f>IF(T21=0,0,T21/M21)</f>
        <v>#REF!</v>
      </c>
      <c r="U22" s="38" t="e">
        <f>IF(N21=0,0,U21/N21)</f>
        <v>#REF!</v>
      </c>
      <c r="V22" s="39"/>
      <c r="W22" s="37" t="e">
        <f t="shared" si="14"/>
        <v>#REF!</v>
      </c>
      <c r="X22" s="38" t="e">
        <f t="shared" si="14"/>
        <v>#REF!</v>
      </c>
    </row>
    <row r="23" spans="2:24" ht="33" customHeight="1" x14ac:dyDescent="0.35">
      <c r="B23" s="40" t="s">
        <v>21</v>
      </c>
      <c r="C23" s="41" t="e">
        <f>IF(C4=0,C21,C21/C4)</f>
        <v>#REF!</v>
      </c>
      <c r="D23" s="30"/>
      <c r="E23" s="30"/>
      <c r="F23" s="31"/>
      <c r="G23" s="41" t="e">
        <f>IF(G4=0,G21,G21/G4)</f>
        <v>#REF!</v>
      </c>
      <c r="H23" s="30"/>
      <c r="I23" s="30"/>
      <c r="J23" s="31"/>
      <c r="K23" s="41" t="e">
        <f>IF(K4=0,K21,K21/K4)</f>
        <v>#REF!</v>
      </c>
      <c r="L23" s="30"/>
      <c r="M23" s="30"/>
      <c r="N23" s="31"/>
      <c r="O23" s="41" t="e">
        <f>IF(O4=0,O21,O21/O4)</f>
        <v>#REF!</v>
      </c>
      <c r="P23" s="30"/>
      <c r="Q23" s="30"/>
      <c r="R23" s="31"/>
      <c r="S23" s="41" t="e">
        <f t="shared" si="8"/>
        <v>#REF!</v>
      </c>
      <c r="T23" s="30"/>
      <c r="U23" s="31"/>
      <c r="V23" s="41" t="e">
        <f>O23-G23</f>
        <v>#REF!</v>
      </c>
      <c r="W23" s="30"/>
      <c r="X23" s="31"/>
    </row>
    <row r="24" spans="2:24" ht="33" customHeight="1" x14ac:dyDescent="0.35">
      <c r="B24" s="42" t="s">
        <v>22</v>
      </c>
      <c r="C24" s="43" t="e">
        <f>IF(C4=0,0,F$21/C$4)</f>
        <v>#REF!</v>
      </c>
      <c r="D24" s="44"/>
      <c r="E24" s="45"/>
      <c r="F24" s="46"/>
      <c r="G24" s="43" t="e">
        <f>IF(G4=0,0,J$21/G$4)</f>
        <v>#REF!</v>
      </c>
      <c r="H24" s="44"/>
      <c r="I24" s="45"/>
      <c r="J24" s="46"/>
      <c r="K24" s="43" t="e">
        <f>IF(K4=0,0,N$21/K$4)</f>
        <v>#REF!</v>
      </c>
      <c r="L24" s="44"/>
      <c r="M24" s="45"/>
      <c r="N24" s="46"/>
      <c r="O24" s="43" t="e">
        <f>IF(O4=0,0,R$21/O$4)</f>
        <v>#REF!</v>
      </c>
      <c r="P24" s="44"/>
      <c r="Q24" s="45"/>
      <c r="R24" s="46"/>
      <c r="S24" s="43" t="e">
        <f t="shared" si="8"/>
        <v>#REF!</v>
      </c>
      <c r="T24" s="45"/>
      <c r="U24" s="46"/>
      <c r="V24" s="43" t="e">
        <f>O24-G24</f>
        <v>#REF!</v>
      </c>
      <c r="W24" s="45"/>
      <c r="X24" s="46"/>
    </row>
    <row r="25" spans="2:24" x14ac:dyDescent="0.35">
      <c r="B25" s="3"/>
      <c r="C25" s="3"/>
      <c r="D25" s="3"/>
      <c r="E25" s="3"/>
      <c r="F25" s="3"/>
      <c r="G25" s="3"/>
      <c r="H25" s="3"/>
      <c r="I25" s="3"/>
      <c r="J25" s="3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2:24" x14ac:dyDescent="0.35">
      <c r="B26" s="789" t="s">
        <v>23</v>
      </c>
      <c r="C26" s="790"/>
      <c r="D26" s="790"/>
      <c r="E26" s="790"/>
      <c r="F26" s="790"/>
      <c r="G26" s="790"/>
      <c r="H26" s="790"/>
      <c r="I26" s="790"/>
      <c r="J26" s="790"/>
      <c r="K26" s="790"/>
      <c r="L26" s="790"/>
      <c r="M26" s="790"/>
      <c r="N26" s="790"/>
      <c r="O26" s="790"/>
      <c r="P26" s="790"/>
      <c r="Q26" s="790"/>
      <c r="R26" s="790"/>
      <c r="S26" s="790"/>
      <c r="T26" s="790"/>
      <c r="U26" s="790"/>
      <c r="V26" s="790"/>
      <c r="W26" s="790"/>
      <c r="X26" s="791"/>
    </row>
    <row r="27" spans="2:24" x14ac:dyDescent="0.35">
      <c r="B27" s="47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9"/>
    </row>
    <row r="28" spans="2:24" x14ac:dyDescent="0.35">
      <c r="B28" s="47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9"/>
    </row>
    <row r="29" spans="2:24" x14ac:dyDescent="0.35">
      <c r="B29" s="47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9"/>
    </row>
    <row r="30" spans="2:24" x14ac:dyDescent="0.35">
      <c r="B30" s="47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9"/>
    </row>
    <row r="31" spans="2:24" x14ac:dyDescent="0.35">
      <c r="B31" s="47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9"/>
    </row>
    <row r="32" spans="2:24" x14ac:dyDescent="0.35">
      <c r="B32" s="47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9"/>
    </row>
    <row r="33" spans="2:24" x14ac:dyDescent="0.35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2"/>
    </row>
  </sheetData>
  <sheetProtection formatCells="0" formatColumns="0" formatRows="0" insertColumns="0" insertRows="0" deleteColumns="0" deleteRows="0" selectLockedCells="1" selectUnlockedCells="1"/>
  <mergeCells count="9">
    <mergeCell ref="V5:X5"/>
    <mergeCell ref="B26:X26"/>
    <mergeCell ref="B1:X1"/>
    <mergeCell ref="B2:X2"/>
    <mergeCell ref="C5:F5"/>
    <mergeCell ref="G5:J5"/>
    <mergeCell ref="K5:N5"/>
    <mergeCell ref="O5:R5"/>
    <mergeCell ref="S5:U5"/>
  </mergeCells>
  <printOptions horizontalCentered="1" verticalCentered="1"/>
  <pageMargins left="0.5" right="0.5" top="0.5" bottom="0.5" header="0.3" footer="0.3"/>
  <pageSetup paperSize="8" scale="47" orientation="landscape" errors="blank" r:id="rId1"/>
  <headerFoot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A21FE-4EDE-4A11-BEFF-521B11CBA65A}">
  <sheetPr codeName="Sheet9"/>
  <dimension ref="A2:W97"/>
  <sheetViews>
    <sheetView zoomScale="70" zoomScaleNormal="70" zoomScaleSheetLayoutView="80" workbookViewId="0">
      <pane xSplit="2" ySplit="6" topLeftCell="C74" activePane="bottomRight" state="frozen"/>
      <selection pane="topRight" activeCell="C1" sqref="C1"/>
      <selection pane="bottomLeft" activeCell="A4" sqref="A4"/>
      <selection pane="bottomRight" activeCell="B86" sqref="A86:XFD86"/>
    </sheetView>
  </sheetViews>
  <sheetFormatPr defaultColWidth="9.140625" defaultRowHeight="15" outlineLevelRow="2" x14ac:dyDescent="0.25"/>
  <cols>
    <col min="1" max="1" width="12.85546875" style="297" customWidth="1"/>
    <col min="2" max="2" width="11.7109375" style="297" bestFit="1" customWidth="1"/>
    <col min="3" max="14" width="18.28515625" style="297" customWidth="1"/>
    <col min="15" max="15" width="16.140625" style="297" bestFit="1" customWidth="1"/>
    <col min="16" max="16" width="10.42578125" style="297" bestFit="1" customWidth="1"/>
    <col min="17" max="17" width="9.140625" style="297"/>
    <col min="18" max="18" width="13.42578125" style="430" bestFit="1" customWidth="1"/>
    <col min="19" max="19" width="11.28515625" style="430" bestFit="1" customWidth="1"/>
    <col min="20" max="20" width="10.140625" style="297" bestFit="1" customWidth="1"/>
    <col min="21" max="16384" width="9.140625" style="297"/>
  </cols>
  <sheetData>
    <row r="2" spans="1:20" x14ac:dyDescent="0.25">
      <c r="C2" s="748" t="s">
        <v>193</v>
      </c>
      <c r="D2" s="748"/>
      <c r="E2" s="748"/>
      <c r="F2" s="748"/>
      <c r="G2" s="748"/>
      <c r="H2" s="748"/>
      <c r="I2" s="748"/>
      <c r="J2" s="748"/>
      <c r="K2" s="748"/>
      <c r="L2" s="748"/>
      <c r="M2" s="748"/>
      <c r="N2" s="748"/>
      <c r="O2" s="748"/>
    </row>
    <row r="3" spans="1:20" x14ac:dyDescent="0.25">
      <c r="C3" s="748"/>
      <c r="D3" s="748"/>
      <c r="E3" s="748"/>
      <c r="F3" s="748"/>
      <c r="G3" s="748"/>
      <c r="H3" s="748"/>
      <c r="I3" s="748"/>
      <c r="J3" s="748"/>
      <c r="K3" s="748"/>
      <c r="L3" s="748"/>
      <c r="M3" s="748"/>
      <c r="N3" s="748"/>
      <c r="O3" s="748"/>
    </row>
    <row r="4" spans="1:20" x14ac:dyDescent="0.25">
      <c r="C4" s="748"/>
      <c r="D4" s="748"/>
      <c r="E4" s="748"/>
      <c r="F4" s="748"/>
      <c r="G4" s="748"/>
      <c r="H4" s="748"/>
      <c r="I4" s="748"/>
      <c r="J4" s="748"/>
      <c r="K4" s="748"/>
      <c r="L4" s="748"/>
      <c r="M4" s="748"/>
      <c r="N4" s="748"/>
      <c r="O4" s="748"/>
    </row>
    <row r="5" spans="1:20" ht="15.75" thickBot="1" x14ac:dyDescent="0.3"/>
    <row r="6" spans="1:20" ht="16.5" thickTop="1" thickBot="1" x14ac:dyDescent="0.3">
      <c r="A6" s="749" t="s">
        <v>167</v>
      </c>
      <c r="B6" s="750"/>
      <c r="C6" s="431" t="s">
        <v>168</v>
      </c>
      <c r="D6" s="432" t="s">
        <v>169</v>
      </c>
      <c r="E6" s="432" t="s">
        <v>170</v>
      </c>
      <c r="F6" s="432" t="s">
        <v>171</v>
      </c>
      <c r="G6" s="432" t="s">
        <v>172</v>
      </c>
      <c r="H6" s="432" t="s">
        <v>173</v>
      </c>
      <c r="I6" s="432" t="s">
        <v>174</v>
      </c>
      <c r="J6" s="432" t="s">
        <v>175</v>
      </c>
      <c r="K6" s="432" t="s">
        <v>176</v>
      </c>
      <c r="L6" s="432" t="s">
        <v>177</v>
      </c>
      <c r="M6" s="432" t="s">
        <v>95</v>
      </c>
      <c r="N6" s="433" t="s">
        <v>178</v>
      </c>
      <c r="O6" s="434" t="s">
        <v>97</v>
      </c>
    </row>
    <row r="7" spans="1:20" ht="15.75" hidden="1" outlineLevel="1" thickTop="1" x14ac:dyDescent="0.25">
      <c r="A7" s="751" t="s">
        <v>161</v>
      </c>
      <c r="B7" s="436" t="s">
        <v>180</v>
      </c>
      <c r="C7" s="437">
        <f>IF('Room Revenue'!C7=0,0,'Room Revenue'!C7/'Room Nights'!C7)</f>
        <v>0</v>
      </c>
      <c r="D7" s="437">
        <f>IF('Room Revenue'!D7=0,0,'Room Revenue'!D7/'Room Nights'!D7)</f>
        <v>756.43266666666671</v>
      </c>
      <c r="E7" s="437">
        <f>IF('Room Revenue'!E7=0,0,'Room Revenue'!E7/'Room Nights'!E7)</f>
        <v>1450.5572727272727</v>
      </c>
      <c r="F7" s="437">
        <f>IF('Room Revenue'!F7=0,0,'Room Revenue'!F7/'Room Nights'!F7)</f>
        <v>0</v>
      </c>
      <c r="G7" s="437">
        <f>IF('Room Revenue'!G7=0,0,'Room Revenue'!G7/'Room Nights'!G7)</f>
        <v>1787.3116666666667</v>
      </c>
      <c r="H7" s="437">
        <f>IF('Room Revenue'!H7=0,0,'Room Revenue'!H7/'Room Nights'!H7)</f>
        <v>1479.714069767442</v>
      </c>
      <c r="I7" s="437">
        <f>IF('Room Revenue'!I7=0,0,'Room Revenue'!I7/'Room Nights'!I7)</f>
        <v>1457.1613692946059</v>
      </c>
      <c r="J7" s="437">
        <f>IF('Room Revenue'!J7=0,0,'Room Revenue'!J7/'Room Nights'!J7)</f>
        <v>1818.2216326530613</v>
      </c>
      <c r="K7" s="437">
        <f>IF('Room Revenue'!K7=0,0,'Room Revenue'!K7/'Room Nights'!K7)</f>
        <v>1267.7120183486238</v>
      </c>
      <c r="L7" s="437">
        <f>IF('Room Revenue'!L7=0,0,'Room Revenue'!L7/'Room Nights'!L7)</f>
        <v>1293.7352307692306</v>
      </c>
      <c r="M7" s="437">
        <f>IF('Room Revenue'!M7=0,0,'Room Revenue'!M7/'Room Nights'!M7)</f>
        <v>1350.7447115384616</v>
      </c>
      <c r="N7" s="437">
        <f>IF('Room Revenue'!N7=0,0,'Room Revenue'!N7/'Room Nights'!N7)</f>
        <v>0</v>
      </c>
      <c r="O7" s="437">
        <f>IF('Room Revenue'!O7=0,0,'Room Revenue'!O7/'Room Nights'!O7)</f>
        <v>1404.016530120482</v>
      </c>
    </row>
    <row r="8" spans="1:20" hidden="1" outlineLevel="1" x14ac:dyDescent="0.25">
      <c r="A8" s="751"/>
      <c r="B8" s="442" t="s">
        <v>181</v>
      </c>
      <c r="C8" s="443">
        <f>IF('Room Revenue'!C8=0,0,'Room Revenue'!C8/'Room Nights'!C8)</f>
        <v>0</v>
      </c>
      <c r="D8" s="444">
        <f>IF('Room Revenue'!D8=0,0,'Room Revenue'!D8/'Room Nights'!D8)</f>
        <v>596.49</v>
      </c>
      <c r="E8" s="444">
        <f>IF('Room Revenue'!E8=0,0,'Room Revenue'!E8/'Room Nights'!E8)</f>
        <v>1644.3253125000001</v>
      </c>
      <c r="F8" s="444">
        <f>IF('Room Revenue'!F8=0,0,'Room Revenue'!F8/'Room Nights'!F8)</f>
        <v>1421.0550000000001</v>
      </c>
      <c r="G8" s="444">
        <f>IF('Room Revenue'!G8=0,0,'Room Revenue'!G8/'Room Nights'!G8)</f>
        <v>1941.2265</v>
      </c>
      <c r="H8" s="444">
        <f>IF('Room Revenue'!H8=0,0,'Room Revenue'!H8/'Room Nights'!H8)</f>
        <v>1828.2827272727272</v>
      </c>
      <c r="I8" s="444">
        <f>IF('Room Revenue'!I8=0,0,'Room Revenue'!I8/'Room Nights'!I8)</f>
        <v>1803.8672897196261</v>
      </c>
      <c r="J8" s="444">
        <f>IF('Room Revenue'!J8=0,0,'Room Revenue'!J8/'Room Nights'!J8)</f>
        <v>1699.3419999999999</v>
      </c>
      <c r="K8" s="438">
        <f>IF('Room Revenue'!K8=0,0,'Room Revenue'!K8/'Room Nights'!K8)</f>
        <v>1669.0246753246752</v>
      </c>
      <c r="L8" s="444">
        <f>IF('Room Revenue'!L8=0,0,'Room Revenue'!L8/'Room Nights'!L8)</f>
        <v>1452.4840594059408</v>
      </c>
      <c r="M8" s="444">
        <f>IF('Room Revenue'!M8=0,0,'Room Revenue'!M8/'Room Nights'!M8)</f>
        <v>0</v>
      </c>
      <c r="N8" s="445">
        <f>IF('Room Revenue'!N8=0,0,'Room Revenue'!N8/'Room Nights'!N8)</f>
        <v>0</v>
      </c>
      <c r="O8" s="440">
        <f>IF('Room Revenue'!O8=0,0,'Room Revenue'!O8/'Room Nights'!O8)</f>
        <v>1683.9743238095236</v>
      </c>
    </row>
    <row r="9" spans="1:20" hidden="1" outlineLevel="1" x14ac:dyDescent="0.25">
      <c r="A9" s="751"/>
      <c r="B9" s="442" t="s">
        <v>182</v>
      </c>
      <c r="C9" s="443">
        <f>IF('Room Revenue'!C9=0,0,'Room Revenue'!C9/'Room Nights'!C9)</f>
        <v>0</v>
      </c>
      <c r="D9" s="444">
        <f>IF('Room Revenue'!D9=0,0,'Room Revenue'!D9/'Room Nights'!D9)</f>
        <v>0</v>
      </c>
      <c r="E9" s="444">
        <f>IF('Room Revenue'!E9=0,0,'Room Revenue'!E9/'Room Nights'!E9)</f>
        <v>1432.2257727272727</v>
      </c>
      <c r="F9" s="444">
        <f>IF('Room Revenue'!F9=0,0,'Room Revenue'!F9/'Room Nights'!F9)</f>
        <v>1469.4771851851854</v>
      </c>
      <c r="G9" s="444">
        <f>IF('Room Revenue'!G9=0,0,'Room Revenue'!G9/'Room Nights'!G9)</f>
        <v>2476.8931914893615</v>
      </c>
      <c r="H9" s="444">
        <f>IF('Room Revenue'!H9=0,0,'Room Revenue'!H9/'Room Nights'!H9)</f>
        <v>522.61</v>
      </c>
      <c r="I9" s="444">
        <f>IF('Room Revenue'!I9=0,0,'Room Revenue'!I9/'Room Nights'!I9)</f>
        <v>0</v>
      </c>
      <c r="J9" s="444">
        <f>IF('Room Revenue'!J9=0,0,'Room Revenue'!J9/'Room Nights'!J9)</f>
        <v>1409.0797777777777</v>
      </c>
      <c r="K9" s="438">
        <f>IF('Room Revenue'!K9=0,0,'Room Revenue'!K9/'Room Nights'!K9)</f>
        <v>1830.1604430379746</v>
      </c>
      <c r="L9" s="444">
        <f>IF('Room Revenue'!L9=0,0,'Room Revenue'!L9/'Room Nights'!L9)</f>
        <v>1111.4723809523809</v>
      </c>
      <c r="M9" s="444">
        <f>IF('Room Revenue'!M9=0,0,'Room Revenue'!M9/'Room Nights'!M9)</f>
        <v>1347.8272727272727</v>
      </c>
      <c r="N9" s="445">
        <f>IF('Room Revenue'!N9=0,0,'Room Revenue'!N9/'Room Nights'!N9)</f>
        <v>1482.6100000000001</v>
      </c>
      <c r="O9" s="446">
        <f>IF('Room Revenue'!O9=0,0,'Room Revenue'!O9/'Room Nights'!O9)</f>
        <v>1599.263426356589</v>
      </c>
    </row>
    <row r="10" spans="1:20" hidden="1" outlineLevel="1" x14ac:dyDescent="0.25">
      <c r="A10" s="751"/>
      <c r="B10" s="500" t="s">
        <v>183</v>
      </c>
      <c r="C10" s="437">
        <f>IF('Room Revenue'!C10=0,0,'Room Revenue'!C10/'Room Nights'!C10)</f>
        <v>739.13</v>
      </c>
      <c r="D10" s="438">
        <f>IF('Room Revenue'!D10=0,0,'Room Revenue'!D10/'Room Nights'!D10)</f>
        <v>1374.1187500000001</v>
      </c>
      <c r="E10" s="438">
        <f>IF('Room Revenue'!E10=0,0,'Room Revenue'!E10/'Room Nights'!E10)</f>
        <v>1804.7508666666668</v>
      </c>
      <c r="F10" s="438">
        <f>IF('Room Revenue'!F10=0,0,'Room Revenue'!F10/'Room Nights'!F10)</f>
        <v>1887.8917647058822</v>
      </c>
      <c r="G10" s="438">
        <f>IF('Room Revenue'!G10=0,0,'Room Revenue'!G10/'Room Nights'!G10)</f>
        <v>1611.0916666666667</v>
      </c>
      <c r="H10" s="438">
        <f>IF('Room Revenue'!H10=0,0,'Room Revenue'!H10/'Room Nights'!H10)</f>
        <v>1787.3750595238096</v>
      </c>
      <c r="I10" s="438">
        <f>IF('Room Revenue'!I10=0,0,'Room Revenue'!I10/'Room Nights'!I10)</f>
        <v>1809.4506280193239</v>
      </c>
      <c r="J10" s="438">
        <f>IF('Room Revenue'!J10=0,0,'Room Revenue'!J10/'Room Nights'!J10)</f>
        <v>1994.312098765432</v>
      </c>
      <c r="K10" s="438">
        <f>IF('Room Revenue'!K10=0,0,'Room Revenue'!K10/'Room Nights'!K10)</f>
        <v>2070.9653043478261</v>
      </c>
      <c r="L10" s="438">
        <f>IF('Room Revenue'!L10=0,0,'Room Revenue'!L10/'Room Nights'!L10)</f>
        <v>0</v>
      </c>
      <c r="M10" s="438">
        <f>IF('Room Revenue'!M10=0,0,'Room Revenue'!M10/'Room Nights'!M10)</f>
        <v>0</v>
      </c>
      <c r="N10" s="439">
        <f>IF('Room Revenue'!N10=0,0,'Room Revenue'!N10/'Room Nights'!N10)</f>
        <v>0</v>
      </c>
      <c r="O10" s="440">
        <f>IF('Room Revenue'!O10=0,0,'Room Revenue'!O10/'Room Nights'!O10)</f>
        <v>1817.4613428280772</v>
      </c>
      <c r="P10" s="450"/>
    </row>
    <row r="11" spans="1:20" hidden="1" outlineLevel="1" x14ac:dyDescent="0.25">
      <c r="A11" s="751"/>
      <c r="B11" s="501" t="s">
        <v>184</v>
      </c>
      <c r="C11" s="443">
        <f>IF('Room Revenue'!C11=0,0,'Room Revenue'!C11/'Room Nights'!C11)</f>
        <v>0</v>
      </c>
      <c r="D11" s="444">
        <f>IF('Room Revenue'!D11=0,0,'Room Revenue'!D11/'Room Nights'!D11)</f>
        <v>0</v>
      </c>
      <c r="E11" s="444">
        <f>IF('Room Revenue'!E11=0,0,'Room Revenue'!E11/'Room Nights'!E11)</f>
        <v>0</v>
      </c>
      <c r="F11" s="444">
        <f>IF('Room Revenue'!F11=0,0,'Room Revenue'!F11/'Room Nights'!F11)</f>
        <v>0</v>
      </c>
      <c r="G11" s="444">
        <f>IF('Room Revenue'!G11=0,0,'Room Revenue'!G11/'Room Nights'!G11)</f>
        <v>0</v>
      </c>
      <c r="H11" s="444">
        <f>IF('Room Revenue'!H11=0,0,'Room Revenue'!H11/'Room Nights'!H11)</f>
        <v>1783.3990909090908</v>
      </c>
      <c r="I11" s="444">
        <f>IF('Room Revenue'!I11=0,0,'Room Revenue'!I11/'Room Nights'!I11)</f>
        <v>1950.7244444444445</v>
      </c>
      <c r="J11" s="444">
        <f>IF('Room Revenue'!J11=0,0,'Room Revenue'!J11/'Room Nights'!J11)</f>
        <v>1163.3662666666667</v>
      </c>
      <c r="K11" s="444">
        <f>IF('Room Revenue'!K11=0,0,'Room Revenue'!K11/'Room Nights'!K11)</f>
        <v>1508.7000000000003</v>
      </c>
      <c r="L11" s="444">
        <f>IF('Room Revenue'!L11=0,0,'Room Revenue'!L11/'Room Nights'!L11)</f>
        <v>1772.1856382978724</v>
      </c>
      <c r="M11" s="444">
        <f>IF('Room Revenue'!M11=0,0,'Room Revenue'!M11/'Room Nights'!M11)</f>
        <v>895.00545454545454</v>
      </c>
      <c r="N11" s="445">
        <f>IF('Room Revenue'!N11=0,0,'Room Revenue'!N11/'Room Nights'!N11)</f>
        <v>1040.9237499999999</v>
      </c>
      <c r="O11" s="446">
        <f>IF('Room Revenue'!O11=0,0,'Room Revenue'!O11/'Room Nights'!O11)</f>
        <v>1476.7628625954198</v>
      </c>
      <c r="P11" s="450"/>
    </row>
    <row r="12" spans="1:20" hidden="1" outlineLevel="1" x14ac:dyDescent="0.25">
      <c r="A12" s="751"/>
      <c r="B12" s="501" t="s">
        <v>197</v>
      </c>
      <c r="C12" s="443">
        <f>IF('Room Revenue'!C12=0,0,'Room Revenue'!C12/'Room Nights'!C12)</f>
        <v>0</v>
      </c>
      <c r="D12" s="444">
        <f>IF('Room Revenue'!D12=0,0,'Room Revenue'!D12/'Room Nights'!D12)</f>
        <v>695.23809523809518</v>
      </c>
      <c r="E12" s="444">
        <f>IF('Room Revenue'!E12=0,0,'Room Revenue'!E12/'Room Nights'!E12)</f>
        <v>1166.3684210526317</v>
      </c>
      <c r="F12" s="444">
        <f>IF('Room Revenue'!F12=0,0,'Room Revenue'!F12/'Room Nights'!F12)</f>
        <v>1370</v>
      </c>
      <c r="G12" s="444">
        <f>IF('Room Revenue'!G12=0,0,'Room Revenue'!G12/'Room Nights'!G12)</f>
        <v>1309.1583166332666</v>
      </c>
      <c r="H12" s="444">
        <f>IF('Room Revenue'!H12=0,0,'Room Revenue'!H12/'Room Nights'!H12)</f>
        <v>1729.3333333333333</v>
      </c>
      <c r="I12" s="444">
        <f>IF('Room Revenue'!I12=0,0,'Room Revenue'!I12/'Room Nights'!I12)</f>
        <v>1229.22</v>
      </c>
      <c r="J12" s="444">
        <f>IF('Room Revenue'!J12=0,0,'Room Revenue'!J12/'Room Nights'!J12)</f>
        <v>1682.9661016949153</v>
      </c>
      <c r="K12" s="444">
        <f>IF('Room Revenue'!K12=0,0,'Room Revenue'!K12/'Room Nights'!K12)</f>
        <v>2577.810606060606</v>
      </c>
      <c r="L12" s="444">
        <f>IF('Room Revenue'!L12=0,0,'Room Revenue'!L12/'Room Nights'!L12)</f>
        <v>0</v>
      </c>
      <c r="M12" s="543">
        <f>IF('Room Revenue'!M12=0,0,'Room Revenue'!M12/'Room Nights'!M12)</f>
        <v>0</v>
      </c>
      <c r="N12" s="544">
        <f>IF('Room Revenue'!N12=0,0,'Room Revenue'!N12/'Room Nights'!N12)</f>
        <v>0</v>
      </c>
      <c r="O12" s="446">
        <f>IF('Room Revenue'!O12=0,0,'Room Revenue'!O12/'Room Nights'!O12)</f>
        <v>1537.6411378555799</v>
      </c>
      <c r="P12" s="450"/>
    </row>
    <row r="13" spans="1:20" ht="15.75" hidden="1" outlineLevel="1" thickBot="1" x14ac:dyDescent="0.3">
      <c r="A13" s="752"/>
      <c r="B13" s="451" t="s">
        <v>198</v>
      </c>
      <c r="C13" s="452">
        <f>IF('Room Revenue'!C13=0,0,'Room Revenue'!C13/'Room Nights'!C13)</f>
        <v>0</v>
      </c>
      <c r="D13" s="453">
        <f>IF('Room Revenue'!D13=0,0,'Room Revenue'!D13/'Room Nights'!D13)</f>
        <v>0</v>
      </c>
      <c r="E13" s="453">
        <f>IF('Room Revenue'!E13=0,0,'Room Revenue'!E13/'Room Nights'!E13)</f>
        <v>0</v>
      </c>
      <c r="F13" s="453">
        <f>IF('Room Revenue'!F13=0,0,'Room Revenue'!F13/'Room Nights'!F13)</f>
        <v>0</v>
      </c>
      <c r="G13" s="453">
        <f>IF('Room Revenue'!G13=0,0,'Room Revenue'!G13/'Room Nights'!G13)</f>
        <v>1329.9405063291126</v>
      </c>
      <c r="H13" s="453">
        <f>IF('Room Revenue'!H13=0,0,'Room Revenue'!H13/'Room Nights'!H13)</f>
        <v>1998.5631707317068</v>
      </c>
      <c r="I13" s="453">
        <f>IF('Room Revenue'!I13=0,0,'Room Revenue'!I13/'Room Nights'!I13)</f>
        <v>0</v>
      </c>
      <c r="J13" s="453">
        <f>IF('Room Revenue'!J13=0,0,'Room Revenue'!J13/'Room Nights'!J13)</f>
        <v>2191.2150000000006</v>
      </c>
      <c r="K13" s="453">
        <f>IF('Room Revenue'!K13=0,0,'Room Revenue'!K13/'Room Nights'!K13)</f>
        <v>0</v>
      </c>
      <c r="L13" s="453">
        <f>IF('Room Revenue'!L13=0,0,'Room Revenue'!L13/'Room Nights'!L13)</f>
        <v>0</v>
      </c>
      <c r="M13" s="453">
        <f>IF('Room Revenue'!M13=0,0,'Room Revenue'!M13/'Room Nights'!M13)</f>
        <v>0</v>
      </c>
      <c r="N13" s="454">
        <f>IF('Room Revenue'!N13=0,0,'Room Revenue'!N13/'Room Nights'!N13)</f>
        <v>0</v>
      </c>
      <c r="O13" s="455">
        <f>IF('Room Revenue'!O13=0,0,'Room Revenue'!O13/'Room Nights'!O13)</f>
        <v>1948.3726832641769</v>
      </c>
      <c r="P13" s="450"/>
    </row>
    <row r="14" spans="1:20" ht="15.75" hidden="1" outlineLevel="1" thickTop="1" x14ac:dyDescent="0.25">
      <c r="A14" s="751" t="s">
        <v>185</v>
      </c>
      <c r="B14" s="457" t="s">
        <v>180</v>
      </c>
      <c r="C14" s="458">
        <f>IF('Room Revenue'!C14=0,0,'Room Revenue'!C14/'Room Nights'!C14)</f>
        <v>1025.9104572271387</v>
      </c>
      <c r="D14" s="459">
        <f>IF('Room Revenue'!D14=0,0,'Room Revenue'!D14/'Room Nights'!D14)</f>
        <v>962.56237967914444</v>
      </c>
      <c r="E14" s="459">
        <f>IF('Room Revenue'!E14=0,0,'Room Revenue'!E14/'Room Nights'!E14)</f>
        <v>1362.7047131147542</v>
      </c>
      <c r="F14" s="459">
        <f>IF('Room Revenue'!F14=0,0,'Room Revenue'!F14/'Room Nights'!F14)</f>
        <v>1765.5073555840822</v>
      </c>
      <c r="G14" s="459">
        <f>IF('Room Revenue'!G14=0,0,'Room Revenue'!G14/'Room Nights'!G14)</f>
        <v>1724.8091435185186</v>
      </c>
      <c r="H14" s="459">
        <f>IF('Room Revenue'!H14=0,0,'Room Revenue'!H14/'Room Nights'!H14)</f>
        <v>1811.5393046185782</v>
      </c>
      <c r="I14" s="459">
        <f>IF('Room Revenue'!I14=0,0,'Room Revenue'!I14/'Room Nights'!I14)</f>
        <v>1988.6077662517289</v>
      </c>
      <c r="J14" s="459">
        <f>IF('Room Revenue'!J14=0,0,'Room Revenue'!J14/'Room Nights'!J14)</f>
        <v>1974.3845148968678</v>
      </c>
      <c r="K14" s="459">
        <f>IF('Room Revenue'!K14=0,0,'Room Revenue'!K14/'Room Nights'!K14)</f>
        <v>1754.5844704931287</v>
      </c>
      <c r="L14" s="459">
        <f>IF('Room Revenue'!L14=0,0,'Room Revenue'!L14/'Room Nights'!L14)</f>
        <v>1465.0196683489546</v>
      </c>
      <c r="M14" s="459">
        <f>IF('Room Revenue'!M14=0,0,'Room Revenue'!M14/'Room Nights'!M14)</f>
        <v>1050.6430546265328</v>
      </c>
      <c r="N14" s="460">
        <f>IF('Room Revenue'!N14=0,0,'Room Revenue'!N14/'Room Nights'!N14)</f>
        <v>1003.2942706766917</v>
      </c>
      <c r="O14" s="461">
        <f>IF('Room Revenue'!O14=0,0,'Room Revenue'!O14/'Room Nights'!O14)</f>
        <v>1586.236004828974</v>
      </c>
      <c r="Q14" s="463"/>
      <c r="T14" s="464"/>
    </row>
    <row r="15" spans="1:20" hidden="1" outlineLevel="1" x14ac:dyDescent="0.25">
      <c r="A15" s="751"/>
      <c r="B15" s="442" t="s">
        <v>181</v>
      </c>
      <c r="C15" s="443">
        <f>IF('Room Revenue'!C15=0,0,'Room Revenue'!C15/'Room Nights'!C15)</f>
        <v>1046.7468635170603</v>
      </c>
      <c r="D15" s="444">
        <f>IF('Room Revenue'!D15=0,0,'Room Revenue'!D15/'Room Nights'!D15)</f>
        <v>1028.4179942279943</v>
      </c>
      <c r="E15" s="444">
        <f>IF('Room Revenue'!E15=0,0,'Room Revenue'!E15/'Room Nights'!E15)</f>
        <v>1333.3436714975846</v>
      </c>
      <c r="F15" s="444">
        <f>IF('Room Revenue'!F15=0,0,'Room Revenue'!F15/'Room Nights'!F15)</f>
        <v>1759.9835854341736</v>
      </c>
      <c r="G15" s="444">
        <f>IF('Room Revenue'!G15=0,0,'Room Revenue'!G15/'Room Nights'!G15)</f>
        <v>1767.1973113207548</v>
      </c>
      <c r="H15" s="444">
        <f>IF('Room Revenue'!H15=0,0,'Room Revenue'!H15/'Room Nights'!H15)</f>
        <v>1780.2742628039316</v>
      </c>
      <c r="I15" s="444">
        <f>IF('Room Revenue'!I15=0,0,'Room Revenue'!I15/'Room Nights'!I15)</f>
        <v>1989.2078298611111</v>
      </c>
      <c r="J15" s="444">
        <f>IF('Room Revenue'!J15=0,0,'Room Revenue'!J15/'Room Nights'!J15)</f>
        <v>2013.6335491419657</v>
      </c>
      <c r="K15" s="438">
        <f>IF('Room Revenue'!K15=0,0,'Room Revenue'!K15/'Room Nights'!K15)</f>
        <v>1843.6378196872126</v>
      </c>
      <c r="L15" s="444">
        <f>IF('Room Revenue'!L15=0,0,'Room Revenue'!L15/'Room Nights'!L15)</f>
        <v>1465.5007330316744</v>
      </c>
      <c r="M15" s="444">
        <f>IF('Room Revenue'!M15=0,0,'Room Revenue'!M15/'Room Nights'!M15)</f>
        <v>1031.2166013986014</v>
      </c>
      <c r="N15" s="439">
        <f>IF('Room Revenue'!N15=0,0,'Room Revenue'!N15/'Room Nights'!N15)</f>
        <v>1027.72</v>
      </c>
      <c r="O15" s="440">
        <f>IF('Room Revenue'!O15=0,0,'Room Revenue'!O15/'Room Nights'!O15)</f>
        <v>1591.6678890403955</v>
      </c>
      <c r="Q15" s="463"/>
      <c r="T15" s="464"/>
    </row>
    <row r="16" spans="1:20" hidden="1" outlineLevel="1" x14ac:dyDescent="0.25">
      <c r="A16" s="751"/>
      <c r="B16" s="442" t="s">
        <v>182</v>
      </c>
      <c r="C16" s="443">
        <f>IF('Room Revenue'!C16=0,0,'Room Revenue'!C16/'Room Nights'!C16)</f>
        <v>1046.0125310173696</v>
      </c>
      <c r="D16" s="444">
        <f>IF('Room Revenue'!D16=0,0,'Room Revenue'!D16/'Room Nights'!D16)</f>
        <v>1092.1633514986377</v>
      </c>
      <c r="E16" s="444">
        <f>IF('Room Revenue'!E16=0,0,'Room Revenue'!E16/'Room Nights'!E16)</f>
        <v>1431.1414938684502</v>
      </c>
      <c r="F16" s="444">
        <f>IF('Room Revenue'!F16=0,0,'Room Revenue'!F16/'Room Nights'!F16)</f>
        <v>1763.4140990516332</v>
      </c>
      <c r="G16" s="444">
        <f>IF('Room Revenue'!G16=0,0,'Room Revenue'!G16/'Room Nights'!G16)</f>
        <v>1788.2963536776215</v>
      </c>
      <c r="H16" s="444">
        <f>IF('Room Revenue'!H16=0,0,'Room Revenue'!H16/'Room Nights'!H16)</f>
        <v>2101.6513900203668</v>
      </c>
      <c r="I16" s="444">
        <f>IF('Room Revenue'!I16=0,0,'Room Revenue'!I16/'Room Nights'!I16)</f>
        <v>2231.1641191489362</v>
      </c>
      <c r="J16" s="444">
        <f>IF('Room Revenue'!J16=0,0,'Room Revenue'!J16/'Room Nights'!J16)</f>
        <v>2070.363251481795</v>
      </c>
      <c r="K16" s="438">
        <f>IF('Room Revenue'!K16=0,0,'Room Revenue'!K16/'Room Nights'!K16)</f>
        <v>1870.0782719546742</v>
      </c>
      <c r="L16" s="444">
        <f>IF('Room Revenue'!L16=0,0,'Room Revenue'!L16/'Room Nights'!L16)</f>
        <v>1718.4358490566037</v>
      </c>
      <c r="M16" s="444">
        <f>IF('Room Revenue'!M16=0,0,'Room Revenue'!M16/'Room Nights'!M16)</f>
        <v>1216.0887096774193</v>
      </c>
      <c r="N16" s="439">
        <f>IF('Room Revenue'!N16=0,0,'Room Revenue'!N16/'Room Nights'!N16)</f>
        <v>1242.397194570136</v>
      </c>
      <c r="O16" s="440">
        <f>IF('Room Revenue'!O16=0,0,'Room Revenue'!O16/'Room Nights'!O16)</f>
        <v>1742.8412049062051</v>
      </c>
      <c r="Q16" s="463"/>
      <c r="T16" s="464"/>
    </row>
    <row r="17" spans="1:19" hidden="1" outlineLevel="1" x14ac:dyDescent="0.25">
      <c r="A17" s="751"/>
      <c r="B17" s="500" t="s">
        <v>183</v>
      </c>
      <c r="C17" s="437">
        <f>IF('Room Revenue'!C17=0,0,'Room Revenue'!C17/'Room Nights'!C17)</f>
        <v>1110.0314391143911</v>
      </c>
      <c r="D17" s="438">
        <f>IF('Room Revenue'!D17=0,0,'Room Revenue'!D17/'Room Nights'!D17)</f>
        <v>1150.9337919075144</v>
      </c>
      <c r="E17" s="438">
        <f>IF('Room Revenue'!E17=0,0,'Room Revenue'!E17/'Room Nights'!E17)</f>
        <v>1496.5406792452832</v>
      </c>
      <c r="F17" s="438">
        <f>IF('Room Revenue'!F17=0,0,'Room Revenue'!F17/'Room Nights'!F17)</f>
        <v>1688.5472883435584</v>
      </c>
      <c r="G17" s="438">
        <f>IF('Room Revenue'!G17=0,0,'Room Revenue'!G17/'Room Nights'!G17)</f>
        <v>1860.1119470699432</v>
      </c>
      <c r="H17" s="438">
        <f>IF('Room Revenue'!H17=0,0,'Room Revenue'!H17/'Room Nights'!H17)</f>
        <v>2126.7217549491706</v>
      </c>
      <c r="I17" s="438">
        <f>IF('Room Revenue'!I17=0,0,'Room Revenue'!I17/'Room Nights'!I17)</f>
        <v>2325.7583824640965</v>
      </c>
      <c r="J17" s="438">
        <f>IF('Room Revenue'!J17=0,0,'Room Revenue'!J17/'Room Nights'!J17)</f>
        <v>2115.3323132848645</v>
      </c>
      <c r="K17" s="438">
        <f>IF('Room Revenue'!K17=0,0,'Room Revenue'!K17/'Room Nights'!K17)</f>
        <v>1881.506821282401</v>
      </c>
      <c r="L17" s="438">
        <f>IF('Room Revenue'!L17=0,0,'Room Revenue'!L17/'Room Nights'!L17)</f>
        <v>434.57062500000001</v>
      </c>
      <c r="M17" s="438">
        <f>IF('Room Revenue'!M17=0,0,'Room Revenue'!M17/'Room Nights'!M17)</f>
        <v>0</v>
      </c>
      <c r="N17" s="439">
        <f>IF('Room Revenue'!N17=0,0,'Room Revenue'!N17/'Room Nights'!N17)</f>
        <v>1535.8977777777777</v>
      </c>
      <c r="O17" s="440">
        <f>IF('Room Revenue'!O17=0,0,'Room Revenue'!O17/'Room Nights'!O17)</f>
        <v>1853.2674067476944</v>
      </c>
      <c r="P17" s="450"/>
    </row>
    <row r="18" spans="1:19" hidden="1" outlineLevel="1" x14ac:dyDescent="0.25">
      <c r="A18" s="751"/>
      <c r="B18" s="501" t="s">
        <v>184</v>
      </c>
      <c r="C18" s="443">
        <f>IF('Room Revenue'!C18=0,0,'Room Revenue'!C18/'Room Nights'!C18)</f>
        <v>890.04314285714281</v>
      </c>
      <c r="D18" s="444">
        <f>IF('Room Revenue'!D18=0,0,'Room Revenue'!D18/'Room Nights'!D18)</f>
        <v>987.34595744680848</v>
      </c>
      <c r="E18" s="444">
        <f>IF('Room Revenue'!E18=0,0,'Room Revenue'!E18/'Room Nights'!E18)</f>
        <v>1042.7458064516129</v>
      </c>
      <c r="F18" s="444">
        <f>IF('Room Revenue'!F18=0,0,'Room Revenue'!F18/'Room Nights'!F18)</f>
        <v>0</v>
      </c>
      <c r="G18" s="444">
        <f>IF('Room Revenue'!G18=0,0,'Room Revenue'!G18/'Room Nights'!G18)</f>
        <v>1377.4627272727271</v>
      </c>
      <c r="H18" s="444">
        <f>IF('Room Revenue'!H18=0,0,'Room Revenue'!H18/'Room Nights'!H18)</f>
        <v>1494.9798742138366</v>
      </c>
      <c r="I18" s="444">
        <f>IF('Room Revenue'!I18=0,0,'Room Revenue'!I18/'Room Nights'!I18)</f>
        <v>1411.2470270270271</v>
      </c>
      <c r="J18" s="444">
        <f>IF('Room Revenue'!J18=0,0,'Room Revenue'!J18/'Room Nights'!J18)</f>
        <v>1261.137016706444</v>
      </c>
      <c r="K18" s="444">
        <f>IF('Room Revenue'!K18=0,0,'Room Revenue'!K18/'Room Nights'!K18)</f>
        <v>1183.123218707015</v>
      </c>
      <c r="L18" s="444">
        <f>IF('Room Revenue'!L18=0,0,'Room Revenue'!L18/'Room Nights'!L18)</f>
        <v>1052.1134937888198</v>
      </c>
      <c r="M18" s="444">
        <f>IF('Room Revenue'!M18=0,0,'Room Revenue'!M18/'Room Nights'!M18)</f>
        <v>1087.7667333333334</v>
      </c>
      <c r="N18" s="445">
        <f>IF('Room Revenue'!N18=0,0,'Room Revenue'!N18/'Room Nights'!N18)</f>
        <v>1119.7685865724382</v>
      </c>
      <c r="O18" s="446">
        <f>IF('Room Revenue'!O18=0,0,'Room Revenue'!O18/'Room Nights'!O18)</f>
        <v>1194.056228937729</v>
      </c>
      <c r="P18" s="450"/>
    </row>
    <row r="19" spans="1:19" hidden="1" outlineLevel="1" x14ac:dyDescent="0.25">
      <c r="A19" s="751"/>
      <c r="B19" s="501" t="s">
        <v>197</v>
      </c>
      <c r="C19" s="443">
        <f>IF('Room Revenue'!C19=0,0,'Room Revenue'!C19/'Room Nights'!C19)</f>
        <v>905.86813186813185</v>
      </c>
      <c r="D19" s="444">
        <f>IF('Room Revenue'!D19=0,0,'Room Revenue'!D19/'Room Nights'!D19)</f>
        <v>1031.8854166666667</v>
      </c>
      <c r="E19" s="444">
        <f>IF('Room Revenue'!E19=0,0,'Room Revenue'!E19/'Room Nights'!E19)</f>
        <v>1056.872663551402</v>
      </c>
      <c r="F19" s="444">
        <f>IF('Room Revenue'!F19=0,0,'Room Revenue'!F19/'Room Nights'!F19)</f>
        <v>1471.0485678704856</v>
      </c>
      <c r="G19" s="444">
        <f>IF('Room Revenue'!G19=0,0,'Room Revenue'!G19/'Room Nights'!G19)</f>
        <v>1573.5873452544704</v>
      </c>
      <c r="H19" s="444">
        <f>IF('Room Revenue'!H19=0,0,'Room Revenue'!H19/'Room Nights'!H19)</f>
        <v>1775.2529147982063</v>
      </c>
      <c r="I19" s="444">
        <f>IF('Room Revenue'!I19=0,0,'Room Revenue'!I19/'Room Nights'!I19)</f>
        <v>1994.6084538375974</v>
      </c>
      <c r="J19" s="444">
        <f>IF('Room Revenue'!J19=0,0,'Room Revenue'!J19/'Room Nights'!J19)</f>
        <v>2099.7730569948185</v>
      </c>
      <c r="K19" s="444">
        <f>IF('Room Revenue'!K19=0,0,'Room Revenue'!K19/'Room Nights'!K19)</f>
        <v>2037.646803900325</v>
      </c>
      <c r="L19" s="444">
        <f>IF('Room Revenue'!L19=0,0,'Room Revenue'!L19/'Room Nights'!L19)</f>
        <v>1696.1864927091328</v>
      </c>
      <c r="M19" s="543">
        <f>IF('Room Revenue'!M19=0,0,'Room Revenue'!M19/'Room Nights'!M19)</f>
        <v>1127</v>
      </c>
      <c r="N19" s="544">
        <f>IF('Room Revenue'!N19=0,0,'Room Revenue'!N19/'Room Nights'!N19)</f>
        <v>1127</v>
      </c>
      <c r="O19" s="446">
        <f>IF('Room Revenue'!O19=0,0,'Room Revenue'!O19/'Room Nights'!O19)</f>
        <v>1588.53152026675</v>
      </c>
      <c r="P19" s="450"/>
    </row>
    <row r="20" spans="1:19" ht="15.75" hidden="1" outlineLevel="1" thickBot="1" x14ac:dyDescent="0.3">
      <c r="A20" s="752"/>
      <c r="B20" s="451" t="s">
        <v>198</v>
      </c>
      <c r="C20" s="452">
        <f>IF('Room Revenue'!C20=0,0,'Room Revenue'!C20/'Room Nights'!C20)</f>
        <v>1213.7190585317451</v>
      </c>
      <c r="D20" s="453">
        <f>IF('Room Revenue'!D20=0,0,'Room Revenue'!D20/'Room Nights'!D20)</f>
        <v>1275.0934023664345</v>
      </c>
      <c r="E20" s="453">
        <f>IF('Room Revenue'!E20=0,0,'Room Revenue'!E20/'Room Nights'!E20)</f>
        <v>1298.0701020632821</v>
      </c>
      <c r="F20" s="453">
        <f>IF('Room Revenue'!F20=0,0,'Room Revenue'!F20/'Room Nights'!F20)</f>
        <v>1815.5566599552569</v>
      </c>
      <c r="G20" s="453">
        <f>IF('Room Revenue'!G20=0,0,'Room Revenue'!G20/'Room Nights'!G20)</f>
        <v>2032.9406811307847</v>
      </c>
      <c r="H20" s="453">
        <f>IF('Room Revenue'!H20=0,0,'Room Revenue'!H20/'Room Nights'!H20)</f>
        <v>2231.108329242797</v>
      </c>
      <c r="I20" s="453">
        <f>IF('Room Revenue'!I20=0,0,'Room Revenue'!I20/'Room Nights'!I20)</f>
        <v>2145.2929388971688</v>
      </c>
      <c r="J20" s="453">
        <f>IF('Room Revenue'!J20=0,0,'Room Revenue'!J20/'Room Nights'!J20)</f>
        <v>2196.4461850574708</v>
      </c>
      <c r="K20" s="453">
        <f>IF('Room Revenue'!K20=0,0,'Room Revenue'!K20/'Room Nights'!K20)</f>
        <v>2136.3968526834615</v>
      </c>
      <c r="L20" s="453">
        <f>IF('Room Revenue'!L20=0,0,'Room Revenue'!L20/'Room Nights'!L20)</f>
        <v>1771.2484400428264</v>
      </c>
      <c r="M20" s="453">
        <f>IF('Room Revenue'!M20=0,0,'Room Revenue'!M20/'Room Nights'!M20)</f>
        <v>1320.4614518065357</v>
      </c>
      <c r="N20" s="454">
        <f>IF('Room Revenue'!N20=0,0,'Room Revenue'!N20/'Room Nights'!N20)</f>
        <v>1313.1442110722337</v>
      </c>
      <c r="O20" s="455">
        <f>IF('Room Revenue'!O20=0,0,'Room Revenue'!O20/'Room Nights'!O20)</f>
        <v>1780.1948895533187</v>
      </c>
      <c r="P20" s="450"/>
    </row>
    <row r="21" spans="1:19" ht="15.75" hidden="1" outlineLevel="1" thickTop="1" x14ac:dyDescent="0.25">
      <c r="A21" s="751" t="s">
        <v>186</v>
      </c>
      <c r="B21" s="457" t="s">
        <v>180</v>
      </c>
      <c r="C21" s="458">
        <f>IF('Room Revenue'!C21=0,0,'Room Revenue'!C21/'Room Nights'!C21)</f>
        <v>1211.4627586206896</v>
      </c>
      <c r="D21" s="459">
        <f>IF('Room Revenue'!D21=0,0,'Room Revenue'!D21/'Room Nights'!D21)</f>
        <v>1123.50125</v>
      </c>
      <c r="E21" s="459">
        <f>IF('Room Revenue'!E21=0,0,'Room Revenue'!E21/'Room Nights'!E21)</f>
        <v>1179.031612903226</v>
      </c>
      <c r="F21" s="459">
        <f>IF('Room Revenue'!F21=0,0,'Room Revenue'!F21/'Room Nights'!F21)</f>
        <v>1395.77</v>
      </c>
      <c r="G21" s="459">
        <f>IF('Room Revenue'!G21=0,0,'Room Revenue'!G21/'Room Nights'!G21)</f>
        <v>1308.9137096774193</v>
      </c>
      <c r="H21" s="459">
        <f>IF('Room Revenue'!H21=0,0,'Room Revenue'!H21/'Room Nights'!H21)</f>
        <v>1372.3202222222224</v>
      </c>
      <c r="I21" s="459">
        <f>IF('Room Revenue'!I21=0,0,'Room Revenue'!I21/'Room Nights'!I21)</f>
        <v>1564.975588235294</v>
      </c>
      <c r="J21" s="459">
        <f>IF('Room Revenue'!J21=0,0,'Room Revenue'!J21/'Room Nights'!J21)</f>
        <v>677.63199999999995</v>
      </c>
      <c r="K21" s="459">
        <f>IF('Room Revenue'!K21=0,0,'Room Revenue'!K21/'Room Nights'!K21)</f>
        <v>1375.8752631578948</v>
      </c>
      <c r="L21" s="459">
        <f>IF('Room Revenue'!L21=0,0,'Room Revenue'!L21/'Room Nights'!L21)</f>
        <v>1439.6682222222223</v>
      </c>
      <c r="M21" s="459">
        <f>IF('Room Revenue'!M21=0,0,'Room Revenue'!M21/'Room Nights'!M21)</f>
        <v>1295.7225000000001</v>
      </c>
      <c r="N21" s="460">
        <f>IF('Room Revenue'!N21=0,0,'Room Revenue'!N21/'Room Nights'!N21)</f>
        <v>1097.7214285714285</v>
      </c>
      <c r="O21" s="461">
        <f>IF('Room Revenue'!O21=0,0,'Room Revenue'!O21/'Room Nights'!O21)</f>
        <v>1320.4686397984885</v>
      </c>
    </row>
    <row r="22" spans="1:19" hidden="1" outlineLevel="1" x14ac:dyDescent="0.25">
      <c r="A22" s="751"/>
      <c r="B22" s="442" t="s">
        <v>181</v>
      </c>
      <c r="C22" s="443">
        <f>IF('Room Revenue'!C22=0,0,'Room Revenue'!C22/'Room Nights'!C22)</f>
        <v>1075.7774074074075</v>
      </c>
      <c r="D22" s="444">
        <f>IF('Room Revenue'!D22=0,0,'Room Revenue'!D22/'Room Nights'!D22)</f>
        <v>1547.0259259259258</v>
      </c>
      <c r="E22" s="444">
        <f>IF('Room Revenue'!E22=0,0,'Room Revenue'!E22/'Room Nights'!E22)</f>
        <v>1300.4779545454546</v>
      </c>
      <c r="F22" s="444">
        <f>IF('Room Revenue'!F22=0,0,'Room Revenue'!F22/'Room Nights'!F22)</f>
        <v>1419.3136170212767</v>
      </c>
      <c r="G22" s="444">
        <f>IF('Room Revenue'!G22=0,0,'Room Revenue'!G22/'Room Nights'!G22)</f>
        <v>1513.8094642857143</v>
      </c>
      <c r="H22" s="444">
        <f>IF('Room Revenue'!H22=0,0,'Room Revenue'!H22/'Room Nights'!H22)</f>
        <v>1663.2183333333332</v>
      </c>
      <c r="I22" s="444">
        <f>IF('Room Revenue'!I22=0,0,'Room Revenue'!I22/'Room Nights'!I22)</f>
        <v>1441.9692307692308</v>
      </c>
      <c r="J22" s="444">
        <f>IF('Room Revenue'!J22=0,0,'Room Revenue'!J22/'Room Nights'!J22)</f>
        <v>1368.42</v>
      </c>
      <c r="K22" s="438">
        <f>IF('Room Revenue'!K22=0,0,'Room Revenue'!K22/'Room Nights'!K22)</f>
        <v>1803.6031250000001</v>
      </c>
      <c r="L22" s="444">
        <f>IF('Room Revenue'!L22=0,0,'Room Revenue'!L22/'Room Nights'!L22)</f>
        <v>1241.6100000000001</v>
      </c>
      <c r="M22" s="444">
        <f>IF('Room Revenue'!M22=0,0,'Room Revenue'!M22/'Room Nights'!M22)</f>
        <v>1119.02</v>
      </c>
      <c r="N22" s="445">
        <f>IF('Room Revenue'!N22=0,0,'Room Revenue'!N22/'Room Nights'!N22)</f>
        <v>1177.6500000000001</v>
      </c>
      <c r="O22" s="440">
        <f>IF('Room Revenue'!O22=0,0,'Room Revenue'!O22/'Room Nights'!O22)</f>
        <v>1419.9224999999999</v>
      </c>
    </row>
    <row r="23" spans="1:19" hidden="1" outlineLevel="1" x14ac:dyDescent="0.25">
      <c r="A23" s="751"/>
      <c r="B23" s="442" t="s">
        <v>182</v>
      </c>
      <c r="C23" s="443">
        <f>IF('Room Revenue'!C23=0,0,'Room Revenue'!C23/'Room Nights'!C23)</f>
        <v>1026.5538461538463</v>
      </c>
      <c r="D23" s="444">
        <f>IF('Room Revenue'!D23=0,0,'Room Revenue'!D23/'Room Nights'!D23)</f>
        <v>900.75833333333333</v>
      </c>
      <c r="E23" s="444">
        <f>IF('Room Revenue'!E23=0,0,'Room Revenue'!E23/'Room Nights'!E23)</f>
        <v>1636.96</v>
      </c>
      <c r="F23" s="444">
        <f>IF('Room Revenue'!F23=0,0,'Room Revenue'!F23/'Room Nights'!F23)</f>
        <v>2031.1933333333336</v>
      </c>
      <c r="G23" s="444">
        <f>IF('Room Revenue'!G23=0,0,'Room Revenue'!G23/'Room Nights'!G23)</f>
        <v>1872</v>
      </c>
      <c r="H23" s="444">
        <f>IF('Room Revenue'!H23=0,0,'Room Revenue'!H23/'Room Nights'!H23)</f>
        <v>1888.5533333333333</v>
      </c>
      <c r="I23" s="444">
        <f>IF('Room Revenue'!I23=0,0,'Room Revenue'!I23/'Room Nights'!I23)</f>
        <v>1623.22</v>
      </c>
      <c r="J23" s="444">
        <f>IF('Room Revenue'!J23=0,0,'Room Revenue'!J23/'Room Nights'!J23)</f>
        <v>2491.3040000000001</v>
      </c>
      <c r="K23" s="438">
        <f>IF('Room Revenue'!K23=0,0,'Room Revenue'!K23/'Room Nights'!K23)</f>
        <v>1244.8319999999999</v>
      </c>
      <c r="L23" s="444">
        <f>IF('Room Revenue'!L23=0,0,'Room Revenue'!L23/'Room Nights'!L23)</f>
        <v>2406.8849999999998</v>
      </c>
      <c r="M23" s="444">
        <f>IF('Room Revenue'!M23=0,0,'Room Revenue'!M23/'Room Nights'!M23)</f>
        <v>1570.8071428571427</v>
      </c>
      <c r="N23" s="445">
        <f>IF('Room Revenue'!N23=0,0,'Room Revenue'!N23/'Room Nights'!N23)</f>
        <v>1318.1588235294118</v>
      </c>
      <c r="O23" s="440">
        <f>IF('Room Revenue'!O23=0,0,'Room Revenue'!O23/'Room Nights'!O23)</f>
        <v>1584.7189510489511</v>
      </c>
    </row>
    <row r="24" spans="1:19" hidden="1" outlineLevel="1" x14ac:dyDescent="0.25">
      <c r="A24" s="751"/>
      <c r="B24" s="500" t="s">
        <v>183</v>
      </c>
      <c r="C24" s="437">
        <f>IF('Room Revenue'!C24=0,0,'Room Revenue'!C24/'Room Nights'!C24)</f>
        <v>1363.7029032258065</v>
      </c>
      <c r="D24" s="438">
        <f>IF('Room Revenue'!D24=0,0,'Room Revenue'!D24/'Room Nights'!D24)</f>
        <v>1434.3263157894737</v>
      </c>
      <c r="E24" s="438">
        <f>IF('Room Revenue'!E24=0,0,'Room Revenue'!E24/'Room Nights'!E24)</f>
        <v>1500.0892000000001</v>
      </c>
      <c r="F24" s="438">
        <f>IF('Room Revenue'!F24=0,0,'Room Revenue'!F24/'Room Nights'!F24)</f>
        <v>1634.1646666666668</v>
      </c>
      <c r="G24" s="438">
        <f>IF('Room Revenue'!G24=0,0,'Room Revenue'!G24/'Room Nights'!G24)</f>
        <v>1761.3868749999999</v>
      </c>
      <c r="H24" s="438">
        <f>IF('Room Revenue'!H24=0,0,'Room Revenue'!H24/'Room Nights'!H24)</f>
        <v>1686.3842253521127</v>
      </c>
      <c r="I24" s="438">
        <f>IF('Room Revenue'!I24=0,0,'Room Revenue'!I24/'Room Nights'!I24)</f>
        <v>1824.1224</v>
      </c>
      <c r="J24" s="438">
        <f>IF('Room Revenue'!J24=0,0,'Room Revenue'!J24/'Room Nights'!J24)</f>
        <v>1612.765909090909</v>
      </c>
      <c r="K24" s="438">
        <f>IF('Room Revenue'!K24=0,0,'Room Revenue'!K24/'Room Nights'!K24)</f>
        <v>1879.3300000000002</v>
      </c>
      <c r="L24" s="438">
        <f>IF('Room Revenue'!L24=0,0,'Room Revenue'!L24/'Room Nights'!L24)</f>
        <v>0</v>
      </c>
      <c r="M24" s="438">
        <f>IF('Room Revenue'!M24=0,0,'Room Revenue'!M24/'Room Nights'!M24)</f>
        <v>0</v>
      </c>
      <c r="N24" s="439">
        <f>IF('Room Revenue'!N24=0,0,'Room Revenue'!N24/'Room Nights'!N24)</f>
        <v>0</v>
      </c>
      <c r="O24" s="440">
        <f>IF('Room Revenue'!O24=0,0,'Room Revenue'!O24/'Room Nights'!O24)</f>
        <v>1650.2072302158272</v>
      </c>
      <c r="P24" s="450"/>
    </row>
    <row r="25" spans="1:19" hidden="1" outlineLevel="1" x14ac:dyDescent="0.25">
      <c r="A25" s="751"/>
      <c r="B25" s="501" t="s">
        <v>184</v>
      </c>
      <c r="C25" s="443">
        <f>IF('Room Revenue'!C25=0,0,'Room Revenue'!C25/'Room Nights'!C25)</f>
        <v>0</v>
      </c>
      <c r="D25" s="444">
        <f>IF('Room Revenue'!D25=0,0,'Room Revenue'!D25/'Room Nights'!D25)</f>
        <v>941.26352941176481</v>
      </c>
      <c r="E25" s="444">
        <f>IF('Room Revenue'!E25=0,0,'Room Revenue'!E25/'Room Nights'!E25)</f>
        <v>1040.1933333333334</v>
      </c>
      <c r="F25" s="444">
        <f>IF('Room Revenue'!F25=0,0,'Room Revenue'!F25/'Room Nights'!F25)</f>
        <v>0</v>
      </c>
      <c r="G25" s="444">
        <f>IF('Room Revenue'!G25=0,0,'Room Revenue'!G25/'Room Nights'!G25)</f>
        <v>1311.3045454545454</v>
      </c>
      <c r="H25" s="444">
        <f>IF('Room Revenue'!H25=0,0,'Room Revenue'!H25/'Room Nights'!H25)</f>
        <v>1259.0408771929824</v>
      </c>
      <c r="I25" s="444">
        <f>IF('Room Revenue'!I25=0,0,'Room Revenue'!I25/'Room Nights'!I25)</f>
        <v>1314.5964285714285</v>
      </c>
      <c r="J25" s="444">
        <f>IF('Room Revenue'!J25=0,0,'Room Revenue'!J25/'Room Nights'!J25)</f>
        <v>1403.9545454545455</v>
      </c>
      <c r="K25" s="444">
        <f>IF('Room Revenue'!K25=0,0,'Room Revenue'!K25/'Room Nights'!K25)</f>
        <v>1343.3601754385968</v>
      </c>
      <c r="L25" s="444">
        <f>IF('Room Revenue'!L25=0,0,'Room Revenue'!L25/'Room Nights'!L25)</f>
        <v>1155.3110852713178</v>
      </c>
      <c r="M25" s="444">
        <f>IF('Room Revenue'!M25=0,0,'Room Revenue'!M25/'Room Nights'!M25)</f>
        <v>1135.8055882352942</v>
      </c>
      <c r="N25" s="445">
        <f>IF('Room Revenue'!N25=0,0,'Room Revenue'!N25/'Room Nights'!N25)</f>
        <v>1163.6348484848484</v>
      </c>
      <c r="O25" s="446">
        <f>IF('Room Revenue'!O25=0,0,'Room Revenue'!O25/'Room Nights'!O25)</f>
        <v>1188.8872457627119</v>
      </c>
      <c r="P25" s="450"/>
    </row>
    <row r="26" spans="1:19" hidden="1" outlineLevel="1" x14ac:dyDescent="0.25">
      <c r="A26" s="751"/>
      <c r="B26" s="501" t="s">
        <v>197</v>
      </c>
      <c r="C26" s="443">
        <f>IF('Room Revenue'!C26=0,0,'Room Revenue'!C26/'Room Nights'!C26)</f>
        <v>1331.3333333333333</v>
      </c>
      <c r="D26" s="444">
        <f>IF('Room Revenue'!D26=0,0,'Room Revenue'!D26/'Room Nights'!D26)</f>
        <v>1039.1891891891892</v>
      </c>
      <c r="E26" s="444">
        <f>IF('Room Revenue'!E26=0,0,'Room Revenue'!E26/'Room Nights'!E26)</f>
        <v>1107.648148148148</v>
      </c>
      <c r="F26" s="444">
        <f>IF('Room Revenue'!F26=0,0,'Room Revenue'!F26/'Room Nights'!F26)</f>
        <v>1375.609375</v>
      </c>
      <c r="G26" s="444">
        <f>IF('Room Revenue'!G26=0,0,'Room Revenue'!G26/'Room Nights'!G26)</f>
        <v>1246.8428571428572</v>
      </c>
      <c r="H26" s="444">
        <f>IF('Room Revenue'!H26=0,0,'Room Revenue'!H26/'Room Nights'!H26)</f>
        <v>1534.0294117647059</v>
      </c>
      <c r="I26" s="444">
        <f>IF('Room Revenue'!I26=0,0,'Room Revenue'!I26/'Room Nights'!I26)</f>
        <v>1549.2790697674418</v>
      </c>
      <c r="J26" s="444">
        <f>IF('Room Revenue'!J26=0,0,'Room Revenue'!J26/'Room Nights'!J26)</f>
        <v>1619.9375</v>
      </c>
      <c r="K26" s="444">
        <f>IF('Room Revenue'!K26=0,0,'Room Revenue'!K26/'Room Nights'!K26)</f>
        <v>1637.7631578947369</v>
      </c>
      <c r="L26" s="444">
        <f>IF('Room Revenue'!L26=0,0,'Room Revenue'!L26/'Room Nights'!L26)</f>
        <v>1405.7717391304348</v>
      </c>
      <c r="M26" s="543">
        <f>IF('Room Revenue'!M26=0,0,'Room Revenue'!M26/'Room Nights'!M26)</f>
        <v>0</v>
      </c>
      <c r="N26" s="544">
        <f>IF('Room Revenue'!N26=0,0,'Room Revenue'!N26/'Room Nights'!N26)</f>
        <v>0</v>
      </c>
      <c r="O26" s="446">
        <f>IF('Room Revenue'!O26=0,0,'Room Revenue'!O26/'Room Nights'!O26)</f>
        <v>1414.1858864027538</v>
      </c>
      <c r="P26" s="450"/>
    </row>
    <row r="27" spans="1:19" ht="15.75" hidden="1" outlineLevel="1" thickBot="1" x14ac:dyDescent="0.3">
      <c r="A27" s="752"/>
      <c r="B27" s="451" t="s">
        <v>198</v>
      </c>
      <c r="C27" s="452">
        <f>IF('Room Revenue'!C27=0,0,'Room Revenue'!C27/'Room Nights'!C27)</f>
        <v>1205.9157142857143</v>
      </c>
      <c r="D27" s="453">
        <f>IF('Room Revenue'!D27=0,0,'Room Revenue'!D27/'Room Nights'!D27)</f>
        <v>1158.877619047619</v>
      </c>
      <c r="E27" s="453">
        <f>IF('Room Revenue'!E27=0,0,'Room Revenue'!E27/'Room Nights'!E27)</f>
        <v>1254.4447619047619</v>
      </c>
      <c r="F27" s="453">
        <f>IF('Room Revenue'!F27=0,0,'Room Revenue'!F27/'Room Nights'!F27)</f>
        <v>1720.5147826086954</v>
      </c>
      <c r="G27" s="453">
        <f>IF('Room Revenue'!G27=0,0,'Room Revenue'!G27/'Room Nights'!G27)</f>
        <v>1766.89375</v>
      </c>
      <c r="H27" s="453">
        <f>IF('Room Revenue'!H27=0,0,'Room Revenue'!H27/'Room Nights'!H27)</f>
        <v>1951.91</v>
      </c>
      <c r="I27" s="453">
        <f>IF('Room Revenue'!I27=0,0,'Room Revenue'!I27/'Room Nights'!I27)</f>
        <v>1472.4588888888889</v>
      </c>
      <c r="J27" s="453">
        <f>IF('Room Revenue'!J27=0,0,'Room Revenue'!J27/'Room Nights'!J27)</f>
        <v>1600.6995049504947</v>
      </c>
      <c r="K27" s="453">
        <f>IF('Room Revenue'!K27=0,0,'Room Revenue'!K27/'Room Nights'!K27)</f>
        <v>1699.0867632850238</v>
      </c>
      <c r="L27" s="453">
        <f>IF('Room Revenue'!L27=0,0,'Room Revenue'!L27/'Room Nights'!L27)</f>
        <v>1392.6193406593407</v>
      </c>
      <c r="M27" s="453">
        <f>IF('Room Revenue'!M27=0,0,'Room Revenue'!M27/'Room Nights'!M27)</f>
        <v>1338.518</v>
      </c>
      <c r="N27" s="454">
        <f>IF('Room Revenue'!N27=0,0,'Room Revenue'!N27/'Room Nights'!N27)</f>
        <v>1340.578947368421</v>
      </c>
      <c r="O27" s="455">
        <f>IF('Room Revenue'!O27=0,0,'Room Revenue'!O27/'Room Nights'!O27)</f>
        <v>1492.1396287642783</v>
      </c>
      <c r="P27" s="450"/>
    </row>
    <row r="28" spans="1:19" ht="15.75" collapsed="1" thickTop="1" x14ac:dyDescent="0.25">
      <c r="A28" s="753" t="s">
        <v>185</v>
      </c>
      <c r="B28" s="470" t="s">
        <v>180</v>
      </c>
      <c r="C28" s="471">
        <f>IF('Room Revenue'!C28=0,0,'Room Revenue'!C28/'Room Nights'!C28)</f>
        <v>1033.521513437058</v>
      </c>
      <c r="D28" s="472">
        <f>IF('Room Revenue'!D28=0,0,'Room Revenue'!D28/'Room Nights'!D28)</f>
        <v>963.54152477763671</v>
      </c>
      <c r="E28" s="472">
        <f>IF('Room Revenue'!E28=0,0,'Room Revenue'!E28/'Room Nights'!E28)</f>
        <v>1355.7525693160815</v>
      </c>
      <c r="F28" s="472">
        <f>IF('Room Revenue'!F28=0,0,'Room Revenue'!F28/'Room Nights'!F28)</f>
        <v>1752.6787980173483</v>
      </c>
      <c r="G28" s="472">
        <f>IF('Room Revenue'!G28=0,0,'Room Revenue'!G28/'Room Nights'!G28)</f>
        <v>1699.7982217573224</v>
      </c>
      <c r="H28" s="472">
        <f>IF('Room Revenue'!H28=0,0,'Room Revenue'!H28/'Room Nights'!H28)</f>
        <v>1788.0690281827019</v>
      </c>
      <c r="I28" s="472">
        <f>IF('Room Revenue'!I28=0,0,'Room Revenue'!I28/'Room Nights'!I28)</f>
        <v>1905.8174840209181</v>
      </c>
      <c r="J28" s="472">
        <f>IF('Room Revenue'!J28=0,0,'Room Revenue'!J28/'Room Nights'!J28)</f>
        <v>1964.0134629493764</v>
      </c>
      <c r="K28" s="472">
        <f>IF('Room Revenue'!K28=0,0,'Room Revenue'!K28/'Room Nights'!K28)</f>
        <v>1670.1105158730159</v>
      </c>
      <c r="L28" s="472">
        <f>IF('Room Revenue'!L28=0,0,'Room Revenue'!L28/'Room Nights'!L28)</f>
        <v>1456.820400801603</v>
      </c>
      <c r="M28" s="472">
        <f>IF('Room Revenue'!M28=0,0,'Room Revenue'!M28/'Room Nights'!M28)</f>
        <v>1085.1876401179941</v>
      </c>
      <c r="N28" s="473">
        <f>IF('Room Revenue'!N28=0,0,'Room Revenue'!N28/'Room Nights'!N28)</f>
        <v>1006.1848979591837</v>
      </c>
      <c r="O28" s="474">
        <f>IF('Room Revenue'!O28=0,0,'Room Revenue'!O28/'Room Nights'!O28)</f>
        <v>1567.4291041605627</v>
      </c>
      <c r="Q28" s="476"/>
      <c r="S28" s="450"/>
    </row>
    <row r="29" spans="1:19" x14ac:dyDescent="0.25">
      <c r="A29" s="753"/>
      <c r="B29" s="477" t="s">
        <v>181</v>
      </c>
      <c r="C29" s="478">
        <f>IF('Room Revenue'!C29=0,0,'Room Revenue'!C29/'Room Nights'!C29)</f>
        <v>1047.7403041825096</v>
      </c>
      <c r="D29" s="479">
        <f>IF('Room Revenue'!D29=0,0,'Room Revenue'!D29/'Room Nights'!D29)</f>
        <v>1046.6154432132964</v>
      </c>
      <c r="E29" s="479">
        <f>IF('Room Revenue'!E29=0,0,'Room Revenue'!E29/'Room Nights'!E29)</f>
        <v>1342.7522123893805</v>
      </c>
      <c r="F29" s="479">
        <f>IF('Room Revenue'!F29=0,0,'Room Revenue'!F29/'Room Nights'!F29)</f>
        <v>1732.3975546975546</v>
      </c>
      <c r="G29" s="479">
        <f>IF('Room Revenue'!G29=0,0,'Room Revenue'!G29/'Room Nights'!G29)</f>
        <v>1763.3093775933612</v>
      </c>
      <c r="H29" s="479">
        <f>IF('Room Revenue'!H29=0,0,'Room Revenue'!H29/'Room Nights'!H29)</f>
        <v>1779.6586532663318</v>
      </c>
      <c r="I29" s="479">
        <f>IF('Room Revenue'!I29=0,0,'Room Revenue'!I29/'Room Nights'!I29)</f>
        <v>1962.7022723735408</v>
      </c>
      <c r="J29" s="479">
        <f>IF('Room Revenue'!J29=0,0,'Room Revenue'!J29/'Room Nights'!J29)</f>
        <v>2008.3142517267841</v>
      </c>
      <c r="K29" s="479">
        <f>IF('Room Revenue'!K29=0,0,'Room Revenue'!K29/'Room Nights'!K29)</f>
        <v>1821.7356881463802</v>
      </c>
      <c r="L29" s="479">
        <f>IF('Room Revenue'!L29=0,0,'Room Revenue'!L29/'Room Nights'!L29)</f>
        <v>1462.5783717105267</v>
      </c>
      <c r="M29" s="479">
        <f>IF('Room Revenue'!M29=0,0,'Room Revenue'!M29/'Room Nights'!M29)</f>
        <v>1032.1881466113416</v>
      </c>
      <c r="N29" s="480">
        <f>IF('Room Revenue'!N29=0,0,'Room Revenue'!N29/'Room Nights'!N29)</f>
        <v>1030.11888</v>
      </c>
      <c r="O29" s="481">
        <f>IF('Room Revenue'!O29=0,0,'Room Revenue'!O29/'Room Nights'!O29)</f>
        <v>1591.4786610911988</v>
      </c>
      <c r="Q29" s="476"/>
      <c r="S29" s="450"/>
    </row>
    <row r="30" spans="1:19" x14ac:dyDescent="0.25">
      <c r="A30" s="753"/>
      <c r="B30" s="477" t="s">
        <v>182</v>
      </c>
      <c r="C30" s="478">
        <f>IF('Room Revenue'!C30=0,0,'Room Revenue'!C30/'Room Nights'!C30)</f>
        <v>1045.703663003663</v>
      </c>
      <c r="D30" s="483">
        <f>IF('Room Revenue'!D30=0,0,'Room Revenue'!D30/'Room Nights'!D30)</f>
        <v>1086.1030343007915</v>
      </c>
      <c r="E30" s="483">
        <f>IF('Room Revenue'!E30=0,0,'Room Revenue'!E30/'Room Nights'!E30)</f>
        <v>1431.7225290437889</v>
      </c>
      <c r="F30" s="483">
        <f>IF('Room Revenue'!F30=0,0,'Room Revenue'!F30/'Room Nights'!F30)</f>
        <v>1731.7793829401087</v>
      </c>
      <c r="G30" s="483">
        <f>IF('Room Revenue'!G30=0,0,'Room Revenue'!G30/'Room Nights'!G30)</f>
        <v>1813.8197925925926</v>
      </c>
      <c r="H30" s="483">
        <f>IF('Room Revenue'!H30=0,0,'Room Revenue'!H30/'Room Nights'!H30)</f>
        <v>2100.2015525114152</v>
      </c>
      <c r="I30" s="483">
        <f>IF('Room Revenue'!I30=0,0,'Room Revenue'!I30/'Room Nights'!I30)</f>
        <v>2229.1015436810853</v>
      </c>
      <c r="J30" s="483">
        <f>IF('Room Revenue'!J30=0,0,'Room Revenue'!J30/'Room Nights'!J30)</f>
        <v>2047.8993582453288</v>
      </c>
      <c r="K30" s="479">
        <f>IF('Room Revenue'!K30=0,0,'Room Revenue'!K30/'Room Nights'!K30)</f>
        <v>1862.1292341772153</v>
      </c>
      <c r="L30" s="479">
        <f>IF('Room Revenue'!L30=0,0,'Room Revenue'!L30/'Room Nights'!L30)</f>
        <v>1713.8919351570416</v>
      </c>
      <c r="M30" s="479">
        <f>IF('Room Revenue'!M30=0,0,'Room Revenue'!M30/'Room Nights'!M30)</f>
        <v>1221.7060714285715</v>
      </c>
      <c r="N30" s="480">
        <f>IF('Room Revenue'!N30=0,0,'Room Revenue'!N30/'Room Nights'!N30)</f>
        <v>1248.7693776824035</v>
      </c>
      <c r="O30" s="481">
        <f>IF('Room Revenue'!O30=0,0,'Room Revenue'!O30/'Room Nights'!O30)</f>
        <v>1734.153288342633</v>
      </c>
      <c r="Q30" s="476"/>
      <c r="S30" s="450"/>
    </row>
    <row r="31" spans="1:19" x14ac:dyDescent="0.25">
      <c r="A31" s="753"/>
      <c r="B31" s="515" t="s">
        <v>183</v>
      </c>
      <c r="C31" s="478">
        <f>IF('Room Revenue'!C31=0,0,'Room Revenue'!C31/'Room Nights'!C31)</f>
        <v>1116.6648588235296</v>
      </c>
      <c r="D31" s="479">
        <f>IF('Room Revenue'!D31=0,0,'Room Revenue'!D31/'Room Nights'!D31)</f>
        <v>1160.8842555555555</v>
      </c>
      <c r="E31" s="479">
        <f>IF('Room Revenue'!E31=0,0,'Room Revenue'!E31/'Room Nights'!E31)</f>
        <v>1562.2431489361702</v>
      </c>
      <c r="F31" s="479">
        <f>IF('Room Revenue'!F31=0,0,'Room Revenue'!F31/'Room Nights'!F31)</f>
        <v>1709.4887017167382</v>
      </c>
      <c r="G31" s="479">
        <f>IF('Room Revenue'!G31=0,0,'Room Revenue'!G31/'Room Nights'!G31)</f>
        <v>1829.5549429967425</v>
      </c>
      <c r="H31" s="479">
        <f>IF('Room Revenue'!H31=0,0,'Room Revenue'!H31/'Room Nights'!H31)</f>
        <v>2084.8459440227703</v>
      </c>
      <c r="I31" s="479">
        <f>IF('Room Revenue'!I31=0,0,'Room Revenue'!I31/'Room Nights'!I31)</f>
        <v>2242.2409746835447</v>
      </c>
      <c r="J31" s="479">
        <f>IF('Room Revenue'!J31=0,0,'Room Revenue'!J31/'Room Nights'!J31)</f>
        <v>2102.4244554455445</v>
      </c>
      <c r="K31" s="479">
        <f>IF('Room Revenue'!K31=0,0,'Room Revenue'!K31/'Room Nights'!K31)</f>
        <v>1906.7790940766552</v>
      </c>
      <c r="L31" s="479">
        <f>IF('Room Revenue'!L31=0,0,'Room Revenue'!L31/'Room Nights'!L31)</f>
        <v>434.57062500000001</v>
      </c>
      <c r="M31" s="479">
        <f>IF('Room Revenue'!M31=0,0,'Room Revenue'!M31/'Room Nights'!M31)</f>
        <v>0</v>
      </c>
      <c r="N31" s="480">
        <f>IF('Room Revenue'!N31=0,0,'Room Revenue'!N31/'Room Nights'!N31)</f>
        <v>1535.8977777777777</v>
      </c>
      <c r="O31" s="481">
        <f>IF('Room Revenue'!O31=0,0,'Room Revenue'!O31/'Room Nights'!O31)</f>
        <v>1844.7853993521512</v>
      </c>
      <c r="P31" s="450"/>
      <c r="Q31" s="476"/>
    </row>
    <row r="32" spans="1:19" x14ac:dyDescent="0.25">
      <c r="A32" s="753"/>
      <c r="B32" s="519" t="s">
        <v>184</v>
      </c>
      <c r="C32" s="478">
        <f>IF('Room Revenue'!C32=0,0,'Room Revenue'!C32/'Room Nights'!C32)</f>
        <v>890.04314285714281</v>
      </c>
      <c r="D32" s="479">
        <f>IF('Room Revenue'!D32=0,0,'Room Revenue'!D32/'Room Nights'!D32)</f>
        <v>980.2882882882883</v>
      </c>
      <c r="E32" s="479">
        <f>IF('Room Revenue'!E32=0,0,'Room Revenue'!E32/'Room Nights'!E32)</f>
        <v>1042.4802312138729</v>
      </c>
      <c r="F32" s="479">
        <f>IF('Room Revenue'!F32=0,0,'Room Revenue'!F32/'Room Nights'!F32)</f>
        <v>0</v>
      </c>
      <c r="G32" s="479">
        <f>IF('Room Revenue'!G32=0,0,'Room Revenue'!G32/'Room Nights'!G32)</f>
        <v>1368.0115584415585</v>
      </c>
      <c r="H32" s="479">
        <f>IF('Room Revenue'!H32=0,0,'Room Revenue'!H32/'Room Nights'!H32)</f>
        <v>1472.9924467099165</v>
      </c>
      <c r="I32" s="479">
        <f>IF('Room Revenue'!I32=0,0,'Room Revenue'!I32/'Room Nights'!I32)</f>
        <v>1421.0846348314608</v>
      </c>
      <c r="J32" s="479">
        <f>IF('Room Revenue'!J32=0,0,'Room Revenue'!J32/'Room Nights'!J32)</f>
        <v>1249.7274851485149</v>
      </c>
      <c r="K32" s="479">
        <f>IF('Room Revenue'!K32=0,0,'Room Revenue'!K32/'Room Nights'!K32)</f>
        <v>1212.1714578313251</v>
      </c>
      <c r="L32" s="479">
        <f>IF('Room Revenue'!L32=0,0,'Room Revenue'!L32/'Room Nights'!L32)</f>
        <v>1105.7198941098609</v>
      </c>
      <c r="M32" s="479">
        <f>IF('Room Revenue'!M32=0,0,'Room Revenue'!M32/'Room Nights'!M32)</f>
        <v>1087.011612403101</v>
      </c>
      <c r="N32" s="480">
        <f>IF('Room Revenue'!N32=0,0,'Room Revenue'!N32/'Room Nights'!N32)</f>
        <v>1120.071138211382</v>
      </c>
      <c r="O32" s="481">
        <f>IF('Room Revenue'!O32=0,0,'Room Revenue'!O32/'Room Nights'!O32)</f>
        <v>1205.6205456893767</v>
      </c>
      <c r="P32" s="450"/>
      <c r="Q32" s="476"/>
    </row>
    <row r="33" spans="1:17" x14ac:dyDescent="0.25">
      <c r="A33" s="753"/>
      <c r="B33" s="519" t="s">
        <v>197</v>
      </c>
      <c r="C33" s="478">
        <f>IF('Room Revenue'!C33=0,0,'Room Revenue'!C33/'Room Nights'!C33)</f>
        <v>922.70712401055414</v>
      </c>
      <c r="D33" s="479">
        <f>IF('Room Revenue'!D33=0,0,'Room Revenue'!D33/'Room Nights'!D33)</f>
        <v>1021.160883280757</v>
      </c>
      <c r="E33" s="479">
        <f>IF('Room Revenue'!E33=0,0,'Room Revenue'!E33/'Room Nights'!E33)</f>
        <v>1064.1540084388187</v>
      </c>
      <c r="F33" s="479">
        <f>IF('Room Revenue'!F33=0,0,'Room Revenue'!F33/'Room Nights'!F33)</f>
        <v>1462.8257403189066</v>
      </c>
      <c r="G33" s="479">
        <f>IF('Room Revenue'!G33=0,0,'Room Revenue'!G33/'Room Nights'!G33)</f>
        <v>1454.1257716049383</v>
      </c>
      <c r="H33" s="479">
        <f>IF('Room Revenue'!H33=0,0,'Room Revenue'!H33/'Room Nights'!H33)</f>
        <v>1766.6532663316582</v>
      </c>
      <c r="I33" s="479">
        <f>IF('Room Revenue'!I33=0,0,'Room Revenue'!I33/'Room Nights'!I33)</f>
        <v>1936.726814516129</v>
      </c>
      <c r="J33" s="479">
        <f>IF('Room Revenue'!J33=0,0,'Room Revenue'!J33/'Room Nights'!J33)</f>
        <v>2018.986429177269</v>
      </c>
      <c r="K33" s="479">
        <f>IF('Room Revenue'!K33=0,0,'Room Revenue'!K33/'Room Nights'!K33)</f>
        <v>2073.8187444739169</v>
      </c>
      <c r="L33" s="479">
        <f>IF('Room Revenue'!L33=0,0,'Room Revenue'!L33/'Room Nights'!L33)</f>
        <v>1677.0336917562724</v>
      </c>
      <c r="M33" s="448">
        <f>IF('Room Revenue'!M33=0,0,'Room Revenue'!M33/'Room Nights'!M33)</f>
        <v>1127</v>
      </c>
      <c r="N33" s="449">
        <f>IF('Room Revenue'!N33=0,0,'Room Revenue'!N33/'Room Nights'!N33)</f>
        <v>1127</v>
      </c>
      <c r="O33" s="481">
        <f>IF('Room Revenue'!O33=0,0,'Room Revenue'!O33/'Room Nights'!O33)</f>
        <v>1575.2058240173099</v>
      </c>
      <c r="P33" s="450"/>
      <c r="Q33" s="476"/>
    </row>
    <row r="34" spans="1:17" ht="15.75" thickBot="1" x14ac:dyDescent="0.3">
      <c r="A34" s="754"/>
      <c r="B34" s="451" t="s">
        <v>198</v>
      </c>
      <c r="C34" s="545">
        <f>IF('Room Revenue'!C34=0,0,'Room Revenue'!C34/'Room Nights'!C34)</f>
        <v>1213.5598066083567</v>
      </c>
      <c r="D34" s="546">
        <f>IF('Room Revenue'!D34=0,0,'Room Revenue'!D34/'Room Nights'!D34)</f>
        <v>1271.488481465851</v>
      </c>
      <c r="E34" s="546">
        <f>IF('Room Revenue'!E34=0,0,'Room Revenue'!E34/'Room Nights'!E34)</f>
        <v>1296.892554321214</v>
      </c>
      <c r="F34" s="546">
        <f>IF('Room Revenue'!F34=0,0,'Room Revenue'!F34/'Room Nights'!F34)</f>
        <v>1812.7103537326386</v>
      </c>
      <c r="G34" s="546">
        <f>IF('Room Revenue'!G34=0,0,'Room Revenue'!G34/'Room Nights'!G34)</f>
        <v>1974.2467094184899</v>
      </c>
      <c r="H34" s="546">
        <f>IF('Room Revenue'!H34=0,0,'Room Revenue'!H34/'Room Nights'!H34)</f>
        <v>2213.2305165598568</v>
      </c>
      <c r="I34" s="546">
        <f>IF('Room Revenue'!I34=0,0,'Room Revenue'!I34/'Room Nights'!I34)</f>
        <v>2111.0326478076386</v>
      </c>
      <c r="J34" s="546">
        <f>IF('Room Revenue'!J34=0,0,'Room Revenue'!J34/'Room Nights'!J34)</f>
        <v>2143.3514604691568</v>
      </c>
      <c r="K34" s="546">
        <f>IF('Room Revenue'!K34=0,0,'Room Revenue'!K34/'Room Nights'!K34)</f>
        <v>2115.4205605955281</v>
      </c>
      <c r="L34" s="546">
        <f>IF('Room Revenue'!L34=0,0,'Room Revenue'!L34/'Room Nights'!L34)</f>
        <v>1737.6335639024389</v>
      </c>
      <c r="M34" s="546">
        <f>IF('Room Revenue'!M34=0,0,'Room Revenue'!M34/'Room Nights'!M34)</f>
        <v>1321.1667857203429</v>
      </c>
      <c r="N34" s="547">
        <f>IF('Room Revenue'!N34=0,0,'Room Revenue'!N34/'Room Nights'!N34)</f>
        <v>1313.8364554143684</v>
      </c>
      <c r="O34" s="548">
        <f>IF('Room Revenue'!O34=0,0,'Room Revenue'!O34/'Room Nights'!O34)</f>
        <v>1774.3499305493217</v>
      </c>
      <c r="P34" s="450"/>
    </row>
    <row r="35" spans="1:17" ht="15.75" hidden="1" outlineLevel="2" thickTop="1" x14ac:dyDescent="0.25">
      <c r="A35" s="755" t="s">
        <v>40</v>
      </c>
      <c r="B35" s="457" t="s">
        <v>180</v>
      </c>
      <c r="C35" s="458">
        <f>IF('Room Revenue'!C35=0,0,'Room Revenue'!C35/'Room Nights'!C35)</f>
        <v>722.09448818897636</v>
      </c>
      <c r="D35" s="459">
        <f>IF('Room Revenue'!D35=0,0,'Room Revenue'!D35/'Room Nights'!D35)</f>
        <v>648.24117647058824</v>
      </c>
      <c r="E35" s="459">
        <f>IF('Room Revenue'!E35=0,0,'Room Revenue'!E35/'Room Nights'!E35)</f>
        <v>978.51234567901236</v>
      </c>
      <c r="F35" s="459">
        <f>IF('Room Revenue'!F35=0,0,'Room Revenue'!F35/'Room Nights'!F35)</f>
        <v>1027.2126696832579</v>
      </c>
      <c r="G35" s="459">
        <f>IF('Room Revenue'!G35=0,0,'Room Revenue'!G35/'Room Nights'!G35)</f>
        <v>944.06678383128292</v>
      </c>
      <c r="H35" s="459">
        <f>IF('Room Revenue'!H35=0,0,'Room Revenue'!H35/'Room Nights'!H35)</f>
        <v>885.82183908045977</v>
      </c>
      <c r="I35" s="459">
        <f>IF('Room Revenue'!I35=0,0,'Room Revenue'!I35/'Room Nights'!I35)</f>
        <v>1260.9619047619049</v>
      </c>
      <c r="J35" s="459">
        <f>IF('Room Revenue'!J35=0,0,'Room Revenue'!J35/'Room Nights'!J35)</f>
        <v>1183.0342857142857</v>
      </c>
      <c r="K35" s="459">
        <f>IF('Room Revenue'!K35=0,0,'Room Revenue'!K35/'Room Nights'!K35)</f>
        <v>1411.2959501557632</v>
      </c>
      <c r="L35" s="459">
        <f>IF('Room Revenue'!L35=0,0,'Room Revenue'!L35/'Room Nights'!L35)</f>
        <v>1132.9678899082569</v>
      </c>
      <c r="M35" s="459">
        <f>IF('Room Revenue'!M35=0,0,'Room Revenue'!M35/'Room Nights'!M35)</f>
        <v>797.32716049382714</v>
      </c>
      <c r="N35" s="460">
        <f>IF('Room Revenue'!N35=0,0,'Room Revenue'!N35/'Room Nights'!N35)</f>
        <v>877.00346020761242</v>
      </c>
      <c r="O35" s="461">
        <f>IF('Room Revenue'!O35=0,0,'Room Revenue'!O35/'Room Nights'!O35)</f>
        <v>1021.9683098591549</v>
      </c>
    </row>
    <row r="36" spans="1:17" hidden="1" outlineLevel="2" x14ac:dyDescent="0.25">
      <c r="A36" s="751"/>
      <c r="B36" s="442" t="s">
        <v>181</v>
      </c>
      <c r="C36" s="443">
        <f>IF('Room Revenue'!C36=0,0,'Room Revenue'!C36/'Room Nights'!C36)</f>
        <v>868.89285714285711</v>
      </c>
      <c r="D36" s="444">
        <f>IF('Room Revenue'!D36=0,0,'Room Revenue'!D36/'Room Nights'!D36)</f>
        <v>1130.5180722891566</v>
      </c>
      <c r="E36" s="444">
        <f>IF('Room Revenue'!E36=0,0,'Room Revenue'!E36/'Room Nights'!E36)</f>
        <v>1060.9267515923566</v>
      </c>
      <c r="F36" s="444">
        <f>IF('Room Revenue'!F36=0,0,'Room Revenue'!F36/'Room Nights'!F36)</f>
        <v>1137.2292051756008</v>
      </c>
      <c r="G36" s="444">
        <f>IF('Room Revenue'!G36=0,0,'Room Revenue'!G36/'Room Nights'!G36)</f>
        <v>1057.6716417910447</v>
      </c>
      <c r="H36" s="444">
        <f>IF('Room Revenue'!H36=0,0,'Room Revenue'!H36/'Room Nights'!H36)</f>
        <v>919.19230769230774</v>
      </c>
      <c r="I36" s="444">
        <f>IF('Room Revenue'!I36=0,0,'Room Revenue'!I36/'Room Nights'!I36)</f>
        <v>1733.8709677419354</v>
      </c>
      <c r="J36" s="444">
        <f>IF('Room Revenue'!J36=0,0,'Room Revenue'!J36/'Room Nights'!J36)</f>
        <v>1308.0989423076924</v>
      </c>
      <c r="K36" s="438">
        <f>IF('Room Revenue'!K36=0,0,'Room Revenue'!K36/'Room Nights'!K36)</f>
        <v>1175.4810543130991</v>
      </c>
      <c r="L36" s="444">
        <f>IF('Room Revenue'!L36=0,0,'Room Revenue'!L36/'Room Nights'!L36)</f>
        <v>1153.2659615384616</v>
      </c>
      <c r="M36" s="444">
        <f>IF('Room Revenue'!M36=0,0,'Room Revenue'!M36/'Room Nights'!M36)</f>
        <v>879.54449999999997</v>
      </c>
      <c r="N36" s="445">
        <f>IF('Room Revenue'!N36=0,0,'Room Revenue'!N36/'Room Nights'!N36)</f>
        <v>940.73</v>
      </c>
      <c r="O36" s="440">
        <f>IF('Room Revenue'!O36=0,0,'Room Revenue'!O36/'Room Nights'!O36)</f>
        <v>1137.8263301452355</v>
      </c>
    </row>
    <row r="37" spans="1:17" hidden="1" outlineLevel="2" x14ac:dyDescent="0.25">
      <c r="A37" s="751"/>
      <c r="B37" s="442" t="s">
        <v>182</v>
      </c>
      <c r="C37" s="443">
        <f>IF('Room Revenue'!C37=0,0,'Room Revenue'!C37/'Room Nights'!C37)</f>
        <v>924.93078125</v>
      </c>
      <c r="D37" s="444">
        <f>IF('Room Revenue'!D37=0,0,'Room Revenue'!D37/'Room Nights'!D37)</f>
        <v>937.71437500000002</v>
      </c>
      <c r="E37" s="444">
        <f>IF('Room Revenue'!E37=0,0,'Room Revenue'!E37/'Room Nights'!E37)</f>
        <v>1083.4707806691451</v>
      </c>
      <c r="F37" s="444">
        <f>IF('Room Revenue'!F37=0,0,'Room Revenue'!F37/'Room Nights'!F37)</f>
        <v>1232.1107253886009</v>
      </c>
      <c r="G37" s="444">
        <f>IF('Room Revenue'!G37=0,0,'Room Revenue'!G37/'Room Nights'!G37)</f>
        <v>1207.1186274509805</v>
      </c>
      <c r="H37" s="444">
        <f>IF('Room Revenue'!H37=0,0,'Room Revenue'!H37/'Room Nights'!H37)</f>
        <v>1070.7829999999999</v>
      </c>
      <c r="I37" s="444">
        <f>IF('Room Revenue'!I37=0,0,'Room Revenue'!I37/'Room Nights'!I37)</f>
        <v>1810.0106000000001</v>
      </c>
      <c r="J37" s="444">
        <f>IF('Room Revenue'!J37=0,0,'Room Revenue'!J37/'Room Nights'!J37)</f>
        <v>1518.8998445595855</v>
      </c>
      <c r="K37" s="438">
        <f>IF('Room Revenue'!K37=0,0,'Room Revenue'!K37/'Room Nights'!K37)</f>
        <v>1425.2243656716419</v>
      </c>
      <c r="L37" s="444">
        <f>IF('Room Revenue'!L37=0,0,'Room Revenue'!L37/'Room Nights'!L37)</f>
        <v>1236.2205095541401</v>
      </c>
      <c r="M37" s="444">
        <f>IF('Room Revenue'!M37=0,0,'Room Revenue'!M37/'Room Nights'!M37)</f>
        <v>2839.5195522388058</v>
      </c>
      <c r="N37" s="445">
        <f>IF('Room Revenue'!N37=0,0,'Room Revenue'!N37/'Room Nights'!N37)</f>
        <v>1699.7588888888888</v>
      </c>
      <c r="O37" s="440">
        <f>IF('Room Revenue'!O37=0,0,'Room Revenue'!O37/'Room Nights'!O37)</f>
        <v>1392.3146814562006</v>
      </c>
    </row>
    <row r="38" spans="1:17" hidden="1" outlineLevel="2" x14ac:dyDescent="0.25">
      <c r="A38" s="751"/>
      <c r="B38" s="500" t="s">
        <v>183</v>
      </c>
      <c r="C38" s="437">
        <f>IF('Room Revenue'!C38=0,0,'Room Revenue'!C38/'Room Nights'!C38)</f>
        <v>890.80551724137933</v>
      </c>
      <c r="D38" s="438">
        <f>IF('Room Revenue'!D38=0,0,'Room Revenue'!D38/'Room Nights'!D38)</f>
        <v>934.21520325203255</v>
      </c>
      <c r="E38" s="438">
        <f>IF('Room Revenue'!E38=0,0,'Room Revenue'!E38/'Room Nights'!E38)</f>
        <v>1094.8143162393162</v>
      </c>
      <c r="F38" s="438">
        <f>IF('Room Revenue'!F38=0,0,'Room Revenue'!F38/'Room Nights'!F38)</f>
        <v>1440.3884210526317</v>
      </c>
      <c r="G38" s="438">
        <f>IF('Room Revenue'!G38=0,0,'Room Revenue'!G38/'Room Nights'!G38)</f>
        <v>1697.9552631578947</v>
      </c>
      <c r="H38" s="438">
        <f>IF('Room Revenue'!H38=0,0,'Room Revenue'!H38/'Room Nights'!H38)</f>
        <v>1454.3856896551724</v>
      </c>
      <c r="I38" s="438">
        <f>IF('Room Revenue'!I38=0,0,'Room Revenue'!I38/'Room Nights'!I38)</f>
        <v>1423.9128260869566</v>
      </c>
      <c r="J38" s="438">
        <f>IF('Room Revenue'!J38=0,0,'Room Revenue'!J38/'Room Nights'!J38)</f>
        <v>1791.8107142857141</v>
      </c>
      <c r="K38" s="438">
        <f>IF('Room Revenue'!K38=0,0,'Room Revenue'!K38/'Room Nights'!K38)</f>
        <v>1752.8558208955224</v>
      </c>
      <c r="L38" s="438">
        <f>IF('Room Revenue'!L38=0,0,'Room Revenue'!L38/'Room Nights'!L38)</f>
        <v>0</v>
      </c>
      <c r="M38" s="438">
        <f>IF('Room Revenue'!M38=0,0,'Room Revenue'!M38/'Room Nights'!M38)</f>
        <v>0</v>
      </c>
      <c r="N38" s="439" t="e">
        <f>IF('Room Revenue'!N38=0,0,'Room Revenue'!N38/'Room Nights'!N38)</f>
        <v>#DIV/0!</v>
      </c>
      <c r="O38" s="440">
        <f>IF('Room Revenue'!O38=0,0,'Room Revenue'!O38/'Room Nights'!O38)</f>
        <v>1444.4792465753424</v>
      </c>
      <c r="P38" s="450"/>
    </row>
    <row r="39" spans="1:17" hidden="1" outlineLevel="2" x14ac:dyDescent="0.25">
      <c r="A39" s="751"/>
      <c r="B39" s="501" t="s">
        <v>184</v>
      </c>
      <c r="C39" s="443">
        <f>IF('Room Revenue'!C39=0,0,'Room Revenue'!C39/'Room Nights'!C39)</f>
        <v>0</v>
      </c>
      <c r="D39" s="444">
        <f>IF('Room Revenue'!D39=0,0,'Room Revenue'!D39/'Room Nights'!D39)</f>
        <v>0</v>
      </c>
      <c r="E39" s="444">
        <f>IF('Room Revenue'!E39=0,0,'Room Revenue'!E39/'Room Nights'!E39)</f>
        <v>0</v>
      </c>
      <c r="F39" s="444">
        <f>IF('Room Revenue'!F39=0,0,'Room Revenue'!F39/'Room Nights'!F39)</f>
        <v>0</v>
      </c>
      <c r="G39" s="444" t="e">
        <f>IF('Room Revenue'!G39=0,0,'Room Revenue'!G39/'Room Nights'!G39)</f>
        <v>#DIV/0!</v>
      </c>
      <c r="H39" s="444">
        <f>IF('Room Revenue'!H39=0,0,'Room Revenue'!H39/'Room Nights'!H39)</f>
        <v>1117.8772222222224</v>
      </c>
      <c r="I39" s="444">
        <f>IF('Room Revenue'!I39=0,0,'Room Revenue'!I39/'Room Nights'!I39)</f>
        <v>1147.83</v>
      </c>
      <c r="J39" s="444">
        <f>IF('Room Revenue'!J39=0,0,'Room Revenue'!J39/'Room Nights'!J39)</f>
        <v>0</v>
      </c>
      <c r="K39" s="444">
        <f>IF('Room Revenue'!K39=0,0,'Room Revenue'!K39/'Room Nights'!K39)</f>
        <v>0</v>
      </c>
      <c r="L39" s="444">
        <f>IF('Room Revenue'!L39=0,0,'Room Revenue'!L39/'Room Nights'!L39)</f>
        <v>873.91499999999996</v>
      </c>
      <c r="M39" s="444">
        <f>IF('Room Revenue'!M39=0,0,'Room Revenue'!M39/'Room Nights'!M39)</f>
        <v>0</v>
      </c>
      <c r="N39" s="445">
        <f>IF('Room Revenue'!N39=0,0,'Room Revenue'!N39/'Room Nights'!N39)</f>
        <v>0</v>
      </c>
      <c r="O39" s="440">
        <f>IF('Room Revenue'!O39=0,0,'Room Revenue'!O39/'Room Nights'!O39)</f>
        <v>1515.8</v>
      </c>
      <c r="P39" s="450"/>
    </row>
    <row r="40" spans="1:17" hidden="1" outlineLevel="2" x14ac:dyDescent="0.25">
      <c r="A40" s="751"/>
      <c r="B40" s="501" t="s">
        <v>197</v>
      </c>
      <c r="C40" s="443">
        <f>IF('Room Revenue'!C40=0,0,'Room Revenue'!C40/'Room Nights'!C40)</f>
        <v>1104.5</v>
      </c>
      <c r="D40" s="444">
        <f>IF('Room Revenue'!D40=0,0,'Room Revenue'!D40/'Room Nights'!D40)</f>
        <v>1104.25</v>
      </c>
      <c r="E40" s="444">
        <f>IF('Room Revenue'!E40=0,0,'Room Revenue'!E40/'Room Nights'!E40)</f>
        <v>1768.421052631579</v>
      </c>
      <c r="F40" s="444">
        <f>IF('Room Revenue'!F40=0,0,'Room Revenue'!F40/'Room Nights'!F40)</f>
        <v>1022.4</v>
      </c>
      <c r="G40" s="444">
        <f>IF('Room Revenue'!G40=0,0,'Room Revenue'!G40/'Room Nights'!G40)</f>
        <v>1545.1336898395723</v>
      </c>
      <c r="H40" s="444">
        <f>IF('Room Revenue'!H40=0,0,'Room Revenue'!H40/'Room Nights'!H40)</f>
        <v>2608.8695652173915</v>
      </c>
      <c r="I40" s="444">
        <f>IF('Room Revenue'!I40=0,0,'Room Revenue'!I40/'Room Nights'!I40)</f>
        <v>2614.1739130434785</v>
      </c>
      <c r="J40" s="444">
        <f>IF('Room Revenue'!J40=0,0,'Room Revenue'!J40/'Room Nights'!J40)</f>
        <v>2363.663043478261</v>
      </c>
      <c r="K40" s="444">
        <f>IF('Room Revenue'!K40=0,0,'Room Revenue'!K40/'Room Nights'!K40)</f>
        <v>2073.4423076923076</v>
      </c>
      <c r="L40" s="444">
        <f>IF('Room Revenue'!L40=0,0,'Room Revenue'!L40/'Room Nights'!L40)</f>
        <v>846.21428571428567</v>
      </c>
      <c r="M40" s="543">
        <f>IF('Room Revenue'!M40=0,0,'Room Revenue'!M40/'Room Nights'!M40)</f>
        <v>0</v>
      </c>
      <c r="N40" s="544">
        <f>IF('Room Revenue'!N40=0,0,'Room Revenue'!N40/'Room Nights'!N40)</f>
        <v>0</v>
      </c>
      <c r="O40" s="440">
        <f>IF('Room Revenue'!O40=0,0,'Room Revenue'!O40/'Room Nights'!O40)</f>
        <v>1842.8689516129032</v>
      </c>
      <c r="P40" s="450"/>
    </row>
    <row r="41" spans="1:17" ht="15.75" hidden="1" outlineLevel="2" thickBot="1" x14ac:dyDescent="0.3">
      <c r="A41" s="752"/>
      <c r="B41" s="451" t="s">
        <v>198</v>
      </c>
      <c r="C41" s="452">
        <f>IF('Room Revenue'!C41=0,0,'Room Revenue'!C41/'Room Nights'!C41)</f>
        <v>820.42283597883591</v>
      </c>
      <c r="D41" s="453">
        <f>IF('Room Revenue'!D41=0,0,'Room Revenue'!D41/'Room Nights'!D41)</f>
        <v>914.21417910447758</v>
      </c>
      <c r="E41" s="453">
        <f>IF('Room Revenue'!E41=0,0,'Room Revenue'!E41/'Room Nights'!E41)</f>
        <v>1107.3656964149486</v>
      </c>
      <c r="F41" s="453">
        <f>IF('Room Revenue'!F41=0,0,'Room Revenue'!F41/'Room Nights'!F41)</f>
        <v>1466.9652186791859</v>
      </c>
      <c r="G41" s="453">
        <f>IF('Room Revenue'!G41=0,0,'Room Revenue'!G41/'Room Nights'!G41)</f>
        <v>1592.9909479401708</v>
      </c>
      <c r="H41" s="453">
        <f>IF('Room Revenue'!H41=0,0,'Room Revenue'!H41/'Room Nights'!H41)</f>
        <v>1703.9716923076924</v>
      </c>
      <c r="I41" s="453">
        <f>IF('Room Revenue'!I41=0,0,'Room Revenue'!I41/'Room Nights'!I41)</f>
        <v>1914.9534778381906</v>
      </c>
      <c r="J41" s="453">
        <f>IF('Room Revenue'!J41=0,0,'Room Revenue'!J41/'Room Nights'!J41)</f>
        <v>2210.7378260869559</v>
      </c>
      <c r="K41" s="453">
        <f>IF('Room Revenue'!K41=0,0,'Room Revenue'!K41/'Room Nights'!K41)</f>
        <v>1686.6039979231568</v>
      </c>
      <c r="L41" s="453">
        <f>IF('Room Revenue'!L41=0,0,'Room Revenue'!L41/'Room Nights'!L41)</f>
        <v>1268.8978832116784</v>
      </c>
      <c r="M41" s="453">
        <f>IF('Room Revenue'!M41=0,0,'Room Revenue'!M41/'Room Nights'!M41)</f>
        <v>965.24961510530125</v>
      </c>
      <c r="N41" s="454">
        <f>IF('Room Revenue'!N41=0,0,'Room Revenue'!N41/'Room Nights'!N41)</f>
        <v>1024.9974999999999</v>
      </c>
      <c r="O41" s="455">
        <f>IF('Room Revenue'!O41=0,0,'Room Revenue'!O41/'Room Nights'!O41)</f>
        <v>1521.8021741740599</v>
      </c>
      <c r="P41" s="450"/>
    </row>
    <row r="42" spans="1:17" ht="15.75" hidden="1" outlineLevel="2" thickTop="1" x14ac:dyDescent="0.25">
      <c r="A42" s="755" t="s">
        <v>54</v>
      </c>
      <c r="B42" s="457" t="s">
        <v>180</v>
      </c>
      <c r="C42" s="458">
        <f>IF('Room Revenue'!C42=0,0,'Room Revenue'!C42/'Room Nights'!C42)</f>
        <v>708.80882352941171</v>
      </c>
      <c r="D42" s="459">
        <f>IF('Room Revenue'!D42=0,0,'Room Revenue'!D42/'Room Nights'!D42)</f>
        <v>640.22093023255809</v>
      </c>
      <c r="E42" s="459">
        <f>IF('Room Revenue'!E42=0,0,'Room Revenue'!E42/'Room Nights'!E42)</f>
        <v>904.96062992125985</v>
      </c>
      <c r="F42" s="459">
        <f>IF('Room Revenue'!F42=0,0,'Room Revenue'!F42/'Room Nights'!F42)</f>
        <v>1055.240997229917</v>
      </c>
      <c r="G42" s="459">
        <f>IF('Room Revenue'!G42=0,0,'Room Revenue'!G42/'Room Nights'!G42)</f>
        <v>1078.273654916512</v>
      </c>
      <c r="H42" s="459">
        <f>IF('Room Revenue'!H42=0,0,'Room Revenue'!H42/'Room Nights'!H42)</f>
        <v>1273.9730363423212</v>
      </c>
      <c r="I42" s="459">
        <f>IF('Room Revenue'!I42=0,0,'Room Revenue'!I42/'Room Nights'!I42)</f>
        <v>1265.3303797468354</v>
      </c>
      <c r="J42" s="459">
        <f>IF('Room Revenue'!J42=0,0,'Room Revenue'!J42/'Room Nights'!J42)</f>
        <v>1198.3137982195847</v>
      </c>
      <c r="K42" s="459">
        <f>IF('Room Revenue'!K42=0,0,'Room Revenue'!K42/'Room Nights'!K42)</f>
        <v>1184.3111668757842</v>
      </c>
      <c r="L42" s="459">
        <f>IF('Room Revenue'!L42=0,0,'Room Revenue'!L42/'Room Nights'!L42)</f>
        <v>1060.8628318584072</v>
      </c>
      <c r="M42" s="459">
        <f>IF('Room Revenue'!M42=0,0,'Room Revenue'!M42/'Room Nights'!M42)</f>
        <v>775.39153439153438</v>
      </c>
      <c r="N42" s="460">
        <f>IF('Room Revenue'!N42=0,0,'Room Revenue'!N42/'Room Nights'!N42)</f>
        <v>790.49068322981361</v>
      </c>
      <c r="O42" s="461">
        <f>IF('Room Revenue'!O42=0,0,'Room Revenue'!O42/'Room Nights'!O42)</f>
        <v>1104.414065260926</v>
      </c>
    </row>
    <row r="43" spans="1:17" hidden="1" outlineLevel="2" x14ac:dyDescent="0.25">
      <c r="A43" s="751"/>
      <c r="B43" s="442" t="s">
        <v>181</v>
      </c>
      <c r="C43" s="443">
        <f>IF('Room Revenue'!C43=0,0,'Room Revenue'!C43/'Room Nights'!C43)</f>
        <v>726.15654952076682</v>
      </c>
      <c r="D43" s="444">
        <f>IF('Room Revenue'!D43=0,0,'Room Revenue'!D43/'Room Nights'!D43)</f>
        <v>816.94065281899111</v>
      </c>
      <c r="E43" s="444">
        <f>IF('Room Revenue'!E43=0,0,'Room Revenue'!E43/'Room Nights'!E43)</f>
        <v>1079.6534653465346</v>
      </c>
      <c r="F43" s="444">
        <f>IF('Room Revenue'!F43=0,0,'Room Revenue'!F43/'Room Nights'!F43)</f>
        <v>1195.7450331125829</v>
      </c>
      <c r="G43" s="444">
        <f>IF('Room Revenue'!G43=0,0,'Room Revenue'!G43/'Room Nights'!G43)</f>
        <v>1194.4690355329949</v>
      </c>
      <c r="H43" s="444">
        <f>IF('Room Revenue'!H43=0,0,'Room Revenue'!H43/'Room Nights'!H43)</f>
        <v>1465.3854679802955</v>
      </c>
      <c r="I43" s="444">
        <f>IF('Room Revenue'!I43=0,0,'Room Revenue'!I43/'Room Nights'!I43)</f>
        <v>1559.544809228039</v>
      </c>
      <c r="J43" s="444">
        <f>IF('Room Revenue'!J43=0,0,'Room Revenue'!J43/'Room Nights'!J43)</f>
        <v>1494.8141816546763</v>
      </c>
      <c r="K43" s="438">
        <f>IF('Room Revenue'!K43=0,0,'Room Revenue'!K43/'Room Nights'!K43)</f>
        <v>1357.115994475138</v>
      </c>
      <c r="L43" s="444">
        <f>IF('Room Revenue'!L43=0,0,'Room Revenue'!L43/'Room Nights'!L43)</f>
        <v>1073.2163812600968</v>
      </c>
      <c r="M43" s="444">
        <f>IF('Room Revenue'!M43=0,0,'Room Revenue'!M43/'Room Nights'!M43)</f>
        <v>846.52863414634146</v>
      </c>
      <c r="N43" s="445">
        <f>IF('Room Revenue'!N43=0,0,'Room Revenue'!N43/'Room Nights'!N43)</f>
        <v>817.7441975308642</v>
      </c>
      <c r="O43" s="440">
        <f>IF('Room Revenue'!O43=0,0,'Room Revenue'!O43/'Room Nights'!O43)</f>
        <v>1266.7132390345184</v>
      </c>
    </row>
    <row r="44" spans="1:17" hidden="1" outlineLevel="2" x14ac:dyDescent="0.25">
      <c r="A44" s="751"/>
      <c r="B44" s="442" t="s">
        <v>182</v>
      </c>
      <c r="C44" s="443">
        <f>IF('Room Revenue'!C44=0,0,'Room Revenue'!C44/'Room Nights'!C44)</f>
        <v>905.20596045197738</v>
      </c>
      <c r="D44" s="444">
        <f>IF('Room Revenue'!D44=0,0,'Room Revenue'!D44/'Room Nights'!D44)</f>
        <v>932.58071625344348</v>
      </c>
      <c r="E44" s="444">
        <f>IF('Room Revenue'!E44=0,0,'Room Revenue'!E44/'Room Nights'!E44)</f>
        <v>1097.7058713136728</v>
      </c>
      <c r="F44" s="444">
        <f>IF('Room Revenue'!F44=0,0,'Room Revenue'!F44/'Room Nights'!F44)</f>
        <v>1321.0007777777778</v>
      </c>
      <c r="G44" s="444">
        <f>IF('Room Revenue'!G44=0,0,'Room Revenue'!G44/'Room Nights'!G44)</f>
        <v>1359.4722567567567</v>
      </c>
      <c r="H44" s="444">
        <f>IF('Room Revenue'!H44=0,0,'Room Revenue'!H44/'Room Nights'!H44)</f>
        <v>1575.1932040229885</v>
      </c>
      <c r="I44" s="444">
        <f>IF('Room Revenue'!I44=0,0,'Room Revenue'!I44/'Room Nights'!I44)</f>
        <v>1640.4078530424799</v>
      </c>
      <c r="J44" s="444">
        <f>IF('Room Revenue'!J44=0,0,'Room Revenue'!J44/'Room Nights'!J44)</f>
        <v>1593.4941483979765</v>
      </c>
      <c r="K44" s="438">
        <f>IF('Room Revenue'!K44=0,0,'Room Revenue'!K44/'Room Nights'!K44)</f>
        <v>1525.7725714285714</v>
      </c>
      <c r="L44" s="444">
        <f>IF('Room Revenue'!L44=0,0,'Room Revenue'!L44/'Room Nights'!L44)</f>
        <v>1244.834243697479</v>
      </c>
      <c r="M44" s="444">
        <f>IF('Room Revenue'!M44=0,0,'Room Revenue'!M44/'Room Nights'!M44)</f>
        <v>879.7709708737865</v>
      </c>
      <c r="N44" s="445">
        <f>IF('Room Revenue'!N44=0,0,'Room Revenue'!N44/'Room Nights'!N44)</f>
        <v>879.08291262135913</v>
      </c>
      <c r="O44" s="440">
        <f>IF('Room Revenue'!O44=0,0,'Room Revenue'!O44/'Room Nights'!O44)</f>
        <v>1359.6958469301933</v>
      </c>
    </row>
    <row r="45" spans="1:17" hidden="1" outlineLevel="2" x14ac:dyDescent="0.25">
      <c r="A45" s="751"/>
      <c r="B45" s="500" t="s">
        <v>183</v>
      </c>
      <c r="C45" s="437">
        <f>IF('Room Revenue'!C45=0,0,'Room Revenue'!C45/'Room Nights'!C45)</f>
        <v>884.64308641975299</v>
      </c>
      <c r="D45" s="438">
        <f>IF('Room Revenue'!D45=0,0,'Room Revenue'!D45/'Room Nights'!D45)</f>
        <v>886.97184438040335</v>
      </c>
      <c r="E45" s="438">
        <f>IF('Room Revenue'!E45=0,0,'Room Revenue'!E45/'Room Nights'!E45)</f>
        <v>1343.9594</v>
      </c>
      <c r="F45" s="438">
        <f>IF('Room Revenue'!F45=0,0,'Room Revenue'!F45/'Room Nights'!F45)</f>
        <v>1491.4196488294313</v>
      </c>
      <c r="G45" s="438">
        <f>IF('Room Revenue'!G45=0,0,'Room Revenue'!G45/'Room Nights'!G45)</f>
        <v>1455.2781766917294</v>
      </c>
      <c r="H45" s="438">
        <f>IF('Room Revenue'!H45=0,0,'Room Revenue'!H45/'Room Nights'!H45)</f>
        <v>1791.053094867807</v>
      </c>
      <c r="I45" s="438">
        <f>IF('Room Revenue'!I45=0,0,'Room Revenue'!I45/'Room Nights'!I45)</f>
        <v>1584.0867921896793</v>
      </c>
      <c r="J45" s="438">
        <f>IF('Room Revenue'!J45=0,0,'Room Revenue'!J45/'Room Nights'!J45)</f>
        <v>1640.2242721893492</v>
      </c>
      <c r="K45" s="438">
        <f>IF('Room Revenue'!K45=0,0,'Room Revenue'!K45/'Room Nights'!K45)</f>
        <v>1543.9005970149256</v>
      </c>
      <c r="L45" s="438">
        <f>IF('Room Revenue'!L45=0,0,'Room Revenue'!L45/'Room Nights'!L45)</f>
        <v>0</v>
      </c>
      <c r="M45" s="438" t="e">
        <f>IF('Room Revenue'!M45=0,0,'Room Revenue'!M45/'Room Nights'!M45)</f>
        <v>#DIV/0!</v>
      </c>
      <c r="N45" s="439">
        <f>IF('Room Revenue'!N45=0,0,'Room Revenue'!N45/'Room Nights'!N45)</f>
        <v>0</v>
      </c>
      <c r="O45" s="440">
        <f>IF('Room Revenue'!O45=0,0,'Room Revenue'!O45/'Room Nights'!O45)</f>
        <v>1478.7120974667239</v>
      </c>
      <c r="P45" s="450"/>
    </row>
    <row r="46" spans="1:17" hidden="1" outlineLevel="2" x14ac:dyDescent="0.25">
      <c r="A46" s="751"/>
      <c r="B46" s="501" t="s">
        <v>184</v>
      </c>
      <c r="C46" s="443">
        <f>IF('Room Revenue'!C46=0,0,'Room Revenue'!C46/'Room Nights'!C46)</f>
        <v>0</v>
      </c>
      <c r="D46" s="444">
        <f>IF('Room Revenue'!D46=0,0,'Room Revenue'!D46/'Room Nights'!D46)</f>
        <v>1567.3924999999999</v>
      </c>
      <c r="E46" s="444">
        <f>IF('Room Revenue'!E46=0,0,'Room Revenue'!E46/'Room Nights'!E46)</f>
        <v>0</v>
      </c>
      <c r="F46" s="444">
        <f>IF('Room Revenue'!F46=0,0,'Room Revenue'!F46/'Room Nights'!F46)</f>
        <v>0</v>
      </c>
      <c r="G46" s="444">
        <f>IF('Room Revenue'!G46=0,0,'Room Revenue'!G46/'Room Nights'!G46)</f>
        <v>1048.915</v>
      </c>
      <c r="H46" s="444">
        <f>IF('Room Revenue'!H46=0,0,'Room Revenue'!H46/'Room Nights'!H46)</f>
        <v>1344.8176923076924</v>
      </c>
      <c r="I46" s="444">
        <f>IF('Room Revenue'!I46=0,0,'Room Revenue'!I46/'Room Nights'!I46)</f>
        <v>1213.04</v>
      </c>
      <c r="J46" s="444">
        <f>IF('Room Revenue'!J46=0,0,'Room Revenue'!J46/'Room Nights'!J46)</f>
        <v>826.94899999999996</v>
      </c>
      <c r="K46" s="444">
        <f>IF('Room Revenue'!K46=0,0,'Room Revenue'!K46/'Room Nights'!K46)</f>
        <v>1388.2088888888886</v>
      </c>
      <c r="L46" s="444">
        <f>IF('Room Revenue'!L46=0,0,'Room Revenue'!L46/'Room Nights'!L46)</f>
        <v>812.33945945945948</v>
      </c>
      <c r="M46" s="444">
        <f>IF('Room Revenue'!M46=0,0,'Room Revenue'!M46/'Room Nights'!M46)</f>
        <v>818.36444444444442</v>
      </c>
      <c r="N46" s="445">
        <f>IF('Room Revenue'!N46=0,0,'Room Revenue'!N46/'Room Nights'!N46)</f>
        <v>811.61968253968257</v>
      </c>
      <c r="O46" s="446">
        <f>IF('Room Revenue'!O46=0,0,'Room Revenue'!O46/'Room Nights'!O46)</f>
        <v>913.55782222222228</v>
      </c>
      <c r="P46" s="450"/>
    </row>
    <row r="47" spans="1:17" hidden="1" outlineLevel="2" x14ac:dyDescent="0.25">
      <c r="A47" s="751"/>
      <c r="B47" s="501" t="s">
        <v>197</v>
      </c>
      <c r="C47" s="443">
        <f>IF('Room Revenue'!C47=0,0,'Room Revenue'!C47/'Room Nights'!C47)</f>
        <v>916.63636363636363</v>
      </c>
      <c r="D47" s="444">
        <f>IF('Room Revenue'!D47=0,0,'Room Revenue'!D47/'Room Nights'!D47)</f>
        <v>834.125</v>
      </c>
      <c r="E47" s="444">
        <f>IF('Room Revenue'!E47=0,0,'Room Revenue'!E47/'Room Nights'!E47)</f>
        <v>733.16666666666663</v>
      </c>
      <c r="F47" s="444">
        <f>IF('Room Revenue'!F47=0,0,'Room Revenue'!F47/'Room Nights'!F47)</f>
        <v>1352</v>
      </c>
      <c r="G47" s="444">
        <f>IF('Room Revenue'!G47=0,0,'Room Revenue'!G47/'Room Nights'!G47)</f>
        <v>1290.7164179104477</v>
      </c>
      <c r="H47" s="444">
        <f>IF('Room Revenue'!H47=0,0,'Room Revenue'!H47/'Room Nights'!H47)</f>
        <v>1464.7397260273972</v>
      </c>
      <c r="I47" s="444">
        <f>IF('Room Revenue'!I47=0,0,'Room Revenue'!I47/'Room Nights'!I47)</f>
        <v>2121.6666666666665</v>
      </c>
      <c r="J47" s="444">
        <f>IF('Room Revenue'!J47=0,0,'Room Revenue'!J47/'Room Nights'!J47)</f>
        <v>1516.3214285714287</v>
      </c>
      <c r="K47" s="444">
        <f>IF('Room Revenue'!K47=0,0,'Room Revenue'!K47/'Room Nights'!K47)</f>
        <v>1395.1984732824428</v>
      </c>
      <c r="L47" s="444">
        <f>IF('Room Revenue'!L47=0,0,'Room Revenue'!L47/'Room Nights'!L47)</f>
        <v>1269.0467289719627</v>
      </c>
      <c r="M47" s="543">
        <f>IF('Room Revenue'!M47=0,0,'Room Revenue'!M47/'Room Nights'!M47)</f>
        <v>1113</v>
      </c>
      <c r="N47" s="544">
        <f>IF('Room Revenue'!N47=0,0,'Room Revenue'!N47/'Room Nights'!N47)</f>
        <v>1113</v>
      </c>
      <c r="O47" s="446">
        <f>IF('Room Revenue'!O47=0,0,'Room Revenue'!O47/'Room Nights'!O47)</f>
        <v>1260.5401111993647</v>
      </c>
      <c r="P47" s="450"/>
    </row>
    <row r="48" spans="1:17" ht="15.75" hidden="1" outlineLevel="2" thickBot="1" x14ac:dyDescent="0.3">
      <c r="A48" s="752"/>
      <c r="B48" s="451" t="s">
        <v>198</v>
      </c>
      <c r="C48" s="452">
        <f>IF('Room Revenue'!C48=0,0,'Room Revenue'!C48/'Room Nights'!C48)</f>
        <v>956.93233644859697</v>
      </c>
      <c r="D48" s="453">
        <f>IF('Room Revenue'!D48=0,0,'Room Revenue'!D48/'Room Nights'!D48)</f>
        <v>1017.9705017921127</v>
      </c>
      <c r="E48" s="453">
        <f>IF('Room Revenue'!E48=0,0,'Room Revenue'!E48/'Room Nights'!E48)</f>
        <v>1158.178072666667</v>
      </c>
      <c r="F48" s="453">
        <f>IF('Room Revenue'!F48=0,0,'Room Revenue'!F48/'Room Nights'!F48)</f>
        <v>1451.3000130208331</v>
      </c>
      <c r="G48" s="453">
        <f>IF('Room Revenue'!G48=0,0,'Room Revenue'!G48/'Room Nights'!G48)</f>
        <v>1670.3731076248305</v>
      </c>
      <c r="H48" s="453">
        <f>IF('Room Revenue'!H48=0,0,'Room Revenue'!H48/'Room Nights'!H48)</f>
        <v>1803.3431929960025</v>
      </c>
      <c r="I48" s="453">
        <f>IF('Room Revenue'!I48=0,0,'Room Revenue'!I48/'Room Nights'!I48)</f>
        <v>1843.6191781609198</v>
      </c>
      <c r="J48" s="453">
        <f>IF('Room Revenue'!J48=0,0,'Room Revenue'!J48/'Room Nights'!J48)</f>
        <v>1624.0025248168499</v>
      </c>
      <c r="K48" s="453">
        <f>IF('Room Revenue'!K48=0,0,'Room Revenue'!K48/'Room Nights'!K48)</f>
        <v>1513.7157370438592</v>
      </c>
      <c r="L48" s="453">
        <f>IF('Room Revenue'!L48=0,0,'Room Revenue'!L48/'Room Nights'!L48)</f>
        <v>1307</v>
      </c>
      <c r="M48" s="453">
        <f>IF('Room Revenue'!M48=0,0,'Room Revenue'!M48/'Room Nights'!M48)</f>
        <v>906.32907264150913</v>
      </c>
      <c r="N48" s="454">
        <f>IF('Room Revenue'!N48=0,0,'Room Revenue'!N48/'Room Nights'!N48)</f>
        <v>894.32178875301634</v>
      </c>
      <c r="O48" s="455">
        <f>IF('Room Revenue'!O48=0,0,'Room Revenue'!O48/'Room Nights'!O48)</f>
        <v>1437.8328996903924</v>
      </c>
      <c r="P48" s="484"/>
      <c r="Q48" s="450"/>
    </row>
    <row r="49" spans="1:19" ht="15.75" collapsed="1" thickTop="1" x14ac:dyDescent="0.25">
      <c r="A49" s="745" t="s">
        <v>187</v>
      </c>
      <c r="B49" s="470" t="s">
        <v>180</v>
      </c>
      <c r="C49" s="471">
        <f>IF('Room Revenue'!C49=0,0,'Room Revenue'!C49/'Room Nights'!C49)</f>
        <v>713.03759398496243</v>
      </c>
      <c r="D49" s="472">
        <f>IF('Room Revenue'!D49=0,0,'Room Revenue'!D49/'Room Nights'!D49)</f>
        <v>642.49333333333334</v>
      </c>
      <c r="E49" s="472">
        <f>IF('Room Revenue'!E49=0,0,'Room Revenue'!E49/'Room Nights'!E49)</f>
        <v>926.9042357274401</v>
      </c>
      <c r="F49" s="472">
        <f>IF('Room Revenue'!F49=0,0,'Room Revenue'!F49/'Room Nights'!F49)</f>
        <v>1044.5979381443299</v>
      </c>
      <c r="G49" s="472">
        <f>IF('Room Revenue'!G49=0,0,'Room Revenue'!G49/'Room Nights'!G49)</f>
        <v>1031.9083181542198</v>
      </c>
      <c r="H49" s="472">
        <f>IF('Room Revenue'!H49=0,0,'Room Revenue'!H49/'Room Nights'!H49)</f>
        <v>1208.2103213242453</v>
      </c>
      <c r="I49" s="472">
        <f>IF('Room Revenue'!I49=0,0,'Room Revenue'!I49/'Room Nights'!I49)</f>
        <v>1264.604221635884</v>
      </c>
      <c r="J49" s="472">
        <f>IF('Room Revenue'!J49=0,0,'Room Revenue'!J49/'Room Nights'!J49)</f>
        <v>1196.5581089954037</v>
      </c>
      <c r="K49" s="472">
        <f>IF('Room Revenue'!K49=0,0,'Room Revenue'!K49/'Room Nights'!K49)</f>
        <v>1249.4830053667263</v>
      </c>
      <c r="L49" s="472">
        <f>IF('Room Revenue'!L49=0,0,'Room Revenue'!L49/'Room Nights'!L49)</f>
        <v>1078.40625</v>
      </c>
      <c r="M49" s="472">
        <f>IF('Room Revenue'!M49=0,0,'Room Revenue'!M49/'Room Nights'!M49)</f>
        <v>785.51566951566952</v>
      </c>
      <c r="N49" s="473">
        <f>IF('Room Revenue'!N49=0,0,'Room Revenue'!N49/'Room Nights'!N49)</f>
        <v>846.05111111111114</v>
      </c>
      <c r="O49" s="474">
        <f>IF('Room Revenue'!O49=0,0,'Room Revenue'!O49/'Room Nights'!O49)</f>
        <v>1082.235425815896</v>
      </c>
      <c r="Q49" s="463"/>
      <c r="S49" s="485"/>
    </row>
    <row r="50" spans="1:19" x14ac:dyDescent="0.25">
      <c r="A50" s="746"/>
      <c r="B50" s="477" t="s">
        <v>181</v>
      </c>
      <c r="C50" s="478">
        <f>IF('Room Revenue'!C50=0,0,'Room Revenue'!C50/'Room Nights'!C50)</f>
        <v>747.81842818428186</v>
      </c>
      <c r="D50" s="479">
        <f>IF('Room Revenue'!D50=0,0,'Room Revenue'!D50/'Room Nights'!D50)</f>
        <v>878.90952380952376</v>
      </c>
      <c r="E50" s="479">
        <f>IF('Room Revenue'!E50=0,0,'Room Revenue'!E50/'Room Nights'!E50)</f>
        <v>1071.4637883008356</v>
      </c>
      <c r="F50" s="479">
        <f>IF('Room Revenue'!F50=0,0,'Room Revenue'!F50/'Room Nights'!F50)</f>
        <v>1173.8673116793366</v>
      </c>
      <c r="G50" s="479">
        <f>IF('Room Revenue'!G50=0,0,'Room Revenue'!G50/'Room Nights'!G50)</f>
        <v>1154.8204758471522</v>
      </c>
      <c r="H50" s="479">
        <f>IF('Room Revenue'!H50=0,0,'Room Revenue'!H50/'Room Nights'!H50)</f>
        <v>1448.4391408114559</v>
      </c>
      <c r="I50" s="479">
        <f>IF('Room Revenue'!I50=0,0,'Room Revenue'!I50/'Room Nights'!I50)</f>
        <v>1576.8241406874502</v>
      </c>
      <c r="J50" s="479">
        <f>IF('Room Revenue'!J50=0,0,'Room Revenue'!J50/'Room Nights'!J50)</f>
        <v>1443.9807133507854</v>
      </c>
      <c r="K50" s="479">
        <f>IF('Room Revenue'!K50=0,0,'Room Revenue'!K50/'Room Nights'!K50)</f>
        <v>1302.2927193828352</v>
      </c>
      <c r="L50" s="479">
        <f>IF('Room Revenue'!L50=0,0,'Room Revenue'!L50/'Room Nights'!L50)</f>
        <v>1093.3497702539298</v>
      </c>
      <c r="M50" s="479">
        <f>IF('Room Revenue'!M50=0,0,'Room Revenue'!M50/'Room Nights'!M50)</f>
        <v>864.33494382022468</v>
      </c>
      <c r="N50" s="480">
        <f>IF('Room Revenue'!N50=0,0,'Room Revenue'!N50/'Room Nights'!N50)</f>
        <v>864.68534351145036</v>
      </c>
      <c r="O50" s="481">
        <f>IF('Room Revenue'!O50=0,0,'Room Revenue'!O50/'Room Nights'!O50)</f>
        <v>1232.1565153385886</v>
      </c>
    </row>
    <row r="51" spans="1:19" x14ac:dyDescent="0.25">
      <c r="A51" s="746"/>
      <c r="B51" s="477" t="s">
        <v>182</v>
      </c>
      <c r="C51" s="478">
        <f>IF('Room Revenue'!C51=0,0,'Room Revenue'!C51/'Room Nights'!C51)</f>
        <v>908.22602870813398</v>
      </c>
      <c r="D51" s="479">
        <f>IF('Room Revenue'!D51=0,0,'Room Revenue'!D51/'Room Nights'!D51)</f>
        <v>933.35016393442629</v>
      </c>
      <c r="E51" s="479">
        <f>IF('Room Revenue'!E51=0,0,'Room Revenue'!E51/'Room Nights'!E51)</f>
        <v>1091.7413239875389</v>
      </c>
      <c r="F51" s="479">
        <f>IF('Room Revenue'!F51=0,0,'Room Revenue'!F51/'Room Nights'!F51)</f>
        <v>1297.5958935879946</v>
      </c>
      <c r="G51" s="479">
        <f>IF('Room Revenue'!G51=0,0,'Room Revenue'!G51/'Room Nights'!G51)</f>
        <v>1341.0161163895489</v>
      </c>
      <c r="H51" s="479">
        <f>IF('Room Revenue'!H51=0,0,'Room Revenue'!H51/'Room Nights'!H51)</f>
        <v>1561.1035335195529</v>
      </c>
      <c r="I51" s="479">
        <f>IF('Room Revenue'!I51=0,0,'Room Revenue'!I51/'Room Nights'!I51)</f>
        <v>1665.3250048971597</v>
      </c>
      <c r="J51" s="479">
        <f>IF('Room Revenue'!J51=0,0,'Room Revenue'!J51/'Room Nights'!J51)</f>
        <v>1564.083115423902</v>
      </c>
      <c r="K51" s="479">
        <f>IF('Room Revenue'!K51=0,0,'Room Revenue'!K51/'Room Nights'!K51)</f>
        <v>1495.7648663697105</v>
      </c>
      <c r="L51" s="479">
        <f>IF('Room Revenue'!L51=0,0,'Room Revenue'!L51/'Room Nights'!L51)</f>
        <v>1242.6978199052132</v>
      </c>
      <c r="M51" s="479">
        <f>IF('Room Revenue'!M51=0,0,'Room Revenue'!M51/'Room Nights'!M51)</f>
        <v>1360.7349084249086</v>
      </c>
      <c r="N51" s="480">
        <f>IF('Room Revenue'!N51=0,0,'Room Revenue'!N51/'Room Nights'!N51)</f>
        <v>1001.1669421487603</v>
      </c>
      <c r="O51" s="481">
        <f>IF('Room Revenue'!O51=0,0,'Room Revenue'!O51/'Room Nights'!O51)</f>
        <v>1367.1402077112812</v>
      </c>
    </row>
    <row r="52" spans="1:19" x14ac:dyDescent="0.25">
      <c r="A52" s="746"/>
      <c r="B52" s="515" t="s">
        <v>183</v>
      </c>
      <c r="C52" s="478">
        <f>IF('Room Revenue'!C52=0,0,'Room Revenue'!C52/'Room Nights'!C52)</f>
        <v>885.94754257907539</v>
      </c>
      <c r="D52" s="479">
        <f>IF('Room Revenue'!D52=0,0,'Room Revenue'!D52/'Room Nights'!D52)</f>
        <v>899.33553191489352</v>
      </c>
      <c r="E52" s="479">
        <f>IF('Room Revenue'!E52=0,0,'Room Revenue'!E52/'Room Nights'!E52)</f>
        <v>1223.5049586776859</v>
      </c>
      <c r="F52" s="479">
        <f>IF('Room Revenue'!F52=0,0,'Room Revenue'!F52/'Room Nights'!F52)</f>
        <v>1481.0773200000001</v>
      </c>
      <c r="G52" s="479">
        <f>IF('Room Revenue'!G52=0,0,'Room Revenue'!G52/'Room Nights'!G52)</f>
        <v>1509.2064181286548</v>
      </c>
      <c r="H52" s="479">
        <f>IF('Room Revenue'!H52=0,0,'Room Revenue'!H52/'Room Nights'!H52)</f>
        <v>1739.5993148880104</v>
      </c>
      <c r="I52" s="479">
        <f>IF('Room Revenue'!I52=0,0,'Room Revenue'!I52/'Room Nights'!I52)</f>
        <v>1565.8717058096415</v>
      </c>
      <c r="J52" s="479">
        <f>IF('Room Revenue'!J52=0,0,'Room Revenue'!J52/'Room Nights'!J52)</f>
        <v>1671.9879420018708</v>
      </c>
      <c r="K52" s="479">
        <f>IF('Room Revenue'!K52=0,0,'Room Revenue'!K52/'Room Nights'!K52)</f>
        <v>1596.1394029850746</v>
      </c>
      <c r="L52" s="479">
        <f>IF('Room Revenue'!L52=0,0,'Room Revenue'!L52/'Room Nights'!L52)</f>
        <v>0</v>
      </c>
      <c r="M52" s="479" t="e">
        <f>IF('Room Revenue'!M52=0,0,'Room Revenue'!M52/'Room Nights'!M52)</f>
        <v>#DIV/0!</v>
      </c>
      <c r="N52" s="480" t="e">
        <f>IF('Room Revenue'!N52=0,0,'Room Revenue'!N52/'Room Nights'!N52)</f>
        <v>#DIV/0!</v>
      </c>
      <c r="O52" s="481">
        <f>IF('Room Revenue'!O52=0,0,'Room Revenue'!O52/'Room Nights'!O52)</f>
        <v>1471.1799531145346</v>
      </c>
      <c r="P52" s="450"/>
    </row>
    <row r="53" spans="1:19" x14ac:dyDescent="0.25">
      <c r="A53" s="746"/>
      <c r="B53" s="515" t="s">
        <v>184</v>
      </c>
      <c r="C53" s="478">
        <f>IF('Room Revenue'!C53=0,0,'Room Revenue'!C53/'Room Nights'!C53)</f>
        <v>0</v>
      </c>
      <c r="D53" s="479">
        <f>IF('Room Revenue'!D53=0,0,'Room Revenue'!D53/'Room Nights'!D53)</f>
        <v>1567.3924999999999</v>
      </c>
      <c r="E53" s="479">
        <f>IF('Room Revenue'!E53=0,0,'Room Revenue'!E53/'Room Nights'!E53)</f>
        <v>0</v>
      </c>
      <c r="F53" s="479">
        <f>IF('Room Revenue'!F53=0,0,'Room Revenue'!F53/'Room Nights'!F53)</f>
        <v>0</v>
      </c>
      <c r="G53" s="479">
        <f>IF('Room Revenue'!G53=0,0,'Room Revenue'!G53/'Room Nights'!G53)</f>
        <v>4217.3924999999999</v>
      </c>
      <c r="H53" s="479">
        <f>IF('Room Revenue'!H53=0,0,'Room Revenue'!H53/'Room Nights'!H53)</f>
        <v>1213.0458064516129</v>
      </c>
      <c r="I53" s="479">
        <f>IF('Room Revenue'!I53=0,0,'Room Revenue'!I53/'Room Nights'!I53)</f>
        <v>1165.6145454545454</v>
      </c>
      <c r="J53" s="479">
        <f>IF('Room Revenue'!J53=0,0,'Room Revenue'!J53/'Room Nights'!J53)</f>
        <v>826.94899999999996</v>
      </c>
      <c r="K53" s="479">
        <f>IF('Room Revenue'!K53=0,0,'Room Revenue'!K53/'Room Nights'!K53)</f>
        <v>1388.2088888888886</v>
      </c>
      <c r="L53" s="479">
        <f>IF('Room Revenue'!L53=0,0,'Room Revenue'!L53/'Room Nights'!L53)</f>
        <v>815.49717948717944</v>
      </c>
      <c r="M53" s="479">
        <f>IF('Room Revenue'!M53=0,0,'Room Revenue'!M53/'Room Nights'!M53)</f>
        <v>818.36444444444442</v>
      </c>
      <c r="N53" s="480">
        <f>IF('Room Revenue'!N53=0,0,'Room Revenue'!N53/'Room Nights'!N53)</f>
        <v>811.61968253968257</v>
      </c>
      <c r="O53" s="481">
        <f>IF('Room Revenue'!O53=0,0,'Room Revenue'!O53/'Room Nights'!O53)</f>
        <v>984.40984313725494</v>
      </c>
      <c r="P53" s="450"/>
    </row>
    <row r="54" spans="1:19" x14ac:dyDescent="0.25">
      <c r="A54" s="746"/>
      <c r="B54" s="515" t="s">
        <v>197</v>
      </c>
      <c r="C54" s="478">
        <f>IF('Room Revenue'!C54=0,0,'Room Revenue'!C54/'Room Nights'!C54)</f>
        <v>945.53846153846155</v>
      </c>
      <c r="D54" s="479">
        <f>IF('Room Revenue'!D54=0,0,'Room Revenue'!D54/'Room Nights'!D54)</f>
        <v>858.68181818181813</v>
      </c>
      <c r="E54" s="479">
        <f>IF('Room Revenue'!E54=0,0,'Room Revenue'!E54/'Room Nights'!E54)</f>
        <v>1072.3017241379309</v>
      </c>
      <c r="F54" s="479">
        <f>IF('Room Revenue'!F54=0,0,'Room Revenue'!F54/'Room Nights'!F54)</f>
        <v>1306.8493150684931</v>
      </c>
      <c r="G54" s="479">
        <f>IF('Room Revenue'!G54=0,0,'Room Revenue'!G54/'Room Nights'!G54)</f>
        <v>1478.0236220472441</v>
      </c>
      <c r="H54" s="479">
        <f>IF('Room Revenue'!H54=0,0,'Room Revenue'!H54/'Room Nights'!H54)</f>
        <v>1738.8541666666667</v>
      </c>
      <c r="I54" s="479">
        <f>IF('Room Revenue'!I54=0,0,'Room Revenue'!I54/'Room Nights'!I54)</f>
        <v>2335.3962264150941</v>
      </c>
      <c r="J54" s="479">
        <f>IF('Room Revenue'!J54=0,0,'Room Revenue'!J54/'Room Nights'!J54)</f>
        <v>1898.4558823529412</v>
      </c>
      <c r="K54" s="479">
        <f>IF('Room Revenue'!K54=0,0,'Room Revenue'!K54/'Room Nights'!K54)</f>
        <v>1587.9234972677596</v>
      </c>
      <c r="L54" s="479">
        <f>IF('Room Revenue'!L54=0,0,'Room Revenue'!L54/'Room Nights'!L54)</f>
        <v>1199.67578125</v>
      </c>
      <c r="M54" s="448">
        <f>IF('Room Revenue'!M54=0,0,'Room Revenue'!M54/'Room Nights'!M54)</f>
        <v>1113</v>
      </c>
      <c r="N54" s="449">
        <f>IF('Room Revenue'!N54=0,0,'Room Revenue'!N54/'Room Nights'!N54)</f>
        <v>1113</v>
      </c>
      <c r="O54" s="481">
        <f>IF('Room Revenue'!O54=0,0,'Room Revenue'!O54/'Room Nights'!O54)</f>
        <v>1425.1185185185186</v>
      </c>
      <c r="P54" s="450"/>
    </row>
    <row r="55" spans="1:19" ht="15.75" thickBot="1" x14ac:dyDescent="0.3">
      <c r="A55" s="747"/>
      <c r="B55" s="451" t="s">
        <v>198</v>
      </c>
      <c r="C55" s="452">
        <f>IF('Room Revenue'!C55=0,0,'Room Revenue'!C55/'Room Nights'!C55)</f>
        <v>902.94552835321122</v>
      </c>
      <c r="D55" s="453">
        <f>IF('Room Revenue'!D55=0,0,'Room Revenue'!D55/'Room Nights'!D55)</f>
        <v>974.52254166666557</v>
      </c>
      <c r="E55" s="453">
        <f>IF('Room Revenue'!E55=0,0,'Room Revenue'!E55/'Room Nights'!E55)</f>
        <v>1142.1686938476325</v>
      </c>
      <c r="F55" s="453">
        <f>IF('Room Revenue'!F55=0,0,'Room Revenue'!F55/'Room Nights'!F55)</f>
        <v>1457.5366309475128</v>
      </c>
      <c r="G55" s="453">
        <f>IF('Room Revenue'!G55=0,0,'Room Revenue'!G55/'Room Nights'!G55)</f>
        <v>1632.197908847065</v>
      </c>
      <c r="H55" s="453">
        <f>IF('Room Revenue'!H55=0,0,'Room Revenue'!H55/'Room Nights'!H55)</f>
        <v>1778.8767250235016</v>
      </c>
      <c r="I55" s="453">
        <f>IF('Room Revenue'!I55=0,0,'Room Revenue'!I55/'Room Nights'!I55)</f>
        <v>1872.5911292243848</v>
      </c>
      <c r="J55" s="453">
        <f>IF('Room Revenue'!J55=0,0,'Room Revenue'!J55/'Room Nights'!J55)</f>
        <v>1860.2373069474834</v>
      </c>
      <c r="K55" s="453">
        <f>IF('Room Revenue'!K55=0,0,'Room Revenue'!K55/'Room Nights'!K55)</f>
        <v>1567.4139777233511</v>
      </c>
      <c r="L55" s="453">
        <f>IF('Room Revenue'!L55=0,0,'Room Revenue'!L55/'Room Nights'!L55)</f>
        <v>1299.3684356725146</v>
      </c>
      <c r="M55" s="453">
        <f>IF('Room Revenue'!M55=0,0,'Room Revenue'!M55/'Room Nights'!M55)</f>
        <v>931.02727263318093</v>
      </c>
      <c r="N55" s="454">
        <f>IF('Room Revenue'!N55=0,0,'Room Revenue'!N55/'Room Nights'!N55)</f>
        <v>924.95638772666814</v>
      </c>
      <c r="O55" s="455">
        <f>IF('Room Revenue'!O55=0,0,'Room Revenue'!O55/'Room Nights'!O55)</f>
        <v>1467.2228958871951</v>
      </c>
      <c r="P55" s="450"/>
    </row>
    <row r="56" spans="1:19" ht="15.75" hidden="1" outlineLevel="2" thickTop="1" x14ac:dyDescent="0.25">
      <c r="A56" s="751" t="s">
        <v>47</v>
      </c>
      <c r="B56" s="457" t="s">
        <v>180</v>
      </c>
      <c r="C56" s="458">
        <f>IF('Room Revenue'!C56=0,0,'Room Revenue'!C56/'Room Nights'!C56)</f>
        <v>0</v>
      </c>
      <c r="D56" s="459">
        <f>IF('Room Revenue'!D56=0,0,'Room Revenue'!D56/'Room Nights'!D56)</f>
        <v>1160.8166666666666</v>
      </c>
      <c r="E56" s="459">
        <f>IF('Room Revenue'!E56=0,0,'Room Revenue'!E56/'Room Nights'!E56)</f>
        <v>1139.7080769230768</v>
      </c>
      <c r="F56" s="459">
        <f>IF('Room Revenue'!F56=0,0,'Room Revenue'!F56/'Room Nights'!F56)</f>
        <v>0</v>
      </c>
      <c r="G56" s="459" t="e">
        <f>IF('Room Revenue'!G56=0,0,'Room Revenue'!G56/'Room Nights'!G56)</f>
        <v>#DIV/0!</v>
      </c>
      <c r="H56" s="459">
        <f>IF('Room Revenue'!H56=0,0,'Room Revenue'!H56/'Room Nights'!H56)</f>
        <v>0</v>
      </c>
      <c r="I56" s="459">
        <f>IF('Room Revenue'!I56=0,0,'Room Revenue'!I56/'Room Nights'!I56)</f>
        <v>0</v>
      </c>
      <c r="J56" s="459">
        <f>IF('Room Revenue'!J56=0,0,'Room Revenue'!J56/'Room Nights'!J56)</f>
        <v>1129.2883216783218</v>
      </c>
      <c r="K56" s="459">
        <f>IF('Room Revenue'!K56=0,0,'Room Revenue'!K56/'Room Nights'!K56)</f>
        <v>1717.4398387096776</v>
      </c>
      <c r="L56" s="459">
        <f>IF('Room Revenue'!L56=0,0,'Room Revenue'!L56/'Room Nights'!L56)</f>
        <v>0</v>
      </c>
      <c r="M56" s="459">
        <f>IF('Room Revenue'!M56=0,0,'Room Revenue'!M56/'Room Nights'!M56)</f>
        <v>0</v>
      </c>
      <c r="N56" s="460">
        <f>IF('Room Revenue'!N56=0,0,'Room Revenue'!N56/'Room Nights'!N56)</f>
        <v>1244.2389528795811</v>
      </c>
      <c r="O56" s="461">
        <f>IF('Room Revenue'!O56=0,0,'Room Revenue'!O56/'Room Nights'!O56)</f>
        <v>1364.3559020979021</v>
      </c>
    </row>
    <row r="57" spans="1:19" hidden="1" outlineLevel="2" x14ac:dyDescent="0.25">
      <c r="A57" s="751"/>
      <c r="B57" s="442" t="s">
        <v>181</v>
      </c>
      <c r="C57" s="443">
        <f>IF('Room Revenue'!C57=0,0,'Room Revenue'!C57/'Room Nights'!C57)</f>
        <v>0</v>
      </c>
      <c r="D57" s="444">
        <f>IF('Room Revenue'!D57=0,0,'Room Revenue'!D57/'Room Nights'!D57)</f>
        <v>0</v>
      </c>
      <c r="E57" s="444">
        <f>IF('Room Revenue'!E57=0,0,'Room Revenue'!E57/'Room Nights'!E57)</f>
        <v>1197.687281553398</v>
      </c>
      <c r="F57" s="444">
        <f>IF('Room Revenue'!F57=0,0,'Room Revenue'!F57/'Room Nights'!F57)</f>
        <v>0</v>
      </c>
      <c r="G57" s="444">
        <f>IF('Room Revenue'!G57=0,0,'Room Revenue'!G57/'Room Nights'!G57)</f>
        <v>0</v>
      </c>
      <c r="H57" s="444">
        <f>IF('Room Revenue'!H57=0,0,'Room Revenue'!H57/'Room Nights'!H57)</f>
        <v>0</v>
      </c>
      <c r="I57" s="444">
        <f>IF('Room Revenue'!I57=0,0,'Room Revenue'!I57/'Room Nights'!I57)</f>
        <v>0</v>
      </c>
      <c r="J57" s="444">
        <f>IF('Room Revenue'!J57=0,0,'Room Revenue'!J57/'Room Nights'!J57)</f>
        <v>1797.7311764705883</v>
      </c>
      <c r="K57" s="438">
        <f>IF('Room Revenue'!K57=0,0,'Room Revenue'!K57/'Room Nights'!K57)</f>
        <v>2011.7296062992125</v>
      </c>
      <c r="L57" s="444">
        <f>IF('Room Revenue'!L57=0,0,'Room Revenue'!L57/'Room Nights'!L57)</f>
        <v>0</v>
      </c>
      <c r="M57" s="444">
        <f>IF('Room Revenue'!M57=0,0,'Room Revenue'!M57/'Room Nights'!M57)</f>
        <v>1246.4207070707071</v>
      </c>
      <c r="N57" s="445">
        <f>IF('Room Revenue'!N57=0,0,'Room Revenue'!N57/'Room Nights'!N57)</f>
        <v>0</v>
      </c>
      <c r="O57" s="440">
        <f>IF('Room Revenue'!O57=0,0,'Room Revenue'!O57/'Room Nights'!O57)</f>
        <v>1739.6464166666667</v>
      </c>
    </row>
    <row r="58" spans="1:19" hidden="1" outlineLevel="2" x14ac:dyDescent="0.25">
      <c r="A58" s="751"/>
      <c r="B58" s="442" t="s">
        <v>182</v>
      </c>
      <c r="C58" s="443">
        <f>IF('Room Revenue'!C58=0,0,'Room Revenue'!C58/'Room Nights'!C58)</f>
        <v>0</v>
      </c>
      <c r="D58" s="444">
        <f>IF('Room Revenue'!D58=0,0,'Room Revenue'!D58/'Room Nights'!D58)</f>
        <v>1434.299489051095</v>
      </c>
      <c r="E58" s="444">
        <f>IF('Room Revenue'!E58=0,0,'Room Revenue'!E58/'Room Nights'!E58)</f>
        <v>0</v>
      </c>
      <c r="F58" s="444">
        <f>IF('Room Revenue'!F58=0,0,'Room Revenue'!F58/'Room Nights'!F58)</f>
        <v>1506.96</v>
      </c>
      <c r="G58" s="444">
        <f>IF('Room Revenue'!G58=0,0,'Room Revenue'!G58/'Room Nights'!G58)</f>
        <v>0</v>
      </c>
      <c r="H58" s="444">
        <f>IF('Room Revenue'!H58=0,0,'Room Revenue'!H58/'Room Nights'!H58)</f>
        <v>652.00211309523809</v>
      </c>
      <c r="I58" s="444">
        <f>IF('Room Revenue'!I58=0,0,'Room Revenue'!I58/'Room Nights'!I58)</f>
        <v>1767.3215789473684</v>
      </c>
      <c r="J58" s="444">
        <f>IF('Room Revenue'!J58=0,0,'Room Revenue'!J58/'Room Nights'!J58)</f>
        <v>0</v>
      </c>
      <c r="K58" s="438" t="e">
        <f>IF('Room Revenue'!K58=0,0,'Room Revenue'!K58/'Room Nights'!K58)</f>
        <v>#DIV/0!</v>
      </c>
      <c r="L58" s="444">
        <f>IF('Room Revenue'!L58=0,0,'Room Revenue'!L58/'Room Nights'!L58)</f>
        <v>0</v>
      </c>
      <c r="M58" s="444">
        <f>IF('Room Revenue'!M58=0,0,'Room Revenue'!M58/'Room Nights'!M58)</f>
        <v>1337.2898823529413</v>
      </c>
      <c r="N58" s="445">
        <f>IF('Room Revenue'!N58=0,0,'Room Revenue'!N58/'Room Nights'!N58)</f>
        <v>887.51457142857134</v>
      </c>
      <c r="O58" s="440">
        <f>IF('Room Revenue'!O58=0,0,'Room Revenue'!O58/'Room Nights'!O58)</f>
        <v>1099.9297804878047</v>
      </c>
    </row>
    <row r="59" spans="1:19" hidden="1" outlineLevel="2" x14ac:dyDescent="0.25">
      <c r="A59" s="751"/>
      <c r="B59" s="500" t="s">
        <v>183</v>
      </c>
      <c r="C59" s="437">
        <f>IF('Room Revenue'!C59=0,0,'Room Revenue'!C59/'Room Nights'!C59)</f>
        <v>0</v>
      </c>
      <c r="D59" s="438">
        <f>IF('Room Revenue'!D59=0,0,'Room Revenue'!D59/'Room Nights'!D59)</f>
        <v>0</v>
      </c>
      <c r="E59" s="438">
        <f>IF('Room Revenue'!E59=0,0,'Room Revenue'!E59/'Room Nights'!E59)</f>
        <v>2089.8741258741261</v>
      </c>
      <c r="F59" s="438">
        <f>IF('Room Revenue'!F59=0,0,'Room Revenue'!F59/'Room Nights'!F59)</f>
        <v>0</v>
      </c>
      <c r="G59" s="438">
        <f>IF('Room Revenue'!G59=0,0,'Room Revenue'!G59/'Room Nights'!G59)</f>
        <v>0</v>
      </c>
      <c r="H59" s="438">
        <f>IF('Room Revenue'!H59=0,0,'Room Revenue'!H59/'Room Nights'!H59)</f>
        <v>0</v>
      </c>
      <c r="I59" s="438">
        <f>IF('Room Revenue'!I59=0,0,'Room Revenue'!I59/'Room Nights'!I59)</f>
        <v>0</v>
      </c>
      <c r="J59" s="438">
        <f>IF('Room Revenue'!J59=0,0,'Room Revenue'!J59/'Room Nights'!J59)</f>
        <v>0</v>
      </c>
      <c r="K59" s="438">
        <f>IF('Room Revenue'!K59=0,0,'Room Revenue'!K59/'Room Nights'!K59)</f>
        <v>2949.0832894736841</v>
      </c>
      <c r="L59" s="438">
        <f>IF('Room Revenue'!L59=0,0,'Room Revenue'!L59/'Room Nights'!L59)</f>
        <v>0</v>
      </c>
      <c r="M59" s="438">
        <f>IF('Room Revenue'!M59=0,0,'Room Revenue'!M59/'Room Nights'!M59)</f>
        <v>0</v>
      </c>
      <c r="N59" s="439">
        <f>IF('Room Revenue'!N59=0,0,'Room Revenue'!N59/'Room Nights'!N59)</f>
        <v>0</v>
      </c>
      <c r="O59" s="440">
        <f>IF('Room Revenue'!O59=0,0,'Room Revenue'!O59/'Room Nights'!O59)</f>
        <v>2532.5852881355931</v>
      </c>
      <c r="P59" s="450"/>
    </row>
    <row r="60" spans="1:19" hidden="1" outlineLevel="2" x14ac:dyDescent="0.25">
      <c r="A60" s="751"/>
      <c r="B60" s="501" t="s">
        <v>184</v>
      </c>
      <c r="C60" s="443">
        <f>IF('Room Revenue'!C60=0,0,'Room Revenue'!C60/'Room Nights'!C60)</f>
        <v>0</v>
      </c>
      <c r="D60" s="444">
        <f>IF('Room Revenue'!D60=0,0,'Room Revenue'!D60/'Room Nights'!D60)</f>
        <v>0</v>
      </c>
      <c r="E60" s="444">
        <f>IF('Room Revenue'!E60=0,0,'Room Revenue'!E60/'Room Nights'!E60)</f>
        <v>0</v>
      </c>
      <c r="F60" s="444">
        <f>IF('Room Revenue'!F60=0,0,'Room Revenue'!F60/'Room Nights'!F60)</f>
        <v>0</v>
      </c>
      <c r="G60" s="444">
        <f>IF('Room Revenue'!G60=0,0,'Room Revenue'!G60/'Room Nights'!G60)</f>
        <v>0</v>
      </c>
      <c r="H60" s="444">
        <f>IF('Room Revenue'!H60=0,0,'Room Revenue'!H60/'Room Nights'!H60)</f>
        <v>0</v>
      </c>
      <c r="I60" s="444">
        <f>IF('Room Revenue'!I60=0,0,'Room Revenue'!I60/'Room Nights'!I60)</f>
        <v>0</v>
      </c>
      <c r="J60" s="444">
        <f>IF('Room Revenue'!J60=0,0,'Room Revenue'!J60/'Room Nights'!J60)</f>
        <v>1377.2418181818182</v>
      </c>
      <c r="K60" s="444">
        <f>IF('Room Revenue'!K60=0,0,'Room Revenue'!K60/'Room Nights'!K60)</f>
        <v>0</v>
      </c>
      <c r="L60" s="444">
        <f>IF('Room Revenue'!L60=0,0,'Room Revenue'!L60/'Room Nights'!L60)</f>
        <v>0</v>
      </c>
      <c r="M60" s="444">
        <f>IF('Room Revenue'!M60=0,0,'Room Revenue'!M60/'Room Nights'!M60)</f>
        <v>0</v>
      </c>
      <c r="N60" s="445">
        <f>IF('Room Revenue'!N60=0,0,'Room Revenue'!N60/'Room Nights'!N60)</f>
        <v>0</v>
      </c>
      <c r="O60" s="446">
        <f>IF('Room Revenue'!O60=0,0,'Room Revenue'!O60/'Room Nights'!O60)</f>
        <v>1377.2418181818182</v>
      </c>
      <c r="P60" s="450"/>
    </row>
    <row r="61" spans="1:19" hidden="1" outlineLevel="2" x14ac:dyDescent="0.25">
      <c r="A61" s="751"/>
      <c r="B61" s="501" t="s">
        <v>197</v>
      </c>
      <c r="C61" s="443">
        <f>IF('Room Revenue'!C61=0,0,'Room Revenue'!C61/'Room Nights'!C61)</f>
        <v>0</v>
      </c>
      <c r="D61" s="444">
        <f>IF('Room Revenue'!D61=0,0,'Room Revenue'!D61/'Room Nights'!D61)</f>
        <v>1334.5352112676057</v>
      </c>
      <c r="E61" s="444">
        <f>IF('Room Revenue'!E61=0,0,'Room Revenue'!E61/'Room Nights'!E61)</f>
        <v>2369.3692307692309</v>
      </c>
      <c r="F61" s="444">
        <f>IF('Room Revenue'!F61=0,0,'Room Revenue'!F61/'Room Nights'!F61)</f>
        <v>0</v>
      </c>
      <c r="G61" s="444">
        <f>IF('Room Revenue'!G61=0,0,'Room Revenue'!G61/'Room Nights'!G61)</f>
        <v>0</v>
      </c>
      <c r="H61" s="444">
        <f>IF('Room Revenue'!H61=0,0,'Room Revenue'!H61/'Room Nights'!H61)</f>
        <v>1627.148148148148</v>
      </c>
      <c r="I61" s="444">
        <f>IF('Room Revenue'!I61=0,0,'Room Revenue'!I61/'Room Nights'!I61)</f>
        <v>1574.6814159292035</v>
      </c>
      <c r="J61" s="444">
        <f>IF('Room Revenue'!J61=0,0,'Room Revenue'!J61/'Room Nights'!J61)</f>
        <v>0</v>
      </c>
      <c r="K61" s="444">
        <f>IF('Room Revenue'!K61=0,0,'Room Revenue'!K61/'Room Nights'!K61)</f>
        <v>1915.6838235294117</v>
      </c>
      <c r="L61" s="444">
        <f>IF('Room Revenue'!L61=0,0,'Room Revenue'!L61/'Room Nights'!L61)</f>
        <v>2141.4791666666665</v>
      </c>
      <c r="M61" s="543">
        <f>IF('Room Revenue'!M61=0,0,'Room Revenue'!M61/'Room Nights'!M61)</f>
        <v>0</v>
      </c>
      <c r="N61" s="544">
        <f>IF('Room Revenue'!N61=0,0,'Room Revenue'!N61/'Room Nights'!N61)</f>
        <v>0</v>
      </c>
      <c r="O61" s="446">
        <f>IF('Room Revenue'!O61=0,0,'Room Revenue'!O61/'Room Nights'!O61)</f>
        <v>1888.8033282904689</v>
      </c>
      <c r="P61" s="450"/>
    </row>
    <row r="62" spans="1:19" ht="15.75" hidden="1" outlineLevel="2" thickBot="1" x14ac:dyDescent="0.3">
      <c r="A62" s="752"/>
      <c r="B62" s="451" t="s">
        <v>198</v>
      </c>
      <c r="C62" s="452">
        <f>IF('Room Revenue'!C62=0,0,'Room Revenue'!C62/'Room Nights'!C62)</f>
        <v>2124.6344444444399</v>
      </c>
      <c r="D62" s="453">
        <f>IF('Room Revenue'!D62=0,0,'Room Revenue'!D62/'Room Nights'!D62)</f>
        <v>2119.6368965517199</v>
      </c>
      <c r="E62" s="453">
        <f>IF('Room Revenue'!E62=0,0,'Room Revenue'!E62/'Room Nights'!E62)</f>
        <v>1476</v>
      </c>
      <c r="F62" s="453">
        <f>IF('Room Revenue'!F62=0,0,'Room Revenue'!F62/'Room Nights'!F62)</f>
        <v>0</v>
      </c>
      <c r="G62" s="453">
        <f>IF('Room Revenue'!G62=0,0,'Room Revenue'!G62/'Room Nights'!G62)</f>
        <v>0</v>
      </c>
      <c r="H62" s="453">
        <f>IF('Room Revenue'!H62=0,0,'Room Revenue'!H62/'Room Nights'!H62)</f>
        <v>0</v>
      </c>
      <c r="I62" s="453">
        <f>IF('Room Revenue'!I62=0,0,'Room Revenue'!I62/'Room Nights'!I62)</f>
        <v>0</v>
      </c>
      <c r="J62" s="453">
        <f>IF('Room Revenue'!J62=0,0,'Room Revenue'!J62/'Room Nights'!J62)</f>
        <v>0</v>
      </c>
      <c r="K62" s="453">
        <f>IF('Room Revenue'!K62=0,0,'Room Revenue'!K62/'Room Nights'!K62)</f>
        <v>0</v>
      </c>
      <c r="L62" s="453">
        <f>IF('Room Revenue'!L62=0,0,'Room Revenue'!L62/'Room Nights'!L62)</f>
        <v>0</v>
      </c>
      <c r="M62" s="453">
        <f>IF('Room Revenue'!M62=0,0,'Room Revenue'!M62/'Room Nights'!M62)</f>
        <v>0</v>
      </c>
      <c r="N62" s="454">
        <f>IF('Room Revenue'!N62=0,0,'Room Revenue'!N62/'Room Nights'!N62)</f>
        <v>0</v>
      </c>
      <c r="O62" s="455">
        <f>IF('Room Revenue'!O62=0,0,'Room Revenue'!O62/'Room Nights'!O62)</f>
        <v>1949.5418848167508</v>
      </c>
      <c r="P62" s="450"/>
    </row>
    <row r="63" spans="1:19" ht="15.75" hidden="1" outlineLevel="2" thickTop="1" x14ac:dyDescent="0.25">
      <c r="A63" s="755" t="s">
        <v>43</v>
      </c>
      <c r="B63" s="457" t="s">
        <v>180</v>
      </c>
      <c r="C63" s="458">
        <f>IF('Room Revenue'!C63=0,0,'Room Revenue'!C63/'Room Nights'!C63)</f>
        <v>1222.5904310344827</v>
      </c>
      <c r="D63" s="459">
        <f>IF('Room Revenue'!D63=0,0,'Room Revenue'!D63/'Room Nights'!D63)</f>
        <v>1242.3190520694259</v>
      </c>
      <c r="E63" s="459">
        <f>IF('Room Revenue'!E63=0,0,'Room Revenue'!E63/'Room Nights'!E63)</f>
        <v>1472.3375619195047</v>
      </c>
      <c r="F63" s="459">
        <f>IF('Room Revenue'!F63=0,0,'Room Revenue'!F63/'Room Nights'!F63)</f>
        <v>1729.1688346085934</v>
      </c>
      <c r="G63" s="459">
        <f>IF('Room Revenue'!G63=0,0,'Room Revenue'!G63/'Room Nights'!G63)</f>
        <v>1608.2610073529413</v>
      </c>
      <c r="H63" s="459">
        <f>IF('Room Revenue'!H63=0,0,'Room Revenue'!H63/'Room Nights'!H63)</f>
        <v>1414.906622596154</v>
      </c>
      <c r="I63" s="459">
        <f>IF('Room Revenue'!I63=0,0,'Room Revenue'!I63/'Room Nights'!I63)</f>
        <v>1762.4440463458111</v>
      </c>
      <c r="J63" s="459">
        <f>IF('Room Revenue'!J63=0,0,'Room Revenue'!J63/'Room Nights'!J63)</f>
        <v>1809.4581296493093</v>
      </c>
      <c r="K63" s="459">
        <f>IF('Room Revenue'!K63=0,0,'Room Revenue'!K63/'Room Nights'!K63)</f>
        <v>1744.8572967479677</v>
      </c>
      <c r="L63" s="459">
        <f>IF('Room Revenue'!L63=0,0,'Room Revenue'!L63/'Room Nights'!L63)</f>
        <v>1485.9311018711019</v>
      </c>
      <c r="M63" s="459">
        <f>IF('Room Revenue'!M63=0,0,'Room Revenue'!M63/'Room Nights'!M63)</f>
        <v>1264.712282722513</v>
      </c>
      <c r="N63" s="460">
        <f>IF('Room Revenue'!N63=0,0,'Room Revenue'!N63/'Room Nights'!N63)</f>
        <v>1240.0365671641791</v>
      </c>
      <c r="O63" s="461">
        <f>IF('Room Revenue'!O63=0,0,'Room Revenue'!O63/'Room Nights'!O63)</f>
        <v>1525.737205907461</v>
      </c>
    </row>
    <row r="64" spans="1:19" hidden="1" outlineLevel="2" x14ac:dyDescent="0.25">
      <c r="A64" s="751"/>
      <c r="B64" s="442" t="s">
        <v>181</v>
      </c>
      <c r="C64" s="443">
        <f>IF('Room Revenue'!C64=0,0,'Room Revenue'!C64/'Room Nights'!C64)</f>
        <v>1371.1926382978725</v>
      </c>
      <c r="D64" s="444">
        <f>IF('Room Revenue'!D64=0,0,'Room Revenue'!D64/'Room Nights'!D64)</f>
        <v>1514.1288753581664</v>
      </c>
      <c r="E64" s="444">
        <f>IF('Room Revenue'!E64=0,0,'Room Revenue'!E64/'Room Nights'!E64)</f>
        <v>1863.9944571428573</v>
      </c>
      <c r="F64" s="444">
        <f>IF('Room Revenue'!F64=0,0,'Room Revenue'!F64/'Room Nights'!F64)</f>
        <v>1940.9637659717553</v>
      </c>
      <c r="G64" s="444">
        <f>IF('Room Revenue'!G64=0,0,'Room Revenue'!G64/'Room Nights'!G64)</f>
        <v>1918.7841155866899</v>
      </c>
      <c r="H64" s="444">
        <f>IF('Room Revenue'!H64=0,0,'Room Revenue'!H64/'Room Nights'!H64)</f>
        <v>1922.6268130630631</v>
      </c>
      <c r="I64" s="444">
        <f>IF('Room Revenue'!I64=0,0,'Room Revenue'!I64/'Room Nights'!I64)</f>
        <v>2102.8215789473684</v>
      </c>
      <c r="J64" s="444">
        <f>IF('Room Revenue'!J64=0,0,'Room Revenue'!J64/'Room Nights'!J64)</f>
        <v>2198.2680726872245</v>
      </c>
      <c r="K64" s="438">
        <f>IF('Room Revenue'!K64=0,0,'Room Revenue'!K64/'Room Nights'!K64)</f>
        <v>2241.7279808841099</v>
      </c>
      <c r="L64" s="444">
        <f>IF('Room Revenue'!L64=0,0,'Room Revenue'!L64/'Room Nights'!L64)</f>
        <v>1624.0509253731343</v>
      </c>
      <c r="M64" s="444">
        <f>IF('Room Revenue'!M64=0,0,'Room Revenue'!M64/'Room Nights'!M64)</f>
        <v>1300.9542742474916</v>
      </c>
      <c r="N64" s="445">
        <f>IF('Room Revenue'!N64=0,0,'Room Revenue'!N64/'Room Nights'!N64)</f>
        <v>1151.3191364421416</v>
      </c>
      <c r="O64" s="440">
        <f>IF('Room Revenue'!O64=0,0,'Room Revenue'!O64/'Room Nights'!O64)</f>
        <v>1739.5640325880461</v>
      </c>
    </row>
    <row r="65" spans="1:17" hidden="1" outlineLevel="2" x14ac:dyDescent="0.25">
      <c r="A65" s="751"/>
      <c r="B65" s="442" t="s">
        <v>182</v>
      </c>
      <c r="C65" s="443">
        <f>IF('Room Revenue'!C65=0,0,'Room Revenue'!C65/'Room Nights'!C65)</f>
        <v>1533.4732157676349</v>
      </c>
      <c r="D65" s="444">
        <f>IF('Room Revenue'!D65=0,0,'Room Revenue'!D65/'Room Nights'!D65)</f>
        <v>1476.300119887165</v>
      </c>
      <c r="E65" s="444">
        <f>IF('Room Revenue'!E65=0,0,'Room Revenue'!E65/'Room Nights'!E65)</f>
        <v>1809.7623576512456</v>
      </c>
      <c r="F65" s="444">
        <f>IF('Room Revenue'!F65=0,0,'Room Revenue'!F65/'Room Nights'!F65)</f>
        <v>1941.1438435940099</v>
      </c>
      <c r="G65" s="444">
        <f>IF('Room Revenue'!G65=0,0,'Room Revenue'!G65/'Room Nights'!G65)</f>
        <v>2137.2009568162575</v>
      </c>
      <c r="H65" s="444">
        <f>IF('Room Revenue'!H65=0,0,'Room Revenue'!H65/'Room Nights'!H65)</f>
        <v>2185.6795686274513</v>
      </c>
      <c r="I65" s="444">
        <f>IF('Room Revenue'!I65=0,0,'Room Revenue'!I65/'Room Nights'!I65)</f>
        <v>1937.3825214521453</v>
      </c>
      <c r="J65" s="444">
        <f>IF('Room Revenue'!J65=0,0,'Room Revenue'!J65/'Room Nights'!J65)</f>
        <v>2202.7212523540493</v>
      </c>
      <c r="K65" s="438">
        <f>IF('Room Revenue'!K65=0,0,'Room Revenue'!K65/'Room Nights'!K65)</f>
        <v>2173.6930384930388</v>
      </c>
      <c r="L65" s="444">
        <f>IF('Room Revenue'!L65=0,0,'Room Revenue'!L65/'Room Nights'!L65)</f>
        <v>1872.6416554809841</v>
      </c>
      <c r="M65" s="444">
        <f>IF('Room Revenue'!M65=0,0,'Room Revenue'!M65/'Room Nights'!M65)</f>
        <v>1389.2517196367762</v>
      </c>
      <c r="N65" s="445">
        <f>IF('Room Revenue'!N65=0,0,'Room Revenue'!N65/'Room Nights'!N65)</f>
        <v>1333.5577248362119</v>
      </c>
      <c r="O65" s="440">
        <f>IF('Room Revenue'!O65=0,0,'Room Revenue'!O65/'Room Nights'!O65)</f>
        <v>1788.486593594306</v>
      </c>
    </row>
    <row r="66" spans="1:17" hidden="1" outlineLevel="2" x14ac:dyDescent="0.25">
      <c r="A66" s="751"/>
      <c r="B66" s="500" t="s">
        <v>183</v>
      </c>
      <c r="C66" s="437">
        <f>IF('Room Revenue'!C66=0,0,'Room Revenue'!C66/'Room Nights'!C66)</f>
        <v>1454.1698550724639</v>
      </c>
      <c r="D66" s="438">
        <f>IF('Room Revenue'!D66=0,0,'Room Revenue'!D66/'Room Nights'!D66)</f>
        <v>1516.7593282442747</v>
      </c>
      <c r="E66" s="438">
        <f>IF('Room Revenue'!E66=0,0,'Room Revenue'!E66/'Room Nights'!E66)</f>
        <v>2358.5405625879043</v>
      </c>
      <c r="F66" s="438">
        <f>IF('Room Revenue'!F66=0,0,'Room Revenue'!F66/'Room Nights'!F66)</f>
        <v>1771.5914770158254</v>
      </c>
      <c r="G66" s="438">
        <f>IF('Room Revenue'!G66=0,0,'Room Revenue'!G66/'Room Nights'!G66)</f>
        <v>2195.3386160714285</v>
      </c>
      <c r="H66" s="438">
        <f>IF('Room Revenue'!H66=0,0,'Room Revenue'!H66/'Room Nights'!H66)</f>
        <v>1945.7138554216867</v>
      </c>
      <c r="I66" s="438">
        <f>IF('Room Revenue'!I66=0,0,'Room Revenue'!I66/'Room Nights'!I66)</f>
        <v>2187.0850089020773</v>
      </c>
      <c r="J66" s="438">
        <f>IF('Room Revenue'!J66=0,0,'Room Revenue'!J66/'Room Nights'!J66)</f>
        <v>2334.5199820305484</v>
      </c>
      <c r="K66" s="438">
        <f>IF('Room Revenue'!K66=0,0,'Room Revenue'!K66/'Room Nights'!K66)</f>
        <v>2219.1668825910929</v>
      </c>
      <c r="L66" s="438" t="e">
        <f>IF('Room Revenue'!L66=0,0,'Room Revenue'!L66/'Room Nights'!L66)</f>
        <v>#DIV/0!</v>
      </c>
      <c r="M66" s="438" t="e">
        <f>IF('Room Revenue'!M66=0,0,'Room Revenue'!M66/'Room Nights'!M66)</f>
        <v>#DIV/0!</v>
      </c>
      <c r="N66" s="439" t="e">
        <f>IF('Room Revenue'!N66=0,0,'Room Revenue'!N66/'Room Nights'!N66)</f>
        <v>#DIV/0!</v>
      </c>
      <c r="O66" s="440">
        <f>IF('Room Revenue'!O66=0,0,'Room Revenue'!O66/'Room Nights'!O66)</f>
        <v>2150.1299378299118</v>
      </c>
      <c r="P66" s="450"/>
    </row>
    <row r="67" spans="1:17" hidden="1" outlineLevel="2" x14ac:dyDescent="0.25">
      <c r="A67" s="751"/>
      <c r="B67" s="501" t="s">
        <v>184</v>
      </c>
      <c r="C67" s="443">
        <f>IF('Room Revenue'!C67=0,0,'Room Revenue'!C67/'Room Nights'!C67)</f>
        <v>1210.6288888888889</v>
      </c>
      <c r="D67" s="444">
        <f>IF('Room Revenue'!D67=0,0,'Room Revenue'!D67/'Room Nights'!D67)</f>
        <v>1595.5620000000001</v>
      </c>
      <c r="E67" s="444">
        <f>IF('Room Revenue'!E67=0,0,'Room Revenue'!E67/'Room Nights'!E67)</f>
        <v>1152.1978378378378</v>
      </c>
      <c r="F67" s="444">
        <f>IF('Room Revenue'!F67=0,0,'Room Revenue'!F67/'Room Nights'!F67)</f>
        <v>1176.9498707294551</v>
      </c>
      <c r="G67" s="444">
        <f>IF('Room Revenue'!G67=0,0,'Room Revenue'!G67/'Room Nights'!G67)</f>
        <v>1136.0973087686566</v>
      </c>
      <c r="H67" s="444">
        <f>IF('Room Revenue'!H67=0,0,'Room Revenue'!H67/'Room Nights'!H67)</f>
        <v>2317.3463076923076</v>
      </c>
      <c r="I67" s="444">
        <f>IF('Room Revenue'!I67=0,0,'Room Revenue'!I67/'Room Nights'!I67)</f>
        <v>1330.9833333333333</v>
      </c>
      <c r="J67" s="444">
        <f>IF('Room Revenue'!J67=0,0,'Room Revenue'!J67/'Room Nights'!J67)</f>
        <v>1524.2021658986175</v>
      </c>
      <c r="K67" s="444">
        <f>IF('Room Revenue'!K67=0,0,'Room Revenue'!K67/'Room Nights'!K67)</f>
        <v>1739.1740372670806</v>
      </c>
      <c r="L67" s="444">
        <f>IF('Room Revenue'!L67=0,0,'Room Revenue'!L67/'Room Nights'!L67)</f>
        <v>1381.6197993311036</v>
      </c>
      <c r="M67" s="444">
        <f>IF('Room Revenue'!M67=0,0,'Room Revenue'!M67/'Room Nights'!M67)</f>
        <v>1565.3623376623377</v>
      </c>
      <c r="N67" s="445">
        <f>IF('Room Revenue'!N67=0,0,'Room Revenue'!N67/'Room Nights'!N67)</f>
        <v>1334.8793093093093</v>
      </c>
      <c r="O67" s="440">
        <f>IF('Room Revenue'!O67=0,0,'Room Revenue'!O67/'Room Nights'!O67)</f>
        <v>1285.4619056742813</v>
      </c>
      <c r="P67" s="450"/>
    </row>
    <row r="68" spans="1:17" hidden="1" outlineLevel="2" x14ac:dyDescent="0.25">
      <c r="A68" s="751"/>
      <c r="B68" s="501" t="s">
        <v>197</v>
      </c>
      <c r="C68" s="443">
        <f>IF('Room Revenue'!C68=0,0,'Room Revenue'!C68/'Room Nights'!C68)</f>
        <v>1925.9166666666667</v>
      </c>
      <c r="D68" s="444">
        <f>IF('Room Revenue'!D68=0,0,'Room Revenue'!D68/'Room Nights'!D68)</f>
        <v>1317.3951612903227</v>
      </c>
      <c r="E68" s="444">
        <f>IF('Room Revenue'!E68=0,0,'Room Revenue'!E68/'Room Nights'!E68)</f>
        <v>1556.0749063670412</v>
      </c>
      <c r="F68" s="444">
        <f>IF('Room Revenue'!F68=0,0,'Room Revenue'!F68/'Room Nights'!F68)</f>
        <v>1410.2633451957295</v>
      </c>
      <c r="G68" s="444">
        <f>IF('Room Revenue'!G68=0,0,'Room Revenue'!G68/'Room Nights'!G68)</f>
        <v>1833.9084249084249</v>
      </c>
      <c r="H68" s="444">
        <f>IF('Room Revenue'!H68=0,0,'Room Revenue'!H68/'Room Nights'!H68)</f>
        <v>1645.2727272727273</v>
      </c>
      <c r="I68" s="444">
        <f>IF('Room Revenue'!I68=0,0,'Room Revenue'!I68/'Room Nights'!I68)</f>
        <v>2537.4666666666667</v>
      </c>
      <c r="J68" s="444">
        <f>IF('Room Revenue'!J68=0,0,'Room Revenue'!J68/'Room Nights'!J68)</f>
        <v>1923.3417085427136</v>
      </c>
      <c r="K68" s="444">
        <f>IF('Room Revenue'!K68=0,0,'Room Revenue'!K68/'Room Nights'!K68)</f>
        <v>2051.3632075471696</v>
      </c>
      <c r="L68" s="444">
        <f>IF('Room Revenue'!L68=0,0,'Room Revenue'!L68/'Room Nights'!L68)</f>
        <v>2029.5285714285715</v>
      </c>
      <c r="M68" s="543">
        <f>IF('Room Revenue'!M68=0,0,'Room Revenue'!M68/'Room Nights'!M68)</f>
        <v>1520</v>
      </c>
      <c r="N68" s="544">
        <f>IF('Room Revenue'!N68=0,0,'Room Revenue'!N68/'Room Nights'!N68)</f>
        <v>1524</v>
      </c>
      <c r="O68" s="440">
        <f>IF('Room Revenue'!O68=0,0,'Room Revenue'!O68/'Room Nights'!O68)</f>
        <v>1695.5209140201393</v>
      </c>
      <c r="P68" s="450"/>
    </row>
    <row r="69" spans="1:17" ht="15.75" hidden="1" outlineLevel="2" thickBot="1" x14ac:dyDescent="0.3">
      <c r="A69" s="752"/>
      <c r="B69" s="451" t="s">
        <v>198</v>
      </c>
      <c r="C69" s="452">
        <f>IF('Room Revenue'!C69=0,0,'Room Revenue'!C69/'Room Nights'!C69)</f>
        <v>1530.5831147540969</v>
      </c>
      <c r="D69" s="453">
        <f>IF('Room Revenue'!D69=0,0,'Room Revenue'!D69/'Room Nights'!D69)</f>
        <v>1423.7037037037037</v>
      </c>
      <c r="E69" s="453">
        <f>IF('Room Revenue'!E69=0,0,'Room Revenue'!E69/'Room Nights'!E69)</f>
        <v>1743.1020570440794</v>
      </c>
      <c r="F69" s="453">
        <f>IF('Room Revenue'!F69=0,0,'Room Revenue'!F69/'Room Nights'!F69)</f>
        <v>1360.2151661631399</v>
      </c>
      <c r="G69" s="453">
        <f>IF('Room Revenue'!G69=0,0,'Room Revenue'!G69/'Room Nights'!G69)</f>
        <v>1900.91</v>
      </c>
      <c r="H69" s="453">
        <f>IF('Room Revenue'!H69=0,0,'Room Revenue'!H69/'Room Nights'!H69)</f>
        <v>1923.184838709675</v>
      </c>
      <c r="I69" s="453">
        <f>IF('Room Revenue'!I69=0,0,'Room Revenue'!I69/'Room Nights'!I69)</f>
        <v>1193.7360606060599</v>
      </c>
      <c r="J69" s="453">
        <f>IF('Room Revenue'!J69=0,0,'Room Revenue'!J69/'Room Nights'!J69)</f>
        <v>1946.8221052631579</v>
      </c>
      <c r="K69" s="453">
        <f>IF('Room Revenue'!K69=0,0,'Room Revenue'!K69/'Room Nights'!K69)</f>
        <v>2242.7854251012145</v>
      </c>
      <c r="L69" s="453">
        <f>IF('Room Revenue'!L69=0,0,'Room Revenue'!L69/'Room Nights'!L69)</f>
        <v>2030</v>
      </c>
      <c r="M69" s="453">
        <f>IF('Room Revenue'!M69=0,0,'Room Revenue'!M69/'Room Nights'!M69)</f>
        <v>1605</v>
      </c>
      <c r="N69" s="454">
        <f>IF('Room Revenue'!N69=0,0,'Room Revenue'!N69/'Room Nights'!N69)</f>
        <v>1335</v>
      </c>
      <c r="O69" s="548">
        <f>IF('Room Revenue'!O69=0,0,'Room Revenue'!O69/'Room Nights'!O69)</f>
        <v>1608.0800861976331</v>
      </c>
      <c r="P69" s="450"/>
    </row>
    <row r="70" spans="1:17" ht="15.75" collapsed="1" thickTop="1" x14ac:dyDescent="0.25">
      <c r="A70" s="745" t="s">
        <v>196</v>
      </c>
      <c r="B70" s="470" t="s">
        <v>180</v>
      </c>
      <c r="C70" s="471">
        <f>IF('Room Revenue'!C70=0,0,'Room Revenue'!C70/'Room Nights'!C70)</f>
        <v>1222.5904310344827</v>
      </c>
      <c r="D70" s="472">
        <f>IF('Room Revenue'!D70=0,0,'Room Revenue'!D70/'Room Nights'!D70)</f>
        <v>1241.993909574468</v>
      </c>
      <c r="E70" s="472">
        <f>IF('Room Revenue'!E70=0,0,'Room Revenue'!E70/'Room Nights'!E70)</f>
        <v>1441.9283966244725</v>
      </c>
      <c r="F70" s="472">
        <f>IF('Room Revenue'!F70=0,0,'Room Revenue'!F70/'Room Nights'!F70)</f>
        <v>1729.1688346085934</v>
      </c>
      <c r="G70" s="472">
        <f>IF('Room Revenue'!G70=0,0,'Room Revenue'!G70/'Room Nights'!G70)</f>
        <v>1607.3838161764706</v>
      </c>
      <c r="H70" s="472">
        <f>IF('Room Revenue'!H70=0,0,'Room Revenue'!H70/'Room Nights'!H70)</f>
        <v>1414.906622596154</v>
      </c>
      <c r="I70" s="472">
        <f>IF('Room Revenue'!I70=0,0,'Room Revenue'!I70/'Room Nights'!I70)</f>
        <v>1762.4440463458111</v>
      </c>
      <c r="J70" s="472">
        <f>IF('Room Revenue'!J70=0,0,'Room Revenue'!J70/'Room Nights'!J70)</f>
        <v>1719.7309317343174</v>
      </c>
      <c r="K70" s="472">
        <f>IF('Room Revenue'!K70=0,0,'Room Revenue'!K70/'Room Nights'!K70)</f>
        <v>1739.3381980519482</v>
      </c>
      <c r="L70" s="472">
        <f>IF('Room Revenue'!L70=0,0,'Room Revenue'!L70/'Room Nights'!L70)</f>
        <v>1485.9311018711019</v>
      </c>
      <c r="M70" s="472">
        <f>IF('Room Revenue'!M70=0,0,'Room Revenue'!M70/'Room Nights'!M70)</f>
        <v>1264.712282722513</v>
      </c>
      <c r="N70" s="473">
        <f>IF('Room Revenue'!N70=0,0,'Room Revenue'!N70/'Room Nights'!N70)</f>
        <v>1241.5625285171102</v>
      </c>
      <c r="O70" s="474">
        <f>IF('Room Revenue'!O70=0,0,'Room Revenue'!O70/'Room Nights'!O70)</f>
        <v>1516.4534636736662</v>
      </c>
    </row>
    <row r="71" spans="1:17" x14ac:dyDescent="0.25">
      <c r="A71" s="746"/>
      <c r="B71" s="477" t="s">
        <v>181</v>
      </c>
      <c r="C71" s="478">
        <f>IF('Room Revenue'!C71=0,0,'Room Revenue'!C71/'Room Nights'!C71)</f>
        <v>1371.1926382978725</v>
      </c>
      <c r="D71" s="483">
        <f>IF('Room Revenue'!D71=0,0,'Room Revenue'!D71/'Room Nights'!D71)</f>
        <v>1514.1288753581664</v>
      </c>
      <c r="E71" s="483">
        <f>IF('Room Revenue'!E71=0,0,'Room Revenue'!E71/'Room Nights'!E71)</f>
        <v>1778.5279078455792</v>
      </c>
      <c r="F71" s="483">
        <f>IF('Room Revenue'!F71=0,0,'Room Revenue'!F71/'Room Nights'!F71)</f>
        <v>1940.9637659717553</v>
      </c>
      <c r="G71" s="483">
        <f>IF('Room Revenue'!G71=0,0,'Room Revenue'!G71/'Room Nights'!G71)</f>
        <v>1918.7841155866899</v>
      </c>
      <c r="H71" s="483">
        <f>IF('Room Revenue'!H71=0,0,'Room Revenue'!H71/'Room Nights'!H71)</f>
        <v>1922.6268130630631</v>
      </c>
      <c r="I71" s="483">
        <f>IF('Room Revenue'!I71=0,0,'Room Revenue'!I71/'Room Nights'!I71)</f>
        <v>2102.8215789473684</v>
      </c>
      <c r="J71" s="483">
        <f>IF('Room Revenue'!J71=0,0,'Room Revenue'!J71/'Room Nights'!J71)</f>
        <v>2190.9068540540538</v>
      </c>
      <c r="K71" s="479">
        <f>IF('Room Revenue'!K71=0,0,'Room Revenue'!K71/'Room Nights'!K71)</f>
        <v>2169.7826765188834</v>
      </c>
      <c r="L71" s="483">
        <f>IF('Room Revenue'!L71=0,0,'Room Revenue'!L71/'Room Nights'!L71)</f>
        <v>1624.0509253731343</v>
      </c>
      <c r="M71" s="483">
        <f>IF('Room Revenue'!M71=0,0,'Room Revenue'!M71/'Room Nights'!M71)</f>
        <v>1297.5673086574654</v>
      </c>
      <c r="N71" s="487">
        <f>IF('Room Revenue'!N71=0,0,'Room Revenue'!N71/'Room Nights'!N71)</f>
        <v>1151.3191364421416</v>
      </c>
      <c r="O71" s="481">
        <f>IF('Room Revenue'!O71=0,0,'Room Revenue'!O71/'Room Nights'!O71)</f>
        <v>1739.567492650147</v>
      </c>
    </row>
    <row r="72" spans="1:17" x14ac:dyDescent="0.25">
      <c r="A72" s="746"/>
      <c r="B72" s="477" t="s">
        <v>182</v>
      </c>
      <c r="C72" s="478">
        <f>IF('Room Revenue'!C72=0,0,'Room Revenue'!C72/'Room Nights'!C72)</f>
        <v>1533.4732157676349</v>
      </c>
      <c r="D72" s="483">
        <f>IF('Room Revenue'!D72=0,0,'Room Revenue'!D72/'Room Nights'!D72)</f>
        <v>1472.5997427652733</v>
      </c>
      <c r="E72" s="483">
        <f>IF('Room Revenue'!E72=0,0,'Room Revenue'!E72/'Room Nights'!E72)</f>
        <v>1809.7623576512456</v>
      </c>
      <c r="F72" s="483">
        <f>IF('Room Revenue'!F72=0,0,'Room Revenue'!F72/'Room Nights'!F72)</f>
        <v>1908.7221093148576</v>
      </c>
      <c r="G72" s="483">
        <f>IF('Room Revenue'!G72=0,0,'Room Revenue'!G72/'Room Nights'!G72)</f>
        <v>2137.2009568162575</v>
      </c>
      <c r="H72" s="483">
        <f>IF('Room Revenue'!H72=0,0,'Room Revenue'!H72/'Room Nights'!H72)</f>
        <v>1576.5594444444446</v>
      </c>
      <c r="I72" s="483">
        <f>IF('Room Revenue'!I72=0,0,'Room Revenue'!I72/'Room Nights'!I72)</f>
        <v>1927.3478695652173</v>
      </c>
      <c r="J72" s="483">
        <f>IF('Room Revenue'!J72=0,0,'Room Revenue'!J72/'Room Nights'!J72)</f>
        <v>2202.7212523540493</v>
      </c>
      <c r="K72" s="479">
        <f>IF('Room Revenue'!K72=0,0,'Room Revenue'!K72/'Room Nights'!K72)</f>
        <v>2170.8300982800984</v>
      </c>
      <c r="L72" s="483">
        <f>IF('Room Revenue'!L72=0,0,'Room Revenue'!L72/'Room Nights'!L72)</f>
        <v>1872.6416554809841</v>
      </c>
      <c r="M72" s="483">
        <f>IF('Room Revenue'!M72=0,0,'Room Revenue'!M72/'Room Nights'!M72)</f>
        <v>1386.8604060638872</v>
      </c>
      <c r="N72" s="487">
        <f>IF('Room Revenue'!N72=0,0,'Room Revenue'!N72/'Room Nights'!N72)</f>
        <v>1315.7057975986277</v>
      </c>
      <c r="O72" s="481">
        <f>IF('Room Revenue'!O72=0,0,'Room Revenue'!O72/'Room Nights'!O72)</f>
        <v>1750.5164129119032</v>
      </c>
    </row>
    <row r="73" spans="1:17" x14ac:dyDescent="0.25">
      <c r="A73" s="746"/>
      <c r="B73" s="515" t="s">
        <v>183</v>
      </c>
      <c r="C73" s="478">
        <f>IF('Room Revenue'!C73=0,0,'Room Revenue'!C73/'Room Nights'!C73)</f>
        <v>1454.1698550724639</v>
      </c>
      <c r="D73" s="479">
        <f>IF('Room Revenue'!D73=0,0,'Room Revenue'!D73/'Room Nights'!D73)</f>
        <v>1516.7593282442747</v>
      </c>
      <c r="E73" s="479">
        <f>IF('Room Revenue'!E73=0,0,'Room Revenue'!E73/'Room Nights'!E73)</f>
        <v>2333.9914888178914</v>
      </c>
      <c r="F73" s="479">
        <f>IF('Room Revenue'!F73=0,0,'Room Revenue'!F73/'Room Nights'!F73)</f>
        <v>1771.5914770158254</v>
      </c>
      <c r="G73" s="479">
        <f>IF('Room Revenue'!G73=0,0,'Room Revenue'!G73/'Room Nights'!G73)</f>
        <v>2195.3386160714285</v>
      </c>
      <c r="H73" s="479">
        <f>IF('Room Revenue'!H73=0,0,'Room Revenue'!H73/'Room Nights'!H73)</f>
        <v>1945.7138554216867</v>
      </c>
      <c r="I73" s="479">
        <f>IF('Room Revenue'!I73=0,0,'Room Revenue'!I73/'Room Nights'!I73)</f>
        <v>2187.0850089020773</v>
      </c>
      <c r="J73" s="479">
        <f>IF('Room Revenue'!J73=0,0,'Room Revenue'!J73/'Room Nights'!J73)</f>
        <v>2334.5199820305484</v>
      </c>
      <c r="K73" s="479">
        <f>IF('Room Revenue'!K73=0,0,'Room Revenue'!K73/'Room Nights'!K73)</f>
        <v>2497.2302756892227</v>
      </c>
      <c r="L73" s="479" t="e">
        <f>IF('Room Revenue'!L73=0,0,'Room Revenue'!L73/'Room Nights'!L73)</f>
        <v>#DIV/0!</v>
      </c>
      <c r="M73" s="479" t="e">
        <f>IF('Room Revenue'!M73=0,0,'Room Revenue'!M73/'Room Nights'!M73)</f>
        <v>#DIV/0!</v>
      </c>
      <c r="N73" s="480" t="e">
        <f>IF('Room Revenue'!N73=0,0,'Room Revenue'!N73/'Room Nights'!N73)</f>
        <v>#DIV/0!</v>
      </c>
      <c r="O73" s="481">
        <f>IF('Room Revenue'!O73=0,0,'Room Revenue'!O73/'Room Nights'!O73)</f>
        <v>2162.9218117913829</v>
      </c>
      <c r="P73" s="450"/>
      <c r="Q73" s="484"/>
    </row>
    <row r="74" spans="1:17" x14ac:dyDescent="0.25">
      <c r="A74" s="746"/>
      <c r="B74" s="515" t="s">
        <v>184</v>
      </c>
      <c r="C74" s="478">
        <f>IF('Room Revenue'!C74=0,0,'Room Revenue'!C74/'Room Nights'!C74)</f>
        <v>1210.6288888888889</v>
      </c>
      <c r="D74" s="479">
        <f>IF('Room Revenue'!D74=0,0,'Room Revenue'!D74/'Room Nights'!D74)</f>
        <v>1595.5620000000001</v>
      </c>
      <c r="E74" s="479">
        <f>IF('Room Revenue'!E74=0,0,'Room Revenue'!E74/'Room Nights'!E74)</f>
        <v>1152.1978378378378</v>
      </c>
      <c r="F74" s="479">
        <f>IF('Room Revenue'!F74=0,0,'Room Revenue'!F74/'Room Nights'!F74)</f>
        <v>1176.9498707294551</v>
      </c>
      <c r="G74" s="479">
        <f>IF('Room Revenue'!G74=0,0,'Room Revenue'!G74/'Room Nights'!G74)</f>
        <v>1136.0973087686566</v>
      </c>
      <c r="H74" s="479">
        <f>IF('Room Revenue'!H74=0,0,'Room Revenue'!H74/'Room Nights'!H74)</f>
        <v>2317.3463076923076</v>
      </c>
      <c r="I74" s="479">
        <f>IF('Room Revenue'!I74=0,0,'Room Revenue'!I74/'Room Nights'!I74)</f>
        <v>1330.9833333333333</v>
      </c>
      <c r="J74" s="479">
        <f>IF('Room Revenue'!J74=0,0,'Room Revenue'!J74/'Room Nights'!J74)</f>
        <v>1485.7125510204082</v>
      </c>
      <c r="K74" s="479">
        <f>IF('Room Revenue'!K74=0,0,'Room Revenue'!K74/'Room Nights'!K74)</f>
        <v>1739.1740372670806</v>
      </c>
      <c r="L74" s="479">
        <f>IF('Room Revenue'!L74=0,0,'Room Revenue'!L74/'Room Nights'!L74)</f>
        <v>1381.6197993311036</v>
      </c>
      <c r="M74" s="479">
        <f>IF('Room Revenue'!M74=0,0,'Room Revenue'!M74/'Room Nights'!M74)</f>
        <v>1565.3623376623377</v>
      </c>
      <c r="N74" s="480">
        <f>IF('Room Revenue'!N74=0,0,'Room Revenue'!N74/'Room Nights'!N74)</f>
        <v>1334.8793093093093</v>
      </c>
      <c r="O74" s="481">
        <f>IF('Room Revenue'!O74=0,0,'Room Revenue'!O74/'Room Nights'!O74)</f>
        <v>1286.491788108423</v>
      </c>
      <c r="P74" s="450"/>
      <c r="Q74" s="484"/>
    </row>
    <row r="75" spans="1:17" x14ac:dyDescent="0.25">
      <c r="A75" s="746"/>
      <c r="B75" s="515" t="s">
        <v>197</v>
      </c>
      <c r="C75" s="478">
        <f>IF('Room Revenue'!C75=0,0,'Room Revenue'!C75/'Room Nights'!C75)</f>
        <v>1925.9166666666667</v>
      </c>
      <c r="D75" s="479">
        <f>IF('Room Revenue'!D75=0,0,'Room Revenue'!D75/'Room Nights'!D75)</f>
        <v>1323.6358974358975</v>
      </c>
      <c r="E75" s="479">
        <f>IF('Room Revenue'!E75=0,0,'Room Revenue'!E75/'Room Nights'!E75)</f>
        <v>1822.3929471032745</v>
      </c>
      <c r="F75" s="479">
        <f>IF('Room Revenue'!F75=0,0,'Room Revenue'!F75/'Room Nights'!F75)</f>
        <v>1410.2633451957295</v>
      </c>
      <c r="G75" s="479">
        <f>IF('Room Revenue'!G75=0,0,'Room Revenue'!G75/'Room Nights'!G75)</f>
        <v>1833.9084249084249</v>
      </c>
      <c r="H75" s="479">
        <f>IF('Room Revenue'!H75=0,0,'Room Revenue'!H75/'Room Nights'!H75)</f>
        <v>1642.7239583333333</v>
      </c>
      <c r="I75" s="479">
        <f>IF('Room Revenue'!I75=0,0,'Room Revenue'!I75/'Room Nights'!I75)</f>
        <v>1848.8924050632911</v>
      </c>
      <c r="J75" s="479">
        <f>IF('Room Revenue'!J75=0,0,'Room Revenue'!J75/'Room Nights'!J75)</f>
        <v>1923.3417085427136</v>
      </c>
      <c r="K75" s="479">
        <f>IF('Room Revenue'!K75=0,0,'Room Revenue'!K75/'Room Nights'!K75)</f>
        <v>1998.33908045977</v>
      </c>
      <c r="L75" s="479">
        <f>IF('Room Revenue'!L75=0,0,'Room Revenue'!L75/'Room Nights'!L75)</f>
        <v>2075.0677966101694</v>
      </c>
      <c r="M75" s="448">
        <f>IF('Room Revenue'!M75=0,0,'Room Revenue'!M75/'Room Nights'!M75)</f>
        <v>1520</v>
      </c>
      <c r="N75" s="449">
        <f>IF('Room Revenue'!N75=0,0,'Room Revenue'!N75/'Room Nights'!N75)</f>
        <v>1524</v>
      </c>
      <c r="O75" s="481">
        <f>IF('Room Revenue'!O75=0,0,'Room Revenue'!O75/'Room Nights'!O75)</f>
        <v>1734.9164353993217</v>
      </c>
      <c r="P75" s="450"/>
      <c r="Q75" s="484"/>
    </row>
    <row r="76" spans="1:17" ht="15.75" thickBot="1" x14ac:dyDescent="0.3">
      <c r="A76" s="747"/>
      <c r="B76" s="465" t="s">
        <v>198</v>
      </c>
      <c r="C76" s="466">
        <f>IF('Room Revenue'!C76=0,0,'Room Revenue'!C76/'Room Nights'!C76)</f>
        <v>1939.7511224489758</v>
      </c>
      <c r="D76" s="467">
        <f>IF('Room Revenue'!D76=0,0,'Room Revenue'!D76/'Room Nights'!D76)</f>
        <v>1870.2095132743336</v>
      </c>
      <c r="E76" s="467">
        <f>IF('Room Revenue'!E76=0,0,'Room Revenue'!E76/'Room Nights'!E76)</f>
        <v>1600.4611679420054</v>
      </c>
      <c r="F76" s="467">
        <f>IF('Room Revenue'!F76=0,0,'Room Revenue'!F76/'Room Nights'!F76)</f>
        <v>1360.2151661631399</v>
      </c>
      <c r="G76" s="467">
        <f>IF('Room Revenue'!G76=0,0,'Room Revenue'!G76/'Room Nights'!G76)</f>
        <v>1900.91</v>
      </c>
      <c r="H76" s="467">
        <f>IF('Room Revenue'!H76=0,0,'Room Revenue'!H76/'Room Nights'!H76)</f>
        <v>1923.184838709675</v>
      </c>
      <c r="I76" s="467">
        <f>IF('Room Revenue'!I76=0,0,'Room Revenue'!I76/'Room Nights'!I76)</f>
        <v>1193.7360606060599</v>
      </c>
      <c r="J76" s="467">
        <f>IF('Room Revenue'!J76=0,0,'Room Revenue'!J76/'Room Nights'!J76)</f>
        <v>1946.8221052631579</v>
      </c>
      <c r="K76" s="467">
        <f>IF('Room Revenue'!K76=0,0,'Room Revenue'!K76/'Room Nights'!K76)</f>
        <v>2242.7854251012145</v>
      </c>
      <c r="L76" s="467">
        <f>IF('Room Revenue'!L76=0,0,'Room Revenue'!L76/'Room Nights'!L76)</f>
        <v>2030</v>
      </c>
      <c r="M76" s="467">
        <f>IF('Room Revenue'!M76=0,0,'Room Revenue'!M76/'Room Nights'!M76)</f>
        <v>1605</v>
      </c>
      <c r="N76" s="468">
        <f>IF('Room Revenue'!N76=0,0,'Room Revenue'!N76/'Room Nights'!N76)</f>
        <v>1335</v>
      </c>
      <c r="O76" s="469">
        <f>IF('Room Revenue'!O76=0,0,'Room Revenue'!O76/'Room Nights'!O76)</f>
        <v>1663.7041403863336</v>
      </c>
      <c r="P76" s="450"/>
      <c r="Q76" s="489"/>
    </row>
    <row r="77" spans="1:17" ht="15.75" thickTop="1" x14ac:dyDescent="0.25">
      <c r="A77" s="745" t="s">
        <v>57</v>
      </c>
      <c r="B77" s="490" t="s">
        <v>180</v>
      </c>
      <c r="C77" s="478">
        <f>IF('Room Revenue'!C77=0,0,'Room Revenue'!C77/'Room Nights'!C77)</f>
        <v>-89.558999999999997</v>
      </c>
      <c r="D77" s="479">
        <f>IF('Room Revenue'!D77=0,0,'Room Revenue'!D77/'Room Nights'!D77)</f>
        <v>2347.9990624999996</v>
      </c>
      <c r="E77" s="479">
        <f>IF('Room Revenue'!E77=0,0,'Room Revenue'!E77/'Room Nights'!E77)</f>
        <v>-1857.7304838709676</v>
      </c>
      <c r="F77" s="479">
        <f>IF('Room Revenue'!F77=0,0,'Room Revenue'!F77/'Room Nights'!F77)</f>
        <v>-4452.8829032258063</v>
      </c>
      <c r="G77" s="479">
        <f>IF('Room Revenue'!G77=0,0,'Room Revenue'!G77/'Room Nights'!G77)</f>
        <v>-690.89850000000001</v>
      </c>
      <c r="H77" s="479">
        <f>IF('Room Revenue'!H77=0,0,'Room Revenue'!H77/'Room Nights'!H77)</f>
        <v>-257.2089285714286</v>
      </c>
      <c r="I77" s="479">
        <f>IF('Room Revenue'!I77=0,0,'Room Revenue'!I77/'Room Nights'!I77)</f>
        <v>-1867.7366666666667</v>
      </c>
      <c r="J77" s="479">
        <f>IF('Room Revenue'!J77=0,0,'Room Revenue'!J77/'Room Nights'!J77)</f>
        <v>-261.48818181818183</v>
      </c>
      <c r="K77" s="479">
        <f>IF('Room Revenue'!K77=0,0,'Room Revenue'!K77/'Room Nights'!K77)</f>
        <v>-5114.0088888888886</v>
      </c>
      <c r="L77" s="479">
        <f>IF('Room Revenue'!L77=0,0,'Room Revenue'!L77/'Room Nights'!L77)</f>
        <v>-237.66437499999998</v>
      </c>
      <c r="M77" s="479">
        <f>IF('Room Revenue'!M77=0,0,'Room Revenue'!M77/'Room Nights'!M77)</f>
        <v>255.42020000000005</v>
      </c>
      <c r="N77" s="480">
        <f>IF('Room Revenue'!N77=0,0,'Room Revenue'!N77/'Room Nights'!N77)</f>
        <v>-2621.5404166666667</v>
      </c>
      <c r="O77" s="481">
        <f>IF('Room Revenue'!O77=0,0,'Room Revenue'!O77/'Room Nights'!O77)</f>
        <v>-1086.623012987013</v>
      </c>
    </row>
    <row r="78" spans="1:17" x14ac:dyDescent="0.25">
      <c r="A78" s="746"/>
      <c r="B78" s="477" t="s">
        <v>181</v>
      </c>
      <c r="C78" s="491">
        <f>IF('Room Revenue'!C78=0,0,'Room Revenue'!C78/'Room Nights'!C78)</f>
        <v>-14.938378378378376</v>
      </c>
      <c r="D78" s="483">
        <f>IF('Room Revenue'!D78=0,0,'Room Revenue'!D78/'Room Nights'!D78)</f>
        <v>-10835.798888888889</v>
      </c>
      <c r="E78" s="483">
        <f>IF('Room Revenue'!E78=0,0,'Room Revenue'!E78/'Room Nights'!E78)</f>
        <v>-23.892592592592639</v>
      </c>
      <c r="F78" s="483">
        <f>IF('Room Revenue'!F78=0,0,'Room Revenue'!F78/'Room Nights'!F78)</f>
        <v>48.758333333333319</v>
      </c>
      <c r="G78" s="483">
        <f>IF('Room Revenue'!G78=0,0,'Room Revenue'!G78/'Room Nights'!G78)</f>
        <v>-3347.0280952380958</v>
      </c>
      <c r="H78" s="483">
        <f>IF('Room Revenue'!H78=0,0,'Room Revenue'!H78/'Room Nights'!H78)</f>
        <v>-227.04238095238094</v>
      </c>
      <c r="I78" s="483">
        <f>IF('Room Revenue'!I78=0,0,'Room Revenue'!I78/'Room Nights'!I78)</f>
        <v>-29.708928571428583</v>
      </c>
      <c r="J78" s="483">
        <f>IF('Room Revenue'!J78=0,0,'Room Revenue'!J78/'Room Nights'!J78)</f>
        <v>-85.448333333333338</v>
      </c>
      <c r="K78" s="479">
        <f>IF('Room Revenue'!K78=0,0,'Room Revenue'!K78/'Room Nights'!K78)</f>
        <v>-2536.1566666666668</v>
      </c>
      <c r="L78" s="483">
        <f>IF('Room Revenue'!L78=0,0,'Room Revenue'!L78/'Room Nights'!L78)</f>
        <v>-879.66476190476192</v>
      </c>
      <c r="M78" s="483">
        <f>IF('Room Revenue'!M78=0,0,'Room Revenue'!M78/'Room Nights'!M78)</f>
        <v>40.476935483870967</v>
      </c>
      <c r="N78" s="487">
        <f>IF('Room Revenue'!N78=0,0,'Room Revenue'!N78/'Room Nights'!N78)</f>
        <v>-176.1814705882353</v>
      </c>
      <c r="O78" s="492">
        <f>IF('Room Revenue'!O78=0,0,'Room Revenue'!O78/'Room Nights'!O78)</f>
        <v>-944.09739336492896</v>
      </c>
    </row>
    <row r="79" spans="1:17" x14ac:dyDescent="0.25">
      <c r="A79" s="746"/>
      <c r="B79" s="477" t="s">
        <v>182</v>
      </c>
      <c r="C79" s="493">
        <f>IF('Room Revenue'!C79=0,0,'Room Revenue'!C79/'Room Nights'!C79)</f>
        <v>103.2609375</v>
      </c>
      <c r="D79" s="494">
        <f>IF('Room Revenue'!D79=0,0,'Room Revenue'!D79/'Room Nights'!D79)</f>
        <v>-5198.7796153846148</v>
      </c>
      <c r="E79" s="494">
        <f>IF('Room Revenue'!E79=0,0,'Room Revenue'!E79/'Room Nights'!E79)</f>
        <v>-803.77775510204071</v>
      </c>
      <c r="F79" s="494">
        <f>IF('Room Revenue'!F79=0,0,'Room Revenue'!F79/'Room Nights'!F79)</f>
        <v>-1013.3611111111111</v>
      </c>
      <c r="G79" s="494">
        <f>IF('Room Revenue'!G79=0,0,'Room Revenue'!G79/'Room Nights'!G79)</f>
        <v>-558.16536231884061</v>
      </c>
      <c r="H79" s="494">
        <f>IF('Room Revenue'!H79=0,0,'Room Revenue'!H79/'Room Nights'!H79)</f>
        <v>-220.4681481481482</v>
      </c>
      <c r="I79" s="494">
        <f>IF('Room Revenue'!I79=0,0,'Room Revenue'!I79/'Room Nights'!I79)</f>
        <v>-39.623000000000005</v>
      </c>
      <c r="J79" s="494">
        <f>IF('Room Revenue'!J79=0,0,'Room Revenue'!J79/'Room Nights'!J79)</f>
        <v>-107.67440000000001</v>
      </c>
      <c r="K79" s="495">
        <f>IF('Room Revenue'!K79=0,0,'Room Revenue'!K79/'Room Nights'!K79)</f>
        <v>2.2171794871794819</v>
      </c>
      <c r="L79" s="494">
        <f>IF('Room Revenue'!L79=0,0,'Room Revenue'!L79/'Room Nights'!L79)</f>
        <v>-1086.0642499999999</v>
      </c>
      <c r="M79" s="494">
        <f>IF('Room Revenue'!M79=0,0,'Room Revenue'!M79/'Room Nights'!M79)</f>
        <v>-5463.0907692307692</v>
      </c>
      <c r="N79" s="496">
        <f>IF('Room Revenue'!N79=0,0,'Room Revenue'!N79/'Room Nights'!N79)</f>
        <v>-2124.2333333333331</v>
      </c>
      <c r="O79" s="497">
        <f>IF('Room Revenue'!O79=0,0,'Room Revenue'!O79/'Room Nights'!O79)</f>
        <v>-1361.5685714285714</v>
      </c>
    </row>
    <row r="80" spans="1:17" x14ac:dyDescent="0.25">
      <c r="A80" s="746"/>
      <c r="B80" s="515" t="s">
        <v>183</v>
      </c>
      <c r="C80" s="478">
        <f>IF('Room Revenue'!C80=0,0,'Room Revenue'!C80/'Room Nights'!C80)</f>
        <v>-353.8785294117647</v>
      </c>
      <c r="D80" s="479">
        <f>IF('Room Revenue'!D80=0,0,'Room Revenue'!D80/'Room Nights'!D80)</f>
        <v>-21.348749999999999</v>
      </c>
      <c r="E80" s="479">
        <f>IF('Room Revenue'!E80=0,0,'Room Revenue'!E80/'Room Nights'!E80)</f>
        <v>138.61944444444444</v>
      </c>
      <c r="F80" s="479">
        <f>IF('Room Revenue'!F80=0,0,'Room Revenue'!F80/'Room Nights'!F80)</f>
        <v>265.02500000000003</v>
      </c>
      <c r="G80" s="479">
        <f>IF('Room Revenue'!G80=0,0,'Room Revenue'!G80/'Room Nights'!G80)</f>
        <v>903.73823529411766</v>
      </c>
      <c r="H80" s="479">
        <f>IF('Room Revenue'!H80=0,0,'Room Revenue'!H80/'Room Nights'!H80)</f>
        <v>-738.90877551020401</v>
      </c>
      <c r="I80" s="479">
        <f>IF('Room Revenue'!I80=0,0,'Room Revenue'!I80/'Room Nights'!I80)</f>
        <v>228.66500000000002</v>
      </c>
      <c r="J80" s="479">
        <f>IF('Room Revenue'!J80=0,0,'Room Revenue'!J80/'Room Nights'!J80)</f>
        <v>-634.96434782608696</v>
      </c>
      <c r="K80" s="479">
        <f>IF('Room Revenue'!K80=0,0,'Room Revenue'!K80/'Room Nights'!K80)</f>
        <v>982.92454545454564</v>
      </c>
      <c r="L80" s="479" t="e">
        <f>IF('Room Revenue'!L80=0,0,'Room Revenue'!L80/'Room Nights'!L80)</f>
        <v>#DIV/0!</v>
      </c>
      <c r="M80" s="479">
        <f>IF('Room Revenue'!M80=0,0,'Room Revenue'!M80/'Room Nights'!M80)</f>
        <v>0</v>
      </c>
      <c r="N80" s="480">
        <f>IF('Room Revenue'!N80=0,0,'Room Revenue'!N80/'Room Nights'!N80)</f>
        <v>0</v>
      </c>
      <c r="O80" s="481">
        <f>IF('Room Revenue'!O80=0,0,'Room Revenue'!O80/'Room Nights'!O80)</f>
        <v>75.054842105263177</v>
      </c>
      <c r="P80" s="450"/>
    </row>
    <row r="81" spans="1:23" x14ac:dyDescent="0.25">
      <c r="A81" s="746"/>
      <c r="B81" s="515" t="s">
        <v>184</v>
      </c>
      <c r="C81" s="478">
        <f>IF('Room Revenue'!C81=0,0,'Room Revenue'!C81/'Room Nights'!C81)</f>
        <v>-1346.9549999999999</v>
      </c>
      <c r="D81" s="479">
        <f>IF('Room Revenue'!D81=0,0,'Room Revenue'!D81/'Room Nights'!D81)</f>
        <v>0</v>
      </c>
      <c r="E81" s="479">
        <f>IF('Room Revenue'!E81=0,0,'Room Revenue'!E81/'Room Nights'!E81)</f>
        <v>-5426.59</v>
      </c>
      <c r="F81" s="479">
        <f>IF('Room Revenue'!F81=0,0,'Room Revenue'!F81/'Room Nights'!F81)</f>
        <v>0</v>
      </c>
      <c r="G81" s="479">
        <f>IF('Room Revenue'!G81=0,0,'Room Revenue'!G81/'Room Nights'!G81)</f>
        <v>0</v>
      </c>
      <c r="H81" s="479">
        <f>IF('Room Revenue'!H81=0,0,'Room Revenue'!H81/'Room Nights'!H81)</f>
        <v>-31.502424242424212</v>
      </c>
      <c r="I81" s="479">
        <f>IF('Room Revenue'!I81=0,0,'Room Revenue'!I81/'Room Nights'!I81)</f>
        <v>-838.12</v>
      </c>
      <c r="J81" s="479">
        <f>IF('Room Revenue'!J81=0,0,'Room Revenue'!J81/'Room Nights'!J81)</f>
        <v>-422</v>
      </c>
      <c r="K81" s="479">
        <f>IF('Room Revenue'!K81=0,0,'Room Revenue'!K81/'Room Nights'!K81)</f>
        <v>-731.65107142857141</v>
      </c>
      <c r="L81" s="479">
        <f>IF('Room Revenue'!L81=0,0,'Room Revenue'!L81/'Room Nights'!L81)</f>
        <v>-579.45823529411769</v>
      </c>
      <c r="M81" s="479">
        <f>IF('Room Revenue'!M81=0,0,'Room Revenue'!M81/'Room Nights'!M81)</f>
        <v>-1766.0939999999998</v>
      </c>
      <c r="N81" s="480">
        <f>IF('Room Revenue'!N81=0,0,'Room Revenue'!N81/'Room Nights'!N81)</f>
        <v>-1325.6546153846152</v>
      </c>
      <c r="O81" s="481">
        <f>IF('Room Revenue'!O81=0,0,'Room Revenue'!O81/'Room Nights'!O81)</f>
        <v>-585.1456774193548</v>
      </c>
      <c r="P81" s="450"/>
    </row>
    <row r="82" spans="1:23" x14ac:dyDescent="0.25">
      <c r="A82" s="746"/>
      <c r="B82" s="515" t="s">
        <v>197</v>
      </c>
      <c r="C82" s="478">
        <f>IF('Room Revenue'!C82=0,0,'Room Revenue'!C82/'Room Nights'!C82)</f>
        <v>-817.33333333333337</v>
      </c>
      <c r="D82" s="479">
        <f>IF('Room Revenue'!D82=0,0,'Room Revenue'!D82/'Room Nights'!D82)</f>
        <v>548</v>
      </c>
      <c r="E82" s="479">
        <f>IF('Room Revenue'!E82=0,0,'Room Revenue'!E82/'Room Nights'!E82)</f>
        <v>0</v>
      </c>
      <c r="F82" s="479">
        <f>IF('Room Revenue'!F82=0,0,'Room Revenue'!F82/'Room Nights'!F82)</f>
        <v>0</v>
      </c>
      <c r="G82" s="479">
        <f>IF('Room Revenue'!G82=0,0,'Room Revenue'!G82/'Room Nights'!G82)</f>
        <v>101.66666666666667</v>
      </c>
      <c r="H82" s="479">
        <f>IF('Room Revenue'!H82=0,0,'Room Revenue'!H82/'Room Nights'!H82)</f>
        <v>235.5</v>
      </c>
      <c r="I82" s="479">
        <f>IF('Room Revenue'!I82=0,0,'Room Revenue'!I82/'Room Nights'!I82)</f>
        <v>0</v>
      </c>
      <c r="J82" s="479">
        <f>IF('Room Revenue'!J82=0,0,'Room Revenue'!J82/'Room Nights'!J82)</f>
        <v>2092.3333333333335</v>
      </c>
      <c r="K82" s="479">
        <f>IF('Room Revenue'!K82=0,0,'Room Revenue'!K82/'Room Nights'!K82)</f>
        <v>619.33333333333337</v>
      </c>
      <c r="L82" s="479">
        <f>IF('Room Revenue'!L82=0,0,'Room Revenue'!L82/'Room Nights'!L82)</f>
        <v>711.90909090909088</v>
      </c>
      <c r="M82" s="448">
        <f>IF('Room Revenue'!M82=0,0,'Room Revenue'!M82/'Room Nights'!M82)</f>
        <v>0</v>
      </c>
      <c r="N82" s="449">
        <f>IF('Room Revenue'!N82=0,0,'Room Revenue'!N82/'Room Nights'!N82)</f>
        <v>0</v>
      </c>
      <c r="O82" s="481">
        <f>IF('Room Revenue'!O82=0,0,'Room Revenue'!O82/'Room Nights'!O82)</f>
        <v>288.91919191919192</v>
      </c>
      <c r="P82" s="450"/>
    </row>
    <row r="83" spans="1:23" ht="15.75" thickBot="1" x14ac:dyDescent="0.3">
      <c r="A83" s="747"/>
      <c r="B83" s="465" t="s">
        <v>198</v>
      </c>
      <c r="C83" s="466">
        <f>IF('Room Revenue'!C83=0,0,'Room Revenue'!C83/'Room Nights'!C83)</f>
        <v>0</v>
      </c>
      <c r="D83" s="467">
        <f>IF('Room Revenue'!D83=0,0,'Room Revenue'!D83/'Room Nights'!D83)</f>
        <v>0</v>
      </c>
      <c r="E83" s="467">
        <f>IF('Room Revenue'!E83=0,0,'Room Revenue'!E83/'Room Nights'!E83)</f>
        <v>0</v>
      </c>
      <c r="F83" s="467">
        <f>IF('Room Revenue'!F83=0,0,'Room Revenue'!F83/'Room Nights'!F83)</f>
        <v>0</v>
      </c>
      <c r="G83" s="467">
        <f>IF('Room Revenue'!G83=0,0,'Room Revenue'!G83/'Room Nights'!G83)</f>
        <v>0</v>
      </c>
      <c r="H83" s="467">
        <f>IF('Room Revenue'!H83=0,0,'Room Revenue'!H83/'Room Nights'!H83)</f>
        <v>0</v>
      </c>
      <c r="I83" s="467">
        <f>IF('Room Revenue'!I83=0,0,'Room Revenue'!I83/'Room Nights'!I83)</f>
        <v>0</v>
      </c>
      <c r="J83" s="467">
        <f>IF('Room Revenue'!J83=0,0,'Room Revenue'!J83/'Room Nights'!J83)</f>
        <v>0</v>
      </c>
      <c r="K83" s="467">
        <f>IF('Room Revenue'!K83=0,0,'Room Revenue'!K83/'Room Nights'!K83)</f>
        <v>0</v>
      </c>
      <c r="L83" s="467">
        <f>IF('Room Revenue'!L83=0,0,'Room Revenue'!L83/'Room Nights'!L83)</f>
        <v>0</v>
      </c>
      <c r="M83" s="467">
        <f>IF('Room Revenue'!M83=0,0,'Room Revenue'!M83/'Room Nights'!M83)</f>
        <v>0</v>
      </c>
      <c r="N83" s="468">
        <f>IF('Room Revenue'!N83=0,0,'Room Revenue'!N83/'Room Nights'!N83)</f>
        <v>0</v>
      </c>
      <c r="O83" s="469">
        <f>IF('Room Revenue'!O83=0,0,'Room Revenue'!O83/'Room Nights'!O83)</f>
        <v>0</v>
      </c>
      <c r="P83" s="450"/>
    </row>
    <row r="84" spans="1:23" ht="15.75" thickTop="1" x14ac:dyDescent="0.25">
      <c r="A84" s="745" t="s">
        <v>20</v>
      </c>
      <c r="B84" s="490" t="s">
        <v>180</v>
      </c>
      <c r="C84" s="498">
        <f>IF('Room Revenue'!C84=0,0,'Room Revenue'!C84/'Room Nights'!C84)</f>
        <v>1044.7505753424659</v>
      </c>
      <c r="D84" s="495">
        <f>IF('Room Revenue'!D84=0,0,'Room Revenue'!D84/'Room Nights'!D84)</f>
        <v>991.67138185168142</v>
      </c>
      <c r="E84" s="495">
        <f>IF('Room Revenue'!E84=0,0,'Room Revenue'!E84/'Room Nights'!E84)</f>
        <v>1235.2079556074768</v>
      </c>
      <c r="F84" s="495">
        <f>IF('Room Revenue'!F84=0,0,'Room Revenue'!F84/'Room Nights'!F84)</f>
        <v>1467.2094758173469</v>
      </c>
      <c r="G84" s="495">
        <f>IF('Room Revenue'!G84=0,0,'Room Revenue'!G84/'Room Nights'!G84)</f>
        <v>1380.0612904845593</v>
      </c>
      <c r="H84" s="495">
        <f>IF('Room Revenue'!H84=0,0,'Room Revenue'!H84/'Room Nights'!H84)</f>
        <v>1543.8982306717367</v>
      </c>
      <c r="I84" s="495">
        <f>IF('Room Revenue'!I84=0,0,'Room Revenue'!I84/'Room Nights'!I84)</f>
        <v>1590.6912694238588</v>
      </c>
      <c r="J84" s="495">
        <f>IF('Room Revenue'!J84=0,0,'Room Revenue'!J84/'Room Nights'!J84)</f>
        <v>1587.5262478141392</v>
      </c>
      <c r="K84" s="495">
        <f>IF('Room Revenue'!K84=0,0,'Room Revenue'!K84/'Room Nights'!K84)</f>
        <v>1524.0204474157881</v>
      </c>
      <c r="L84" s="495">
        <f>IF('Room Revenue'!L84=0,0,'Room Revenue'!L84/'Room Nights'!L84)</f>
        <v>1348.9733097136107</v>
      </c>
      <c r="M84" s="495">
        <f>IF('Room Revenue'!M84=0,0,'Room Revenue'!M84/'Room Nights'!M84)</f>
        <v>1095.6270838600926</v>
      </c>
      <c r="N84" s="499">
        <f>IF('Room Revenue'!N84=0,0,'Room Revenue'!N84/'Room Nights'!N84)</f>
        <v>985.23769869513637</v>
      </c>
      <c r="O84" s="481">
        <f>IF('Room Revenue'!O84=0,0,'Room Revenue'!O84/'Room Nights'!O84)</f>
        <v>1375.9865639853988</v>
      </c>
      <c r="P84" s="476"/>
      <c r="R84" s="450"/>
      <c r="T84" s="430"/>
      <c r="U84" s="476"/>
      <c r="W84" s="476"/>
    </row>
    <row r="85" spans="1:23" x14ac:dyDescent="0.25">
      <c r="A85" s="746"/>
      <c r="B85" s="477" t="s">
        <v>181</v>
      </c>
      <c r="C85" s="478">
        <f>IF('Room Revenue'!C85=0,0,'Room Revenue'!C85/'Room Nights'!C85)</f>
        <v>1119.8971709601874</v>
      </c>
      <c r="D85" s="479">
        <f>IF('Room Revenue'!D85=0,0,'Room Revenue'!D85/'Room Nights'!D85)</f>
        <v>1190.7190453834116</v>
      </c>
      <c r="E85" s="479">
        <f>IF('Room Revenue'!E85=0,0,'Room Revenue'!E85/'Room Nights'!E85)</f>
        <v>1375.5654336425978</v>
      </c>
      <c r="F85" s="479">
        <f>IF('Room Revenue'!F85=0,0,'Room Revenue'!F85/'Room Nights'!F85)</f>
        <v>1580.8472875033306</v>
      </c>
      <c r="G85" s="479">
        <f>IF('Room Revenue'!G85=0,0,'Room Revenue'!G85/'Room Nights'!G85)</f>
        <v>1595.6317845777232</v>
      </c>
      <c r="H85" s="479">
        <f>IF('Room Revenue'!H85=0,0,'Room Revenue'!H85/'Room Nights'!H85)</f>
        <v>1717.1552820649283</v>
      </c>
      <c r="I85" s="479">
        <f>IF('Room Revenue'!I85=0,0,'Room Revenue'!I85/'Room Nights'!I85)</f>
        <v>1861.6754713940372</v>
      </c>
      <c r="J85" s="479">
        <f>IF('Room Revenue'!J85=0,0,'Room Revenue'!J85/'Room Nights'!J85)</f>
        <v>1811.5804444444445</v>
      </c>
      <c r="K85" s="495">
        <f>IF('Room Revenue'!K85=0,0,'Room Revenue'!K85/'Room Nights'!K85)</f>
        <v>1741.5613911574201</v>
      </c>
      <c r="L85" s="479">
        <f>IF('Room Revenue'!L85=0,0,'Room Revenue'!L85/'Room Nights'!L85)</f>
        <v>1399.9328054740959</v>
      </c>
      <c r="M85" s="479">
        <f>IF('Room Revenue'!M85=0,0,'Room Revenue'!M85/'Room Nights'!M85)</f>
        <v>1133.7581232294617</v>
      </c>
      <c r="N85" s="480">
        <f>IF('Room Revenue'!N85=0,0,'Room Revenue'!N85/'Room Nights'!N85)</f>
        <v>1057.0511063011063</v>
      </c>
      <c r="O85" s="481">
        <f>IF('Room Revenue'!O85=0,0,'Room Revenue'!O85/'Room Nights'!O85)</f>
        <v>1519.0369030482641</v>
      </c>
      <c r="P85" s="476"/>
      <c r="R85" s="450"/>
      <c r="T85" s="430"/>
      <c r="U85" s="476"/>
    </row>
    <row r="86" spans="1:23" x14ac:dyDescent="0.25">
      <c r="A86" s="746"/>
      <c r="B86" s="477" t="s">
        <v>182</v>
      </c>
      <c r="C86" s="478">
        <f>IF('Room Revenue'!C86=0,0,'Room Revenue'!C86/'Room Nights'!C86)</f>
        <v>1129.9304511707594</v>
      </c>
      <c r="D86" s="479">
        <f>IF('Room Revenue'!D86=0,0,'Room Revenue'!D86/'Room Nights'!D86)</f>
        <v>1220.7270245842371</v>
      </c>
      <c r="E86" s="479">
        <f>IF('Room Revenue'!E86=0,0,'Room Revenue'!E86/'Room Nights'!E86)</f>
        <v>1464.8204567143828</v>
      </c>
      <c r="F86" s="479">
        <f>IF('Room Revenue'!F86=0,0,'Room Revenue'!F86/'Room Nights'!F86)</f>
        <v>1665.1108650519029</v>
      </c>
      <c r="G86" s="479">
        <f>IF('Room Revenue'!G86=0,0,'Room Revenue'!G86/'Room Nights'!G86)</f>
        <v>1761.56688262638</v>
      </c>
      <c r="H86" s="479">
        <f>IF('Room Revenue'!H86=0,0,'Room Revenue'!H86/'Room Nights'!H86)</f>
        <v>1849.7370898876404</v>
      </c>
      <c r="I86" s="479">
        <f>IF('Room Revenue'!I86=0,0,'Room Revenue'!I86/'Room Nights'!I86)</f>
        <v>1945.2987931937168</v>
      </c>
      <c r="J86" s="479">
        <f>IF('Room Revenue'!J86=0,0,'Room Revenue'!J86/'Room Nights'!J86)</f>
        <v>1937.7614771003944</v>
      </c>
      <c r="K86" s="495">
        <f>IF('Room Revenue'!K86=0,0,'Room Revenue'!K86/'Room Nights'!K86)</f>
        <v>1855.5460299625468</v>
      </c>
      <c r="L86" s="479">
        <f>IF('Room Revenue'!L86=0,0,'Room Revenue'!L86/'Room Nights'!L86)</f>
        <v>1608.8246397807363</v>
      </c>
      <c r="M86" s="479">
        <f>IF('Room Revenue'!M86=0,0,'Room Revenue'!M86/'Room Nights'!M86)</f>
        <v>1250.4881112277019</v>
      </c>
      <c r="N86" s="480">
        <f>IF('Room Revenue'!N86=0,0,'Room Revenue'!N86/'Room Nights'!N86)</f>
        <v>1238.5552849303504</v>
      </c>
      <c r="O86" s="481">
        <f>IF('Room Revenue'!O86=0,0,'Room Revenue'!O86/'Room Nights'!O86)</f>
        <v>1625.8700330861068</v>
      </c>
      <c r="P86" s="476"/>
      <c r="R86" s="450"/>
      <c r="T86" s="430"/>
      <c r="U86" s="476"/>
    </row>
    <row r="87" spans="1:23" s="430" customFormat="1" x14ac:dyDescent="0.25">
      <c r="A87" s="746"/>
      <c r="B87" s="515" t="s">
        <v>183</v>
      </c>
      <c r="C87" s="478">
        <f>IF('Room Revenue'!C87=0,0,'Room Revenue'!C87/'Room Nights'!C87)</f>
        <v>1126.8963667041619</v>
      </c>
      <c r="D87" s="479">
        <f>IF('Room Revenue'!D87=0,0,'Room Revenue'!D87/'Room Nights'!D87)</f>
        <v>1200.8045485602731</v>
      </c>
      <c r="E87" s="479">
        <f>IF('Room Revenue'!E87=0,0,'Room Revenue'!E87/'Room Nights'!E87)</f>
        <v>1929.563365800866</v>
      </c>
      <c r="F87" s="479">
        <f>IF('Room Revenue'!F87=0,0,'Room Revenue'!F87/'Room Nights'!F87)</f>
        <v>1664.1354584291814</v>
      </c>
      <c r="G87" s="479">
        <f>IF('Room Revenue'!G87=0,0,'Room Revenue'!G87/'Room Nights'!G87)</f>
        <v>1902.8124194528873</v>
      </c>
      <c r="H87" s="495">
        <f>IF('Room Revenue'!H87=0,0,'Room Revenue'!H87/'Room Nights'!H87)</f>
        <v>1947.3893680884676</v>
      </c>
      <c r="I87" s="479">
        <f>IF('Room Revenue'!I87=0,0,'Room Revenue'!I87/'Room Nights'!I87)</f>
        <v>2076.9514076246337</v>
      </c>
      <c r="J87" s="479">
        <f>IF('Room Revenue'!J87=0,0,'Room Revenue'!J87/'Room Nights'!J87)</f>
        <v>2033.1299633603769</v>
      </c>
      <c r="K87" s="495">
        <f>IF('Room Revenue'!K87=0,0,'Room Revenue'!K87/'Room Nights'!K87)</f>
        <v>1922.2342826086956</v>
      </c>
      <c r="L87" s="479">
        <f>IF('Room Revenue'!L87=0,0,'Room Revenue'!L87/'Room Nights'!L87)</f>
        <v>685.65812500000004</v>
      </c>
      <c r="M87" s="479" t="e">
        <f>IF('Room Revenue'!M87=0,0,'Room Revenue'!M87/'Room Nights'!M87)</f>
        <v>#DIV/0!</v>
      </c>
      <c r="N87" s="480">
        <f>IF('Room Revenue'!N87=0,0,'Room Revenue'!N87/'Room Nights'!N87)</f>
        <v>3256.7525000000001</v>
      </c>
      <c r="O87" s="481">
        <f>IF('Room Revenue'!O87=0,0,'Room Revenue'!O87/'Room Nights'!O87)</f>
        <v>1847.5061405610077</v>
      </c>
      <c r="P87" s="450"/>
      <c r="Q87" s="476"/>
      <c r="R87" s="503"/>
      <c r="T87" s="297"/>
      <c r="U87" s="297"/>
      <c r="V87" s="297"/>
      <c r="W87" s="297"/>
    </row>
    <row r="88" spans="1:23" s="430" customFormat="1" x14ac:dyDescent="0.25">
      <c r="A88" s="746"/>
      <c r="B88" s="515" t="s">
        <v>184</v>
      </c>
      <c r="C88" s="478">
        <f>IF('Room Revenue'!C88=0,0,'Room Revenue'!C88/'Room Nights'!C88)</f>
        <v>870.42925925925908</v>
      </c>
      <c r="D88" s="479">
        <f>IF('Room Revenue'!D88=0,0,'Room Revenue'!D88/'Room Nights'!D88)</f>
        <v>970.84803571428574</v>
      </c>
      <c r="E88" s="479">
        <f>IF('Room Revenue'!E88=0,0,'Room Revenue'!E88/'Room Nights'!E88)</f>
        <v>1063.1920689655171</v>
      </c>
      <c r="F88" s="479">
        <f>IF('Room Revenue'!F88=0,0,'Room Revenue'!F88/'Room Nights'!F88)</f>
        <v>1176.9498707294551</v>
      </c>
      <c r="G88" s="479">
        <f>IF('Room Revenue'!G88=0,0,'Room Revenue'!G88/'Room Nights'!G88)</f>
        <v>1146.5706364858806</v>
      </c>
      <c r="H88" s="495">
        <f>IF('Room Revenue'!H88=0,0,'Room Revenue'!H88/'Room Nights'!H88)</f>
        <v>1470.654966887417</v>
      </c>
      <c r="I88" s="479">
        <f>IF('Room Revenue'!I88=0,0,'Room Revenue'!I88/'Room Nights'!I88)</f>
        <v>1344.740043010753</v>
      </c>
      <c r="J88" s="479">
        <f>IF('Room Revenue'!J88=0,0,'Room Revenue'!J88/'Room Nights'!J88)</f>
        <v>1304.6496467722288</v>
      </c>
      <c r="K88" s="495">
        <f>IF('Room Revenue'!K88=0,0,'Room Revenue'!K88/'Room Nights'!K88)</f>
        <v>1361.7548933039</v>
      </c>
      <c r="L88" s="479">
        <f>IF('Room Revenue'!L88=0,0,'Room Revenue'!L88/'Room Nights'!L88)</f>
        <v>1122.1023989501311</v>
      </c>
      <c r="M88" s="479">
        <f>IF('Room Revenue'!M88=0,0,'Room Revenue'!M88/'Room Nights'!M88)</f>
        <v>1310.0429586656999</v>
      </c>
      <c r="N88" s="480">
        <f>IF('Room Revenue'!N88=0,0,'Room Revenue'!N88/'Room Nights'!N88)</f>
        <v>1139.8995019531251</v>
      </c>
      <c r="O88" s="481">
        <f>IF('Room Revenue'!O88=0,0,'Room Revenue'!O88/'Room Nights'!O88)</f>
        <v>1222.0293509579681</v>
      </c>
      <c r="P88" s="450"/>
      <c r="Q88" s="476"/>
      <c r="R88" s="503"/>
      <c r="T88" s="297"/>
      <c r="U88" s="297"/>
      <c r="V88" s="297"/>
      <c r="W88" s="297"/>
    </row>
    <row r="89" spans="1:23" s="430" customFormat="1" x14ac:dyDescent="0.25">
      <c r="A89" s="746"/>
      <c r="B89" s="515" t="s">
        <v>197</v>
      </c>
      <c r="C89" s="478">
        <f>IF('Room Revenue'!C89=0,0,'Room Revenue'!C89/'Room Nights'!C89)</f>
        <v>927.32926829268297</v>
      </c>
      <c r="D89" s="479">
        <f>IF('Room Revenue'!D89=0,0,'Room Revenue'!D89/'Room Nights'!D89)</f>
        <v>1076.8998862343572</v>
      </c>
      <c r="E89" s="479">
        <f>IF('Room Revenue'!E89=0,0,'Room Revenue'!E89/'Room Nights'!E89)</f>
        <v>1260.4854039375425</v>
      </c>
      <c r="F89" s="479">
        <f>IF('Room Revenue'!F89=0,0,'Room Revenue'!F89/'Room Nights'!F89)</f>
        <v>1407.3256735340728</v>
      </c>
      <c r="G89" s="479">
        <f>IF('Room Revenue'!G89=0,0,'Room Revenue'!G89/'Room Nights'!G89)</f>
        <v>1512.0082146768893</v>
      </c>
      <c r="H89" s="495">
        <f>IF('Room Revenue'!H89=0,0,'Room Revenue'!H89/'Room Nights'!H89)</f>
        <v>1744.7234185733512</v>
      </c>
      <c r="I89" s="479">
        <f>IF('Room Revenue'!I89=0,0,'Room Revenue'!I89/'Room Nights'!I89)</f>
        <v>1959.3232484076434</v>
      </c>
      <c r="J89" s="479">
        <f>IF('Room Revenue'!J89=0,0,'Room Revenue'!J89/'Room Nights'!J89)</f>
        <v>1991.6037854889589</v>
      </c>
      <c r="K89" s="495">
        <f>IF('Room Revenue'!K89=0,0,'Room Revenue'!K89/'Room Nights'!K89)</f>
        <v>1987.1125860373647</v>
      </c>
      <c r="L89" s="479">
        <f>IF('Room Revenue'!L89=0,0,'Room Revenue'!L89/'Room Nights'!L89)</f>
        <v>1628.8022471910112</v>
      </c>
      <c r="M89" s="448">
        <f>IF('Room Revenue'!M89=0,0,'Room Revenue'!M89/'Room Nights'!M89)</f>
        <v>1256.1694214876034</v>
      </c>
      <c r="N89" s="449">
        <f>IF('Room Revenue'!N89=0,0,'Room Revenue'!N89/'Room Nights'!N89)</f>
        <v>1251.4726720647773</v>
      </c>
      <c r="O89" s="481">
        <f>IF('Room Revenue'!O89=0,0,'Room Revenue'!O89/'Room Nights'!O89)</f>
        <v>1583.06275866329</v>
      </c>
      <c r="P89" s="450"/>
      <c r="Q89" s="476"/>
      <c r="R89" s="503"/>
      <c r="T89" s="297"/>
      <c r="U89" s="297"/>
      <c r="V89" s="297"/>
      <c r="W89" s="297"/>
    </row>
    <row r="90" spans="1:23" s="430" customFormat="1" ht="15.75" thickBot="1" x14ac:dyDescent="0.3">
      <c r="A90" s="747"/>
      <c r="B90" s="465" t="s">
        <v>198</v>
      </c>
      <c r="C90" s="466">
        <f>IF('Room Revenue'!C90=0,0,'Room Revenue'!C90/'Room Nights'!C90)</f>
        <v>1281.526242625444</v>
      </c>
      <c r="D90" s="466">
        <f>IF('Room Revenue'!D90=0,0,'Room Revenue'!D90/'Room Nights'!D90)</f>
        <v>1327.8493160692315</v>
      </c>
      <c r="E90" s="466">
        <f>IF('Room Revenue'!E90=0,0,'Room Revenue'!E90/'Room Nights'!E90)</f>
        <v>1296.0793889170759</v>
      </c>
      <c r="F90" s="466">
        <f>IF('Room Revenue'!F90=0,0,'Room Revenue'!F90/'Room Nights'!F90)</f>
        <v>1596.0282914284276</v>
      </c>
      <c r="G90" s="466">
        <f>IF('Room Revenue'!G90=0,0,'Room Revenue'!G90/'Room Nights'!G90)</f>
        <v>1823.8325935033167</v>
      </c>
      <c r="H90" s="466">
        <f>IF('Room Revenue'!H90=0,0,'Room Revenue'!H90/'Room Nights'!H90)</f>
        <v>2069.4168880327388</v>
      </c>
      <c r="I90" s="466">
        <f>IF('Room Revenue'!I90=0,0,'Room Revenue'!I90/'Room Nights'!I90)</f>
        <v>1789.9399109546951</v>
      </c>
      <c r="J90" s="466">
        <f>IF('Room Revenue'!J90=0,0,'Room Revenue'!J90/'Room Nights'!J90)</f>
        <v>2048.4757191040303</v>
      </c>
      <c r="K90" s="504">
        <f>IF('Room Revenue'!K90=0,0,'Room Revenue'!K90/'Room Nights'!K90)</f>
        <v>1907.6065355533856</v>
      </c>
      <c r="L90" s="466">
        <f>IF('Room Revenue'!L90=0,0,'Room Revenue'!L90/'Room Nights'!L90)</f>
        <v>1566.0890194228634</v>
      </c>
      <c r="M90" s="466">
        <f>IF('Room Revenue'!M90=0,0,'Room Revenue'!M90/'Room Nights'!M90)</f>
        <v>1206.8193707958276</v>
      </c>
      <c r="N90" s="486">
        <f>IF('Room Revenue'!N90=0,0,'Room Revenue'!N90/'Room Nights'!N90)</f>
        <v>1202.4287691049742</v>
      </c>
      <c r="O90" s="469">
        <f>IF('Room Revenue'!O90=0,0,'Room Revenue'!O90/'Room Nights'!O90)</f>
        <v>1653.7065432370205</v>
      </c>
      <c r="P90" s="450"/>
      <c r="Q90" s="476"/>
      <c r="R90" s="590"/>
      <c r="T90" s="297"/>
      <c r="U90" s="297"/>
      <c r="V90" s="297"/>
      <c r="W90" s="297"/>
    </row>
    <row r="91" spans="1:23" ht="15.75" thickTop="1" x14ac:dyDescent="0.25">
      <c r="A91" s="529"/>
      <c r="C91" s="430"/>
      <c r="D91" s="430"/>
      <c r="E91" s="430"/>
      <c r="F91" s="430"/>
      <c r="G91" s="430"/>
      <c r="H91" s="430"/>
      <c r="I91" s="430"/>
      <c r="J91" s="430"/>
      <c r="K91" s="430"/>
      <c r="L91" s="430"/>
      <c r="M91" s="430"/>
      <c r="N91" s="430"/>
      <c r="O91" s="430"/>
    </row>
    <row r="92" spans="1:23" x14ac:dyDescent="0.25">
      <c r="A92" s="297" t="s">
        <v>214</v>
      </c>
      <c r="C92" s="450">
        <f>(C90-C89)/C89</f>
        <v>0.3819538393141384</v>
      </c>
      <c r="D92" s="450">
        <f t="shared" ref="D92:O92" si="0">(D90-D89)/D89</f>
        <v>0.2330294886671222</v>
      </c>
      <c r="E92" s="450">
        <f t="shared" si="0"/>
        <v>2.823831586493887E-2</v>
      </c>
      <c r="F92" s="450">
        <f t="shared" si="0"/>
        <v>0.13408596278961155</v>
      </c>
      <c r="G92" s="450">
        <f t="shared" si="0"/>
        <v>0.20623193432389064</v>
      </c>
      <c r="H92" s="450">
        <f t="shared" si="0"/>
        <v>0.18610025291280113</v>
      </c>
      <c r="I92" s="450">
        <f t="shared" si="0"/>
        <v>-8.6449919680485321E-2</v>
      </c>
      <c r="J92" s="450">
        <f t="shared" si="0"/>
        <v>2.8555847317346179E-2</v>
      </c>
      <c r="K92" s="450">
        <f t="shared" si="0"/>
        <v>-4.001084339288874E-2</v>
      </c>
      <c r="L92" s="450">
        <f t="shared" si="0"/>
        <v>-3.8502665302863726E-2</v>
      </c>
      <c r="M92" s="450">
        <f t="shared" si="0"/>
        <v>-3.9286142336862159E-2</v>
      </c>
      <c r="N92" s="450">
        <f t="shared" si="0"/>
        <v>-3.9188952387499282E-2</v>
      </c>
      <c r="O92" s="450">
        <f t="shared" si="0"/>
        <v>4.4624752990450524E-2</v>
      </c>
    </row>
    <row r="93" spans="1:23" x14ac:dyDescent="0.25">
      <c r="A93" s="297" t="s">
        <v>215</v>
      </c>
      <c r="C93" s="450">
        <f>(C90-C86)/C86</f>
        <v>0.13416382512535263</v>
      </c>
      <c r="D93" s="450">
        <f t="shared" ref="D93:O93" si="1">(D90-D86)/D86</f>
        <v>8.775286311161884E-2</v>
      </c>
      <c r="E93" s="450">
        <f t="shared" si="1"/>
        <v>-0.1151957340736461</v>
      </c>
      <c r="F93" s="450">
        <f t="shared" si="1"/>
        <v>-4.1488272687069394E-2</v>
      </c>
      <c r="G93" s="450">
        <f t="shared" si="1"/>
        <v>3.5346776492586343E-2</v>
      </c>
      <c r="H93" s="450">
        <f t="shared" si="1"/>
        <v>0.1187627146290517</v>
      </c>
      <c r="I93" s="450">
        <f t="shared" si="1"/>
        <v>-7.986376323400661E-2</v>
      </c>
      <c r="J93" s="450">
        <f t="shared" si="1"/>
        <v>5.7135123859157977E-2</v>
      </c>
      <c r="K93" s="450">
        <f t="shared" si="1"/>
        <v>2.8056703929834413E-2</v>
      </c>
      <c r="L93" s="450">
        <f t="shared" si="1"/>
        <v>-2.6563255746566178E-2</v>
      </c>
      <c r="M93" s="450">
        <f t="shared" si="1"/>
        <v>-3.4921355940762441E-2</v>
      </c>
      <c r="N93" s="450">
        <f t="shared" si="1"/>
        <v>-2.9168270698071992E-2</v>
      </c>
      <c r="O93" s="450">
        <f t="shared" si="1"/>
        <v>1.7120993427793531E-2</v>
      </c>
    </row>
    <row r="95" spans="1:23" x14ac:dyDescent="0.25">
      <c r="A95" s="297" t="s">
        <v>8</v>
      </c>
    </row>
    <row r="96" spans="1:23" x14ac:dyDescent="0.25">
      <c r="A96" s="297" t="s">
        <v>214</v>
      </c>
      <c r="C96" s="450">
        <f>(C34-C33)/C33</f>
        <v>0.31521668688717708</v>
      </c>
      <c r="D96" s="450">
        <f t="shared" ref="D96:O96" si="2">(D34-D33)/D33</f>
        <v>0.24514021471410899</v>
      </c>
      <c r="E96" s="450">
        <f t="shared" si="2"/>
        <v>0.21870757807306249</v>
      </c>
      <c r="F96" s="450">
        <f t="shared" si="2"/>
        <v>0.2391840694144845</v>
      </c>
      <c r="G96" s="450">
        <f t="shared" si="2"/>
        <v>0.35768634871211108</v>
      </c>
      <c r="H96" s="450">
        <f t="shared" si="2"/>
        <v>0.25278149297257835</v>
      </c>
      <c r="I96" s="450">
        <f t="shared" si="2"/>
        <v>9.0000216853019635E-2</v>
      </c>
      <c r="J96" s="450">
        <f t="shared" si="2"/>
        <v>6.1597754940119237E-2</v>
      </c>
      <c r="K96" s="450">
        <f t="shared" si="2"/>
        <v>2.0060488040464994E-2</v>
      </c>
      <c r="L96" s="450">
        <f t="shared" si="2"/>
        <v>3.6135154853510015E-2</v>
      </c>
      <c r="M96" s="450">
        <f t="shared" si="2"/>
        <v>0.17228641146436813</v>
      </c>
      <c r="N96" s="450">
        <f t="shared" si="2"/>
        <v>0.16578212547858776</v>
      </c>
      <c r="O96" s="450">
        <f t="shared" si="2"/>
        <v>0.12642418120581014</v>
      </c>
    </row>
    <row r="97" spans="1:15" x14ac:dyDescent="0.25">
      <c r="A97" s="297" t="s">
        <v>215</v>
      </c>
      <c r="C97" s="450">
        <f>(C34-C30)/C30</f>
        <v>0.1605198007268582</v>
      </c>
      <c r="D97" s="450">
        <f t="shared" ref="D97:O97" si="3">(D34-D30)/D30</f>
        <v>0.17068863755123057</v>
      </c>
      <c r="E97" s="450">
        <f t="shared" si="3"/>
        <v>-9.4173257727965212E-2</v>
      </c>
      <c r="F97" s="450">
        <f t="shared" si="3"/>
        <v>4.6732841140036153E-2</v>
      </c>
      <c r="G97" s="450">
        <f t="shared" si="3"/>
        <v>8.8446998693618953E-2</v>
      </c>
      <c r="H97" s="450">
        <f t="shared" si="3"/>
        <v>5.3818150888081132E-2</v>
      </c>
      <c r="I97" s="450">
        <f t="shared" si="3"/>
        <v>-5.2967033380843923E-2</v>
      </c>
      <c r="J97" s="450">
        <f t="shared" si="3"/>
        <v>4.660976226176114E-2</v>
      </c>
      <c r="K97" s="450">
        <f t="shared" si="3"/>
        <v>0.13602242087683564</v>
      </c>
      <c r="L97" s="450">
        <f t="shared" si="3"/>
        <v>1.3852465408340859E-2</v>
      </c>
      <c r="M97" s="450">
        <f t="shared" si="3"/>
        <v>8.1411328483838599E-2</v>
      </c>
      <c r="N97" s="450">
        <f t="shared" si="3"/>
        <v>5.2104959406294199E-2</v>
      </c>
      <c r="O97" s="450">
        <f t="shared" si="3"/>
        <v>2.3179405463692009E-2</v>
      </c>
    </row>
  </sheetData>
  <mergeCells count="14">
    <mergeCell ref="A28:A34"/>
    <mergeCell ref="C2:O4"/>
    <mergeCell ref="A6:B6"/>
    <mergeCell ref="A7:A13"/>
    <mergeCell ref="A14:A20"/>
    <mergeCell ref="A21:A27"/>
    <mergeCell ref="A77:A83"/>
    <mergeCell ref="A84:A90"/>
    <mergeCell ref="A35:A41"/>
    <mergeCell ref="A42:A48"/>
    <mergeCell ref="A49:A55"/>
    <mergeCell ref="A56:A62"/>
    <mergeCell ref="A63:A69"/>
    <mergeCell ref="A70:A76"/>
  </mergeCells>
  <pageMargins left="0.70866141732283472" right="0.70866141732283472" top="0.74803149606299213" bottom="0.74803149606299213" header="0.31496062992125984" footer="0.31496062992125984"/>
  <pageSetup paperSize="9" scale="46" orientation="landscape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7">
    <tabColor rgb="FFFF0000"/>
    <pageSetUpPr fitToPage="1"/>
  </sheetPr>
  <dimension ref="B1:X33"/>
  <sheetViews>
    <sheetView view="pageBreakPreview" zoomScale="55" zoomScaleNormal="50" zoomScaleSheetLayoutView="55" workbookViewId="0">
      <pane xSplit="2" ySplit="6" topLeftCell="C7" activePane="bottomRight" state="frozen"/>
      <selection activeCell="B2" sqref="B2:X2"/>
      <selection pane="topRight" activeCell="B2" sqref="B2:X2"/>
      <selection pane="bottomLeft" activeCell="B2" sqref="B2:X2"/>
      <selection pane="bottomRight" activeCell="B2" sqref="B2:X2"/>
    </sheetView>
  </sheetViews>
  <sheetFormatPr defaultColWidth="9.140625" defaultRowHeight="23.25" outlineLevelRow="1" x14ac:dyDescent="0.35"/>
  <cols>
    <col min="1" max="1" width="1.28515625" style="5" customWidth="1"/>
    <col min="2" max="2" width="43.7109375" style="5" customWidth="1"/>
    <col min="3" max="3" width="18.140625" style="5" bestFit="1" customWidth="1"/>
    <col min="4" max="4" width="12.7109375" style="5" bestFit="1" customWidth="1"/>
    <col min="5" max="5" width="13" style="5" bestFit="1" customWidth="1"/>
    <col min="6" max="6" width="23" style="5" bestFit="1" customWidth="1"/>
    <col min="7" max="7" width="16.140625" style="5" bestFit="1" customWidth="1"/>
    <col min="8" max="8" width="12.7109375" style="5" bestFit="1" customWidth="1"/>
    <col min="9" max="9" width="13" style="5" bestFit="1" customWidth="1"/>
    <col min="10" max="10" width="23" style="5" bestFit="1" customWidth="1"/>
    <col min="11" max="11" width="16.140625" style="5" bestFit="1" customWidth="1"/>
    <col min="12" max="12" width="11.85546875" style="5" bestFit="1" customWidth="1"/>
    <col min="13" max="13" width="14.85546875" style="5" customWidth="1"/>
    <col min="14" max="14" width="28.7109375" style="5" bestFit="1" customWidth="1"/>
    <col min="15" max="15" width="16.140625" style="5" bestFit="1" customWidth="1"/>
    <col min="16" max="16" width="11.85546875" style="5" bestFit="1" customWidth="1"/>
    <col min="17" max="17" width="13" style="5" bestFit="1" customWidth="1"/>
    <col min="18" max="18" width="23" style="5" bestFit="1" customWidth="1"/>
    <col min="19" max="19" width="13.85546875" style="5" bestFit="1" customWidth="1"/>
    <col min="20" max="20" width="14.28515625" style="5" bestFit="1" customWidth="1"/>
    <col min="21" max="21" width="19.7109375" style="5" bestFit="1" customWidth="1"/>
    <col min="22" max="22" width="13.85546875" style="5" bestFit="1" customWidth="1"/>
    <col min="23" max="23" width="14.28515625" style="5" bestFit="1" customWidth="1"/>
    <col min="24" max="24" width="19.7109375" style="5" bestFit="1" customWidth="1"/>
    <col min="25" max="16384" width="9.140625" style="5"/>
  </cols>
  <sheetData>
    <row r="1" spans="2:24" s="1" customFormat="1" ht="23.25" customHeight="1" x14ac:dyDescent="0.4">
      <c r="B1" s="756" t="e">
        <f>#REF!</f>
        <v>#REF!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7"/>
      <c r="R1" s="757"/>
      <c r="S1" s="757"/>
      <c r="T1" s="757"/>
      <c r="U1" s="757"/>
      <c r="V1" s="757"/>
      <c r="W1" s="757"/>
      <c r="X1" s="758"/>
    </row>
    <row r="2" spans="2:24" s="1" customFormat="1" ht="26.25" x14ac:dyDescent="0.4">
      <c r="B2" s="798" t="s">
        <v>26</v>
      </c>
      <c r="C2" s="799"/>
      <c r="D2" s="799"/>
      <c r="E2" s="799"/>
      <c r="F2" s="799"/>
      <c r="G2" s="799"/>
      <c r="H2" s="799"/>
      <c r="I2" s="799"/>
      <c r="J2" s="799"/>
      <c r="K2" s="799"/>
      <c r="L2" s="799"/>
      <c r="M2" s="799"/>
      <c r="N2" s="799"/>
      <c r="O2" s="799"/>
      <c r="P2" s="799"/>
      <c r="Q2" s="799"/>
      <c r="R2" s="799"/>
      <c r="S2" s="799"/>
      <c r="T2" s="799"/>
      <c r="U2" s="799"/>
      <c r="V2" s="799"/>
      <c r="W2" s="799"/>
      <c r="X2" s="800"/>
    </row>
    <row r="3" spans="2:24" ht="35.25" customHeight="1" x14ac:dyDescent="0.35">
      <c r="B3" s="2" t="s">
        <v>0</v>
      </c>
      <c r="C3" s="53" t="e">
        <f>#REF!</f>
        <v>#REF!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2:24" ht="33" customHeight="1" outlineLevel="1" x14ac:dyDescent="0.35">
      <c r="B4" s="6" t="s">
        <v>1</v>
      </c>
      <c r="C4" s="7" t="e">
        <f>#REF!+#REF!+#REF!</f>
        <v>#REF!</v>
      </c>
      <c r="D4" s="8"/>
      <c r="E4" s="9"/>
      <c r="F4" s="10"/>
      <c r="G4" s="7" t="e">
        <f>#REF!+#REF!+#REF!</f>
        <v>#REF!</v>
      </c>
      <c r="H4" s="11"/>
      <c r="I4" s="11"/>
      <c r="J4" s="11"/>
      <c r="K4" s="7" t="e">
        <f>#REF!+#REF!+#REF!</f>
        <v>#REF!</v>
      </c>
      <c r="L4" s="11"/>
      <c r="M4" s="11"/>
      <c r="N4" s="11"/>
      <c r="O4" s="7" t="e">
        <f>#REF!+#REF!+#REF!</f>
        <v>#REF!</v>
      </c>
      <c r="P4" s="12"/>
      <c r="Q4" s="12"/>
      <c r="R4" s="12"/>
      <c r="S4" s="12"/>
      <c r="T4" s="12"/>
      <c r="U4" s="12"/>
      <c r="V4" s="12"/>
      <c r="W4" s="12"/>
      <c r="X4" s="13"/>
    </row>
    <row r="5" spans="2:24" ht="33" customHeight="1" x14ac:dyDescent="0.35">
      <c r="B5" s="14" t="s">
        <v>2</v>
      </c>
      <c r="C5" s="762" t="s">
        <v>3</v>
      </c>
      <c r="D5" s="763"/>
      <c r="E5" s="763"/>
      <c r="F5" s="764"/>
      <c r="G5" s="762" t="s">
        <v>30</v>
      </c>
      <c r="H5" s="763"/>
      <c r="I5" s="763"/>
      <c r="J5" s="764"/>
      <c r="K5" s="762" t="s">
        <v>32</v>
      </c>
      <c r="L5" s="763"/>
      <c r="M5" s="763"/>
      <c r="N5" s="764"/>
      <c r="O5" s="762" t="s">
        <v>31</v>
      </c>
      <c r="P5" s="763"/>
      <c r="Q5" s="763"/>
      <c r="R5" s="764"/>
      <c r="S5" s="762" t="s">
        <v>33</v>
      </c>
      <c r="T5" s="763"/>
      <c r="U5" s="764"/>
      <c r="V5" s="762" t="s">
        <v>34</v>
      </c>
      <c r="W5" s="763"/>
      <c r="X5" s="764"/>
    </row>
    <row r="6" spans="2:24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7" t="s">
        <v>5</v>
      </c>
      <c r="Q6" s="18" t="s">
        <v>6</v>
      </c>
      <c r="R6" s="19" t="s">
        <v>7</v>
      </c>
      <c r="S6" s="16" t="s">
        <v>4</v>
      </c>
      <c r="T6" s="18" t="s">
        <v>6</v>
      </c>
      <c r="U6" s="19" t="s">
        <v>7</v>
      </c>
      <c r="V6" s="16" t="s">
        <v>4</v>
      </c>
      <c r="W6" s="18" t="s">
        <v>6</v>
      </c>
      <c r="X6" s="19" t="s">
        <v>7</v>
      </c>
    </row>
    <row r="7" spans="2:24" s="78" customFormat="1" ht="33" customHeight="1" outlineLevel="1" x14ac:dyDescent="0.3">
      <c r="B7" s="73" t="s">
        <v>8</v>
      </c>
      <c r="C7" s="74" t="e">
        <f>#REF!+#REF!+#REF!</f>
        <v>#REF!</v>
      </c>
      <c r="D7" s="75" t="e">
        <f t="shared" ref="D7:D16" si="0">+IF(C$21=0,0,C7/C$21)</f>
        <v>#REF!</v>
      </c>
      <c r="E7" s="76" t="e">
        <f>IF(C7=0,0,F7/C7)</f>
        <v>#REF!</v>
      </c>
      <c r="F7" s="77" t="e">
        <f>#REF!+#REF!+#REF!</f>
        <v>#REF!</v>
      </c>
      <c r="G7" s="74" t="e">
        <f>#REF!+#REF!+#REF!</f>
        <v>#REF!</v>
      </c>
      <c r="H7" s="75" t="e">
        <f t="shared" ref="H7:H16" si="1">+IF(G$21=0,0,G7/G$21)</f>
        <v>#REF!</v>
      </c>
      <c r="I7" s="76" t="e">
        <f>IF(G7=0,0,J7/G7)</f>
        <v>#REF!</v>
      </c>
      <c r="J7" s="77" t="e">
        <f>#REF!+#REF!+#REF!</f>
        <v>#REF!</v>
      </c>
      <c r="K7" s="74" t="e">
        <f>#REF!+#REF!+#REF!</f>
        <v>#REF!</v>
      </c>
      <c r="L7" s="75" t="e">
        <f t="shared" ref="L7:L16" si="2">+IF(K$21=0,0,K7/K$21)</f>
        <v>#REF!</v>
      </c>
      <c r="M7" s="76" t="e">
        <f>IF(K7=0,0,N7/K7)</f>
        <v>#REF!</v>
      </c>
      <c r="N7" s="77" t="e">
        <f>#REF!+#REF!+#REF!</f>
        <v>#REF!</v>
      </c>
      <c r="O7" s="74" t="e">
        <f>#REF!+#REF!+#REF!</f>
        <v>#REF!</v>
      </c>
      <c r="P7" s="75" t="e">
        <f t="shared" ref="P7:P16" si="3">+IF(O$21=0,0,O7/O$21)</f>
        <v>#REF!</v>
      </c>
      <c r="Q7" s="76" t="e">
        <f>IF(O7=0,0,R7/O7)</f>
        <v>#REF!</v>
      </c>
      <c r="R7" s="77" t="e">
        <f>#REF!+#REF!+#REF!</f>
        <v>#REF!</v>
      </c>
      <c r="S7" s="74" t="e">
        <f>O7-K7</f>
        <v>#REF!</v>
      </c>
      <c r="T7" s="76" t="e">
        <f>Q7-M7</f>
        <v>#REF!</v>
      </c>
      <c r="U7" s="77" t="e">
        <f>R7-N7</f>
        <v>#REF!</v>
      </c>
      <c r="V7" s="74" t="e">
        <f>O7-G7</f>
        <v>#REF!</v>
      </c>
      <c r="W7" s="76" t="e">
        <f>Q7-I7</f>
        <v>#REF!</v>
      </c>
      <c r="X7" s="77" t="e">
        <f>R7-J7</f>
        <v>#REF!</v>
      </c>
    </row>
    <row r="8" spans="2:24" s="78" customFormat="1" ht="33" customHeight="1" outlineLevel="1" x14ac:dyDescent="0.3">
      <c r="B8" s="73" t="s">
        <v>9</v>
      </c>
      <c r="C8" s="74" t="e">
        <f>#REF!+#REF!+#REF!</f>
        <v>#REF!</v>
      </c>
      <c r="D8" s="75" t="e">
        <f t="shared" si="0"/>
        <v>#REF!</v>
      </c>
      <c r="E8" s="76" t="e">
        <f t="shared" ref="E8:E21" si="4">IF(C8=0,0,F8/C8)</f>
        <v>#REF!</v>
      </c>
      <c r="F8" s="77" t="e">
        <f>#REF!+#REF!+#REF!</f>
        <v>#REF!</v>
      </c>
      <c r="G8" s="74" t="e">
        <f>#REF!+#REF!+#REF!</f>
        <v>#REF!</v>
      </c>
      <c r="H8" s="75" t="e">
        <f t="shared" si="1"/>
        <v>#REF!</v>
      </c>
      <c r="I8" s="76" t="e">
        <f t="shared" ref="I8:I21" si="5">IF(G8=0,0,J8/G8)</f>
        <v>#REF!</v>
      </c>
      <c r="J8" s="77" t="e">
        <f>#REF!+#REF!+#REF!</f>
        <v>#REF!</v>
      </c>
      <c r="K8" s="74" t="e">
        <f>#REF!+#REF!+#REF!</f>
        <v>#REF!</v>
      </c>
      <c r="L8" s="75" t="e">
        <f t="shared" si="2"/>
        <v>#REF!</v>
      </c>
      <c r="M8" s="76" t="e">
        <f t="shared" ref="M8:M21" si="6">IF(K8=0,0,N8/K8)</f>
        <v>#REF!</v>
      </c>
      <c r="N8" s="77" t="e">
        <f>#REF!+#REF!+#REF!</f>
        <v>#REF!</v>
      </c>
      <c r="O8" s="74" t="e">
        <f>#REF!+#REF!+#REF!</f>
        <v>#REF!</v>
      </c>
      <c r="P8" s="75" t="e">
        <f t="shared" si="3"/>
        <v>#REF!</v>
      </c>
      <c r="Q8" s="76" t="e">
        <f t="shared" ref="Q8:Q21" si="7">IF(O8=0,0,R8/O8)</f>
        <v>#REF!</v>
      </c>
      <c r="R8" s="77" t="e">
        <f>#REF!+#REF!+#REF!</f>
        <v>#REF!</v>
      </c>
      <c r="S8" s="74" t="e">
        <f t="shared" ref="S8:S24" si="8">O8-K8</f>
        <v>#REF!</v>
      </c>
      <c r="T8" s="76" t="e">
        <f t="shared" ref="T8:U21" si="9">Q8-M8</f>
        <v>#REF!</v>
      </c>
      <c r="U8" s="77" t="e">
        <f t="shared" si="9"/>
        <v>#REF!</v>
      </c>
      <c r="V8" s="74" t="e">
        <f t="shared" ref="V8:V21" si="10">O8-G8</f>
        <v>#REF!</v>
      </c>
      <c r="W8" s="76" t="e">
        <f t="shared" ref="W8:W16" si="11">Q8-I8</f>
        <v>#REF!</v>
      </c>
      <c r="X8" s="77" t="e">
        <f t="shared" ref="X8:X16" si="12">R8-J8</f>
        <v>#REF!</v>
      </c>
    </row>
    <row r="9" spans="2:24" s="78" customFormat="1" ht="33" customHeight="1" outlineLevel="1" x14ac:dyDescent="0.3">
      <c r="B9" s="73" t="s">
        <v>11</v>
      </c>
      <c r="C9" s="74" t="e">
        <f>#REF!+#REF!+#REF!</f>
        <v>#REF!</v>
      </c>
      <c r="D9" s="75" t="e">
        <f t="shared" si="0"/>
        <v>#REF!</v>
      </c>
      <c r="E9" s="76" t="e">
        <f>IF(C9=0,0,F9/C9)</f>
        <v>#REF!</v>
      </c>
      <c r="F9" s="77" t="e">
        <f>#REF!+#REF!+#REF!</f>
        <v>#REF!</v>
      </c>
      <c r="G9" s="74" t="e">
        <f>#REF!+#REF!+#REF!</f>
        <v>#REF!</v>
      </c>
      <c r="H9" s="75" t="e">
        <f t="shared" si="1"/>
        <v>#REF!</v>
      </c>
      <c r="I9" s="76" t="e">
        <f>IF(G9=0,0,J9/G9)</f>
        <v>#REF!</v>
      </c>
      <c r="J9" s="77" t="e">
        <f>#REF!+#REF!+#REF!</f>
        <v>#REF!</v>
      </c>
      <c r="K9" s="74" t="e">
        <f>#REF!+#REF!+#REF!</f>
        <v>#REF!</v>
      </c>
      <c r="L9" s="75" t="e">
        <f t="shared" si="2"/>
        <v>#REF!</v>
      </c>
      <c r="M9" s="76" t="e">
        <f>IF(K9=0,0,N9/K9)</f>
        <v>#REF!</v>
      </c>
      <c r="N9" s="77" t="e">
        <f>#REF!+#REF!+#REF!</f>
        <v>#REF!</v>
      </c>
      <c r="O9" s="74" t="e">
        <f>#REF!+#REF!+#REF!</f>
        <v>#REF!</v>
      </c>
      <c r="P9" s="75" t="e">
        <f t="shared" si="3"/>
        <v>#REF!</v>
      </c>
      <c r="Q9" s="76" t="e">
        <f>IF(O9=0,0,R9/O9)</f>
        <v>#REF!</v>
      </c>
      <c r="R9" s="77" t="e">
        <f>#REF!+#REF!+#REF!</f>
        <v>#REF!</v>
      </c>
      <c r="S9" s="74" t="e">
        <f>O9-K9</f>
        <v>#REF!</v>
      </c>
      <c r="T9" s="76" t="e">
        <f t="shared" ref="T9:U11" si="13">Q9-M9</f>
        <v>#REF!</v>
      </c>
      <c r="U9" s="77" t="e">
        <f t="shared" si="13"/>
        <v>#REF!</v>
      </c>
      <c r="V9" s="74" t="e">
        <f t="shared" si="10"/>
        <v>#REF!</v>
      </c>
      <c r="W9" s="76" t="e">
        <f t="shared" si="11"/>
        <v>#REF!</v>
      </c>
      <c r="X9" s="77" t="e">
        <f t="shared" si="12"/>
        <v>#REF!</v>
      </c>
    </row>
    <row r="10" spans="2:24" ht="33" customHeight="1" x14ac:dyDescent="0.35">
      <c r="B10" s="20" t="s">
        <v>29</v>
      </c>
      <c r="C10" s="55" t="e">
        <f>SUM(C7:C9)</f>
        <v>#REF!</v>
      </c>
      <c r="D10" s="21" t="e">
        <f t="shared" si="0"/>
        <v>#REF!</v>
      </c>
      <c r="E10" s="58" t="e">
        <f>IF(C10=0,0,F10/C10)</f>
        <v>#REF!</v>
      </c>
      <c r="F10" s="59" t="e">
        <f>SUM(F7:F9)</f>
        <v>#REF!</v>
      </c>
      <c r="G10" s="55" t="e">
        <f>SUM(G7:G9)</f>
        <v>#REF!</v>
      </c>
      <c r="H10" s="21" t="e">
        <f t="shared" si="1"/>
        <v>#REF!</v>
      </c>
      <c r="I10" s="58" t="e">
        <f>IF(G10=0,0,J10/G10)</f>
        <v>#REF!</v>
      </c>
      <c r="J10" s="59" t="e">
        <f>SUM(J7:J9)</f>
        <v>#REF!</v>
      </c>
      <c r="K10" s="55" t="e">
        <f>SUM(K7:K9)</f>
        <v>#REF!</v>
      </c>
      <c r="L10" s="21" t="e">
        <f t="shared" si="2"/>
        <v>#REF!</v>
      </c>
      <c r="M10" s="58" t="e">
        <f>IF(K10=0,0,N10/K10)</f>
        <v>#REF!</v>
      </c>
      <c r="N10" s="59" t="e">
        <f>SUM(N7:N9)</f>
        <v>#REF!</v>
      </c>
      <c r="O10" s="55" t="e">
        <f>SUM(O7:O9)</f>
        <v>#REF!</v>
      </c>
      <c r="P10" s="21" t="e">
        <f t="shared" si="3"/>
        <v>#REF!</v>
      </c>
      <c r="Q10" s="58" t="e">
        <f>IF(O10=0,0,R10/O10)</f>
        <v>#REF!</v>
      </c>
      <c r="R10" s="59" t="e">
        <f>SUM(R7:R9)</f>
        <v>#REF!</v>
      </c>
      <c r="S10" s="55" t="e">
        <f>O10-K10</f>
        <v>#REF!</v>
      </c>
      <c r="T10" s="58" t="e">
        <f t="shared" si="13"/>
        <v>#REF!</v>
      </c>
      <c r="U10" s="59" t="e">
        <f t="shared" si="13"/>
        <v>#REF!</v>
      </c>
      <c r="V10" s="55" t="e">
        <f t="shared" si="10"/>
        <v>#REF!</v>
      </c>
      <c r="W10" s="58" t="e">
        <f t="shared" si="11"/>
        <v>#REF!</v>
      </c>
      <c r="X10" s="59" t="e">
        <f t="shared" si="12"/>
        <v>#REF!</v>
      </c>
    </row>
    <row r="11" spans="2:24" ht="33" customHeight="1" x14ac:dyDescent="0.35">
      <c r="B11" s="20" t="s">
        <v>10</v>
      </c>
      <c r="C11" s="55" t="e">
        <f>#REF!+#REF!+#REF!</f>
        <v>#REF!</v>
      </c>
      <c r="D11" s="21" t="e">
        <f t="shared" si="0"/>
        <v>#REF!</v>
      </c>
      <c r="E11" s="58" t="e">
        <f t="shared" si="4"/>
        <v>#REF!</v>
      </c>
      <c r="F11" s="59" t="e">
        <f>#REF!+#REF!+#REF!</f>
        <v>#REF!</v>
      </c>
      <c r="G11" s="55" t="e">
        <f>#REF!+#REF!+#REF!</f>
        <v>#REF!</v>
      </c>
      <c r="H11" s="21" t="e">
        <f t="shared" si="1"/>
        <v>#REF!</v>
      </c>
      <c r="I11" s="58" t="e">
        <f t="shared" si="5"/>
        <v>#REF!</v>
      </c>
      <c r="J11" s="59" t="e">
        <f>#REF!+#REF!+#REF!</f>
        <v>#REF!</v>
      </c>
      <c r="K11" s="55" t="e">
        <f>#REF!+#REF!+#REF!</f>
        <v>#REF!</v>
      </c>
      <c r="L11" s="21" t="e">
        <f t="shared" si="2"/>
        <v>#REF!</v>
      </c>
      <c r="M11" s="58" t="e">
        <f t="shared" si="6"/>
        <v>#REF!</v>
      </c>
      <c r="N11" s="59" t="e">
        <f>#REF!+#REF!+#REF!</f>
        <v>#REF!</v>
      </c>
      <c r="O11" s="55" t="e">
        <f>#REF!+#REF!+#REF!</f>
        <v>#REF!</v>
      </c>
      <c r="P11" s="21" t="e">
        <f t="shared" si="3"/>
        <v>#REF!</v>
      </c>
      <c r="Q11" s="58" t="e">
        <f t="shared" si="7"/>
        <v>#REF!</v>
      </c>
      <c r="R11" s="59" t="e">
        <f>#REF!+#REF!+#REF!</f>
        <v>#REF!</v>
      </c>
      <c r="S11" s="55" t="e">
        <f t="shared" si="8"/>
        <v>#REF!</v>
      </c>
      <c r="T11" s="58" t="e">
        <f t="shared" si="13"/>
        <v>#REF!</v>
      </c>
      <c r="U11" s="59" t="e">
        <f t="shared" si="13"/>
        <v>#REF!</v>
      </c>
      <c r="V11" s="55" t="e">
        <f t="shared" si="10"/>
        <v>#REF!</v>
      </c>
      <c r="W11" s="58" t="e">
        <f t="shared" si="11"/>
        <v>#REF!</v>
      </c>
      <c r="X11" s="59" t="e">
        <f t="shared" si="12"/>
        <v>#REF!</v>
      </c>
    </row>
    <row r="12" spans="2:24" ht="33" customHeight="1" x14ac:dyDescent="0.35">
      <c r="B12" s="20" t="s">
        <v>12</v>
      </c>
      <c r="C12" s="55" t="e">
        <f>#REF!+#REF!+#REF!</f>
        <v>#REF!</v>
      </c>
      <c r="D12" s="21" t="e">
        <f t="shared" si="0"/>
        <v>#REF!</v>
      </c>
      <c r="E12" s="58" t="e">
        <f t="shared" si="4"/>
        <v>#REF!</v>
      </c>
      <c r="F12" s="59" t="e">
        <f>#REF!+#REF!+#REF!</f>
        <v>#REF!</v>
      </c>
      <c r="G12" s="55" t="e">
        <f>#REF!+#REF!+#REF!</f>
        <v>#REF!</v>
      </c>
      <c r="H12" s="21" t="e">
        <f t="shared" si="1"/>
        <v>#REF!</v>
      </c>
      <c r="I12" s="58" t="e">
        <f t="shared" si="5"/>
        <v>#REF!</v>
      </c>
      <c r="J12" s="59" t="e">
        <f>#REF!+#REF!+#REF!</f>
        <v>#REF!</v>
      </c>
      <c r="K12" s="55" t="e">
        <f>#REF!+#REF!+#REF!</f>
        <v>#REF!</v>
      </c>
      <c r="L12" s="21" t="e">
        <f t="shared" si="2"/>
        <v>#REF!</v>
      </c>
      <c r="M12" s="58" t="e">
        <f t="shared" si="6"/>
        <v>#REF!</v>
      </c>
      <c r="N12" s="59" t="e">
        <f>#REF!+#REF!+#REF!</f>
        <v>#REF!</v>
      </c>
      <c r="O12" s="55" t="e">
        <f>#REF!+#REF!+#REF!</f>
        <v>#REF!</v>
      </c>
      <c r="P12" s="21" t="e">
        <f t="shared" si="3"/>
        <v>#REF!</v>
      </c>
      <c r="Q12" s="58" t="e">
        <f t="shared" si="7"/>
        <v>#REF!</v>
      </c>
      <c r="R12" s="59" t="e">
        <f>#REF!+#REF!+#REF!</f>
        <v>#REF!</v>
      </c>
      <c r="S12" s="55" t="e">
        <f t="shared" si="8"/>
        <v>#REF!</v>
      </c>
      <c r="T12" s="58" t="e">
        <f t="shared" si="9"/>
        <v>#REF!</v>
      </c>
      <c r="U12" s="59" t="e">
        <f t="shared" si="9"/>
        <v>#REF!</v>
      </c>
      <c r="V12" s="55" t="e">
        <f t="shared" si="10"/>
        <v>#REF!</v>
      </c>
      <c r="W12" s="58" t="e">
        <f t="shared" si="11"/>
        <v>#REF!</v>
      </c>
      <c r="X12" s="59" t="e">
        <f t="shared" si="12"/>
        <v>#REF!</v>
      </c>
    </row>
    <row r="13" spans="2:24" ht="33" customHeight="1" x14ac:dyDescent="0.35">
      <c r="B13" s="22" t="s">
        <v>13</v>
      </c>
      <c r="C13" s="56" t="e">
        <f>SUM(C10:C12)</f>
        <v>#REF!</v>
      </c>
      <c r="D13" s="23" t="e">
        <f>+IF(C$21=0,0,C13/C$21)</f>
        <v>#REF!</v>
      </c>
      <c r="E13" s="60" t="e">
        <f>IF(C13=0,0,F13/C13)</f>
        <v>#REF!</v>
      </c>
      <c r="F13" s="61" t="e">
        <f>SUM(F10:F12)</f>
        <v>#REF!</v>
      </c>
      <c r="G13" s="56" t="e">
        <f>SUM(G10:G12)</f>
        <v>#REF!</v>
      </c>
      <c r="H13" s="23" t="e">
        <f t="shared" si="1"/>
        <v>#REF!</v>
      </c>
      <c r="I13" s="60" t="e">
        <f t="shared" si="5"/>
        <v>#REF!</v>
      </c>
      <c r="J13" s="61" t="e">
        <f>SUM(J10:J12)</f>
        <v>#REF!</v>
      </c>
      <c r="K13" s="56" t="e">
        <f>SUM(K10:K12)</f>
        <v>#REF!</v>
      </c>
      <c r="L13" s="23" t="e">
        <f t="shared" si="2"/>
        <v>#REF!</v>
      </c>
      <c r="M13" s="60" t="e">
        <f t="shared" si="6"/>
        <v>#REF!</v>
      </c>
      <c r="N13" s="61" t="e">
        <f>SUM(N10:N12)</f>
        <v>#REF!</v>
      </c>
      <c r="O13" s="56" t="e">
        <f>SUM(O10:O12)</f>
        <v>#REF!</v>
      </c>
      <c r="P13" s="23" t="e">
        <f t="shared" si="3"/>
        <v>#REF!</v>
      </c>
      <c r="Q13" s="60" t="e">
        <f t="shared" si="7"/>
        <v>#REF!</v>
      </c>
      <c r="R13" s="61" t="e">
        <f>SUM(R10:R12)</f>
        <v>#REF!</v>
      </c>
      <c r="S13" s="56" t="e">
        <f t="shared" si="8"/>
        <v>#REF!</v>
      </c>
      <c r="T13" s="60" t="e">
        <f t="shared" si="9"/>
        <v>#REF!</v>
      </c>
      <c r="U13" s="66" t="e">
        <f t="shared" si="9"/>
        <v>#REF!</v>
      </c>
      <c r="V13" s="56" t="e">
        <f t="shared" si="10"/>
        <v>#REF!</v>
      </c>
      <c r="W13" s="60" t="e">
        <f t="shared" si="11"/>
        <v>#REF!</v>
      </c>
      <c r="X13" s="66" t="e">
        <f t="shared" si="12"/>
        <v>#REF!</v>
      </c>
    </row>
    <row r="14" spans="2:24" ht="33" customHeight="1" x14ac:dyDescent="0.35">
      <c r="B14" s="25" t="s">
        <v>14</v>
      </c>
      <c r="C14" s="57" t="e">
        <f>#REF!+#REF!+#REF!</f>
        <v>#REF!</v>
      </c>
      <c r="D14" s="26" t="e">
        <f t="shared" si="0"/>
        <v>#REF!</v>
      </c>
      <c r="E14" s="62" t="e">
        <f t="shared" si="4"/>
        <v>#REF!</v>
      </c>
      <c r="F14" s="63" t="e">
        <f>#REF!+#REF!+#REF!</f>
        <v>#REF!</v>
      </c>
      <c r="G14" s="57" t="e">
        <f>#REF!+#REF!+#REF!</f>
        <v>#REF!</v>
      </c>
      <c r="H14" s="26" t="e">
        <f t="shared" si="1"/>
        <v>#REF!</v>
      </c>
      <c r="I14" s="62" t="e">
        <f t="shared" si="5"/>
        <v>#REF!</v>
      </c>
      <c r="J14" s="63" t="e">
        <f>#REF!+#REF!+#REF!</f>
        <v>#REF!</v>
      </c>
      <c r="K14" s="57" t="e">
        <f>#REF!+#REF!+#REF!</f>
        <v>#REF!</v>
      </c>
      <c r="L14" s="26" t="e">
        <f t="shared" si="2"/>
        <v>#REF!</v>
      </c>
      <c r="M14" s="62" t="e">
        <f t="shared" si="6"/>
        <v>#REF!</v>
      </c>
      <c r="N14" s="63" t="e">
        <f>#REF!+#REF!+#REF!</f>
        <v>#REF!</v>
      </c>
      <c r="O14" s="57" t="e">
        <f>#REF!+#REF!+#REF!</f>
        <v>#REF!</v>
      </c>
      <c r="P14" s="26" t="e">
        <f t="shared" si="3"/>
        <v>#REF!</v>
      </c>
      <c r="Q14" s="62" t="e">
        <f t="shared" si="7"/>
        <v>#REF!</v>
      </c>
      <c r="R14" s="63" t="e">
        <f>#REF!+#REF!+#REF!</f>
        <v>#REF!</v>
      </c>
      <c r="S14" s="67" t="e">
        <f t="shared" si="8"/>
        <v>#REF!</v>
      </c>
      <c r="T14" s="68" t="e">
        <f t="shared" si="9"/>
        <v>#REF!</v>
      </c>
      <c r="U14" s="69" t="e">
        <f t="shared" si="9"/>
        <v>#REF!</v>
      </c>
      <c r="V14" s="67" t="e">
        <f t="shared" si="10"/>
        <v>#REF!</v>
      </c>
      <c r="W14" s="68" t="e">
        <f t="shared" si="11"/>
        <v>#REF!</v>
      </c>
      <c r="X14" s="69" t="e">
        <f t="shared" si="12"/>
        <v>#REF!</v>
      </c>
    </row>
    <row r="15" spans="2:24" ht="33" customHeight="1" outlineLevel="1" x14ac:dyDescent="0.35">
      <c r="B15" s="27" t="s">
        <v>15</v>
      </c>
      <c r="C15" s="55" t="e">
        <f>#REF!+#REF!+#REF!</f>
        <v>#REF!</v>
      </c>
      <c r="D15" s="21" t="e">
        <f t="shared" si="0"/>
        <v>#REF!</v>
      </c>
      <c r="E15" s="58" t="e">
        <f t="shared" si="4"/>
        <v>#REF!</v>
      </c>
      <c r="F15" s="59" t="e">
        <f>#REF!+#REF!+#REF!</f>
        <v>#REF!</v>
      </c>
      <c r="G15" s="55" t="e">
        <f>#REF!+#REF!+#REF!</f>
        <v>#REF!</v>
      </c>
      <c r="H15" s="21" t="e">
        <f t="shared" si="1"/>
        <v>#REF!</v>
      </c>
      <c r="I15" s="58" t="e">
        <f t="shared" si="5"/>
        <v>#REF!</v>
      </c>
      <c r="J15" s="59" t="e">
        <f>#REF!+#REF!+#REF!</f>
        <v>#REF!</v>
      </c>
      <c r="K15" s="55" t="e">
        <f>#REF!+#REF!+#REF!</f>
        <v>#REF!</v>
      </c>
      <c r="L15" s="21" t="e">
        <f t="shared" si="2"/>
        <v>#REF!</v>
      </c>
      <c r="M15" s="58" t="e">
        <f t="shared" si="6"/>
        <v>#REF!</v>
      </c>
      <c r="N15" s="59" t="e">
        <f>#REF!+#REF!+#REF!</f>
        <v>#REF!</v>
      </c>
      <c r="O15" s="55" t="e">
        <f>#REF!+#REF!+#REF!</f>
        <v>#REF!</v>
      </c>
      <c r="P15" s="21" t="e">
        <f t="shared" si="3"/>
        <v>#REF!</v>
      </c>
      <c r="Q15" s="58" t="e">
        <f t="shared" si="7"/>
        <v>#REF!</v>
      </c>
      <c r="R15" s="59" t="e">
        <f>#REF!+#REF!+#REF!</f>
        <v>#REF!</v>
      </c>
      <c r="S15" s="70" t="e">
        <f t="shared" si="8"/>
        <v>#REF!</v>
      </c>
      <c r="T15" s="71" t="e">
        <f t="shared" si="9"/>
        <v>#REF!</v>
      </c>
      <c r="U15" s="36" t="e">
        <f t="shared" si="9"/>
        <v>#REF!</v>
      </c>
      <c r="V15" s="70" t="e">
        <f t="shared" si="10"/>
        <v>#REF!</v>
      </c>
      <c r="W15" s="71" t="e">
        <f t="shared" si="11"/>
        <v>#REF!</v>
      </c>
      <c r="X15" s="36" t="e">
        <f t="shared" si="12"/>
        <v>#REF!</v>
      </c>
    </row>
    <row r="16" spans="2:24" ht="33" customHeight="1" x14ac:dyDescent="0.35">
      <c r="B16" s="28" t="s">
        <v>16</v>
      </c>
      <c r="C16" s="56" t="e">
        <f>SUM(C13+C14+C15)</f>
        <v>#REF!</v>
      </c>
      <c r="D16" s="23" t="e">
        <f t="shared" si="0"/>
        <v>#REF!</v>
      </c>
      <c r="E16" s="60" t="e">
        <f t="shared" si="4"/>
        <v>#REF!</v>
      </c>
      <c r="F16" s="64" t="e">
        <f>SUM(F13+F14+F15)</f>
        <v>#REF!</v>
      </c>
      <c r="G16" s="56" t="e">
        <f>SUM(G13+G14+G15)</f>
        <v>#REF!</v>
      </c>
      <c r="H16" s="23" t="e">
        <f t="shared" si="1"/>
        <v>#REF!</v>
      </c>
      <c r="I16" s="60" t="e">
        <f t="shared" si="5"/>
        <v>#REF!</v>
      </c>
      <c r="J16" s="64" t="e">
        <f>SUM(J13+J14+J15)</f>
        <v>#REF!</v>
      </c>
      <c r="K16" s="56" t="e">
        <f>SUM(K13+K14+K15)</f>
        <v>#REF!</v>
      </c>
      <c r="L16" s="23" t="e">
        <f t="shared" si="2"/>
        <v>#REF!</v>
      </c>
      <c r="M16" s="60" t="e">
        <f t="shared" si="6"/>
        <v>#REF!</v>
      </c>
      <c r="N16" s="64" t="e">
        <f>SUM(N13+N14+N15)</f>
        <v>#REF!</v>
      </c>
      <c r="O16" s="56" t="e">
        <f>SUM(O13+O14+O15)</f>
        <v>#REF!</v>
      </c>
      <c r="P16" s="23" t="e">
        <f t="shared" si="3"/>
        <v>#REF!</v>
      </c>
      <c r="Q16" s="60" t="e">
        <f t="shared" si="7"/>
        <v>#REF!</v>
      </c>
      <c r="R16" s="64" t="e">
        <f>SUM(R13+R14+R15)</f>
        <v>#REF!</v>
      </c>
      <c r="S16" s="56" t="e">
        <f t="shared" si="8"/>
        <v>#REF!</v>
      </c>
      <c r="T16" s="60" t="e">
        <f t="shared" si="9"/>
        <v>#REF!</v>
      </c>
      <c r="U16" s="66" t="e">
        <f t="shared" si="9"/>
        <v>#REF!</v>
      </c>
      <c r="V16" s="56" t="e">
        <f t="shared" si="10"/>
        <v>#REF!</v>
      </c>
      <c r="W16" s="60" t="e">
        <f t="shared" si="11"/>
        <v>#REF!</v>
      </c>
      <c r="X16" s="66" t="e">
        <f t="shared" si="12"/>
        <v>#REF!</v>
      </c>
    </row>
    <row r="17" spans="2:24" ht="33" customHeight="1" x14ac:dyDescent="0.35">
      <c r="B17" s="29" t="s">
        <v>17</v>
      </c>
      <c r="C17" s="24" t="e">
        <f>IF(C4=0,C16,C16/$C$4)</f>
        <v>#REF!</v>
      </c>
      <c r="D17" s="30"/>
      <c r="E17" s="35"/>
      <c r="F17" s="36"/>
      <c r="G17" s="24" t="e">
        <f>IF(G4=0, G16, G16/$G$4)</f>
        <v>#REF!</v>
      </c>
      <c r="H17" s="30"/>
      <c r="I17" s="35"/>
      <c r="J17" s="36"/>
      <c r="K17" s="24" t="e">
        <f>IF(K4=0, K16, K16/$K$4)</f>
        <v>#REF!</v>
      </c>
      <c r="L17" s="30"/>
      <c r="M17" s="35"/>
      <c r="N17" s="36"/>
      <c r="O17" s="24" t="e">
        <f>IF(O4=0, O16, O16/$O$4)</f>
        <v>#REF!</v>
      </c>
      <c r="P17" s="30"/>
      <c r="Q17" s="35"/>
      <c r="R17" s="36"/>
      <c r="S17" s="54" t="e">
        <f t="shared" si="8"/>
        <v>#REF!</v>
      </c>
      <c r="T17" s="30"/>
      <c r="U17" s="31"/>
      <c r="V17" s="54" t="e">
        <f t="shared" si="10"/>
        <v>#REF!</v>
      </c>
      <c r="W17" s="30"/>
      <c r="X17" s="31"/>
    </row>
    <row r="18" spans="2:24" ht="33" customHeight="1" x14ac:dyDescent="0.35">
      <c r="B18" s="25" t="s">
        <v>18</v>
      </c>
      <c r="C18" s="57" t="e">
        <f>#REF!+#REF!+#REF!</f>
        <v>#REF!</v>
      </c>
      <c r="D18" s="26" t="e">
        <f>+IF(C$21=0,0,C18/C$21)</f>
        <v>#REF!</v>
      </c>
      <c r="E18" s="65" t="e">
        <f t="shared" si="4"/>
        <v>#REF!</v>
      </c>
      <c r="F18" s="63" t="e">
        <f>#REF!+#REF!+#REF!</f>
        <v>#REF!</v>
      </c>
      <c r="G18" s="57" t="e">
        <f>#REF!+#REF!+#REF!</f>
        <v>#REF!</v>
      </c>
      <c r="H18" s="26" t="e">
        <f>+IF(G$21=0,0,G18/G$21)</f>
        <v>#REF!</v>
      </c>
      <c r="I18" s="65" t="e">
        <f t="shared" si="5"/>
        <v>#REF!</v>
      </c>
      <c r="J18" s="63" t="e">
        <f>#REF!+#REF!+#REF!</f>
        <v>#REF!</v>
      </c>
      <c r="K18" s="57" t="e">
        <f>#REF!+#REF!+#REF!</f>
        <v>#REF!</v>
      </c>
      <c r="L18" s="26" t="e">
        <f>+IF(K$21=0,0,K18/K$21)</f>
        <v>#REF!</v>
      </c>
      <c r="M18" s="65" t="e">
        <f t="shared" si="6"/>
        <v>#REF!</v>
      </c>
      <c r="N18" s="63" t="e">
        <f>#REF!+#REF!+#REF!</f>
        <v>#REF!</v>
      </c>
      <c r="O18" s="57" t="e">
        <f>#REF!+#REF!+#REF!</f>
        <v>#REF!</v>
      </c>
      <c r="P18" s="26" t="e">
        <f>+IF(O$21=0,0,O18/O$21)</f>
        <v>#REF!</v>
      </c>
      <c r="Q18" s="65" t="e">
        <f t="shared" si="7"/>
        <v>#REF!</v>
      </c>
      <c r="R18" s="63" t="e">
        <f>#REF!+#REF!+#REF!</f>
        <v>#REF!</v>
      </c>
      <c r="S18" s="57" t="e">
        <f t="shared" si="8"/>
        <v>#REF!</v>
      </c>
      <c r="T18" s="62" t="e">
        <f t="shared" si="9"/>
        <v>#REF!</v>
      </c>
      <c r="U18" s="63" t="e">
        <f t="shared" si="9"/>
        <v>#REF!</v>
      </c>
      <c r="V18" s="57" t="e">
        <f t="shared" si="10"/>
        <v>#REF!</v>
      </c>
      <c r="W18" s="62" t="e">
        <f t="shared" ref="W18:X22" si="14">Q18-I18</f>
        <v>#REF!</v>
      </c>
      <c r="X18" s="63" t="e">
        <f t="shared" si="14"/>
        <v>#REF!</v>
      </c>
    </row>
    <row r="19" spans="2:24" ht="33" customHeight="1" outlineLevel="1" x14ac:dyDescent="0.35">
      <c r="B19" s="25" t="s">
        <v>19</v>
      </c>
      <c r="C19" s="57" t="e">
        <f>#REF!+#REF!+#REF!</f>
        <v>#REF!</v>
      </c>
      <c r="D19" s="26" t="e">
        <f>+IF(C$21=0,0,C19/C$21)</f>
        <v>#REF!</v>
      </c>
      <c r="E19" s="62" t="e">
        <f t="shared" si="4"/>
        <v>#REF!</v>
      </c>
      <c r="F19" s="63" t="e">
        <f>#REF!+#REF!+#REF!</f>
        <v>#REF!</v>
      </c>
      <c r="G19" s="57" t="e">
        <f>#REF!+#REF!+#REF!</f>
        <v>#REF!</v>
      </c>
      <c r="H19" s="26" t="e">
        <f>+IF(G$21=0,0,G19/G$21)</f>
        <v>#REF!</v>
      </c>
      <c r="I19" s="62" t="e">
        <f t="shared" si="5"/>
        <v>#REF!</v>
      </c>
      <c r="J19" s="63" t="e">
        <f>#REF!+#REF!+#REF!</f>
        <v>#REF!</v>
      </c>
      <c r="K19" s="57" t="e">
        <f>#REF!+#REF!+#REF!</f>
        <v>#REF!</v>
      </c>
      <c r="L19" s="26" t="e">
        <f>+IF(K$21=0,0,K19/K$21)</f>
        <v>#REF!</v>
      </c>
      <c r="M19" s="62" t="e">
        <f t="shared" si="6"/>
        <v>#REF!</v>
      </c>
      <c r="N19" s="63" t="e">
        <f>#REF!+#REF!+#REF!</f>
        <v>#REF!</v>
      </c>
      <c r="O19" s="57" t="e">
        <f>#REF!+#REF!+#REF!</f>
        <v>#REF!</v>
      </c>
      <c r="P19" s="26" t="e">
        <f>+IF(O$21=0,0,O19/O$21)</f>
        <v>#REF!</v>
      </c>
      <c r="Q19" s="62" t="e">
        <f t="shared" si="7"/>
        <v>#REF!</v>
      </c>
      <c r="R19" s="63" t="e">
        <f>#REF!+#REF!+#REF!</f>
        <v>#REF!</v>
      </c>
      <c r="S19" s="57" t="e">
        <f>O19-K19</f>
        <v>#REF!</v>
      </c>
      <c r="T19" s="62" t="e">
        <f>Q19-M19</f>
        <v>#REF!</v>
      </c>
      <c r="U19" s="72" t="e">
        <f>R19-N19</f>
        <v>#REF!</v>
      </c>
      <c r="V19" s="57" t="e">
        <f t="shared" si="10"/>
        <v>#REF!</v>
      </c>
      <c r="W19" s="62" t="e">
        <f t="shared" si="14"/>
        <v>#REF!</v>
      </c>
      <c r="X19" s="72" t="e">
        <f t="shared" si="14"/>
        <v>#REF!</v>
      </c>
    </row>
    <row r="20" spans="2:24" ht="33" customHeight="1" outlineLevel="1" x14ac:dyDescent="0.35">
      <c r="B20" s="25" t="s">
        <v>28</v>
      </c>
      <c r="C20" s="57" t="e">
        <f>#REF!+#REF!+#REF!</f>
        <v>#REF!</v>
      </c>
      <c r="D20" s="26" t="e">
        <f>+IF(C$21=0,0,C20/C$21)</f>
        <v>#REF!</v>
      </c>
      <c r="E20" s="62" t="e">
        <f t="shared" si="4"/>
        <v>#REF!</v>
      </c>
      <c r="F20" s="63" t="e">
        <f>#REF!+#REF!+#REF!</f>
        <v>#REF!</v>
      </c>
      <c r="G20" s="57" t="e">
        <f>#REF!+#REF!+#REF!</f>
        <v>#REF!</v>
      </c>
      <c r="H20" s="26" t="e">
        <f>+IF(G$21=0,0,G20/G$21)</f>
        <v>#REF!</v>
      </c>
      <c r="I20" s="62" t="e">
        <f t="shared" si="5"/>
        <v>#REF!</v>
      </c>
      <c r="J20" s="63" t="e">
        <f>#REF!+#REF!+#REF!</f>
        <v>#REF!</v>
      </c>
      <c r="K20" s="57" t="e">
        <f>#REF!+#REF!+#REF!</f>
        <v>#REF!</v>
      </c>
      <c r="L20" s="26" t="e">
        <f>+IF(K$21=0,0,K20/K$21)</f>
        <v>#REF!</v>
      </c>
      <c r="M20" s="62" t="e">
        <f t="shared" si="6"/>
        <v>#REF!</v>
      </c>
      <c r="N20" s="63" t="e">
        <f>#REF!+#REF!+#REF!</f>
        <v>#REF!</v>
      </c>
      <c r="O20" s="57" t="e">
        <f>#REF!+#REF!+#REF!</f>
        <v>#REF!</v>
      </c>
      <c r="P20" s="26" t="e">
        <f>+IF(O$21=0,0,O20/O$21)</f>
        <v>#REF!</v>
      </c>
      <c r="Q20" s="62" t="e">
        <f t="shared" si="7"/>
        <v>#REF!</v>
      </c>
      <c r="R20" s="63" t="e">
        <f>#REF!+#REF!+#REF!</f>
        <v>#REF!</v>
      </c>
      <c r="S20" s="57" t="e">
        <f>O20-K20</f>
        <v>#REF!</v>
      </c>
      <c r="T20" s="62" t="e">
        <f>Q20-M20</f>
        <v>#REF!</v>
      </c>
      <c r="U20" s="72" t="e">
        <f>R20-N20</f>
        <v>#REF!</v>
      </c>
      <c r="V20" s="57" t="e">
        <f t="shared" si="10"/>
        <v>#REF!</v>
      </c>
      <c r="W20" s="62" t="e">
        <f t="shared" si="14"/>
        <v>#REF!</v>
      </c>
      <c r="X20" s="72" t="e">
        <f t="shared" si="14"/>
        <v>#REF!</v>
      </c>
    </row>
    <row r="21" spans="2:24" ht="33" customHeight="1" x14ac:dyDescent="0.35">
      <c r="B21" s="22" t="s">
        <v>20</v>
      </c>
      <c r="C21" s="56" t="e">
        <f>SUM(C16,C18,C19,C20)</f>
        <v>#REF!</v>
      </c>
      <c r="D21" s="23" t="e">
        <f>+IF(C$21=0,0,C21/C$21)</f>
        <v>#REF!</v>
      </c>
      <c r="E21" s="60" t="e">
        <f t="shared" si="4"/>
        <v>#REF!</v>
      </c>
      <c r="F21" s="64" t="e">
        <f>SUM(F16,F18,F19,F20)</f>
        <v>#REF!</v>
      </c>
      <c r="G21" s="56" t="e">
        <f>SUM(G16,G18,G19,G20)</f>
        <v>#REF!</v>
      </c>
      <c r="H21" s="23" t="e">
        <f>+IF(G$21=0,0,G21/G$21)</f>
        <v>#REF!</v>
      </c>
      <c r="I21" s="60" t="e">
        <f t="shared" si="5"/>
        <v>#REF!</v>
      </c>
      <c r="J21" s="64" t="e">
        <f>SUM(J16,J18,J19,J20)</f>
        <v>#REF!</v>
      </c>
      <c r="K21" s="56" t="e">
        <f>SUM(K16,K18,K19,K20)</f>
        <v>#REF!</v>
      </c>
      <c r="L21" s="23" t="e">
        <f>+IF(K$21=0,0,K21/K$21)</f>
        <v>#REF!</v>
      </c>
      <c r="M21" s="60" t="e">
        <f t="shared" si="6"/>
        <v>#REF!</v>
      </c>
      <c r="N21" s="64" t="e">
        <f>SUM(N16,N18,N19,N20)</f>
        <v>#REF!</v>
      </c>
      <c r="O21" s="56" t="e">
        <f>SUM(O16,O18,O19,O20)</f>
        <v>#REF!</v>
      </c>
      <c r="P21" s="23" t="e">
        <f>+IF(O$21=0,0,O21/O$21)</f>
        <v>#REF!</v>
      </c>
      <c r="Q21" s="60" t="e">
        <f t="shared" si="7"/>
        <v>#REF!</v>
      </c>
      <c r="R21" s="64" t="e">
        <f>SUM(R16,R18,R19,R20)</f>
        <v>#REF!</v>
      </c>
      <c r="S21" s="56" t="e">
        <f t="shared" si="8"/>
        <v>#REF!</v>
      </c>
      <c r="T21" s="60" t="e">
        <f t="shared" si="9"/>
        <v>#REF!</v>
      </c>
      <c r="U21" s="64" t="e">
        <f t="shared" si="9"/>
        <v>#REF!</v>
      </c>
      <c r="V21" s="56" t="e">
        <f t="shared" si="10"/>
        <v>#REF!</v>
      </c>
      <c r="W21" s="60" t="e">
        <f t="shared" si="14"/>
        <v>#REF!</v>
      </c>
      <c r="X21" s="64" t="e">
        <f t="shared" si="14"/>
        <v>#REF!</v>
      </c>
    </row>
    <row r="22" spans="2:24" ht="33" customHeight="1" x14ac:dyDescent="0.35">
      <c r="B22" s="32"/>
      <c r="C22" s="33"/>
      <c r="D22" s="34"/>
      <c r="E22" s="35"/>
      <c r="F22" s="36"/>
      <c r="G22" s="33"/>
      <c r="H22" s="34"/>
      <c r="I22" s="37" t="e">
        <f>IF(E21=0,(I21-E21),(I21-E21)/E21)</f>
        <v>#REF!</v>
      </c>
      <c r="J22" s="38" t="e">
        <f>IF(F21=0,(J21-F21),(J21-F21)/F21)</f>
        <v>#REF!</v>
      </c>
      <c r="K22" s="39"/>
      <c r="L22" s="34"/>
      <c r="M22" s="37" t="e">
        <f>IF(I21=0,(M21-I21),(M21-I21)/I21)</f>
        <v>#REF!</v>
      </c>
      <c r="N22" s="38" t="e">
        <f>IF(J21=0,(N21-J21),(N21-J21)/J21)</f>
        <v>#REF!</v>
      </c>
      <c r="O22" s="39"/>
      <c r="P22" s="34"/>
      <c r="Q22" s="30"/>
      <c r="R22" s="31"/>
      <c r="S22" s="39"/>
      <c r="T22" s="37" t="e">
        <f>IF(T21=0,0,T21/M21)</f>
        <v>#REF!</v>
      </c>
      <c r="U22" s="38" t="e">
        <f>IF(N21=0,0,U21/N21)</f>
        <v>#REF!</v>
      </c>
      <c r="V22" s="39"/>
      <c r="W22" s="37" t="e">
        <f t="shared" si="14"/>
        <v>#REF!</v>
      </c>
      <c r="X22" s="38" t="e">
        <f t="shared" si="14"/>
        <v>#REF!</v>
      </c>
    </row>
    <row r="23" spans="2:24" ht="33" customHeight="1" x14ac:dyDescent="0.35">
      <c r="B23" s="40" t="s">
        <v>21</v>
      </c>
      <c r="C23" s="41" t="e">
        <f>IF(C4=0,C21,C21/C4)</f>
        <v>#REF!</v>
      </c>
      <c r="D23" s="30"/>
      <c r="E23" s="30"/>
      <c r="F23" s="31"/>
      <c r="G23" s="41" t="e">
        <f>IF(G4=0,G21,G21/G4)</f>
        <v>#REF!</v>
      </c>
      <c r="H23" s="30"/>
      <c r="I23" s="30"/>
      <c r="J23" s="31"/>
      <c r="K23" s="41" t="e">
        <f>IF(K4=0,K21,K21/K4)</f>
        <v>#REF!</v>
      </c>
      <c r="L23" s="30"/>
      <c r="M23" s="30"/>
      <c r="N23" s="31"/>
      <c r="O23" s="41" t="e">
        <f>IF(O4=0,O21,O21/O4)</f>
        <v>#REF!</v>
      </c>
      <c r="P23" s="30"/>
      <c r="Q23" s="30"/>
      <c r="R23" s="31"/>
      <c r="S23" s="41" t="e">
        <f t="shared" si="8"/>
        <v>#REF!</v>
      </c>
      <c r="T23" s="30"/>
      <c r="U23" s="31"/>
      <c r="V23" s="41" t="e">
        <f>O23-G23</f>
        <v>#REF!</v>
      </c>
      <c r="W23" s="30"/>
      <c r="X23" s="31"/>
    </row>
    <row r="24" spans="2:24" ht="33" customHeight="1" x14ac:dyDescent="0.35">
      <c r="B24" s="42" t="s">
        <v>22</v>
      </c>
      <c r="C24" s="43" t="e">
        <f>IF(C4=0,0,F$21/C$4)</f>
        <v>#REF!</v>
      </c>
      <c r="D24" s="44"/>
      <c r="E24" s="45"/>
      <c r="F24" s="46"/>
      <c r="G24" s="43" t="e">
        <f>IF(G4=0,0,J$21/G$4)</f>
        <v>#REF!</v>
      </c>
      <c r="H24" s="44"/>
      <c r="I24" s="45"/>
      <c r="J24" s="46"/>
      <c r="K24" s="43" t="e">
        <f>IF(K4=0,0,N$21/K$4)</f>
        <v>#REF!</v>
      </c>
      <c r="L24" s="44"/>
      <c r="M24" s="45"/>
      <c r="N24" s="46"/>
      <c r="O24" s="43" t="e">
        <f>IF(O4=0,0,R$21/O$4)</f>
        <v>#REF!</v>
      </c>
      <c r="P24" s="44"/>
      <c r="Q24" s="45"/>
      <c r="R24" s="46"/>
      <c r="S24" s="43" t="e">
        <f t="shared" si="8"/>
        <v>#REF!</v>
      </c>
      <c r="T24" s="45"/>
      <c r="U24" s="46"/>
      <c r="V24" s="43" t="e">
        <f>O24-G24</f>
        <v>#REF!</v>
      </c>
      <c r="W24" s="45"/>
      <c r="X24" s="46"/>
    </row>
    <row r="25" spans="2:24" x14ac:dyDescent="0.35">
      <c r="B25" s="3"/>
      <c r="C25" s="3"/>
      <c r="D25" s="3"/>
      <c r="E25" s="3"/>
      <c r="F25" s="3"/>
      <c r="G25" s="3"/>
      <c r="H25" s="3"/>
      <c r="I25" s="3"/>
      <c r="J25" s="3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2:24" x14ac:dyDescent="0.35">
      <c r="B26" s="789" t="s">
        <v>23</v>
      </c>
      <c r="C26" s="790"/>
      <c r="D26" s="790"/>
      <c r="E26" s="790"/>
      <c r="F26" s="790"/>
      <c r="G26" s="790"/>
      <c r="H26" s="790"/>
      <c r="I26" s="790"/>
      <c r="J26" s="790"/>
      <c r="K26" s="790"/>
      <c r="L26" s="790"/>
      <c r="M26" s="790"/>
      <c r="N26" s="790"/>
      <c r="O26" s="790"/>
      <c r="P26" s="790"/>
      <c r="Q26" s="790"/>
      <c r="R26" s="790"/>
      <c r="S26" s="790"/>
      <c r="T26" s="790"/>
      <c r="U26" s="790"/>
      <c r="V26" s="790"/>
      <c r="W26" s="790"/>
      <c r="X26" s="791"/>
    </row>
    <row r="27" spans="2:24" x14ac:dyDescent="0.35">
      <c r="B27" s="47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9"/>
    </row>
    <row r="28" spans="2:24" x14ac:dyDescent="0.35">
      <c r="B28" s="47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9"/>
    </row>
    <row r="29" spans="2:24" x14ac:dyDescent="0.35">
      <c r="B29" s="47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9"/>
    </row>
    <row r="30" spans="2:24" x14ac:dyDescent="0.35">
      <c r="B30" s="47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9"/>
    </row>
    <row r="31" spans="2:24" x14ac:dyDescent="0.35">
      <c r="B31" s="47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9"/>
    </row>
    <row r="32" spans="2:24" x14ac:dyDescent="0.35">
      <c r="B32" s="47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9"/>
    </row>
    <row r="33" spans="2:24" x14ac:dyDescent="0.35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2"/>
    </row>
  </sheetData>
  <sheetProtection formatCells="0" formatColumns="0" formatRows="0" insertColumns="0" insertRows="0" deleteColumns="0" deleteRows="0" selectLockedCells="1" selectUnlockedCells="1"/>
  <mergeCells count="9">
    <mergeCell ref="V5:X5"/>
    <mergeCell ref="B26:X26"/>
    <mergeCell ref="B1:X1"/>
    <mergeCell ref="B2:X2"/>
    <mergeCell ref="C5:F5"/>
    <mergeCell ref="G5:J5"/>
    <mergeCell ref="K5:N5"/>
    <mergeCell ref="O5:R5"/>
    <mergeCell ref="S5:U5"/>
  </mergeCells>
  <printOptions horizontalCentered="1" verticalCentered="1"/>
  <pageMargins left="0.5" right="0.5" top="0.5" bottom="0.5" header="0.3" footer="0.3"/>
  <pageSetup paperSize="8" scale="48" orientation="landscape" errors="blank" r:id="rId1"/>
  <headerFooter>
    <oddFooter>Page &amp;P of &amp;N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8">
    <tabColor rgb="FFFF0000"/>
    <pageSetUpPr fitToPage="1"/>
  </sheetPr>
  <dimension ref="B1:X33"/>
  <sheetViews>
    <sheetView view="pageBreakPreview" zoomScale="55" zoomScaleNormal="50" zoomScaleSheetLayoutView="55" workbookViewId="0">
      <pane xSplit="2" ySplit="6" topLeftCell="C7" activePane="bottomRight" state="frozen"/>
      <selection activeCell="B2" sqref="B2:X2"/>
      <selection pane="topRight" activeCell="B2" sqref="B2:X2"/>
      <selection pane="bottomLeft" activeCell="B2" sqref="B2:X2"/>
      <selection pane="bottomRight" activeCell="B2" sqref="B2:X2"/>
    </sheetView>
  </sheetViews>
  <sheetFormatPr defaultColWidth="9.140625" defaultRowHeight="23.25" outlineLevelRow="1" x14ac:dyDescent="0.35"/>
  <cols>
    <col min="1" max="1" width="1.28515625" style="5" customWidth="1"/>
    <col min="2" max="2" width="43.7109375" style="5" customWidth="1"/>
    <col min="3" max="3" width="18.140625" style="5" bestFit="1" customWidth="1"/>
    <col min="4" max="4" width="12.7109375" style="5" bestFit="1" customWidth="1"/>
    <col min="5" max="5" width="13" style="5" bestFit="1" customWidth="1"/>
    <col min="6" max="6" width="23" style="5" bestFit="1" customWidth="1"/>
    <col min="7" max="7" width="16.140625" style="5" bestFit="1" customWidth="1"/>
    <col min="8" max="8" width="12.7109375" style="5" bestFit="1" customWidth="1"/>
    <col min="9" max="9" width="13" style="5" bestFit="1" customWidth="1"/>
    <col min="10" max="10" width="23" style="5" bestFit="1" customWidth="1"/>
    <col min="11" max="11" width="16.140625" style="5" bestFit="1" customWidth="1"/>
    <col min="12" max="12" width="11.85546875" style="5" bestFit="1" customWidth="1"/>
    <col min="13" max="13" width="14.85546875" style="5" customWidth="1"/>
    <col min="14" max="14" width="28.7109375" style="5" bestFit="1" customWidth="1"/>
    <col min="15" max="15" width="16.140625" style="5" bestFit="1" customWidth="1"/>
    <col min="16" max="16" width="11.85546875" style="5" bestFit="1" customWidth="1"/>
    <col min="17" max="17" width="13" style="5" bestFit="1" customWidth="1"/>
    <col min="18" max="18" width="23" style="5" bestFit="1" customWidth="1"/>
    <col min="19" max="19" width="13.85546875" style="5" bestFit="1" customWidth="1"/>
    <col min="20" max="20" width="14.28515625" style="5" bestFit="1" customWidth="1"/>
    <col min="21" max="21" width="19.7109375" style="5" bestFit="1" customWidth="1"/>
    <col min="22" max="22" width="13.85546875" style="5" bestFit="1" customWidth="1"/>
    <col min="23" max="23" width="14.28515625" style="5" bestFit="1" customWidth="1"/>
    <col min="24" max="24" width="19.7109375" style="5" bestFit="1" customWidth="1"/>
    <col min="25" max="16384" width="9.140625" style="5"/>
  </cols>
  <sheetData>
    <row r="1" spans="2:24" s="1" customFormat="1" ht="23.25" customHeight="1" x14ac:dyDescent="0.4">
      <c r="B1" s="756" t="e">
        <f>#REF!</f>
        <v>#REF!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7"/>
      <c r="R1" s="757"/>
      <c r="S1" s="757"/>
      <c r="T1" s="757"/>
      <c r="U1" s="757"/>
      <c r="V1" s="757"/>
      <c r="W1" s="757"/>
      <c r="X1" s="758"/>
    </row>
    <row r="2" spans="2:24" s="1" customFormat="1" ht="26.25" x14ac:dyDescent="0.4">
      <c r="B2" s="798" t="s">
        <v>27</v>
      </c>
      <c r="C2" s="799"/>
      <c r="D2" s="799"/>
      <c r="E2" s="799"/>
      <c r="F2" s="799"/>
      <c r="G2" s="799"/>
      <c r="H2" s="799"/>
      <c r="I2" s="799"/>
      <c r="J2" s="799"/>
      <c r="K2" s="799"/>
      <c r="L2" s="799"/>
      <c r="M2" s="799"/>
      <c r="N2" s="799"/>
      <c r="O2" s="799"/>
      <c r="P2" s="799"/>
      <c r="Q2" s="799"/>
      <c r="R2" s="799"/>
      <c r="S2" s="799"/>
      <c r="T2" s="799"/>
      <c r="U2" s="799"/>
      <c r="V2" s="799"/>
      <c r="W2" s="799"/>
      <c r="X2" s="800"/>
    </row>
    <row r="3" spans="2:24" ht="35.25" customHeight="1" x14ac:dyDescent="0.35">
      <c r="B3" s="2" t="s">
        <v>0</v>
      </c>
      <c r="C3" s="53" t="e">
        <f>#REF!</f>
        <v>#REF!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2:24" ht="33" customHeight="1" outlineLevel="1" x14ac:dyDescent="0.35">
      <c r="B4" s="6" t="s">
        <v>1</v>
      </c>
      <c r="C4" s="7" t="e">
        <f>#REF!+#REF!+#REF!</f>
        <v>#REF!</v>
      </c>
      <c r="D4" s="8"/>
      <c r="E4" s="9"/>
      <c r="F4" s="10"/>
      <c r="G4" s="7" t="e">
        <f>#REF!+#REF!+#REF!</f>
        <v>#REF!</v>
      </c>
      <c r="H4" s="11"/>
      <c r="I4" s="11"/>
      <c r="J4" s="11"/>
      <c r="K4" s="7" t="e">
        <f>#REF!+#REF!+#REF!</f>
        <v>#REF!</v>
      </c>
      <c r="L4" s="11"/>
      <c r="M4" s="11"/>
      <c r="N4" s="11"/>
      <c r="O4" s="7" t="e">
        <f>#REF!+#REF!+#REF!</f>
        <v>#REF!</v>
      </c>
      <c r="P4" s="12"/>
      <c r="Q4" s="12"/>
      <c r="R4" s="12"/>
      <c r="S4" s="12"/>
      <c r="T4" s="12"/>
      <c r="U4" s="12"/>
      <c r="V4" s="12"/>
      <c r="W4" s="12"/>
      <c r="X4" s="13"/>
    </row>
    <row r="5" spans="2:24" ht="33" customHeight="1" x14ac:dyDescent="0.35">
      <c r="B5" s="14" t="s">
        <v>2</v>
      </c>
      <c r="C5" s="762" t="s">
        <v>3</v>
      </c>
      <c r="D5" s="763"/>
      <c r="E5" s="763"/>
      <c r="F5" s="764"/>
      <c r="G5" s="762" t="s">
        <v>30</v>
      </c>
      <c r="H5" s="763"/>
      <c r="I5" s="763"/>
      <c r="J5" s="764"/>
      <c r="K5" s="762" t="s">
        <v>32</v>
      </c>
      <c r="L5" s="763"/>
      <c r="M5" s="763"/>
      <c r="N5" s="764"/>
      <c r="O5" s="762" t="s">
        <v>31</v>
      </c>
      <c r="P5" s="763"/>
      <c r="Q5" s="763"/>
      <c r="R5" s="764"/>
      <c r="S5" s="762" t="s">
        <v>33</v>
      </c>
      <c r="T5" s="763"/>
      <c r="U5" s="764"/>
      <c r="V5" s="762" t="s">
        <v>34</v>
      </c>
      <c r="W5" s="763"/>
      <c r="X5" s="764"/>
    </row>
    <row r="6" spans="2:24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7" t="s">
        <v>5</v>
      </c>
      <c r="Q6" s="18" t="s">
        <v>6</v>
      </c>
      <c r="R6" s="19" t="s">
        <v>7</v>
      </c>
      <c r="S6" s="16" t="s">
        <v>4</v>
      </c>
      <c r="T6" s="18" t="s">
        <v>6</v>
      </c>
      <c r="U6" s="19" t="s">
        <v>7</v>
      </c>
      <c r="V6" s="16" t="s">
        <v>4</v>
      </c>
      <c r="W6" s="18" t="s">
        <v>6</v>
      </c>
      <c r="X6" s="19" t="s">
        <v>7</v>
      </c>
    </row>
    <row r="7" spans="2:24" s="84" customFormat="1" ht="33" customHeight="1" outlineLevel="1" x14ac:dyDescent="0.3">
      <c r="B7" s="79" t="s">
        <v>8</v>
      </c>
      <c r="C7" s="80" t="e">
        <f>#REF!+#REF!+#REF!</f>
        <v>#REF!</v>
      </c>
      <c r="D7" s="81" t="e">
        <f t="shared" ref="D7:D16" si="0">+IF(C$21=0,0,C7/C$21)</f>
        <v>#REF!</v>
      </c>
      <c r="E7" s="82" t="e">
        <f>IF(C7=0,0,F7/C7)</f>
        <v>#REF!</v>
      </c>
      <c r="F7" s="83" t="e">
        <f>#REF!+#REF!+#REF!</f>
        <v>#REF!</v>
      </c>
      <c r="G7" s="80" t="e">
        <f>#REF!+#REF!+#REF!</f>
        <v>#REF!</v>
      </c>
      <c r="H7" s="81" t="e">
        <f t="shared" ref="H7:H16" si="1">+IF(G$21=0,0,G7/G$21)</f>
        <v>#REF!</v>
      </c>
      <c r="I7" s="82" t="e">
        <f>IF(G7=0,0,J7/G7)</f>
        <v>#REF!</v>
      </c>
      <c r="J7" s="83" t="e">
        <f>#REF!+#REF!+#REF!</f>
        <v>#REF!</v>
      </c>
      <c r="K7" s="80" t="e">
        <f>#REF!+#REF!+#REF!</f>
        <v>#REF!</v>
      </c>
      <c r="L7" s="81" t="e">
        <f t="shared" ref="L7:L16" si="2">+IF(K$21=0,0,K7/K$21)</f>
        <v>#REF!</v>
      </c>
      <c r="M7" s="82" t="e">
        <f>IF(K7=0,0,N7/K7)</f>
        <v>#REF!</v>
      </c>
      <c r="N7" s="83" t="e">
        <f>#REF!+#REF!+#REF!</f>
        <v>#REF!</v>
      </c>
      <c r="O7" s="80" t="e">
        <f>#REF!+#REF!+#REF!</f>
        <v>#REF!</v>
      </c>
      <c r="P7" s="81" t="e">
        <f t="shared" ref="P7:P16" si="3">+IF(O$21=0,0,O7/O$21)</f>
        <v>#REF!</v>
      </c>
      <c r="Q7" s="82" t="e">
        <f>IF(O7=0,0,R7/O7)</f>
        <v>#REF!</v>
      </c>
      <c r="R7" s="83" t="e">
        <f>#REF!+#REF!+#REF!</f>
        <v>#REF!</v>
      </c>
      <c r="S7" s="80" t="e">
        <f>O7-K7</f>
        <v>#REF!</v>
      </c>
      <c r="T7" s="82" t="e">
        <f>Q7-M7</f>
        <v>#REF!</v>
      </c>
      <c r="U7" s="83" t="e">
        <f>R7-N7</f>
        <v>#REF!</v>
      </c>
      <c r="V7" s="80" t="e">
        <f>O7-G7</f>
        <v>#REF!</v>
      </c>
      <c r="W7" s="82" t="e">
        <f>Q7-I7</f>
        <v>#REF!</v>
      </c>
      <c r="X7" s="83" t="e">
        <f>R7-J7</f>
        <v>#REF!</v>
      </c>
    </row>
    <row r="8" spans="2:24" s="84" customFormat="1" ht="33" customHeight="1" outlineLevel="1" x14ac:dyDescent="0.3">
      <c r="B8" s="79" t="s">
        <v>9</v>
      </c>
      <c r="C8" s="80" t="e">
        <f>#REF!+#REF!+#REF!</f>
        <v>#REF!</v>
      </c>
      <c r="D8" s="81" t="e">
        <f t="shared" si="0"/>
        <v>#REF!</v>
      </c>
      <c r="E8" s="82" t="e">
        <f t="shared" ref="E8:E21" si="4">IF(C8=0,0,F8/C8)</f>
        <v>#REF!</v>
      </c>
      <c r="F8" s="83" t="e">
        <f>#REF!+#REF!+#REF!</f>
        <v>#REF!</v>
      </c>
      <c r="G8" s="80" t="e">
        <f>#REF!+#REF!+#REF!</f>
        <v>#REF!</v>
      </c>
      <c r="H8" s="81" t="e">
        <f t="shared" si="1"/>
        <v>#REF!</v>
      </c>
      <c r="I8" s="82" t="e">
        <f t="shared" ref="I8:I21" si="5">IF(G8=0,0,J8/G8)</f>
        <v>#REF!</v>
      </c>
      <c r="J8" s="83" t="e">
        <f>#REF!+#REF!+#REF!</f>
        <v>#REF!</v>
      </c>
      <c r="K8" s="80" t="e">
        <f>#REF!+#REF!+#REF!</f>
        <v>#REF!</v>
      </c>
      <c r="L8" s="81" t="e">
        <f t="shared" si="2"/>
        <v>#REF!</v>
      </c>
      <c r="M8" s="82" t="e">
        <f t="shared" ref="M8:M21" si="6">IF(K8=0,0,N8/K8)</f>
        <v>#REF!</v>
      </c>
      <c r="N8" s="83" t="e">
        <f>#REF!+#REF!+#REF!</f>
        <v>#REF!</v>
      </c>
      <c r="O8" s="80" t="e">
        <f>#REF!+#REF!+#REF!</f>
        <v>#REF!</v>
      </c>
      <c r="P8" s="81" t="e">
        <f t="shared" si="3"/>
        <v>#REF!</v>
      </c>
      <c r="Q8" s="82" t="e">
        <f t="shared" ref="Q8:Q21" si="7">IF(O8=0,0,R8/O8)</f>
        <v>#REF!</v>
      </c>
      <c r="R8" s="83" t="e">
        <f>#REF!+#REF!+#REF!</f>
        <v>#REF!</v>
      </c>
      <c r="S8" s="80" t="e">
        <f t="shared" ref="S8:S24" si="8">O8-K8</f>
        <v>#REF!</v>
      </c>
      <c r="T8" s="82" t="e">
        <f t="shared" ref="T8:U21" si="9">Q8-M8</f>
        <v>#REF!</v>
      </c>
      <c r="U8" s="83" t="e">
        <f t="shared" si="9"/>
        <v>#REF!</v>
      </c>
      <c r="V8" s="80" t="e">
        <f t="shared" ref="V8:V21" si="10">O8-G8</f>
        <v>#REF!</v>
      </c>
      <c r="W8" s="82" t="e">
        <f t="shared" ref="W8:W16" si="11">Q8-I8</f>
        <v>#REF!</v>
      </c>
      <c r="X8" s="83" t="e">
        <f t="shared" ref="X8:X16" si="12">R8-J8</f>
        <v>#REF!</v>
      </c>
    </row>
    <row r="9" spans="2:24" s="84" customFormat="1" ht="33" customHeight="1" outlineLevel="1" x14ac:dyDescent="0.3">
      <c r="B9" s="79" t="s">
        <v>11</v>
      </c>
      <c r="C9" s="80" t="e">
        <f>#REF!+#REF!+#REF!</f>
        <v>#REF!</v>
      </c>
      <c r="D9" s="81" t="e">
        <f t="shared" si="0"/>
        <v>#REF!</v>
      </c>
      <c r="E9" s="82" t="e">
        <f>IF(C9=0,0,F9/C9)</f>
        <v>#REF!</v>
      </c>
      <c r="F9" s="83" t="e">
        <f>#REF!+#REF!+#REF!</f>
        <v>#REF!</v>
      </c>
      <c r="G9" s="80" t="e">
        <f>#REF!+#REF!+#REF!</f>
        <v>#REF!</v>
      </c>
      <c r="H9" s="81" t="e">
        <f t="shared" si="1"/>
        <v>#REF!</v>
      </c>
      <c r="I9" s="82" t="e">
        <f>IF(G9=0,0,J9/G9)</f>
        <v>#REF!</v>
      </c>
      <c r="J9" s="83" t="e">
        <f>#REF!+#REF!+#REF!</f>
        <v>#REF!</v>
      </c>
      <c r="K9" s="80" t="e">
        <f>#REF!+#REF!+#REF!</f>
        <v>#REF!</v>
      </c>
      <c r="L9" s="81" t="e">
        <f t="shared" si="2"/>
        <v>#REF!</v>
      </c>
      <c r="M9" s="82" t="e">
        <f>IF(K9=0,0,N9/K9)</f>
        <v>#REF!</v>
      </c>
      <c r="N9" s="83" t="e">
        <f>#REF!+#REF!+#REF!</f>
        <v>#REF!</v>
      </c>
      <c r="O9" s="80" t="e">
        <f>#REF!+#REF!+#REF!</f>
        <v>#REF!</v>
      </c>
      <c r="P9" s="81" t="e">
        <f t="shared" si="3"/>
        <v>#REF!</v>
      </c>
      <c r="Q9" s="82" t="e">
        <f>IF(O9=0,0,R9/O9)</f>
        <v>#REF!</v>
      </c>
      <c r="R9" s="83" t="e">
        <f>#REF!+#REF!+#REF!</f>
        <v>#REF!</v>
      </c>
      <c r="S9" s="80" t="e">
        <f>O9-K9</f>
        <v>#REF!</v>
      </c>
      <c r="T9" s="82" t="e">
        <f t="shared" ref="T9:U11" si="13">Q9-M9</f>
        <v>#REF!</v>
      </c>
      <c r="U9" s="83" t="e">
        <f t="shared" si="13"/>
        <v>#REF!</v>
      </c>
      <c r="V9" s="80" t="e">
        <f t="shared" si="10"/>
        <v>#REF!</v>
      </c>
      <c r="W9" s="82" t="e">
        <f t="shared" si="11"/>
        <v>#REF!</v>
      </c>
      <c r="X9" s="83" t="e">
        <f t="shared" si="12"/>
        <v>#REF!</v>
      </c>
    </row>
    <row r="10" spans="2:24" ht="33" customHeight="1" x14ac:dyDescent="0.35">
      <c r="B10" s="20" t="s">
        <v>29</v>
      </c>
      <c r="C10" s="55" t="e">
        <f>SUM(C7:C9)</f>
        <v>#REF!</v>
      </c>
      <c r="D10" s="21" t="e">
        <f t="shared" si="0"/>
        <v>#REF!</v>
      </c>
      <c r="E10" s="58" t="e">
        <f>IF(C10=0,0,F10/C10)</f>
        <v>#REF!</v>
      </c>
      <c r="F10" s="59" t="e">
        <f>SUM(F7:F9)</f>
        <v>#REF!</v>
      </c>
      <c r="G10" s="55" t="e">
        <f>SUM(G7:G9)</f>
        <v>#REF!</v>
      </c>
      <c r="H10" s="21" t="e">
        <f t="shared" si="1"/>
        <v>#REF!</v>
      </c>
      <c r="I10" s="58" t="e">
        <f>IF(G10=0,0,J10/G10)</f>
        <v>#REF!</v>
      </c>
      <c r="J10" s="59" t="e">
        <f>SUM(J7:J9)</f>
        <v>#REF!</v>
      </c>
      <c r="K10" s="55" t="e">
        <f>SUM(K7:K9)</f>
        <v>#REF!</v>
      </c>
      <c r="L10" s="21" t="e">
        <f t="shared" si="2"/>
        <v>#REF!</v>
      </c>
      <c r="M10" s="58" t="e">
        <f>IF(K10=0,0,N10/K10)</f>
        <v>#REF!</v>
      </c>
      <c r="N10" s="59" t="e">
        <f>SUM(N7:N9)</f>
        <v>#REF!</v>
      </c>
      <c r="O10" s="55" t="e">
        <f>SUM(O7:O9)</f>
        <v>#REF!</v>
      </c>
      <c r="P10" s="21" t="e">
        <f t="shared" si="3"/>
        <v>#REF!</v>
      </c>
      <c r="Q10" s="58" t="e">
        <f>IF(O10=0,0,R10/O10)</f>
        <v>#REF!</v>
      </c>
      <c r="R10" s="59" t="e">
        <f>SUM(R7:R9)</f>
        <v>#REF!</v>
      </c>
      <c r="S10" s="55" t="e">
        <f>O10-K10</f>
        <v>#REF!</v>
      </c>
      <c r="T10" s="58" t="e">
        <f t="shared" si="13"/>
        <v>#REF!</v>
      </c>
      <c r="U10" s="59" t="e">
        <f t="shared" si="13"/>
        <v>#REF!</v>
      </c>
      <c r="V10" s="55" t="e">
        <f t="shared" si="10"/>
        <v>#REF!</v>
      </c>
      <c r="W10" s="58" t="e">
        <f t="shared" si="11"/>
        <v>#REF!</v>
      </c>
      <c r="X10" s="59" t="e">
        <f t="shared" si="12"/>
        <v>#REF!</v>
      </c>
    </row>
    <row r="11" spans="2:24" ht="33" customHeight="1" x14ac:dyDescent="0.35">
      <c r="B11" s="20" t="s">
        <v>10</v>
      </c>
      <c r="C11" s="55" t="e">
        <f>#REF!+#REF!+#REF!</f>
        <v>#REF!</v>
      </c>
      <c r="D11" s="21" t="e">
        <f t="shared" si="0"/>
        <v>#REF!</v>
      </c>
      <c r="E11" s="58" t="e">
        <f t="shared" si="4"/>
        <v>#REF!</v>
      </c>
      <c r="F11" s="59" t="e">
        <f>#REF!+#REF!+#REF!</f>
        <v>#REF!</v>
      </c>
      <c r="G11" s="55" t="e">
        <f>#REF!+#REF!+#REF!</f>
        <v>#REF!</v>
      </c>
      <c r="H11" s="21" t="e">
        <f t="shared" si="1"/>
        <v>#REF!</v>
      </c>
      <c r="I11" s="58" t="e">
        <f t="shared" si="5"/>
        <v>#REF!</v>
      </c>
      <c r="J11" s="59" t="e">
        <f>#REF!+#REF!+#REF!</f>
        <v>#REF!</v>
      </c>
      <c r="K11" s="55" t="e">
        <f>#REF!+#REF!+#REF!</f>
        <v>#REF!</v>
      </c>
      <c r="L11" s="21" t="e">
        <f t="shared" si="2"/>
        <v>#REF!</v>
      </c>
      <c r="M11" s="58" t="e">
        <f t="shared" si="6"/>
        <v>#REF!</v>
      </c>
      <c r="N11" s="59" t="e">
        <f>#REF!+#REF!+#REF!</f>
        <v>#REF!</v>
      </c>
      <c r="O11" s="55" t="e">
        <f>#REF!+#REF!+#REF!</f>
        <v>#REF!</v>
      </c>
      <c r="P11" s="21" t="e">
        <f t="shared" si="3"/>
        <v>#REF!</v>
      </c>
      <c r="Q11" s="58" t="e">
        <f t="shared" si="7"/>
        <v>#REF!</v>
      </c>
      <c r="R11" s="59" t="e">
        <f>#REF!+#REF!+#REF!</f>
        <v>#REF!</v>
      </c>
      <c r="S11" s="55" t="e">
        <f t="shared" si="8"/>
        <v>#REF!</v>
      </c>
      <c r="T11" s="58" t="e">
        <f t="shared" si="13"/>
        <v>#REF!</v>
      </c>
      <c r="U11" s="59" t="e">
        <f t="shared" si="13"/>
        <v>#REF!</v>
      </c>
      <c r="V11" s="55" t="e">
        <f t="shared" si="10"/>
        <v>#REF!</v>
      </c>
      <c r="W11" s="58" t="e">
        <f t="shared" si="11"/>
        <v>#REF!</v>
      </c>
      <c r="X11" s="59" t="e">
        <f t="shared" si="12"/>
        <v>#REF!</v>
      </c>
    </row>
    <row r="12" spans="2:24" ht="33" customHeight="1" x14ac:dyDescent="0.35">
      <c r="B12" s="20" t="s">
        <v>12</v>
      </c>
      <c r="C12" s="55" t="e">
        <f>#REF!+#REF!+#REF!</f>
        <v>#REF!</v>
      </c>
      <c r="D12" s="21" t="e">
        <f t="shared" si="0"/>
        <v>#REF!</v>
      </c>
      <c r="E12" s="58" t="e">
        <f t="shared" si="4"/>
        <v>#REF!</v>
      </c>
      <c r="F12" s="59" t="e">
        <f>#REF!+#REF!+#REF!</f>
        <v>#REF!</v>
      </c>
      <c r="G12" s="55" t="e">
        <f>#REF!+#REF!+#REF!</f>
        <v>#REF!</v>
      </c>
      <c r="H12" s="21" t="e">
        <f t="shared" si="1"/>
        <v>#REF!</v>
      </c>
      <c r="I12" s="58" t="e">
        <f t="shared" si="5"/>
        <v>#REF!</v>
      </c>
      <c r="J12" s="59" t="e">
        <f>#REF!+#REF!+#REF!</f>
        <v>#REF!</v>
      </c>
      <c r="K12" s="55" t="e">
        <f>#REF!+#REF!+#REF!</f>
        <v>#REF!</v>
      </c>
      <c r="L12" s="21" t="e">
        <f t="shared" si="2"/>
        <v>#REF!</v>
      </c>
      <c r="M12" s="58" t="e">
        <f t="shared" si="6"/>
        <v>#REF!</v>
      </c>
      <c r="N12" s="59" t="e">
        <f>#REF!+#REF!+#REF!</f>
        <v>#REF!</v>
      </c>
      <c r="O12" s="55" t="e">
        <f>#REF!+#REF!+#REF!</f>
        <v>#REF!</v>
      </c>
      <c r="P12" s="21" t="e">
        <f t="shared" si="3"/>
        <v>#REF!</v>
      </c>
      <c r="Q12" s="58" t="e">
        <f t="shared" si="7"/>
        <v>#REF!</v>
      </c>
      <c r="R12" s="59" t="e">
        <f>#REF!+#REF!+#REF!</f>
        <v>#REF!</v>
      </c>
      <c r="S12" s="55" t="e">
        <f t="shared" si="8"/>
        <v>#REF!</v>
      </c>
      <c r="T12" s="58" t="e">
        <f t="shared" si="9"/>
        <v>#REF!</v>
      </c>
      <c r="U12" s="59" t="e">
        <f t="shared" si="9"/>
        <v>#REF!</v>
      </c>
      <c r="V12" s="55" t="e">
        <f t="shared" si="10"/>
        <v>#REF!</v>
      </c>
      <c r="W12" s="58" t="e">
        <f t="shared" si="11"/>
        <v>#REF!</v>
      </c>
      <c r="X12" s="59" t="e">
        <f t="shared" si="12"/>
        <v>#REF!</v>
      </c>
    </row>
    <row r="13" spans="2:24" ht="33" customHeight="1" x14ac:dyDescent="0.35">
      <c r="B13" s="22" t="s">
        <v>13</v>
      </c>
      <c r="C13" s="56" t="e">
        <f>SUM(C10:C12)</f>
        <v>#REF!</v>
      </c>
      <c r="D13" s="23" t="e">
        <f>+IF(C$21=0,0,C13/C$21)</f>
        <v>#REF!</v>
      </c>
      <c r="E13" s="60" t="e">
        <f>IF(C13=0,0,F13/C13)</f>
        <v>#REF!</v>
      </c>
      <c r="F13" s="61" t="e">
        <f>SUM(F10:F12)</f>
        <v>#REF!</v>
      </c>
      <c r="G13" s="56" t="e">
        <f>SUM(G10:G12)</f>
        <v>#REF!</v>
      </c>
      <c r="H13" s="23" t="e">
        <f t="shared" si="1"/>
        <v>#REF!</v>
      </c>
      <c r="I13" s="60" t="e">
        <f t="shared" si="5"/>
        <v>#REF!</v>
      </c>
      <c r="J13" s="61" t="e">
        <f>SUM(J10:J12)</f>
        <v>#REF!</v>
      </c>
      <c r="K13" s="56" t="e">
        <f>SUM(K10:K12)</f>
        <v>#REF!</v>
      </c>
      <c r="L13" s="23" t="e">
        <f t="shared" si="2"/>
        <v>#REF!</v>
      </c>
      <c r="M13" s="60" t="e">
        <f t="shared" si="6"/>
        <v>#REF!</v>
      </c>
      <c r="N13" s="61" t="e">
        <f>SUM(N10:N12)</f>
        <v>#REF!</v>
      </c>
      <c r="O13" s="56" t="e">
        <f>SUM(O10:O12)</f>
        <v>#REF!</v>
      </c>
      <c r="P13" s="23" t="e">
        <f t="shared" si="3"/>
        <v>#REF!</v>
      </c>
      <c r="Q13" s="60" t="e">
        <f t="shared" si="7"/>
        <v>#REF!</v>
      </c>
      <c r="R13" s="61" t="e">
        <f>SUM(R10:R12)</f>
        <v>#REF!</v>
      </c>
      <c r="S13" s="56" t="e">
        <f t="shared" si="8"/>
        <v>#REF!</v>
      </c>
      <c r="T13" s="60" t="e">
        <f t="shared" si="9"/>
        <v>#REF!</v>
      </c>
      <c r="U13" s="66" t="e">
        <f t="shared" si="9"/>
        <v>#REF!</v>
      </c>
      <c r="V13" s="56" t="e">
        <f t="shared" si="10"/>
        <v>#REF!</v>
      </c>
      <c r="W13" s="60" t="e">
        <f t="shared" si="11"/>
        <v>#REF!</v>
      </c>
      <c r="X13" s="66" t="e">
        <f t="shared" si="12"/>
        <v>#REF!</v>
      </c>
    </row>
    <row r="14" spans="2:24" ht="33" customHeight="1" x14ac:dyDescent="0.35">
      <c r="B14" s="25" t="s">
        <v>14</v>
      </c>
      <c r="C14" s="57" t="e">
        <f>#REF!+#REF!+#REF!</f>
        <v>#REF!</v>
      </c>
      <c r="D14" s="26" t="e">
        <f t="shared" si="0"/>
        <v>#REF!</v>
      </c>
      <c r="E14" s="62" t="e">
        <f t="shared" si="4"/>
        <v>#REF!</v>
      </c>
      <c r="F14" s="63" t="e">
        <f>#REF!+#REF!+#REF!</f>
        <v>#REF!</v>
      </c>
      <c r="G14" s="57" t="e">
        <f>#REF!+#REF!+#REF!</f>
        <v>#REF!</v>
      </c>
      <c r="H14" s="26" t="e">
        <f t="shared" si="1"/>
        <v>#REF!</v>
      </c>
      <c r="I14" s="62" t="e">
        <f t="shared" si="5"/>
        <v>#REF!</v>
      </c>
      <c r="J14" s="63" t="e">
        <f>#REF!+#REF!+#REF!</f>
        <v>#REF!</v>
      </c>
      <c r="K14" s="57" t="e">
        <f>#REF!+#REF!+#REF!</f>
        <v>#REF!</v>
      </c>
      <c r="L14" s="26" t="e">
        <f t="shared" si="2"/>
        <v>#REF!</v>
      </c>
      <c r="M14" s="62" t="e">
        <f t="shared" si="6"/>
        <v>#REF!</v>
      </c>
      <c r="N14" s="63" t="e">
        <f>#REF!+#REF!+#REF!</f>
        <v>#REF!</v>
      </c>
      <c r="O14" s="57" t="e">
        <f>#REF!+#REF!+#REF!</f>
        <v>#REF!</v>
      </c>
      <c r="P14" s="26" t="e">
        <f t="shared" si="3"/>
        <v>#REF!</v>
      </c>
      <c r="Q14" s="62" t="e">
        <f t="shared" si="7"/>
        <v>#REF!</v>
      </c>
      <c r="R14" s="63" t="e">
        <f>#REF!+#REF!+#REF!</f>
        <v>#REF!</v>
      </c>
      <c r="S14" s="67" t="e">
        <f t="shared" si="8"/>
        <v>#REF!</v>
      </c>
      <c r="T14" s="68" t="e">
        <f t="shared" si="9"/>
        <v>#REF!</v>
      </c>
      <c r="U14" s="69" t="e">
        <f t="shared" si="9"/>
        <v>#REF!</v>
      </c>
      <c r="V14" s="67" t="e">
        <f t="shared" si="10"/>
        <v>#REF!</v>
      </c>
      <c r="W14" s="68" t="e">
        <f t="shared" si="11"/>
        <v>#REF!</v>
      </c>
      <c r="X14" s="69" t="e">
        <f t="shared" si="12"/>
        <v>#REF!</v>
      </c>
    </row>
    <row r="15" spans="2:24" ht="33" customHeight="1" outlineLevel="1" x14ac:dyDescent="0.35">
      <c r="B15" s="27" t="s">
        <v>15</v>
      </c>
      <c r="C15" s="55" t="e">
        <f>#REF!+#REF!+#REF!</f>
        <v>#REF!</v>
      </c>
      <c r="D15" s="21" t="e">
        <f t="shared" si="0"/>
        <v>#REF!</v>
      </c>
      <c r="E15" s="58" t="e">
        <f t="shared" si="4"/>
        <v>#REF!</v>
      </c>
      <c r="F15" s="59" t="e">
        <f>#REF!+#REF!+#REF!</f>
        <v>#REF!</v>
      </c>
      <c r="G15" s="55" t="e">
        <f>#REF!+#REF!+#REF!</f>
        <v>#REF!</v>
      </c>
      <c r="H15" s="21" t="e">
        <f t="shared" si="1"/>
        <v>#REF!</v>
      </c>
      <c r="I15" s="58" t="e">
        <f t="shared" si="5"/>
        <v>#REF!</v>
      </c>
      <c r="J15" s="59" t="e">
        <f>#REF!+#REF!+#REF!</f>
        <v>#REF!</v>
      </c>
      <c r="K15" s="55" t="e">
        <f>#REF!+#REF!+#REF!</f>
        <v>#REF!</v>
      </c>
      <c r="L15" s="21" t="e">
        <f t="shared" si="2"/>
        <v>#REF!</v>
      </c>
      <c r="M15" s="58" t="e">
        <f t="shared" si="6"/>
        <v>#REF!</v>
      </c>
      <c r="N15" s="59" t="e">
        <f>#REF!+#REF!+#REF!</f>
        <v>#REF!</v>
      </c>
      <c r="O15" s="55" t="e">
        <f>#REF!+#REF!+#REF!</f>
        <v>#REF!</v>
      </c>
      <c r="P15" s="21" t="e">
        <f t="shared" si="3"/>
        <v>#REF!</v>
      </c>
      <c r="Q15" s="58" t="e">
        <f t="shared" si="7"/>
        <v>#REF!</v>
      </c>
      <c r="R15" s="59" t="e">
        <f>#REF!+#REF!+#REF!</f>
        <v>#REF!</v>
      </c>
      <c r="S15" s="70" t="e">
        <f t="shared" si="8"/>
        <v>#REF!</v>
      </c>
      <c r="T15" s="71" t="e">
        <f t="shared" si="9"/>
        <v>#REF!</v>
      </c>
      <c r="U15" s="36" t="e">
        <f t="shared" si="9"/>
        <v>#REF!</v>
      </c>
      <c r="V15" s="70" t="e">
        <f t="shared" si="10"/>
        <v>#REF!</v>
      </c>
      <c r="W15" s="71" t="e">
        <f t="shared" si="11"/>
        <v>#REF!</v>
      </c>
      <c r="X15" s="36" t="e">
        <f t="shared" si="12"/>
        <v>#REF!</v>
      </c>
    </row>
    <row r="16" spans="2:24" ht="33" customHeight="1" x14ac:dyDescent="0.35">
      <c r="B16" s="28" t="s">
        <v>16</v>
      </c>
      <c r="C16" s="56" t="e">
        <f>SUM(C13+C14+C15)</f>
        <v>#REF!</v>
      </c>
      <c r="D16" s="23" t="e">
        <f t="shared" si="0"/>
        <v>#REF!</v>
      </c>
      <c r="E16" s="60" t="e">
        <f t="shared" si="4"/>
        <v>#REF!</v>
      </c>
      <c r="F16" s="64" t="e">
        <f>SUM(F13+F14+F15)</f>
        <v>#REF!</v>
      </c>
      <c r="G16" s="56" t="e">
        <f>SUM(G13+G14+G15)</f>
        <v>#REF!</v>
      </c>
      <c r="H16" s="23" t="e">
        <f t="shared" si="1"/>
        <v>#REF!</v>
      </c>
      <c r="I16" s="60" t="e">
        <f t="shared" si="5"/>
        <v>#REF!</v>
      </c>
      <c r="J16" s="64" t="e">
        <f>SUM(J13+J14+J15)</f>
        <v>#REF!</v>
      </c>
      <c r="K16" s="56" t="e">
        <f>SUM(K13+K14+K15)</f>
        <v>#REF!</v>
      </c>
      <c r="L16" s="23" t="e">
        <f t="shared" si="2"/>
        <v>#REF!</v>
      </c>
      <c r="M16" s="60" t="e">
        <f t="shared" si="6"/>
        <v>#REF!</v>
      </c>
      <c r="N16" s="64" t="e">
        <f>SUM(N13+N14+N15)</f>
        <v>#REF!</v>
      </c>
      <c r="O16" s="56" t="e">
        <f>SUM(O13+O14+O15)</f>
        <v>#REF!</v>
      </c>
      <c r="P16" s="23" t="e">
        <f t="shared" si="3"/>
        <v>#REF!</v>
      </c>
      <c r="Q16" s="60" t="e">
        <f t="shared" si="7"/>
        <v>#REF!</v>
      </c>
      <c r="R16" s="64" t="e">
        <f>SUM(R13+R14+R15)</f>
        <v>#REF!</v>
      </c>
      <c r="S16" s="56" t="e">
        <f t="shared" si="8"/>
        <v>#REF!</v>
      </c>
      <c r="T16" s="60" t="e">
        <f t="shared" si="9"/>
        <v>#REF!</v>
      </c>
      <c r="U16" s="66" t="e">
        <f t="shared" si="9"/>
        <v>#REF!</v>
      </c>
      <c r="V16" s="56" t="e">
        <f t="shared" si="10"/>
        <v>#REF!</v>
      </c>
      <c r="W16" s="60" t="e">
        <f t="shared" si="11"/>
        <v>#REF!</v>
      </c>
      <c r="X16" s="66" t="e">
        <f t="shared" si="12"/>
        <v>#REF!</v>
      </c>
    </row>
    <row r="17" spans="2:24" ht="33" customHeight="1" x14ac:dyDescent="0.35">
      <c r="B17" s="29" t="s">
        <v>17</v>
      </c>
      <c r="C17" s="24" t="e">
        <f>IF(C4=0,C16,C16/$C$4)</f>
        <v>#REF!</v>
      </c>
      <c r="D17" s="30"/>
      <c r="E17" s="35"/>
      <c r="F17" s="36"/>
      <c r="G17" s="24" t="e">
        <f>IF(G4=0, G16, G16/$G$4)</f>
        <v>#REF!</v>
      </c>
      <c r="H17" s="30"/>
      <c r="I17" s="35"/>
      <c r="J17" s="36"/>
      <c r="K17" s="24" t="e">
        <f>IF(K4=0, K16, K16/$K$4)</f>
        <v>#REF!</v>
      </c>
      <c r="L17" s="30"/>
      <c r="M17" s="35"/>
      <c r="N17" s="36"/>
      <c r="O17" s="24" t="e">
        <f>IF(O4=0, O16, O16/$O$4)</f>
        <v>#REF!</v>
      </c>
      <c r="P17" s="30"/>
      <c r="Q17" s="35"/>
      <c r="R17" s="36"/>
      <c r="S17" s="54" t="e">
        <f t="shared" si="8"/>
        <v>#REF!</v>
      </c>
      <c r="T17" s="30"/>
      <c r="U17" s="31"/>
      <c r="V17" s="54" t="e">
        <f t="shared" si="10"/>
        <v>#REF!</v>
      </c>
      <c r="W17" s="30"/>
      <c r="X17" s="31"/>
    </row>
    <row r="18" spans="2:24" ht="33" customHeight="1" x14ac:dyDescent="0.35">
      <c r="B18" s="25" t="s">
        <v>18</v>
      </c>
      <c r="C18" s="57" t="e">
        <f>#REF!+#REF!+#REF!</f>
        <v>#REF!</v>
      </c>
      <c r="D18" s="26" t="e">
        <f>+IF(C$21=0,0,C18/C$21)</f>
        <v>#REF!</v>
      </c>
      <c r="E18" s="65" t="e">
        <f t="shared" si="4"/>
        <v>#REF!</v>
      </c>
      <c r="F18" s="63" t="e">
        <f>#REF!+#REF!+#REF!</f>
        <v>#REF!</v>
      </c>
      <c r="G18" s="57" t="e">
        <f>#REF!+#REF!+#REF!</f>
        <v>#REF!</v>
      </c>
      <c r="H18" s="26" t="e">
        <f>+IF(G$21=0,0,G18/G$21)</f>
        <v>#REF!</v>
      </c>
      <c r="I18" s="65" t="e">
        <f t="shared" si="5"/>
        <v>#REF!</v>
      </c>
      <c r="J18" s="63" t="e">
        <f>#REF!+#REF!+#REF!</f>
        <v>#REF!</v>
      </c>
      <c r="K18" s="57" t="e">
        <f>#REF!+#REF!+#REF!</f>
        <v>#REF!</v>
      </c>
      <c r="L18" s="26" t="e">
        <f>+IF(K$21=0,0,K18/K$21)</f>
        <v>#REF!</v>
      </c>
      <c r="M18" s="65" t="e">
        <f t="shared" si="6"/>
        <v>#REF!</v>
      </c>
      <c r="N18" s="63" t="e">
        <f>#REF!+#REF!+#REF!</f>
        <v>#REF!</v>
      </c>
      <c r="O18" s="57" t="e">
        <f>#REF!+#REF!+#REF!</f>
        <v>#REF!</v>
      </c>
      <c r="P18" s="26" t="e">
        <f>+IF(O$21=0,0,O18/O$21)</f>
        <v>#REF!</v>
      </c>
      <c r="Q18" s="65" t="e">
        <f t="shared" si="7"/>
        <v>#REF!</v>
      </c>
      <c r="R18" s="63" t="e">
        <f>#REF!+#REF!+#REF!</f>
        <v>#REF!</v>
      </c>
      <c r="S18" s="57" t="e">
        <f t="shared" si="8"/>
        <v>#REF!</v>
      </c>
      <c r="T18" s="62" t="e">
        <f t="shared" si="9"/>
        <v>#REF!</v>
      </c>
      <c r="U18" s="63" t="e">
        <f t="shared" si="9"/>
        <v>#REF!</v>
      </c>
      <c r="V18" s="57" t="e">
        <f t="shared" si="10"/>
        <v>#REF!</v>
      </c>
      <c r="W18" s="62" t="e">
        <f t="shared" ref="W18:X22" si="14">Q18-I18</f>
        <v>#REF!</v>
      </c>
      <c r="X18" s="63" t="e">
        <f t="shared" si="14"/>
        <v>#REF!</v>
      </c>
    </row>
    <row r="19" spans="2:24" ht="33" customHeight="1" outlineLevel="1" x14ac:dyDescent="0.35">
      <c r="B19" s="25" t="s">
        <v>19</v>
      </c>
      <c r="C19" s="57" t="e">
        <f>#REF!+#REF!+#REF!</f>
        <v>#REF!</v>
      </c>
      <c r="D19" s="26" t="e">
        <f>+IF(C$21=0,0,C19/C$21)</f>
        <v>#REF!</v>
      </c>
      <c r="E19" s="62" t="e">
        <f t="shared" si="4"/>
        <v>#REF!</v>
      </c>
      <c r="F19" s="63" t="e">
        <f>#REF!+#REF!+#REF!</f>
        <v>#REF!</v>
      </c>
      <c r="G19" s="57" t="e">
        <f>#REF!+#REF!+#REF!</f>
        <v>#REF!</v>
      </c>
      <c r="H19" s="26" t="e">
        <f>+IF(G$21=0,0,G19/G$21)</f>
        <v>#REF!</v>
      </c>
      <c r="I19" s="62" t="e">
        <f t="shared" si="5"/>
        <v>#REF!</v>
      </c>
      <c r="J19" s="63" t="e">
        <f>#REF!+#REF!+#REF!</f>
        <v>#REF!</v>
      </c>
      <c r="K19" s="57" t="e">
        <f>#REF!+#REF!+#REF!</f>
        <v>#REF!</v>
      </c>
      <c r="L19" s="26" t="e">
        <f>+IF(K$21=0,0,K19/K$21)</f>
        <v>#REF!</v>
      </c>
      <c r="M19" s="62" t="e">
        <f t="shared" si="6"/>
        <v>#REF!</v>
      </c>
      <c r="N19" s="63" t="e">
        <f>#REF!+#REF!+#REF!</f>
        <v>#REF!</v>
      </c>
      <c r="O19" s="57" t="e">
        <f>#REF!+#REF!+#REF!</f>
        <v>#REF!</v>
      </c>
      <c r="P19" s="26" t="e">
        <f>+IF(O$21=0,0,O19/O$21)</f>
        <v>#REF!</v>
      </c>
      <c r="Q19" s="62" t="e">
        <f t="shared" si="7"/>
        <v>#REF!</v>
      </c>
      <c r="R19" s="63" t="e">
        <f>#REF!+#REF!+#REF!</f>
        <v>#REF!</v>
      </c>
      <c r="S19" s="57" t="e">
        <f>O19-K19</f>
        <v>#REF!</v>
      </c>
      <c r="T19" s="62" t="e">
        <f>Q19-M19</f>
        <v>#REF!</v>
      </c>
      <c r="U19" s="72" t="e">
        <f>R19-N19</f>
        <v>#REF!</v>
      </c>
      <c r="V19" s="57" t="e">
        <f t="shared" si="10"/>
        <v>#REF!</v>
      </c>
      <c r="W19" s="62" t="e">
        <f t="shared" si="14"/>
        <v>#REF!</v>
      </c>
      <c r="X19" s="72" t="e">
        <f t="shared" si="14"/>
        <v>#REF!</v>
      </c>
    </row>
    <row r="20" spans="2:24" ht="33" customHeight="1" outlineLevel="1" x14ac:dyDescent="0.35">
      <c r="B20" s="25" t="s">
        <v>28</v>
      </c>
      <c r="C20" s="57" t="e">
        <f>#REF!+#REF!+#REF!</f>
        <v>#REF!</v>
      </c>
      <c r="D20" s="26" t="e">
        <f>+IF(C$21=0,0,C20/C$21)</f>
        <v>#REF!</v>
      </c>
      <c r="E20" s="62" t="e">
        <f t="shared" si="4"/>
        <v>#REF!</v>
      </c>
      <c r="F20" s="63" t="e">
        <f>#REF!+#REF!+#REF!</f>
        <v>#REF!</v>
      </c>
      <c r="G20" s="57" t="e">
        <f>#REF!+#REF!+#REF!</f>
        <v>#REF!</v>
      </c>
      <c r="H20" s="26" t="e">
        <f>+IF(G$21=0,0,G20/G$21)</f>
        <v>#REF!</v>
      </c>
      <c r="I20" s="62" t="e">
        <f t="shared" si="5"/>
        <v>#REF!</v>
      </c>
      <c r="J20" s="63" t="e">
        <f>#REF!+#REF!+#REF!</f>
        <v>#REF!</v>
      </c>
      <c r="K20" s="57" t="e">
        <f>#REF!+#REF!+#REF!</f>
        <v>#REF!</v>
      </c>
      <c r="L20" s="26" t="e">
        <f>+IF(K$21=0,0,K20/K$21)</f>
        <v>#REF!</v>
      </c>
      <c r="M20" s="62" t="e">
        <f t="shared" si="6"/>
        <v>#REF!</v>
      </c>
      <c r="N20" s="63" t="e">
        <f>#REF!+#REF!+#REF!</f>
        <v>#REF!</v>
      </c>
      <c r="O20" s="57" t="e">
        <f>#REF!+#REF!+#REF!</f>
        <v>#REF!</v>
      </c>
      <c r="P20" s="26" t="e">
        <f>+IF(O$21=0,0,O20/O$21)</f>
        <v>#REF!</v>
      </c>
      <c r="Q20" s="62" t="e">
        <f t="shared" si="7"/>
        <v>#REF!</v>
      </c>
      <c r="R20" s="63" t="e">
        <f>#REF!+#REF!+#REF!</f>
        <v>#REF!</v>
      </c>
      <c r="S20" s="57" t="e">
        <f>O20-K20</f>
        <v>#REF!</v>
      </c>
      <c r="T20" s="62" t="e">
        <f>Q20-M20</f>
        <v>#REF!</v>
      </c>
      <c r="U20" s="72" t="e">
        <f>R20-N20</f>
        <v>#REF!</v>
      </c>
      <c r="V20" s="57" t="e">
        <f t="shared" si="10"/>
        <v>#REF!</v>
      </c>
      <c r="W20" s="62" t="e">
        <f t="shared" si="14"/>
        <v>#REF!</v>
      </c>
      <c r="X20" s="72" t="e">
        <f t="shared" si="14"/>
        <v>#REF!</v>
      </c>
    </row>
    <row r="21" spans="2:24" ht="33" customHeight="1" x14ac:dyDescent="0.35">
      <c r="B21" s="22" t="s">
        <v>20</v>
      </c>
      <c r="C21" s="56" t="e">
        <f>SUM(C16,C18,C19,C20)</f>
        <v>#REF!</v>
      </c>
      <c r="D21" s="23" t="e">
        <f>+IF(C$21=0,0,C21/C$21)</f>
        <v>#REF!</v>
      </c>
      <c r="E21" s="60" t="e">
        <f t="shared" si="4"/>
        <v>#REF!</v>
      </c>
      <c r="F21" s="64" t="e">
        <f>SUM(F16,F18,F19,F20)</f>
        <v>#REF!</v>
      </c>
      <c r="G21" s="56" t="e">
        <f>SUM(G16,G18,G19,G20)</f>
        <v>#REF!</v>
      </c>
      <c r="H21" s="23" t="e">
        <f>+IF(G$21=0,0,G21/G$21)</f>
        <v>#REF!</v>
      </c>
      <c r="I21" s="60" t="e">
        <f t="shared" si="5"/>
        <v>#REF!</v>
      </c>
      <c r="J21" s="64" t="e">
        <f>SUM(J16,J18,J19,J20)</f>
        <v>#REF!</v>
      </c>
      <c r="K21" s="56" t="e">
        <f>SUM(K16,K18,K19,K20)</f>
        <v>#REF!</v>
      </c>
      <c r="L21" s="23" t="e">
        <f>+IF(K$21=0,0,K21/K$21)</f>
        <v>#REF!</v>
      </c>
      <c r="M21" s="60" t="e">
        <f t="shared" si="6"/>
        <v>#REF!</v>
      </c>
      <c r="N21" s="64" t="e">
        <f>SUM(N16,N18,N19,N20)</f>
        <v>#REF!</v>
      </c>
      <c r="O21" s="56" t="e">
        <f>SUM(O16,O18,O19,O20)</f>
        <v>#REF!</v>
      </c>
      <c r="P21" s="23" t="e">
        <f>+IF(O$21=0,0,O21/O$21)</f>
        <v>#REF!</v>
      </c>
      <c r="Q21" s="60" t="e">
        <f t="shared" si="7"/>
        <v>#REF!</v>
      </c>
      <c r="R21" s="64" t="e">
        <f>SUM(R16,R18,R19,R20)</f>
        <v>#REF!</v>
      </c>
      <c r="S21" s="56" t="e">
        <f t="shared" si="8"/>
        <v>#REF!</v>
      </c>
      <c r="T21" s="60" t="e">
        <f t="shared" si="9"/>
        <v>#REF!</v>
      </c>
      <c r="U21" s="64" t="e">
        <f t="shared" si="9"/>
        <v>#REF!</v>
      </c>
      <c r="V21" s="56" t="e">
        <f t="shared" si="10"/>
        <v>#REF!</v>
      </c>
      <c r="W21" s="60" t="e">
        <f t="shared" si="14"/>
        <v>#REF!</v>
      </c>
      <c r="X21" s="64" t="e">
        <f t="shared" si="14"/>
        <v>#REF!</v>
      </c>
    </row>
    <row r="22" spans="2:24" ht="33" customHeight="1" x14ac:dyDescent="0.35">
      <c r="B22" s="32"/>
      <c r="C22" s="33"/>
      <c r="D22" s="34"/>
      <c r="E22" s="35"/>
      <c r="F22" s="36"/>
      <c r="G22" s="33"/>
      <c r="H22" s="34"/>
      <c r="I22" s="37" t="e">
        <f>IF(E21=0,(I21-E21),(I21-E21)/E21)</f>
        <v>#REF!</v>
      </c>
      <c r="J22" s="38" t="e">
        <f>IF(F21=0,(J21-F21),(J21-F21)/F21)</f>
        <v>#REF!</v>
      </c>
      <c r="K22" s="39"/>
      <c r="L22" s="34"/>
      <c r="M22" s="37" t="e">
        <f>IF(I21=0,(M21-I21),(M21-I21)/I21)</f>
        <v>#REF!</v>
      </c>
      <c r="N22" s="38" t="e">
        <f>IF(J21=0,(N21-J21),(N21-J21)/J21)</f>
        <v>#REF!</v>
      </c>
      <c r="O22" s="39"/>
      <c r="P22" s="34"/>
      <c r="Q22" s="30"/>
      <c r="R22" s="31"/>
      <c r="S22" s="39"/>
      <c r="T22" s="37" t="e">
        <f>IF(T21=0,0,T21/M21)</f>
        <v>#REF!</v>
      </c>
      <c r="U22" s="38" t="e">
        <f>IF(N21=0,0,U21/N21)</f>
        <v>#REF!</v>
      </c>
      <c r="V22" s="39"/>
      <c r="W22" s="37" t="e">
        <f t="shared" si="14"/>
        <v>#REF!</v>
      </c>
      <c r="X22" s="38" t="e">
        <f t="shared" si="14"/>
        <v>#REF!</v>
      </c>
    </row>
    <row r="23" spans="2:24" ht="33" customHeight="1" x14ac:dyDescent="0.35">
      <c r="B23" s="40" t="s">
        <v>21</v>
      </c>
      <c r="C23" s="41" t="e">
        <f>IF(C4=0,C21,C21/C4)</f>
        <v>#REF!</v>
      </c>
      <c r="D23" s="30"/>
      <c r="E23" s="30"/>
      <c r="F23" s="31"/>
      <c r="G23" s="41" t="e">
        <f>IF(G4=0,G21,G21/G4)</f>
        <v>#REF!</v>
      </c>
      <c r="H23" s="30"/>
      <c r="I23" s="30"/>
      <c r="J23" s="31"/>
      <c r="K23" s="41" t="e">
        <f>IF(K4=0,K21,K21/K4)</f>
        <v>#REF!</v>
      </c>
      <c r="L23" s="30"/>
      <c r="M23" s="30"/>
      <c r="N23" s="31"/>
      <c r="O23" s="41" t="e">
        <f>IF(O4=0,O21,O21/O4)</f>
        <v>#REF!</v>
      </c>
      <c r="P23" s="30"/>
      <c r="Q23" s="30"/>
      <c r="R23" s="31"/>
      <c r="S23" s="41" t="e">
        <f t="shared" si="8"/>
        <v>#REF!</v>
      </c>
      <c r="T23" s="30"/>
      <c r="U23" s="31"/>
      <c r="V23" s="41" t="e">
        <f>O23-G23</f>
        <v>#REF!</v>
      </c>
      <c r="W23" s="30"/>
      <c r="X23" s="31"/>
    </row>
    <row r="24" spans="2:24" ht="33" customHeight="1" x14ac:dyDescent="0.35">
      <c r="B24" s="42" t="s">
        <v>22</v>
      </c>
      <c r="C24" s="43" t="e">
        <f>IF(C4=0,0,F$21/C$4)</f>
        <v>#REF!</v>
      </c>
      <c r="D24" s="44"/>
      <c r="E24" s="45"/>
      <c r="F24" s="46"/>
      <c r="G24" s="43" t="e">
        <f>IF(G4=0,0,J$21/G$4)</f>
        <v>#REF!</v>
      </c>
      <c r="H24" s="44"/>
      <c r="I24" s="45"/>
      <c r="J24" s="46"/>
      <c r="K24" s="43" t="e">
        <f>IF(K4=0,0,N$21/K$4)</f>
        <v>#REF!</v>
      </c>
      <c r="L24" s="44"/>
      <c r="M24" s="45"/>
      <c r="N24" s="46"/>
      <c r="O24" s="43" t="e">
        <f>IF(O4=0,0,R$21/O$4)</f>
        <v>#REF!</v>
      </c>
      <c r="P24" s="44"/>
      <c r="Q24" s="45"/>
      <c r="R24" s="46"/>
      <c r="S24" s="43" t="e">
        <f t="shared" si="8"/>
        <v>#REF!</v>
      </c>
      <c r="T24" s="45"/>
      <c r="U24" s="46"/>
      <c r="V24" s="43" t="e">
        <f>O24-G24</f>
        <v>#REF!</v>
      </c>
      <c r="W24" s="45"/>
      <c r="X24" s="46"/>
    </row>
    <row r="25" spans="2:24" x14ac:dyDescent="0.35">
      <c r="B25" s="3"/>
      <c r="C25" s="3"/>
      <c r="D25" s="3"/>
      <c r="E25" s="3"/>
      <c r="F25" s="3"/>
      <c r="G25" s="3"/>
      <c r="H25" s="3"/>
      <c r="I25" s="3"/>
      <c r="J25" s="3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2:24" x14ac:dyDescent="0.35">
      <c r="B26" s="789" t="s">
        <v>23</v>
      </c>
      <c r="C26" s="790"/>
      <c r="D26" s="790"/>
      <c r="E26" s="790"/>
      <c r="F26" s="790"/>
      <c r="G26" s="790"/>
      <c r="H26" s="790"/>
      <c r="I26" s="790"/>
      <c r="J26" s="790"/>
      <c r="K26" s="790"/>
      <c r="L26" s="790"/>
      <c r="M26" s="790"/>
      <c r="N26" s="790"/>
      <c r="O26" s="790"/>
      <c r="P26" s="790"/>
      <c r="Q26" s="790"/>
      <c r="R26" s="790"/>
      <c r="S26" s="790"/>
      <c r="T26" s="790"/>
      <c r="U26" s="790"/>
      <c r="V26" s="790"/>
      <c r="W26" s="790"/>
      <c r="X26" s="791"/>
    </row>
    <row r="27" spans="2:24" x14ac:dyDescent="0.35">
      <c r="B27" s="47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9"/>
    </row>
    <row r="28" spans="2:24" x14ac:dyDescent="0.35">
      <c r="B28" s="47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9"/>
    </row>
    <row r="29" spans="2:24" x14ac:dyDescent="0.35">
      <c r="B29" s="47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9"/>
    </row>
    <row r="30" spans="2:24" x14ac:dyDescent="0.35">
      <c r="B30" s="47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9"/>
    </row>
    <row r="31" spans="2:24" x14ac:dyDescent="0.35">
      <c r="B31" s="47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9"/>
    </row>
    <row r="32" spans="2:24" x14ac:dyDescent="0.35">
      <c r="B32" s="47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9"/>
    </row>
    <row r="33" spans="2:24" x14ac:dyDescent="0.35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2"/>
    </row>
  </sheetData>
  <sheetProtection formatCells="0" formatColumns="0" formatRows="0" insertColumns="0" insertRows="0" deleteColumns="0" deleteRows="0" selectLockedCells="1" selectUnlockedCells="1"/>
  <mergeCells count="9">
    <mergeCell ref="V5:X5"/>
    <mergeCell ref="B26:X26"/>
    <mergeCell ref="B1:X1"/>
    <mergeCell ref="B2:X2"/>
    <mergeCell ref="C5:F5"/>
    <mergeCell ref="G5:J5"/>
    <mergeCell ref="K5:N5"/>
    <mergeCell ref="O5:R5"/>
    <mergeCell ref="S5:U5"/>
  </mergeCells>
  <printOptions horizontalCentered="1" verticalCentered="1"/>
  <pageMargins left="0.5" right="0.5" top="0.5" bottom="0.5" header="0.3" footer="0.3"/>
  <pageSetup paperSize="8" scale="48" orientation="landscape" errors="blank" r:id="rId1"/>
  <headerFooter>
    <oddFooter>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88194-2234-4AE3-B458-2F61DE48AD6D}">
  <sheetPr codeName="Sheet10"/>
  <dimension ref="A2:R107"/>
  <sheetViews>
    <sheetView zoomScale="70" zoomScaleNormal="70" zoomScaleSheetLayoutView="80" workbookViewId="0">
      <pane xSplit="2" ySplit="6" topLeftCell="C89" activePane="bottomRight" state="frozen"/>
      <selection pane="topRight" activeCell="C1" sqref="C1"/>
      <selection pane="bottomLeft" activeCell="A4" sqref="A4"/>
      <selection pane="bottomRight" activeCell="P75" sqref="P75"/>
    </sheetView>
  </sheetViews>
  <sheetFormatPr defaultColWidth="9.140625" defaultRowHeight="15" outlineLevelRow="2" x14ac:dyDescent="0.25"/>
  <cols>
    <col min="1" max="1" width="12.85546875" style="297" customWidth="1"/>
    <col min="2" max="2" width="11.7109375" style="297" bestFit="1" customWidth="1"/>
    <col min="3" max="14" width="18.28515625" style="297" customWidth="1"/>
    <col min="15" max="15" width="16.140625" style="297" bestFit="1" customWidth="1"/>
    <col min="16" max="16" width="13.28515625" style="297" bestFit="1" customWidth="1"/>
    <col min="17" max="17" width="10.42578125" style="297" bestFit="1" customWidth="1"/>
    <col min="18" max="16384" width="9.140625" style="297"/>
  </cols>
  <sheetData>
    <row r="2" spans="1:17" x14ac:dyDescent="0.25">
      <c r="C2" s="748" t="s">
        <v>194</v>
      </c>
      <c r="D2" s="748"/>
      <c r="E2" s="748"/>
      <c r="F2" s="748"/>
      <c r="G2" s="748"/>
      <c r="H2" s="748"/>
      <c r="I2" s="748"/>
      <c r="J2" s="748"/>
      <c r="K2" s="748"/>
      <c r="L2" s="748"/>
      <c r="M2" s="748"/>
      <c r="N2" s="748"/>
      <c r="O2" s="748"/>
    </row>
    <row r="3" spans="1:17" x14ac:dyDescent="0.25">
      <c r="C3" s="748"/>
      <c r="D3" s="748"/>
      <c r="E3" s="748"/>
      <c r="F3" s="748"/>
      <c r="G3" s="748"/>
      <c r="H3" s="748"/>
      <c r="I3" s="748"/>
      <c r="J3" s="748"/>
      <c r="K3" s="748"/>
      <c r="L3" s="748"/>
      <c r="M3" s="748"/>
      <c r="N3" s="748"/>
      <c r="O3" s="748"/>
    </row>
    <row r="4" spans="1:17" x14ac:dyDescent="0.25">
      <c r="C4" s="748"/>
      <c r="D4" s="748"/>
      <c r="E4" s="748"/>
      <c r="F4" s="748"/>
      <c r="G4" s="748"/>
      <c r="H4" s="748"/>
      <c r="I4" s="748"/>
      <c r="J4" s="748"/>
      <c r="K4" s="748"/>
      <c r="L4" s="748"/>
      <c r="M4" s="748"/>
      <c r="N4" s="748"/>
      <c r="O4" s="748"/>
    </row>
    <row r="5" spans="1:17" ht="15.75" thickBot="1" x14ac:dyDescent="0.3"/>
    <row r="6" spans="1:17" ht="16.5" thickTop="1" thickBot="1" x14ac:dyDescent="0.3">
      <c r="A6" s="749" t="s">
        <v>167</v>
      </c>
      <c r="B6" s="750"/>
      <c r="C6" s="431" t="s">
        <v>168</v>
      </c>
      <c r="D6" s="432" t="s">
        <v>169</v>
      </c>
      <c r="E6" s="432" t="s">
        <v>170</v>
      </c>
      <c r="F6" s="432" t="s">
        <v>171</v>
      </c>
      <c r="G6" s="432" t="s">
        <v>172</v>
      </c>
      <c r="H6" s="432" t="s">
        <v>173</v>
      </c>
      <c r="I6" s="432" t="s">
        <v>174</v>
      </c>
      <c r="J6" s="432" t="s">
        <v>175</v>
      </c>
      <c r="K6" s="432" t="s">
        <v>176</v>
      </c>
      <c r="L6" s="432" t="s">
        <v>177</v>
      </c>
      <c r="M6" s="432" t="s">
        <v>95</v>
      </c>
      <c r="N6" s="433" t="s">
        <v>178</v>
      </c>
      <c r="O6" s="434" t="s">
        <v>97</v>
      </c>
      <c r="P6" s="435" t="s">
        <v>179</v>
      </c>
    </row>
    <row r="7" spans="1:17" ht="15.75" outlineLevel="1" thickTop="1" x14ac:dyDescent="0.25">
      <c r="A7" s="751" t="s">
        <v>161</v>
      </c>
      <c r="B7" s="436" t="s">
        <v>180</v>
      </c>
      <c r="C7" s="437">
        <v>0</v>
      </c>
      <c r="D7" s="438">
        <v>11346.49</v>
      </c>
      <c r="E7" s="438">
        <v>31912.26</v>
      </c>
      <c r="F7" s="438">
        <v>0</v>
      </c>
      <c r="G7" s="438">
        <v>53619.35</v>
      </c>
      <c r="H7" s="438">
        <v>127255.41</v>
      </c>
      <c r="I7" s="438">
        <v>351175.89</v>
      </c>
      <c r="J7" s="438">
        <v>89092.86</v>
      </c>
      <c r="K7" s="438">
        <v>276361.21999999997</v>
      </c>
      <c r="L7" s="438">
        <v>84092.79</v>
      </c>
      <c r="M7" s="438">
        <v>140477.45000000001</v>
      </c>
      <c r="N7" s="439">
        <v>0</v>
      </c>
      <c r="O7" s="440">
        <f t="shared" ref="O7:O27" si="0">SUM(C7:N7)</f>
        <v>1165333.72</v>
      </c>
      <c r="P7" s="441">
        <f>IF(O$84=0,O$84,O7/O$84)</f>
        <v>2.2240809251384153E-2</v>
      </c>
    </row>
    <row r="8" spans="1:17" outlineLevel="1" x14ac:dyDescent="0.25">
      <c r="A8" s="751"/>
      <c r="B8" s="442" t="s">
        <v>181</v>
      </c>
      <c r="C8" s="443"/>
      <c r="D8" s="444">
        <v>1192.98</v>
      </c>
      <c r="E8" s="444">
        <v>52618.41</v>
      </c>
      <c r="F8" s="444">
        <v>22736.880000000001</v>
      </c>
      <c r="G8" s="444">
        <v>116473.59</v>
      </c>
      <c r="H8" s="444">
        <v>60333.33</v>
      </c>
      <c r="I8" s="444">
        <v>193013.8</v>
      </c>
      <c r="J8" s="444">
        <v>33986.839999999997</v>
      </c>
      <c r="K8" s="438">
        <v>257029.8</v>
      </c>
      <c r="L8" s="444">
        <v>146700.89000000001</v>
      </c>
      <c r="M8" s="444">
        <v>0</v>
      </c>
      <c r="N8" s="445">
        <v>0</v>
      </c>
      <c r="O8" s="440">
        <f t="shared" si="0"/>
        <v>884086.5199999999</v>
      </c>
      <c r="P8" s="441">
        <f>IF(O$85=0,O$85,O8/O$85)</f>
        <v>1.5400207348445648E-2</v>
      </c>
    </row>
    <row r="9" spans="1:17" outlineLevel="1" x14ac:dyDescent="0.25">
      <c r="A9" s="751"/>
      <c r="B9" s="442" t="s">
        <v>182</v>
      </c>
      <c r="C9" s="443"/>
      <c r="D9" s="444">
        <v>0</v>
      </c>
      <c r="E9" s="444">
        <v>315089.67</v>
      </c>
      <c r="F9" s="444">
        <v>198379.42</v>
      </c>
      <c r="G9" s="444">
        <v>116413.98</v>
      </c>
      <c r="H9" s="444">
        <v>522.61</v>
      </c>
      <c r="I9" s="444">
        <v>0</v>
      </c>
      <c r="J9" s="444">
        <v>63408.59</v>
      </c>
      <c r="K9" s="438">
        <v>289165.34999999998</v>
      </c>
      <c r="L9" s="444">
        <v>23340.92</v>
      </c>
      <c r="M9" s="444">
        <v>14826.1</v>
      </c>
      <c r="N9" s="445">
        <v>10378.27</v>
      </c>
      <c r="O9" s="446">
        <f t="shared" si="0"/>
        <v>1031524.9099999999</v>
      </c>
      <c r="P9" s="447">
        <f>IF(O$86=0,O$86,O9/O$86)</f>
        <v>1.7492758969281069E-2</v>
      </c>
    </row>
    <row r="10" spans="1:17" outlineLevel="1" x14ac:dyDescent="0.25">
      <c r="A10" s="751"/>
      <c r="B10" s="500" t="s">
        <v>183</v>
      </c>
      <c r="C10" s="437">
        <v>4434.78</v>
      </c>
      <c r="D10" s="438">
        <v>21985.9</v>
      </c>
      <c r="E10" s="438">
        <v>270712.63</v>
      </c>
      <c r="F10" s="438">
        <v>192564.96</v>
      </c>
      <c r="G10" s="438">
        <v>222330.65</v>
      </c>
      <c r="H10" s="438">
        <v>300279.01</v>
      </c>
      <c r="I10" s="438">
        <v>374556.28</v>
      </c>
      <c r="J10" s="438">
        <v>161539.28</v>
      </c>
      <c r="K10" s="438">
        <v>238161.01</v>
      </c>
      <c r="L10" s="438">
        <v>0</v>
      </c>
      <c r="M10" s="438">
        <v>0</v>
      </c>
      <c r="N10" s="439">
        <v>0</v>
      </c>
      <c r="O10" s="440">
        <f t="shared" si="0"/>
        <v>1786564.5</v>
      </c>
      <c r="P10" s="441">
        <f>IF(O$87=0,O$87,O10/O$87)</f>
        <v>3.7362418152602085E-2</v>
      </c>
      <c r="Q10" s="450"/>
    </row>
    <row r="11" spans="1:17" outlineLevel="1" x14ac:dyDescent="0.25">
      <c r="A11" s="751"/>
      <c r="B11" s="501" t="s">
        <v>184</v>
      </c>
      <c r="C11" s="443">
        <f>'July 2022'!F7</f>
        <v>0</v>
      </c>
      <c r="D11" s="444">
        <f>' August 2022'!F7</f>
        <v>0</v>
      </c>
      <c r="E11" s="444">
        <f>'September 2022'!F7</f>
        <v>0</v>
      </c>
      <c r="F11" s="444">
        <f>'October 2022'!F7</f>
        <v>0</v>
      </c>
      <c r="G11" s="444">
        <f>'November 2022'!F7</f>
        <v>0</v>
      </c>
      <c r="H11" s="444">
        <f>'December 2022'!F7</f>
        <v>19617.39</v>
      </c>
      <c r="I11" s="444">
        <f>'January 2023'!F7</f>
        <v>17556.52</v>
      </c>
      <c r="J11" s="444">
        <f>'February 2023'!F7</f>
        <v>87252.47</v>
      </c>
      <c r="K11" s="444">
        <f>'March 2023'!F7</f>
        <v>69400.200000000012</v>
      </c>
      <c r="L11" s="444">
        <f>'April 2023'!F7</f>
        <v>166585.45000000001</v>
      </c>
      <c r="M11" s="444">
        <f>'May 2023'!F7</f>
        <v>9845.06</v>
      </c>
      <c r="N11" s="445">
        <f>'June 2023'!F7</f>
        <v>16654.78</v>
      </c>
      <c r="O11" s="446">
        <f t="shared" si="0"/>
        <v>386911.87</v>
      </c>
      <c r="P11" s="447">
        <f>IF(O$88=0,O$88,O11/O$88)</f>
        <v>2.3512120911010598E-2</v>
      </c>
      <c r="Q11" s="450"/>
    </row>
    <row r="12" spans="1:17" outlineLevel="1" x14ac:dyDescent="0.25">
      <c r="A12" s="751"/>
      <c r="B12" s="501" t="s">
        <v>197</v>
      </c>
      <c r="C12" s="443">
        <f>'July 2022'!J7</f>
        <v>0</v>
      </c>
      <c r="D12" s="444">
        <f>' August 2022'!J7</f>
        <v>14600</v>
      </c>
      <c r="E12" s="444">
        <f>'September 2022'!J7</f>
        <v>44322</v>
      </c>
      <c r="F12" s="444">
        <f>'October 2022'!J7</f>
        <v>15070</v>
      </c>
      <c r="G12" s="444">
        <f>'November 2022'!J7</f>
        <v>653270</v>
      </c>
      <c r="H12" s="444">
        <f>'December 2022'!J7</f>
        <v>77820</v>
      </c>
      <c r="I12" s="444">
        <f>'January 2023'!J7</f>
        <v>61461</v>
      </c>
      <c r="J12" s="444">
        <f>'February 2023'!J7</f>
        <v>198590</v>
      </c>
      <c r="K12" s="444">
        <f>'March 2023'!J7</f>
        <v>340271</v>
      </c>
      <c r="L12" s="444">
        <f>'April 2023'!J7</f>
        <v>0</v>
      </c>
      <c r="M12" s="543">
        <f>'April 2023'!H7</f>
        <v>0</v>
      </c>
      <c r="N12" s="544">
        <f>'June 2023'!J7</f>
        <v>0</v>
      </c>
      <c r="O12" s="446">
        <f t="shared" si="0"/>
        <v>1405404</v>
      </c>
      <c r="P12" s="447">
        <f>IF(O$89=0,O$89,O12/O$89)</f>
        <v>5.4838179641389602E-2</v>
      </c>
      <c r="Q12" s="450"/>
    </row>
    <row r="13" spans="1:17" ht="15.75" outlineLevel="1" thickBot="1" x14ac:dyDescent="0.3">
      <c r="A13" s="752"/>
      <c r="B13" s="451" t="s">
        <v>198</v>
      </c>
      <c r="C13" s="452">
        <f>'July 2022'!N7</f>
        <v>0</v>
      </c>
      <c r="D13" s="453">
        <f>' August 2022'!N7</f>
        <v>0</v>
      </c>
      <c r="E13" s="453">
        <f>'September 2022'!N7</f>
        <v>0</v>
      </c>
      <c r="F13" s="453">
        <f>'October 2022'!N7</f>
        <v>0</v>
      </c>
      <c r="G13" s="453">
        <f>'November 2022'!N7</f>
        <v>105065.2999999999</v>
      </c>
      <c r="H13" s="453">
        <f>'December 2022'!N7</f>
        <v>204852.72499999995</v>
      </c>
      <c r="I13" s="453">
        <f>'January 2023'!N7</f>
        <v>0</v>
      </c>
      <c r="J13" s="453">
        <f>'February 2023'!N7</f>
        <v>394418.70000000013</v>
      </c>
      <c r="K13" s="453">
        <f>'March 2023'!N7</f>
        <v>0</v>
      </c>
      <c r="L13" s="453">
        <f>'April 2023'!N7</f>
        <v>0</v>
      </c>
      <c r="M13" s="453">
        <f>'May 2023'!N7</f>
        <v>0</v>
      </c>
      <c r="N13" s="454">
        <f>'June 2023'!N7</f>
        <v>0</v>
      </c>
      <c r="O13" s="455">
        <f t="shared" si="0"/>
        <v>704336.72499999998</v>
      </c>
      <c r="P13" s="456">
        <f>IF(O$90=0,O$90,O13/O$90)</f>
        <v>2.2659217067058642E-2</v>
      </c>
      <c r="Q13" s="450"/>
    </row>
    <row r="14" spans="1:17" ht="15.75" outlineLevel="1" thickTop="1" x14ac:dyDescent="0.25">
      <c r="A14" s="751" t="s">
        <v>185</v>
      </c>
      <c r="B14" s="457" t="s">
        <v>180</v>
      </c>
      <c r="C14" s="458">
        <v>695567.29</v>
      </c>
      <c r="D14" s="459">
        <v>719996.66</v>
      </c>
      <c r="E14" s="459">
        <v>664999.9</v>
      </c>
      <c r="F14" s="459">
        <v>1375330.23</v>
      </c>
      <c r="G14" s="459">
        <v>1490235.1</v>
      </c>
      <c r="H14" s="459">
        <v>3490836.24</v>
      </c>
      <c r="I14" s="459">
        <v>2875526.83</v>
      </c>
      <c r="J14" s="459">
        <v>2584469.33</v>
      </c>
      <c r="K14" s="459">
        <v>2170420.9900000002</v>
      </c>
      <c r="L14" s="459">
        <v>2031982.28</v>
      </c>
      <c r="M14" s="459">
        <v>942426.82</v>
      </c>
      <c r="N14" s="460">
        <v>667190.68999999994</v>
      </c>
      <c r="O14" s="461">
        <f t="shared" si="0"/>
        <v>19708982.360000003</v>
      </c>
      <c r="P14" s="462">
        <f>IF(O$84=0,O$84,O14/O$84)</f>
        <v>0.37615295059655118</v>
      </c>
    </row>
    <row r="15" spans="1:17" outlineLevel="1" x14ac:dyDescent="0.25">
      <c r="A15" s="751"/>
      <c r="B15" s="442" t="s">
        <v>181</v>
      </c>
      <c r="C15" s="443">
        <v>797621.11</v>
      </c>
      <c r="D15" s="444">
        <v>712693.67</v>
      </c>
      <c r="E15" s="444">
        <v>1104008.56</v>
      </c>
      <c r="F15" s="444">
        <v>1256628.28</v>
      </c>
      <c r="G15" s="444">
        <v>1498583.32</v>
      </c>
      <c r="H15" s="444">
        <v>3441270.15</v>
      </c>
      <c r="I15" s="444">
        <v>2291567.42</v>
      </c>
      <c r="J15" s="444">
        <v>2581478.21</v>
      </c>
      <c r="K15" s="438">
        <v>2004034.31</v>
      </c>
      <c r="L15" s="444">
        <v>1619378.31</v>
      </c>
      <c r="M15" s="444">
        <v>737319.87</v>
      </c>
      <c r="N15" s="439">
        <v>632047.80000000005</v>
      </c>
      <c r="O15" s="440">
        <f t="shared" si="0"/>
        <v>18676631.010000002</v>
      </c>
      <c r="P15" s="441">
        <f>IF(O$85=0,O$85,O15/O$85)</f>
        <v>0.32533466308751086</v>
      </c>
    </row>
    <row r="16" spans="1:17" outlineLevel="1" x14ac:dyDescent="0.25">
      <c r="A16" s="751"/>
      <c r="B16" s="442" t="s">
        <v>182</v>
      </c>
      <c r="C16" s="443">
        <v>843086.1</v>
      </c>
      <c r="D16" s="444">
        <v>801647.9</v>
      </c>
      <c r="E16" s="444">
        <v>1283733.92</v>
      </c>
      <c r="F16" s="444">
        <v>1673479.98</v>
      </c>
      <c r="G16" s="444">
        <v>2285442.7400000002</v>
      </c>
      <c r="H16" s="444">
        <v>4127643.33</v>
      </c>
      <c r="I16" s="444">
        <v>2621617.84</v>
      </c>
      <c r="J16" s="444">
        <v>2445099</v>
      </c>
      <c r="K16" s="438">
        <v>2640550.52</v>
      </c>
      <c r="L16" s="444">
        <v>1639387.8</v>
      </c>
      <c r="M16" s="444">
        <v>829372.5</v>
      </c>
      <c r="N16" s="439">
        <v>549139.56000000006</v>
      </c>
      <c r="O16" s="440">
        <f t="shared" si="0"/>
        <v>21740201.190000001</v>
      </c>
      <c r="P16" s="441">
        <f>IF(O$86=0,O$86,O16/O$86)</f>
        <v>0.36867369432731156</v>
      </c>
    </row>
    <row r="17" spans="1:17" outlineLevel="1" x14ac:dyDescent="0.25">
      <c r="A17" s="751"/>
      <c r="B17" s="500" t="s">
        <v>183</v>
      </c>
      <c r="C17" s="437">
        <v>902455.56</v>
      </c>
      <c r="D17" s="438">
        <v>995557.73</v>
      </c>
      <c r="E17" s="438">
        <v>793166.56</v>
      </c>
      <c r="F17" s="438">
        <v>1376166.04</v>
      </c>
      <c r="G17" s="438">
        <v>1967998.44</v>
      </c>
      <c r="H17" s="438">
        <v>3974842.96</v>
      </c>
      <c r="I17" s="438">
        <v>3076978.34</v>
      </c>
      <c r="J17" s="438">
        <v>3200497.79</v>
      </c>
      <c r="K17" s="438">
        <v>1379144.5</v>
      </c>
      <c r="L17" s="438">
        <v>6953.13</v>
      </c>
      <c r="M17" s="438">
        <v>0</v>
      </c>
      <c r="N17" s="439">
        <v>13823.08</v>
      </c>
      <c r="O17" s="440">
        <f t="shared" si="0"/>
        <v>17687584.129999995</v>
      </c>
      <c r="P17" s="441">
        <f>IF(O$87=0,O$87,O17/O$87)</f>
        <v>0.36990039507355504</v>
      </c>
      <c r="Q17" s="450"/>
    </row>
    <row r="18" spans="1:17" outlineLevel="1" x14ac:dyDescent="0.25">
      <c r="A18" s="751"/>
      <c r="B18" s="501" t="s">
        <v>184</v>
      </c>
      <c r="C18" s="443">
        <f>'July 2022'!F8</f>
        <v>62303.02</v>
      </c>
      <c r="D18" s="444">
        <f>' August 2022'!F8</f>
        <v>278431.56</v>
      </c>
      <c r="E18" s="444">
        <f>'September 2022'!F8</f>
        <v>161625.60000000001</v>
      </c>
      <c r="F18" s="444">
        <f>'October 2022'!F8</f>
        <v>0</v>
      </c>
      <c r="G18" s="444">
        <f>'November 2022'!F8</f>
        <v>90912.54</v>
      </c>
      <c r="H18" s="444">
        <f>'December 2022'!F8</f>
        <v>1426210.8</v>
      </c>
      <c r="I18" s="444">
        <f>'January 2023'!F8</f>
        <v>469945.26</v>
      </c>
      <c r="J18" s="444">
        <f>'February 2023'!F8</f>
        <v>528416.41</v>
      </c>
      <c r="K18" s="444">
        <f>'March 2023'!F8</f>
        <v>860130.57999999984</v>
      </c>
      <c r="L18" s="444">
        <f>'April 2023'!F8</f>
        <v>1355122.18</v>
      </c>
      <c r="M18" s="444">
        <f>'May 2023'!F8</f>
        <v>652660.04</v>
      </c>
      <c r="N18" s="445">
        <f>'June 2023'!F8</f>
        <v>633789.02</v>
      </c>
      <c r="O18" s="446">
        <f t="shared" ref="O18:O20" si="1">SUM(C18:N18)</f>
        <v>6519547.0099999998</v>
      </c>
      <c r="P18" s="447">
        <f>IF(O$88=0,O$88,O18/O$88)</f>
        <v>0.39618422041209955</v>
      </c>
      <c r="Q18" s="450"/>
    </row>
    <row r="19" spans="1:17" outlineLevel="1" x14ac:dyDescent="0.25">
      <c r="A19" s="751"/>
      <c r="B19" s="501" t="s">
        <v>197</v>
      </c>
      <c r="C19" s="443">
        <f>'July 2022'!J8</f>
        <v>329736</v>
      </c>
      <c r="D19" s="444">
        <f>' August 2022'!J8</f>
        <v>594366</v>
      </c>
      <c r="E19" s="444">
        <f>'September 2022'!J8</f>
        <v>904683</v>
      </c>
      <c r="F19" s="444">
        <f>'October 2022'!J8</f>
        <v>1181252</v>
      </c>
      <c r="G19" s="444">
        <f>'November 2022'!J8</f>
        <v>1143998</v>
      </c>
      <c r="H19" s="444">
        <f>'December 2022'!J8</f>
        <v>1979407</v>
      </c>
      <c r="I19" s="444">
        <f>'January 2023'!J8</f>
        <v>1793153</v>
      </c>
      <c r="J19" s="444">
        <f>'February 2023'!J8</f>
        <v>2026281</v>
      </c>
      <c r="K19" s="444">
        <f>'March 2023'!J8</f>
        <v>1880748</v>
      </c>
      <c r="L19" s="444">
        <f>'April 2023'!J8</f>
        <v>2210131</v>
      </c>
      <c r="M19" s="543">
        <f>'May 2023'!J10</f>
        <v>676200</v>
      </c>
      <c r="N19" s="544">
        <f>'June 2023'!J10</f>
        <v>525182</v>
      </c>
      <c r="O19" s="446">
        <f t="shared" si="1"/>
        <v>15245137</v>
      </c>
      <c r="P19" s="447">
        <f>IF(O$89=0,O$89,O19/O$89)</f>
        <v>0.59485782128384113</v>
      </c>
      <c r="Q19" s="450"/>
    </row>
    <row r="20" spans="1:17" ht="15.75" outlineLevel="1" thickBot="1" x14ac:dyDescent="0.3">
      <c r="A20" s="752"/>
      <c r="B20" s="451" t="s">
        <v>198</v>
      </c>
      <c r="C20" s="452">
        <f>'July 2022'!N8</f>
        <v>815619.20733333274</v>
      </c>
      <c r="D20" s="453">
        <f>' August 2022'!N8</f>
        <v>836461.27195238101</v>
      </c>
      <c r="E20" s="453">
        <f>'September 2022'!N8</f>
        <v>982639.06726190459</v>
      </c>
      <c r="F20" s="453">
        <f>'October 2022'!N8</f>
        <v>1352589.7116666664</v>
      </c>
      <c r="G20" s="453">
        <f>'November 2022'!N8</f>
        <v>1935359.5284365071</v>
      </c>
      <c r="H20" s="453">
        <f>'December 2022'!N8</f>
        <v>2811196.4948459244</v>
      </c>
      <c r="I20" s="453">
        <f>'January 2023'!N8</f>
        <v>1439491.5620000004</v>
      </c>
      <c r="J20" s="453">
        <f>'February 2023'!N8</f>
        <v>1910908.1809999996</v>
      </c>
      <c r="K20" s="453">
        <f>'March 2023'!N8</f>
        <v>1950530.3265000004</v>
      </c>
      <c r="L20" s="453">
        <f>'April 2023'!N8</f>
        <v>1654346.0429999998</v>
      </c>
      <c r="M20" s="453">
        <f>'May 2023'!N8</f>
        <v>974500.5514332233</v>
      </c>
      <c r="N20" s="454">
        <f>'June 2023'!N8</f>
        <v>963847.85092701949</v>
      </c>
      <c r="O20" s="455">
        <f t="shared" si="1"/>
        <v>17627489.796356961</v>
      </c>
      <c r="P20" s="456">
        <f>IF(O$90=0,O$90,O20/O$90)</f>
        <v>0.56709398142346434</v>
      </c>
      <c r="Q20" s="450"/>
    </row>
    <row r="21" spans="1:17" ht="15.75" outlineLevel="1" thickTop="1" x14ac:dyDescent="0.25">
      <c r="A21" s="751" t="s">
        <v>186</v>
      </c>
      <c r="B21" s="457" t="s">
        <v>180</v>
      </c>
      <c r="C21" s="437">
        <v>35132.42</v>
      </c>
      <c r="D21" s="438">
        <v>26964.03</v>
      </c>
      <c r="E21" s="438">
        <v>36549.980000000003</v>
      </c>
      <c r="F21" s="438">
        <v>39081.56</v>
      </c>
      <c r="G21" s="438">
        <v>81152.649999999994</v>
      </c>
      <c r="H21" s="438">
        <v>61754.41</v>
      </c>
      <c r="I21" s="438">
        <v>53209.17</v>
      </c>
      <c r="J21" s="438">
        <v>3388.16</v>
      </c>
      <c r="K21" s="438">
        <v>78424.89</v>
      </c>
      <c r="L21" s="438">
        <v>64785.07</v>
      </c>
      <c r="M21" s="438">
        <v>20731.560000000001</v>
      </c>
      <c r="N21" s="439">
        <v>23052.15</v>
      </c>
      <c r="O21" s="461">
        <f t="shared" si="0"/>
        <v>524226.05</v>
      </c>
      <c r="P21" s="462">
        <f>IF(O$84=0,O$84,O21/O$84)</f>
        <v>1.000504094454297E-2</v>
      </c>
    </row>
    <row r="22" spans="1:17" outlineLevel="1" x14ac:dyDescent="0.25">
      <c r="A22" s="751"/>
      <c r="B22" s="442" t="s">
        <v>181</v>
      </c>
      <c r="C22" s="443">
        <v>29045.99</v>
      </c>
      <c r="D22" s="444">
        <v>41769.699999999997</v>
      </c>
      <c r="E22" s="444">
        <v>57221.03</v>
      </c>
      <c r="F22" s="444">
        <v>66707.740000000005</v>
      </c>
      <c r="G22" s="444">
        <v>84773.33</v>
      </c>
      <c r="H22" s="444">
        <v>39917.24</v>
      </c>
      <c r="I22" s="444">
        <v>37491.199999999997</v>
      </c>
      <c r="J22" s="444">
        <v>1368.42</v>
      </c>
      <c r="K22" s="438">
        <v>28857.65</v>
      </c>
      <c r="L22" s="444">
        <v>12416.1</v>
      </c>
      <c r="M22" s="444">
        <v>8952.16</v>
      </c>
      <c r="N22" s="445">
        <v>11776.5</v>
      </c>
      <c r="O22" s="440">
        <f t="shared" si="0"/>
        <v>420297.06</v>
      </c>
      <c r="P22" s="441">
        <f>IF(O$85=0,O$85,O22/O$85)</f>
        <v>7.3212991325126214E-3</v>
      </c>
    </row>
    <row r="23" spans="1:17" outlineLevel="1" x14ac:dyDescent="0.25">
      <c r="A23" s="751"/>
      <c r="B23" s="442" t="s">
        <v>182</v>
      </c>
      <c r="C23" s="443">
        <v>13345.2</v>
      </c>
      <c r="D23" s="444">
        <v>21618.2</v>
      </c>
      <c r="E23" s="444">
        <v>3273.92</v>
      </c>
      <c r="F23" s="444">
        <v>36561.480000000003</v>
      </c>
      <c r="G23" s="444">
        <v>46800</v>
      </c>
      <c r="H23" s="444">
        <v>11331.32</v>
      </c>
      <c r="I23" s="444">
        <v>6492.88</v>
      </c>
      <c r="J23" s="444">
        <v>12456.52</v>
      </c>
      <c r="K23" s="438">
        <v>12448.32</v>
      </c>
      <c r="L23" s="444">
        <v>28882.62</v>
      </c>
      <c r="M23" s="444">
        <v>10995.65</v>
      </c>
      <c r="N23" s="445">
        <v>22408.7</v>
      </c>
      <c r="O23" s="440">
        <f t="shared" si="0"/>
        <v>226614.81</v>
      </c>
      <c r="P23" s="441">
        <f>IF(O$86=0,O$86,O23/O$86)</f>
        <v>3.842968998392318E-3</v>
      </c>
    </row>
    <row r="24" spans="1:17" outlineLevel="1" x14ac:dyDescent="0.25">
      <c r="A24" s="751"/>
      <c r="B24" s="500" t="s">
        <v>183</v>
      </c>
      <c r="C24" s="437">
        <v>42274.79</v>
      </c>
      <c r="D24" s="438">
        <v>27252.2</v>
      </c>
      <c r="E24" s="438">
        <v>37502.230000000003</v>
      </c>
      <c r="F24" s="438">
        <v>24512.47</v>
      </c>
      <c r="G24" s="438">
        <v>56364.38</v>
      </c>
      <c r="H24" s="438">
        <v>119733.28</v>
      </c>
      <c r="I24" s="438">
        <v>91206.12</v>
      </c>
      <c r="J24" s="438">
        <v>35480.85</v>
      </c>
      <c r="K24" s="438">
        <v>24431.29</v>
      </c>
      <c r="L24" s="438">
        <v>0</v>
      </c>
      <c r="M24" s="438">
        <v>0</v>
      </c>
      <c r="N24" s="439">
        <v>0</v>
      </c>
      <c r="O24" s="440">
        <f t="shared" si="0"/>
        <v>458757.60999999993</v>
      </c>
      <c r="P24" s="441">
        <f>IF(O$87=0,O$87,O24/O$87)</f>
        <v>9.5939965534456457E-3</v>
      </c>
      <c r="Q24" s="450"/>
    </row>
    <row r="25" spans="1:17" outlineLevel="1" x14ac:dyDescent="0.25">
      <c r="A25" s="751"/>
      <c r="B25" s="501" t="s">
        <v>184</v>
      </c>
      <c r="C25" s="443">
        <f>'July 2022'!F9</f>
        <v>0</v>
      </c>
      <c r="D25" s="444">
        <f>' August 2022'!F9</f>
        <v>48004.44</v>
      </c>
      <c r="E25" s="444">
        <f>'September 2022'!F9</f>
        <v>18723.48</v>
      </c>
      <c r="F25" s="444">
        <f>'October 2022'!F9</f>
        <v>0</v>
      </c>
      <c r="G25" s="444">
        <f>'November 2022'!F9</f>
        <v>14424.35</v>
      </c>
      <c r="H25" s="444">
        <f>'December 2022'!F9</f>
        <v>143530.66</v>
      </c>
      <c r="I25" s="444">
        <f>'January 2023'!F9</f>
        <v>18404.349999999999</v>
      </c>
      <c r="J25" s="444">
        <f>'February 2023'!F9</f>
        <v>15443.5</v>
      </c>
      <c r="K25" s="444">
        <f>'March 2023'!F9</f>
        <v>76571.530000000013</v>
      </c>
      <c r="L25" s="444">
        <f>'April 2023'!F9</f>
        <v>149035.13</v>
      </c>
      <c r="M25" s="444">
        <f>'May 2023'!F9</f>
        <v>38617.39</v>
      </c>
      <c r="N25" s="445">
        <f>'June 2023'!F9</f>
        <v>38399.949999999997</v>
      </c>
      <c r="O25" s="446">
        <f t="shared" si="0"/>
        <v>561154.78</v>
      </c>
      <c r="P25" s="447">
        <f>IF(O$88=0,O$88,O25/O$88)</f>
        <v>3.4100631332793056E-2</v>
      </c>
      <c r="Q25" s="450"/>
    </row>
    <row r="26" spans="1:17" outlineLevel="1" x14ac:dyDescent="0.25">
      <c r="A26" s="751"/>
      <c r="B26" s="501" t="s">
        <v>197</v>
      </c>
      <c r="C26" s="443">
        <f>'July 2022'!J9</f>
        <v>19970</v>
      </c>
      <c r="D26" s="444">
        <f>' August 2022'!J9</f>
        <v>38450</v>
      </c>
      <c r="E26" s="444">
        <f>'September 2022'!J9</f>
        <v>59813</v>
      </c>
      <c r="F26" s="444">
        <f>'October 2022'!J9</f>
        <v>88039</v>
      </c>
      <c r="G26" s="444">
        <f>'November 2022'!J9</f>
        <v>87279</v>
      </c>
      <c r="H26" s="444">
        <f>'December 2022'!J9</f>
        <v>52157</v>
      </c>
      <c r="I26" s="444">
        <f>'January 2023'!J9</f>
        <v>66619</v>
      </c>
      <c r="J26" s="444">
        <f>'February 2023'!J9</f>
        <v>155514</v>
      </c>
      <c r="K26" s="444">
        <f>'March 2023'!J9</f>
        <v>124470</v>
      </c>
      <c r="L26" s="444">
        <f>'April 2023'!J9</f>
        <v>129331</v>
      </c>
      <c r="M26" s="543">
        <f>'May 2023'!J9</f>
        <v>0</v>
      </c>
      <c r="N26" s="544">
        <f>'June 2023'!J9</f>
        <v>0</v>
      </c>
      <c r="O26" s="446">
        <f t="shared" si="0"/>
        <v>821642</v>
      </c>
      <c r="P26" s="447">
        <f>IF(O$89=0,O$89,O26/O$89)</f>
        <v>3.2060070696334035E-2</v>
      </c>
      <c r="Q26" s="450"/>
    </row>
    <row r="27" spans="1:17" ht="15.75" outlineLevel="1" thickBot="1" x14ac:dyDescent="0.3">
      <c r="A27" s="752"/>
      <c r="B27" s="451" t="s">
        <v>198</v>
      </c>
      <c r="C27" s="452">
        <f>'July 2022'!N9</f>
        <v>16882.82</v>
      </c>
      <c r="D27" s="453">
        <f>' August 2022'!N9</f>
        <v>24336.429999999997</v>
      </c>
      <c r="E27" s="453">
        <f>'September 2022'!N9</f>
        <v>26343.34</v>
      </c>
      <c r="F27" s="453">
        <f>'October 2022'!N9</f>
        <v>39571.839999999997</v>
      </c>
      <c r="G27" s="453">
        <f>'November 2022'!N9</f>
        <v>42405.45</v>
      </c>
      <c r="H27" s="453">
        <f>'December 2022'!N9</f>
        <v>3903.82</v>
      </c>
      <c r="I27" s="453">
        <f>'January 2023'!N9</f>
        <v>53008.52</v>
      </c>
      <c r="J27" s="453">
        <f>'February 2023'!N9</f>
        <v>161670.64999999997</v>
      </c>
      <c r="K27" s="453">
        <f>'March 2023'!N9</f>
        <v>78157.9911111111</v>
      </c>
      <c r="L27" s="453">
        <f>'April 2023'!N9</f>
        <v>126728.36</v>
      </c>
      <c r="M27" s="453">
        <f>'May 2023'!N9</f>
        <v>40155.54</v>
      </c>
      <c r="N27" s="454">
        <f>'June 2023'!N9</f>
        <v>25471</v>
      </c>
      <c r="O27" s="455">
        <f t="shared" si="0"/>
        <v>638635.76111111115</v>
      </c>
      <c r="P27" s="456">
        <f>IF(O$90=0,O$90,O27/O$90)</f>
        <v>2.0545551331009861E-2</v>
      </c>
      <c r="Q27" s="450"/>
    </row>
    <row r="28" spans="1:17" ht="15.75" thickTop="1" x14ac:dyDescent="0.25">
      <c r="A28" s="753" t="s">
        <v>185</v>
      </c>
      <c r="B28" s="470" t="s">
        <v>180</v>
      </c>
      <c r="C28" s="471">
        <f t="shared" ref="C28:O34" si="2">C7+C14+C21</f>
        <v>730699.71000000008</v>
      </c>
      <c r="D28" s="472">
        <f t="shared" si="2"/>
        <v>758307.18</v>
      </c>
      <c r="E28" s="472">
        <f t="shared" si="2"/>
        <v>733462.14</v>
      </c>
      <c r="F28" s="472">
        <f t="shared" si="2"/>
        <v>1414411.79</v>
      </c>
      <c r="G28" s="472">
        <f t="shared" si="2"/>
        <v>1625007.1</v>
      </c>
      <c r="H28" s="472">
        <f t="shared" si="2"/>
        <v>3679846.0600000005</v>
      </c>
      <c r="I28" s="472">
        <f t="shared" si="2"/>
        <v>3279911.89</v>
      </c>
      <c r="J28" s="472">
        <f t="shared" si="2"/>
        <v>2676950.35</v>
      </c>
      <c r="K28" s="472">
        <f t="shared" si="2"/>
        <v>2525207.1</v>
      </c>
      <c r="L28" s="472">
        <f t="shared" si="2"/>
        <v>2180860.1399999997</v>
      </c>
      <c r="M28" s="472">
        <f t="shared" si="2"/>
        <v>1103635.83</v>
      </c>
      <c r="N28" s="473">
        <f t="shared" si="2"/>
        <v>690242.84</v>
      </c>
      <c r="O28" s="474">
        <f t="shared" si="2"/>
        <v>21398542.130000003</v>
      </c>
      <c r="P28" s="475">
        <f>IF(O$84=0,O$84,O28/O$84)</f>
        <v>0.40839880079247831</v>
      </c>
    </row>
    <row r="29" spans="1:17" x14ac:dyDescent="0.25">
      <c r="A29" s="753"/>
      <c r="B29" s="477" t="s">
        <v>181</v>
      </c>
      <c r="C29" s="478">
        <f t="shared" si="2"/>
        <v>826667.1</v>
      </c>
      <c r="D29" s="479">
        <f t="shared" si="2"/>
        <v>755656.35</v>
      </c>
      <c r="E29" s="479">
        <f t="shared" si="2"/>
        <v>1213848</v>
      </c>
      <c r="F29" s="479">
        <f t="shared" si="2"/>
        <v>1346072.9</v>
      </c>
      <c r="G29" s="479">
        <f t="shared" si="2"/>
        <v>1699830.2400000002</v>
      </c>
      <c r="H29" s="479">
        <f t="shared" si="2"/>
        <v>3541520.72</v>
      </c>
      <c r="I29" s="479">
        <f t="shared" si="2"/>
        <v>2522072.42</v>
      </c>
      <c r="J29" s="479">
        <f t="shared" si="2"/>
        <v>2616833.4699999997</v>
      </c>
      <c r="K29" s="479">
        <f t="shared" si="2"/>
        <v>2289921.7599999998</v>
      </c>
      <c r="L29" s="479">
        <f t="shared" si="2"/>
        <v>1778495.3000000003</v>
      </c>
      <c r="M29" s="479">
        <f t="shared" si="2"/>
        <v>746272.03</v>
      </c>
      <c r="N29" s="480">
        <f t="shared" si="2"/>
        <v>643824.30000000005</v>
      </c>
      <c r="O29" s="481">
        <f t="shared" si="2"/>
        <v>19981014.59</v>
      </c>
      <c r="P29" s="482">
        <f>IF(O$85=0,O$85,O29/O$85)</f>
        <v>0.34805616956846908</v>
      </c>
    </row>
    <row r="30" spans="1:17" x14ac:dyDescent="0.25">
      <c r="A30" s="753"/>
      <c r="B30" s="477" t="s">
        <v>182</v>
      </c>
      <c r="C30" s="478">
        <f t="shared" si="2"/>
        <v>856431.29999999993</v>
      </c>
      <c r="D30" s="483">
        <f t="shared" si="2"/>
        <v>823266.1</v>
      </c>
      <c r="E30" s="483">
        <f t="shared" si="2"/>
        <v>1602097.5099999998</v>
      </c>
      <c r="F30" s="483">
        <f t="shared" si="2"/>
        <v>1908420.88</v>
      </c>
      <c r="G30" s="483">
        <f t="shared" si="2"/>
        <v>2448656.7200000002</v>
      </c>
      <c r="H30" s="483">
        <f t="shared" si="2"/>
        <v>4139497.26</v>
      </c>
      <c r="I30" s="483">
        <f t="shared" si="2"/>
        <v>2628110.7199999997</v>
      </c>
      <c r="J30" s="483">
        <f t="shared" si="2"/>
        <v>2520964.11</v>
      </c>
      <c r="K30" s="479">
        <f t="shared" si="2"/>
        <v>2942164.19</v>
      </c>
      <c r="L30" s="479">
        <f t="shared" si="2"/>
        <v>1691611.34</v>
      </c>
      <c r="M30" s="479">
        <f t="shared" si="2"/>
        <v>855194.25</v>
      </c>
      <c r="N30" s="480">
        <f t="shared" si="2"/>
        <v>581926.53</v>
      </c>
      <c r="O30" s="481">
        <f t="shared" si="2"/>
        <v>22998340.91</v>
      </c>
      <c r="P30" s="482">
        <f>IF(O$86=0,O$86,O30/O$86)</f>
        <v>0.39000942229498492</v>
      </c>
    </row>
    <row r="31" spans="1:17" x14ac:dyDescent="0.25">
      <c r="A31" s="753"/>
      <c r="B31" s="515" t="s">
        <v>183</v>
      </c>
      <c r="C31" s="478">
        <f t="shared" si="2"/>
        <v>949165.13000000012</v>
      </c>
      <c r="D31" s="479">
        <f t="shared" si="2"/>
        <v>1044795.83</v>
      </c>
      <c r="E31" s="479">
        <f t="shared" si="2"/>
        <v>1101381.42</v>
      </c>
      <c r="F31" s="479">
        <f t="shared" si="2"/>
        <v>1593243.47</v>
      </c>
      <c r="G31" s="479">
        <f t="shared" si="2"/>
        <v>2246693.4699999997</v>
      </c>
      <c r="H31" s="479">
        <f t="shared" si="2"/>
        <v>4394855.25</v>
      </c>
      <c r="I31" s="479">
        <f t="shared" si="2"/>
        <v>3542740.74</v>
      </c>
      <c r="J31" s="479">
        <f t="shared" si="2"/>
        <v>3397517.92</v>
      </c>
      <c r="K31" s="479">
        <f t="shared" si="2"/>
        <v>1641736.8</v>
      </c>
      <c r="L31" s="479">
        <f t="shared" si="2"/>
        <v>6953.13</v>
      </c>
      <c r="M31" s="479">
        <f t="shared" si="2"/>
        <v>0</v>
      </c>
      <c r="N31" s="480">
        <f t="shared" si="2"/>
        <v>13823.08</v>
      </c>
      <c r="O31" s="481">
        <f t="shared" si="2"/>
        <v>19932906.239999995</v>
      </c>
      <c r="P31" s="482">
        <f>IF(O$87=0,O$87,O31/O$87)</f>
        <v>0.41685680977960277</v>
      </c>
      <c r="Q31" s="450"/>
    </row>
    <row r="32" spans="1:17" x14ac:dyDescent="0.25">
      <c r="A32" s="753"/>
      <c r="B32" s="519" t="s">
        <v>184</v>
      </c>
      <c r="C32" s="478">
        <f t="shared" si="2"/>
        <v>62303.02</v>
      </c>
      <c r="D32" s="479">
        <f t="shared" si="2"/>
        <v>326436</v>
      </c>
      <c r="E32" s="479">
        <f t="shared" si="2"/>
        <v>180349.08000000002</v>
      </c>
      <c r="F32" s="479">
        <f t="shared" si="2"/>
        <v>0</v>
      </c>
      <c r="G32" s="479">
        <f t="shared" si="2"/>
        <v>105336.89</v>
      </c>
      <c r="H32" s="479">
        <f t="shared" si="2"/>
        <v>1589358.8499999999</v>
      </c>
      <c r="I32" s="479">
        <f t="shared" si="2"/>
        <v>505906.13</v>
      </c>
      <c r="J32" s="479">
        <f t="shared" si="2"/>
        <v>631112.38</v>
      </c>
      <c r="K32" s="479">
        <f t="shared" si="2"/>
        <v>1006102.3099999998</v>
      </c>
      <c r="L32" s="479">
        <f t="shared" si="2"/>
        <v>1670742.7599999998</v>
      </c>
      <c r="M32" s="479">
        <f t="shared" si="2"/>
        <v>701122.49000000011</v>
      </c>
      <c r="N32" s="480">
        <f t="shared" si="2"/>
        <v>688843.75</v>
      </c>
      <c r="O32" s="481">
        <f t="shared" si="2"/>
        <v>7467613.6600000001</v>
      </c>
      <c r="P32" s="482">
        <f>IF(O$88=0,O$88,O32/O$88)</f>
        <v>0.45379697265590324</v>
      </c>
      <c r="Q32" s="450"/>
    </row>
    <row r="33" spans="1:17" x14ac:dyDescent="0.25">
      <c r="A33" s="753"/>
      <c r="B33" s="519" t="s">
        <v>197</v>
      </c>
      <c r="C33" s="478">
        <f t="shared" si="2"/>
        <v>349706</v>
      </c>
      <c r="D33" s="479">
        <f t="shared" si="2"/>
        <v>647416</v>
      </c>
      <c r="E33" s="479">
        <f t="shared" si="2"/>
        <v>1008818</v>
      </c>
      <c r="F33" s="479">
        <f t="shared" si="2"/>
        <v>1284361</v>
      </c>
      <c r="G33" s="479">
        <f t="shared" si="2"/>
        <v>1884547</v>
      </c>
      <c r="H33" s="479">
        <f t="shared" si="2"/>
        <v>2109384</v>
      </c>
      <c r="I33" s="479">
        <f t="shared" si="2"/>
        <v>1921233</v>
      </c>
      <c r="J33" s="479">
        <f t="shared" si="2"/>
        <v>2380385</v>
      </c>
      <c r="K33" s="479">
        <f t="shared" si="2"/>
        <v>2345489</v>
      </c>
      <c r="L33" s="479">
        <f t="shared" si="2"/>
        <v>2339462</v>
      </c>
      <c r="M33" s="448">
        <f t="shared" si="2"/>
        <v>676200</v>
      </c>
      <c r="N33" s="449">
        <f t="shared" si="2"/>
        <v>525182</v>
      </c>
      <c r="O33" s="481">
        <f t="shared" si="2"/>
        <v>17472183</v>
      </c>
      <c r="P33" s="482">
        <f>IF(O$89=0,O$89,O33/O$89)</f>
        <v>0.68175607162156471</v>
      </c>
      <c r="Q33" s="450"/>
    </row>
    <row r="34" spans="1:17" ht="15.75" thickBot="1" x14ac:dyDescent="0.3">
      <c r="A34" s="754"/>
      <c r="B34" s="451" t="s">
        <v>198</v>
      </c>
      <c r="C34" s="545">
        <f t="shared" si="2"/>
        <v>832502.02733333269</v>
      </c>
      <c r="D34" s="546">
        <f t="shared" si="2"/>
        <v>860797.70195238106</v>
      </c>
      <c r="E34" s="546">
        <f t="shared" si="2"/>
        <v>1008982.4072619046</v>
      </c>
      <c r="F34" s="546">
        <f t="shared" si="2"/>
        <v>1392161.5516666665</v>
      </c>
      <c r="G34" s="546">
        <f t="shared" si="2"/>
        <v>2082830.2784365069</v>
      </c>
      <c r="H34" s="546">
        <f t="shared" si="2"/>
        <v>3019953.0398459244</v>
      </c>
      <c r="I34" s="546">
        <f t="shared" si="2"/>
        <v>1492500.0820000004</v>
      </c>
      <c r="J34" s="546">
        <f t="shared" si="2"/>
        <v>2466997.5309999995</v>
      </c>
      <c r="K34" s="546">
        <f t="shared" si="2"/>
        <v>2028688.3176111116</v>
      </c>
      <c r="L34" s="546">
        <f t="shared" si="2"/>
        <v>1781074.4029999999</v>
      </c>
      <c r="M34" s="546">
        <f t="shared" si="2"/>
        <v>1014656.0914332233</v>
      </c>
      <c r="N34" s="547">
        <f t="shared" si="2"/>
        <v>989318.85092701949</v>
      </c>
      <c r="O34" s="548">
        <f t="shared" si="2"/>
        <v>18970462.282468073</v>
      </c>
      <c r="P34" s="549">
        <f>IF(O$90=0,O$90,O34/O$90)</f>
        <v>0.61029874982153287</v>
      </c>
      <c r="Q34" s="450"/>
    </row>
    <row r="35" spans="1:17" ht="15.75" outlineLevel="2" thickTop="1" x14ac:dyDescent="0.25">
      <c r="A35" s="755" t="s">
        <v>40</v>
      </c>
      <c r="B35" s="457" t="s">
        <v>180</v>
      </c>
      <c r="C35" s="437">
        <v>91706</v>
      </c>
      <c r="D35" s="438">
        <v>110201</v>
      </c>
      <c r="E35" s="438">
        <v>158519</v>
      </c>
      <c r="F35" s="438">
        <v>454028</v>
      </c>
      <c r="G35" s="438">
        <v>537174</v>
      </c>
      <c r="H35" s="438">
        <v>154133</v>
      </c>
      <c r="I35" s="438">
        <v>397203</v>
      </c>
      <c r="J35" s="438">
        <v>207031</v>
      </c>
      <c r="K35" s="438">
        <v>453026</v>
      </c>
      <c r="L35" s="438">
        <v>246987</v>
      </c>
      <c r="M35" s="438">
        <v>129167</v>
      </c>
      <c r="N35" s="439">
        <v>253454</v>
      </c>
      <c r="O35" s="461">
        <f t="shared" ref="O35:O36" si="3">SUM(C35:N35)</f>
        <v>3192629</v>
      </c>
      <c r="P35" s="462">
        <f>IF(O$84=0,O$84,O35/O$84)</f>
        <v>6.0932461989890198E-2</v>
      </c>
    </row>
    <row r="36" spans="1:17" outlineLevel="2" x14ac:dyDescent="0.25">
      <c r="A36" s="751"/>
      <c r="B36" s="442" t="s">
        <v>181</v>
      </c>
      <c r="C36" s="443">
        <v>48658</v>
      </c>
      <c r="D36" s="444">
        <v>93833</v>
      </c>
      <c r="E36" s="444">
        <v>333131</v>
      </c>
      <c r="F36" s="444">
        <v>615241</v>
      </c>
      <c r="G36" s="444">
        <v>425184</v>
      </c>
      <c r="H36" s="444">
        <v>23899</v>
      </c>
      <c r="I36" s="444">
        <v>215000</v>
      </c>
      <c r="J36" s="444">
        <v>544169.16</v>
      </c>
      <c r="K36" s="438">
        <v>367925.57</v>
      </c>
      <c r="L36" s="444">
        <v>239879.32</v>
      </c>
      <c r="M36" s="444">
        <v>211090.68</v>
      </c>
      <c r="N36" s="445">
        <v>94073</v>
      </c>
      <c r="O36" s="440">
        <f t="shared" si="3"/>
        <v>3212083.73</v>
      </c>
      <c r="P36" s="441">
        <f>IF(O$85=0,O$85,O36/O$85)</f>
        <v>5.5952391924908786E-2</v>
      </c>
    </row>
    <row r="37" spans="1:17" outlineLevel="2" x14ac:dyDescent="0.25">
      <c r="A37" s="751"/>
      <c r="B37" s="442" t="s">
        <v>182</v>
      </c>
      <c r="C37" s="443">
        <v>59195.57</v>
      </c>
      <c r="D37" s="444">
        <v>60013.72</v>
      </c>
      <c r="E37" s="444">
        <v>291453.64</v>
      </c>
      <c r="F37" s="444">
        <v>237797.37</v>
      </c>
      <c r="G37" s="444">
        <v>123126.1</v>
      </c>
      <c r="H37" s="444">
        <v>21415.66</v>
      </c>
      <c r="I37" s="444">
        <v>271501.59000000003</v>
      </c>
      <c r="J37" s="444">
        <v>586295.34</v>
      </c>
      <c r="K37" s="438">
        <v>381960.13</v>
      </c>
      <c r="L37" s="444">
        <v>194086.62</v>
      </c>
      <c r="M37" s="444">
        <v>190247.81</v>
      </c>
      <c r="N37" s="445">
        <v>30595.66</v>
      </c>
      <c r="O37" s="440">
        <f t="shared" ref="O37:O45" si="4">SUM(C37:N37)</f>
        <v>2447689.2100000004</v>
      </c>
      <c r="P37" s="441">
        <f>IF(O$86=0,O$86,O37/O$86)</f>
        <v>4.1508292206186286E-2</v>
      </c>
    </row>
    <row r="38" spans="1:17" outlineLevel="2" x14ac:dyDescent="0.25">
      <c r="A38" s="751"/>
      <c r="B38" s="500" t="s">
        <v>183</v>
      </c>
      <c r="C38" s="437">
        <v>77500.08</v>
      </c>
      <c r="D38" s="438">
        <v>114908.47</v>
      </c>
      <c r="E38" s="438">
        <v>256186.55</v>
      </c>
      <c r="F38" s="438">
        <v>218939.04</v>
      </c>
      <c r="G38" s="438">
        <v>258089.2</v>
      </c>
      <c r="H38" s="438">
        <v>168708.74</v>
      </c>
      <c r="I38" s="438">
        <v>130999.98</v>
      </c>
      <c r="J38" s="438">
        <v>401365.6</v>
      </c>
      <c r="K38" s="438">
        <v>234882.68</v>
      </c>
      <c r="L38" s="438">
        <v>0</v>
      </c>
      <c r="M38" s="438">
        <v>0</v>
      </c>
      <c r="N38" s="439">
        <v>36465.39</v>
      </c>
      <c r="O38" s="440">
        <f t="shared" si="4"/>
        <v>1898045.73</v>
      </c>
      <c r="P38" s="441">
        <f>IF(O$87=0,O$87,O38/O$87)</f>
        <v>3.9693824788873212E-2</v>
      </c>
      <c r="Q38" s="450"/>
    </row>
    <row r="39" spans="1:17" outlineLevel="2" x14ac:dyDescent="0.25">
      <c r="A39" s="751"/>
      <c r="B39" s="501" t="s">
        <v>184</v>
      </c>
      <c r="C39" s="443">
        <f>'July 2022'!F11</f>
        <v>0</v>
      </c>
      <c r="D39" s="444">
        <f>' August 2022'!F11</f>
        <v>0</v>
      </c>
      <c r="E39" s="444">
        <f>'September 2022'!F11</f>
        <v>0</v>
      </c>
      <c r="F39" s="444">
        <f>'October 2022'!F11</f>
        <v>0</v>
      </c>
      <c r="G39" s="444">
        <f>'November 2022'!F11</f>
        <v>12673.91</v>
      </c>
      <c r="H39" s="444">
        <f>'December 2022'!F11</f>
        <v>20121.79</v>
      </c>
      <c r="I39" s="444">
        <f>'January 2023'!F11</f>
        <v>9182.64</v>
      </c>
      <c r="J39" s="444">
        <f>'February 2023'!F11</f>
        <v>0</v>
      </c>
      <c r="K39" s="444">
        <f>'March 2023'!F11</f>
        <v>0</v>
      </c>
      <c r="L39" s="444">
        <f>'April 2023'!F11</f>
        <v>3495.66</v>
      </c>
      <c r="M39" s="444">
        <f>'May 2023'!F11</f>
        <v>0</v>
      </c>
      <c r="N39" s="445">
        <f>'June 2023'!F11</f>
        <v>0</v>
      </c>
      <c r="O39" s="440">
        <f t="shared" ref="O39:O40" si="5">SUM(C39:N39)</f>
        <v>45474</v>
      </c>
      <c r="P39" s="441">
        <f>IF(O$88=0,O$88,O39/O$88)</f>
        <v>2.7633946363736423E-3</v>
      </c>
      <c r="Q39" s="450"/>
    </row>
    <row r="40" spans="1:17" outlineLevel="2" x14ac:dyDescent="0.25">
      <c r="A40" s="751"/>
      <c r="B40" s="501" t="s">
        <v>197</v>
      </c>
      <c r="C40" s="443">
        <f>'July 2022'!J11</f>
        <v>2209</v>
      </c>
      <c r="D40" s="444">
        <f>' August 2022'!J11</f>
        <v>4417</v>
      </c>
      <c r="E40" s="444">
        <f>'September 2022'!J11</f>
        <v>67200</v>
      </c>
      <c r="F40" s="444">
        <f>'October 2022'!J11</f>
        <v>10224</v>
      </c>
      <c r="G40" s="444">
        <f>'November 2022'!J11</f>
        <v>288940</v>
      </c>
      <c r="H40" s="444">
        <f>'December 2022'!J11</f>
        <v>60004</v>
      </c>
      <c r="I40" s="444">
        <f>'January 2023'!J11</f>
        <v>120252</v>
      </c>
      <c r="J40" s="444">
        <f>'February 2023'!J11</f>
        <v>217457</v>
      </c>
      <c r="K40" s="444">
        <f>'March 2023'!J11</f>
        <v>107819</v>
      </c>
      <c r="L40" s="444">
        <f>'April 2023'!J11</f>
        <v>35541</v>
      </c>
      <c r="M40" s="543">
        <f>'May 2023'!J11</f>
        <v>0</v>
      </c>
      <c r="N40" s="544">
        <f>'June 2023'!J11</f>
        <v>0</v>
      </c>
      <c r="O40" s="440">
        <f t="shared" si="5"/>
        <v>914063</v>
      </c>
      <c r="P40" s="441">
        <f>IF(O$89=0,O$89,O40/O$89)</f>
        <v>3.5666293106855755E-2</v>
      </c>
      <c r="Q40" s="450"/>
    </row>
    <row r="41" spans="1:17" ht="15.75" outlineLevel="2" thickBot="1" x14ac:dyDescent="0.3">
      <c r="A41" s="752"/>
      <c r="B41" s="451" t="s">
        <v>198</v>
      </c>
      <c r="C41" s="452">
        <f>'July 2022'!N11</f>
        <v>57429.598518518513</v>
      </c>
      <c r="D41" s="453">
        <f>' August 2022'!N11</f>
        <v>61252.35</v>
      </c>
      <c r="E41" s="453">
        <f>'September 2022'!N11</f>
        <v>127347.05508771908</v>
      </c>
      <c r="F41" s="453">
        <f>'October 2022'!N11</f>
        <v>372609.16554451321</v>
      </c>
      <c r="G41" s="453">
        <f>'November 2022'!N11</f>
        <v>530465.98566407687</v>
      </c>
      <c r="H41" s="453">
        <f>'December 2022'!N11</f>
        <v>221516.32</v>
      </c>
      <c r="I41" s="453">
        <f>'January 2023'!N11</f>
        <v>455758.92772548937</v>
      </c>
      <c r="J41" s="453">
        <f>'February 2023'!N11</f>
        <v>406775.75999999989</v>
      </c>
      <c r="K41" s="453">
        <f>'March 2023'!N11</f>
        <v>360933.25555555557</v>
      </c>
      <c r="L41" s="453">
        <f>'April 2023'!N11</f>
        <v>173839.00999999995</v>
      </c>
      <c r="M41" s="453">
        <f>'May 2023'!N11</f>
        <v>147683.19111111108</v>
      </c>
      <c r="N41" s="454">
        <f>'June 2023'!N11</f>
        <v>65599.839999999997</v>
      </c>
      <c r="O41" s="455">
        <f t="shared" si="4"/>
        <v>2981210.4592069834</v>
      </c>
      <c r="P41" s="456">
        <f>IF(O$90=0,O$90,O41/O$90)</f>
        <v>9.5908522898272286E-2</v>
      </c>
      <c r="Q41" s="450"/>
    </row>
    <row r="42" spans="1:17" ht="15.75" outlineLevel="2" thickTop="1" x14ac:dyDescent="0.25">
      <c r="A42" s="755" t="s">
        <v>54</v>
      </c>
      <c r="B42" s="457" t="s">
        <v>180</v>
      </c>
      <c r="C42" s="458">
        <v>192796</v>
      </c>
      <c r="D42" s="459">
        <v>275295</v>
      </c>
      <c r="E42" s="459">
        <v>344790</v>
      </c>
      <c r="F42" s="459">
        <v>761884</v>
      </c>
      <c r="G42" s="459">
        <v>1162379</v>
      </c>
      <c r="H42" s="459">
        <v>1086699</v>
      </c>
      <c r="I42" s="459">
        <v>1999222</v>
      </c>
      <c r="J42" s="459">
        <v>1615327</v>
      </c>
      <c r="K42" s="459">
        <v>943896</v>
      </c>
      <c r="L42" s="459">
        <v>719265</v>
      </c>
      <c r="M42" s="459">
        <v>146549</v>
      </c>
      <c r="N42" s="460">
        <v>127269</v>
      </c>
      <c r="O42" s="461">
        <f t="shared" si="4"/>
        <v>9375371</v>
      </c>
      <c r="P42" s="462">
        <f>IF(O$84=0,O$84,O42/O$84)</f>
        <v>0.17893229595377941</v>
      </c>
    </row>
    <row r="43" spans="1:17" outlineLevel="2" x14ac:dyDescent="0.25">
      <c r="A43" s="751"/>
      <c r="B43" s="442" t="s">
        <v>181</v>
      </c>
      <c r="C43" s="443">
        <v>227287</v>
      </c>
      <c r="D43" s="444">
        <v>275309</v>
      </c>
      <c r="E43" s="444">
        <v>436180</v>
      </c>
      <c r="F43" s="444">
        <v>1083345</v>
      </c>
      <c r="G43" s="444">
        <v>1176552</v>
      </c>
      <c r="H43" s="444">
        <v>1189893</v>
      </c>
      <c r="I43" s="444">
        <v>1757607</v>
      </c>
      <c r="J43" s="444">
        <v>1662233.37</v>
      </c>
      <c r="K43" s="438">
        <v>982551.98</v>
      </c>
      <c r="L43" s="444">
        <v>664320.93999999994</v>
      </c>
      <c r="M43" s="444">
        <v>173538.37</v>
      </c>
      <c r="N43" s="445">
        <v>132474.56</v>
      </c>
      <c r="O43" s="440">
        <f t="shared" si="4"/>
        <v>9761292.2199999988</v>
      </c>
      <c r="P43" s="441">
        <f>IF(O$85=0,O$85,O43/O$85)</f>
        <v>0.1700353085089108</v>
      </c>
    </row>
    <row r="44" spans="1:17" outlineLevel="2" x14ac:dyDescent="0.25">
      <c r="A44" s="751"/>
      <c r="B44" s="442" t="s">
        <v>182</v>
      </c>
      <c r="C44" s="443">
        <v>320442.90999999997</v>
      </c>
      <c r="D44" s="444">
        <v>338526.8</v>
      </c>
      <c r="E44" s="444">
        <v>409444.29</v>
      </c>
      <c r="F44" s="444">
        <v>713340.42</v>
      </c>
      <c r="G44" s="444">
        <v>1006009.47</v>
      </c>
      <c r="H44" s="444">
        <v>1096334.47</v>
      </c>
      <c r="I44" s="444">
        <v>1428795.24</v>
      </c>
      <c r="J44" s="444">
        <v>944942.03</v>
      </c>
      <c r="K44" s="438">
        <v>961236.72</v>
      </c>
      <c r="L44" s="444">
        <v>592541.1</v>
      </c>
      <c r="M44" s="444">
        <v>181232.82</v>
      </c>
      <c r="N44" s="445">
        <v>90545.54</v>
      </c>
      <c r="O44" s="440">
        <f t="shared" si="4"/>
        <v>8083391.8099999996</v>
      </c>
      <c r="P44" s="441">
        <f>IF(O$86=0,O$86,O44/O$86)</f>
        <v>0.13707940856861192</v>
      </c>
    </row>
    <row r="45" spans="1:17" outlineLevel="2" x14ac:dyDescent="0.25">
      <c r="A45" s="751"/>
      <c r="B45" s="500" t="s">
        <v>183</v>
      </c>
      <c r="C45" s="437">
        <v>286624.36</v>
      </c>
      <c r="D45" s="438">
        <v>307779.23</v>
      </c>
      <c r="E45" s="438">
        <v>335989.85</v>
      </c>
      <c r="F45" s="438">
        <v>891868.95</v>
      </c>
      <c r="G45" s="438">
        <v>774207.99</v>
      </c>
      <c r="H45" s="438">
        <v>1151647.1399999999</v>
      </c>
      <c r="I45" s="438">
        <v>1135790.23</v>
      </c>
      <c r="J45" s="438">
        <v>1385989.51</v>
      </c>
      <c r="K45" s="438">
        <v>620648.04</v>
      </c>
      <c r="L45" s="438">
        <v>0</v>
      </c>
      <c r="M45" s="438">
        <v>-2704.35</v>
      </c>
      <c r="N45" s="439">
        <v>0</v>
      </c>
      <c r="O45" s="440">
        <f t="shared" si="4"/>
        <v>6887840.9500000002</v>
      </c>
      <c r="P45" s="441">
        <f>IF(O$87=0,O$87,O45/O$87)</f>
        <v>0.1440453976011031</v>
      </c>
      <c r="Q45" s="450"/>
    </row>
    <row r="46" spans="1:17" outlineLevel="2" x14ac:dyDescent="0.25">
      <c r="A46" s="751"/>
      <c r="B46" s="501" t="s">
        <v>184</v>
      </c>
      <c r="C46" s="443">
        <f>'July 2022'!F12</f>
        <v>0</v>
      </c>
      <c r="D46" s="444">
        <f>' August 2022'!F12</f>
        <v>6269.57</v>
      </c>
      <c r="E46" s="444">
        <f>'September 2022'!F12</f>
        <v>0</v>
      </c>
      <c r="F46" s="444">
        <f>'October 2022'!F12</f>
        <v>0</v>
      </c>
      <c r="G46" s="444">
        <f>'November 2022'!F12</f>
        <v>4195.66</v>
      </c>
      <c r="H46" s="444">
        <f>'December 2022'!F12</f>
        <v>17482.63</v>
      </c>
      <c r="I46" s="444">
        <f>'January 2023'!F12</f>
        <v>3639.12</v>
      </c>
      <c r="J46" s="444">
        <f>'February 2023'!F12</f>
        <v>8269.49</v>
      </c>
      <c r="K46" s="444">
        <f>'March 2023'!F12</f>
        <v>24987.759999999995</v>
      </c>
      <c r="L46" s="444">
        <f>'April 2023'!F12</f>
        <v>60113.120000000003</v>
      </c>
      <c r="M46" s="444">
        <f>'May 2023'!F12</f>
        <v>29461.119999999999</v>
      </c>
      <c r="N46" s="445">
        <f>'June 2023'!F12</f>
        <v>51132.04</v>
      </c>
      <c r="O46" s="446">
        <f t="shared" ref="O46:O48" si="6">SUM(C46:N46)</f>
        <v>205550.51</v>
      </c>
      <c r="P46" s="447">
        <f>IF(O$88=0,O$88,O46/O$88)</f>
        <v>1.249103172885312E-2</v>
      </c>
      <c r="Q46" s="450"/>
    </row>
    <row r="47" spans="1:17" outlineLevel="2" x14ac:dyDescent="0.25">
      <c r="A47" s="751"/>
      <c r="B47" s="501" t="s">
        <v>197</v>
      </c>
      <c r="C47" s="443">
        <f>'July 2022'!J12</f>
        <v>10083</v>
      </c>
      <c r="D47" s="444">
        <f>' August 2022'!J12</f>
        <v>33365</v>
      </c>
      <c r="E47" s="444">
        <f>'September 2022'!J12</f>
        <v>57187</v>
      </c>
      <c r="F47" s="444">
        <f>'October 2022'!J12</f>
        <v>85176</v>
      </c>
      <c r="G47" s="444">
        <f>'November 2022'!J12</f>
        <v>86478</v>
      </c>
      <c r="H47" s="444">
        <f>'December 2022'!J12</f>
        <v>106926</v>
      </c>
      <c r="I47" s="444">
        <f>'January 2023'!J12</f>
        <v>127300</v>
      </c>
      <c r="J47" s="444">
        <f>'February 2023'!J12</f>
        <v>169828</v>
      </c>
      <c r="K47" s="444">
        <f>'March 2023'!J12</f>
        <v>182771</v>
      </c>
      <c r="L47" s="444">
        <f>'April 2023'!J12</f>
        <v>271576</v>
      </c>
      <c r="M47" s="543">
        <f>'May 2023'!J12</f>
        <v>228165</v>
      </c>
      <c r="N47" s="544">
        <f>'June 2023'!J12</f>
        <v>228165</v>
      </c>
      <c r="O47" s="446">
        <f t="shared" si="6"/>
        <v>1587020</v>
      </c>
      <c r="P47" s="447">
        <f>IF(O$89=0,O$89,O47/O$89)</f>
        <v>6.1924747513510799E-2</v>
      </c>
      <c r="Q47" s="450"/>
    </row>
    <row r="48" spans="1:17" ht="15.75" outlineLevel="2" thickBot="1" x14ac:dyDescent="0.3">
      <c r="A48" s="752"/>
      <c r="B48" s="451" t="s">
        <v>198</v>
      </c>
      <c r="C48" s="452">
        <f>'July 2022'!N12</f>
        <v>102391.75999999988</v>
      </c>
      <c r="D48" s="453">
        <f>' August 2022'!N12</f>
        <v>94671.256666666479</v>
      </c>
      <c r="E48" s="453">
        <f>'September 2022'!N12</f>
        <v>289544.51816666673</v>
      </c>
      <c r="F48" s="453">
        <f>'October 2022'!N12</f>
        <v>557299.20499999996</v>
      </c>
      <c r="G48" s="453">
        <f>'November 2022'!N12</f>
        <v>571267.60280769202</v>
      </c>
      <c r="H48" s="453">
        <f>'December 2022'!N12</f>
        <v>717730.59081240895</v>
      </c>
      <c r="I48" s="453">
        <f>'January 2023'!N12</f>
        <v>641579.47400000005</v>
      </c>
      <c r="J48" s="453">
        <f>'February 2023'!N12</f>
        <v>443352.68927500001</v>
      </c>
      <c r="K48" s="453">
        <f>'March 2023'!N12</f>
        <v>719014.97509583319</v>
      </c>
      <c r="L48" s="453">
        <f>'April 2023'!N12</f>
        <v>714929</v>
      </c>
      <c r="M48" s="453">
        <f>'May 2023'!N12</f>
        <v>192141.76339999994</v>
      </c>
      <c r="N48" s="454">
        <f>'June 2023'!N12</f>
        <v>186913.25384938042</v>
      </c>
      <c r="O48" s="455">
        <f t="shared" si="6"/>
        <v>5230836.0890736477</v>
      </c>
      <c r="P48" s="456">
        <f>IF(O$90=0,O$90,O48/O$90)</f>
        <v>0.16828122995364736</v>
      </c>
      <c r="Q48" s="484"/>
    </row>
    <row r="49" spans="1:17" ht="15.75" thickTop="1" x14ac:dyDescent="0.25">
      <c r="A49" s="745" t="s">
        <v>187</v>
      </c>
      <c r="B49" s="470" t="s">
        <v>180</v>
      </c>
      <c r="C49" s="471">
        <f t="shared" ref="C49:O55" si="7">+C35+C42</f>
        <v>284502</v>
      </c>
      <c r="D49" s="472">
        <f t="shared" si="7"/>
        <v>385496</v>
      </c>
      <c r="E49" s="472">
        <f t="shared" si="7"/>
        <v>503309</v>
      </c>
      <c r="F49" s="472">
        <f t="shared" si="7"/>
        <v>1215912</v>
      </c>
      <c r="G49" s="472">
        <f t="shared" si="7"/>
        <v>1699553</v>
      </c>
      <c r="H49" s="472">
        <f t="shared" si="7"/>
        <v>1240832</v>
      </c>
      <c r="I49" s="472">
        <f t="shared" si="7"/>
        <v>2396425</v>
      </c>
      <c r="J49" s="472">
        <f t="shared" si="7"/>
        <v>1822358</v>
      </c>
      <c r="K49" s="472">
        <f t="shared" si="7"/>
        <v>1396922</v>
      </c>
      <c r="L49" s="472">
        <f t="shared" si="7"/>
        <v>966252</v>
      </c>
      <c r="M49" s="472">
        <f t="shared" si="7"/>
        <v>275716</v>
      </c>
      <c r="N49" s="473">
        <f t="shared" si="7"/>
        <v>380723</v>
      </c>
      <c r="O49" s="474">
        <f>O35+O42</f>
        <v>12568000</v>
      </c>
      <c r="P49" s="475">
        <f>IF(O$84=0,O$84,O49/O$84)</f>
        <v>0.23986475794366963</v>
      </c>
    </row>
    <row r="50" spans="1:17" x14ac:dyDescent="0.25">
      <c r="A50" s="746"/>
      <c r="B50" s="477" t="s">
        <v>181</v>
      </c>
      <c r="C50" s="478">
        <f t="shared" si="7"/>
        <v>275945</v>
      </c>
      <c r="D50" s="479">
        <f t="shared" si="7"/>
        <v>369142</v>
      </c>
      <c r="E50" s="479">
        <f t="shared" si="7"/>
        <v>769311</v>
      </c>
      <c r="F50" s="479">
        <f t="shared" si="7"/>
        <v>1698586</v>
      </c>
      <c r="G50" s="479">
        <f t="shared" si="7"/>
        <v>1601736</v>
      </c>
      <c r="H50" s="479">
        <f t="shared" si="7"/>
        <v>1213792</v>
      </c>
      <c r="I50" s="479">
        <f t="shared" si="7"/>
        <v>1972607</v>
      </c>
      <c r="J50" s="479">
        <f t="shared" si="7"/>
        <v>2206402.5300000003</v>
      </c>
      <c r="K50" s="479">
        <f t="shared" si="7"/>
        <v>1350477.55</v>
      </c>
      <c r="L50" s="479">
        <f t="shared" si="7"/>
        <v>904200.26</v>
      </c>
      <c r="M50" s="479">
        <f t="shared" si="7"/>
        <v>384629.05</v>
      </c>
      <c r="N50" s="480">
        <f t="shared" si="7"/>
        <v>226547.56</v>
      </c>
      <c r="O50" s="481">
        <f>+O36+O43</f>
        <v>12973375.949999999</v>
      </c>
      <c r="P50" s="482">
        <f>IF(O$85=0,O$85,O50/O$85)</f>
        <v>0.22598770043381958</v>
      </c>
    </row>
    <row r="51" spans="1:17" x14ac:dyDescent="0.25">
      <c r="A51" s="746"/>
      <c r="B51" s="477" t="s">
        <v>182</v>
      </c>
      <c r="C51" s="478">
        <f t="shared" si="7"/>
        <v>379638.48</v>
      </c>
      <c r="D51" s="479">
        <f t="shared" si="7"/>
        <v>398540.52</v>
      </c>
      <c r="E51" s="479">
        <f t="shared" si="7"/>
        <v>700897.92999999993</v>
      </c>
      <c r="F51" s="479">
        <f t="shared" si="7"/>
        <v>951137.79</v>
      </c>
      <c r="G51" s="479">
        <f t="shared" si="7"/>
        <v>1129135.57</v>
      </c>
      <c r="H51" s="479">
        <f t="shared" si="7"/>
        <v>1117750.1299999999</v>
      </c>
      <c r="I51" s="479">
        <f t="shared" si="7"/>
        <v>1700296.83</v>
      </c>
      <c r="J51" s="479">
        <f t="shared" si="7"/>
        <v>1531237.37</v>
      </c>
      <c r="K51" s="479">
        <f t="shared" si="7"/>
        <v>1343196.85</v>
      </c>
      <c r="L51" s="479">
        <f t="shared" si="7"/>
        <v>786627.72</v>
      </c>
      <c r="M51" s="479">
        <f t="shared" si="7"/>
        <v>371480.63</v>
      </c>
      <c r="N51" s="480">
        <f t="shared" si="7"/>
        <v>121141.2</v>
      </c>
      <c r="O51" s="481">
        <f>+O37+O44</f>
        <v>10531081.02</v>
      </c>
      <c r="P51" s="482">
        <f>IF(O$86=0,O$86,O51/O$86)</f>
        <v>0.17858770077479821</v>
      </c>
    </row>
    <row r="52" spans="1:17" x14ac:dyDescent="0.25">
      <c r="A52" s="746"/>
      <c r="B52" s="515" t="s">
        <v>183</v>
      </c>
      <c r="C52" s="478">
        <f t="shared" si="7"/>
        <v>364124.44</v>
      </c>
      <c r="D52" s="479">
        <f t="shared" si="7"/>
        <v>422687.69999999995</v>
      </c>
      <c r="E52" s="479">
        <f t="shared" si="7"/>
        <v>592176.39999999991</v>
      </c>
      <c r="F52" s="479">
        <f t="shared" si="7"/>
        <v>1110807.99</v>
      </c>
      <c r="G52" s="479">
        <f t="shared" si="7"/>
        <v>1032297.19</v>
      </c>
      <c r="H52" s="479">
        <f t="shared" si="7"/>
        <v>1320355.8799999999</v>
      </c>
      <c r="I52" s="479">
        <f t="shared" si="7"/>
        <v>1266790.21</v>
      </c>
      <c r="J52" s="479">
        <f t="shared" si="7"/>
        <v>1787355.1099999999</v>
      </c>
      <c r="K52" s="479">
        <f t="shared" si="7"/>
        <v>855530.72</v>
      </c>
      <c r="L52" s="479">
        <f t="shared" si="7"/>
        <v>0</v>
      </c>
      <c r="M52" s="479">
        <f t="shared" si="7"/>
        <v>-2704.35</v>
      </c>
      <c r="N52" s="480">
        <f t="shared" si="7"/>
        <v>36465.39</v>
      </c>
      <c r="O52" s="481">
        <f>+O38+O45</f>
        <v>8785886.6799999997</v>
      </c>
      <c r="P52" s="482">
        <f>IF(O$87=0,O$87,O52/O$87)</f>
        <v>0.18373922238997631</v>
      </c>
      <c r="Q52" s="450"/>
    </row>
    <row r="53" spans="1:17" x14ac:dyDescent="0.25">
      <c r="A53" s="746"/>
      <c r="B53" s="515" t="s">
        <v>184</v>
      </c>
      <c r="C53" s="478">
        <f t="shared" si="7"/>
        <v>0</v>
      </c>
      <c r="D53" s="479">
        <f t="shared" si="7"/>
        <v>6269.57</v>
      </c>
      <c r="E53" s="479">
        <f t="shared" si="7"/>
        <v>0</v>
      </c>
      <c r="F53" s="479">
        <f t="shared" si="7"/>
        <v>0</v>
      </c>
      <c r="G53" s="479">
        <f t="shared" si="7"/>
        <v>16869.57</v>
      </c>
      <c r="H53" s="479">
        <f t="shared" si="7"/>
        <v>37604.42</v>
      </c>
      <c r="I53" s="479">
        <f t="shared" si="7"/>
        <v>12821.759999999998</v>
      </c>
      <c r="J53" s="479">
        <f t="shared" si="7"/>
        <v>8269.49</v>
      </c>
      <c r="K53" s="479">
        <f t="shared" si="7"/>
        <v>24987.759999999995</v>
      </c>
      <c r="L53" s="479">
        <f t="shared" si="7"/>
        <v>63608.78</v>
      </c>
      <c r="M53" s="479">
        <f t="shared" si="7"/>
        <v>29461.119999999999</v>
      </c>
      <c r="N53" s="480">
        <f t="shared" si="7"/>
        <v>51132.04</v>
      </c>
      <c r="O53" s="481">
        <f t="shared" si="7"/>
        <v>251024.51</v>
      </c>
      <c r="P53" s="482">
        <f>IF(O$88=0,O$88,O53/O$88)</f>
        <v>1.5254426365226762E-2</v>
      </c>
      <c r="Q53" s="450"/>
    </row>
    <row r="54" spans="1:17" x14ac:dyDescent="0.25">
      <c r="A54" s="746"/>
      <c r="B54" s="515" t="s">
        <v>197</v>
      </c>
      <c r="C54" s="478">
        <f t="shared" si="7"/>
        <v>12292</v>
      </c>
      <c r="D54" s="479">
        <f t="shared" si="7"/>
        <v>37782</v>
      </c>
      <c r="E54" s="479">
        <f t="shared" si="7"/>
        <v>124387</v>
      </c>
      <c r="F54" s="479">
        <f t="shared" si="7"/>
        <v>95400</v>
      </c>
      <c r="G54" s="479">
        <f t="shared" si="7"/>
        <v>375418</v>
      </c>
      <c r="H54" s="479">
        <f t="shared" si="7"/>
        <v>166930</v>
      </c>
      <c r="I54" s="479">
        <f t="shared" si="7"/>
        <v>247552</v>
      </c>
      <c r="J54" s="479">
        <f t="shared" si="7"/>
        <v>387285</v>
      </c>
      <c r="K54" s="479">
        <f t="shared" si="7"/>
        <v>290590</v>
      </c>
      <c r="L54" s="479">
        <f t="shared" si="7"/>
        <v>307117</v>
      </c>
      <c r="M54" s="448">
        <f t="shared" si="7"/>
        <v>228165</v>
      </c>
      <c r="N54" s="449">
        <f t="shared" si="7"/>
        <v>228165</v>
      </c>
      <c r="O54" s="481">
        <f t="shared" si="7"/>
        <v>2501083</v>
      </c>
      <c r="P54" s="482">
        <f>IF(O$89=0,O$89,O54/O$89)</f>
        <v>9.7591040620366554E-2</v>
      </c>
      <c r="Q54" s="450"/>
    </row>
    <row r="55" spans="1:17" ht="15.75" thickBot="1" x14ac:dyDescent="0.3">
      <c r="A55" s="747"/>
      <c r="B55" s="451" t="s">
        <v>198</v>
      </c>
      <c r="C55" s="452">
        <f t="shared" si="7"/>
        <v>159821.35851851839</v>
      </c>
      <c r="D55" s="453">
        <f t="shared" si="7"/>
        <v>155923.60666666648</v>
      </c>
      <c r="E55" s="453">
        <f t="shared" si="7"/>
        <v>416891.57325438585</v>
      </c>
      <c r="F55" s="453">
        <f t="shared" si="7"/>
        <v>929908.37054451322</v>
      </c>
      <c r="G55" s="453">
        <f t="shared" si="7"/>
        <v>1101733.5884717689</v>
      </c>
      <c r="H55" s="453">
        <f t="shared" si="7"/>
        <v>939246.9108124089</v>
      </c>
      <c r="I55" s="453">
        <f t="shared" si="7"/>
        <v>1097338.4017254894</v>
      </c>
      <c r="J55" s="453">
        <f t="shared" si="7"/>
        <v>850128.4492749999</v>
      </c>
      <c r="K55" s="453">
        <f t="shared" si="7"/>
        <v>1079948.2306513889</v>
      </c>
      <c r="L55" s="453">
        <f t="shared" si="7"/>
        <v>888768.01</v>
      </c>
      <c r="M55" s="453">
        <f t="shared" si="7"/>
        <v>339824.95451111102</v>
      </c>
      <c r="N55" s="454">
        <f t="shared" si="7"/>
        <v>252513.09384938041</v>
      </c>
      <c r="O55" s="455">
        <f t="shared" si="7"/>
        <v>8212046.5482806312</v>
      </c>
      <c r="P55" s="456">
        <f>IF(O$90=0,O$90,O55/O$90)</f>
        <v>0.26418975285191965</v>
      </c>
      <c r="Q55" s="450"/>
    </row>
    <row r="56" spans="1:17" ht="15.75" outlineLevel="2" thickTop="1" x14ac:dyDescent="0.25">
      <c r="A56" s="751" t="s">
        <v>47</v>
      </c>
      <c r="B56" s="457" t="s">
        <v>180</v>
      </c>
      <c r="C56" s="437"/>
      <c r="D56" s="438">
        <v>3482.45</v>
      </c>
      <c r="E56" s="438">
        <v>148162.04999999999</v>
      </c>
      <c r="F56" s="438">
        <v>0</v>
      </c>
      <c r="G56" s="438">
        <v>-1192.98</v>
      </c>
      <c r="H56" s="438">
        <v>0</v>
      </c>
      <c r="I56" s="438">
        <v>0</v>
      </c>
      <c r="J56" s="438">
        <v>161488.23000000001</v>
      </c>
      <c r="K56" s="438">
        <v>425925.08</v>
      </c>
      <c r="L56" s="438">
        <v>0</v>
      </c>
      <c r="M56" s="438">
        <v>0</v>
      </c>
      <c r="N56" s="439">
        <v>237649.64</v>
      </c>
      <c r="O56" s="461">
        <f t="shared" ref="O56:O69" si="8">SUM(C56:N56)</f>
        <v>975514.47000000009</v>
      </c>
      <c r="P56" s="462">
        <f>IF(O$84=0,O$84,O56/O$84)</f>
        <v>1.8618041233059927E-2</v>
      </c>
    </row>
    <row r="57" spans="1:17" outlineLevel="2" x14ac:dyDescent="0.25">
      <c r="A57" s="751"/>
      <c r="B57" s="442" t="s">
        <v>181</v>
      </c>
      <c r="C57" s="443">
        <v>0</v>
      </c>
      <c r="D57" s="444">
        <v>0</v>
      </c>
      <c r="E57" s="444">
        <v>123361.79</v>
      </c>
      <c r="F57" s="444">
        <v>0</v>
      </c>
      <c r="G57" s="444">
        <v>0</v>
      </c>
      <c r="H57" s="444">
        <v>0</v>
      </c>
      <c r="I57" s="444">
        <v>0</v>
      </c>
      <c r="J57" s="444">
        <v>30561.43</v>
      </c>
      <c r="K57" s="438">
        <v>766468.98</v>
      </c>
      <c r="L57" s="444">
        <v>0</v>
      </c>
      <c r="M57" s="444">
        <v>123395.65</v>
      </c>
      <c r="N57" s="445">
        <v>0</v>
      </c>
      <c r="O57" s="440">
        <f t="shared" si="8"/>
        <v>1043787.85</v>
      </c>
      <c r="P57" s="441">
        <f>IF(O$85=0,O$85,O57/O$85)</f>
        <v>1.8182099776601374E-2</v>
      </c>
    </row>
    <row r="58" spans="1:17" outlineLevel="2" x14ac:dyDescent="0.25">
      <c r="A58" s="751"/>
      <c r="B58" s="442" t="s">
        <v>182</v>
      </c>
      <c r="C58" s="443">
        <v>0</v>
      </c>
      <c r="D58" s="444">
        <v>196499.03</v>
      </c>
      <c r="E58" s="444">
        <v>0</v>
      </c>
      <c r="F58" s="444">
        <v>146175.12</v>
      </c>
      <c r="G58" s="444">
        <v>0</v>
      </c>
      <c r="H58" s="444">
        <v>219072.71</v>
      </c>
      <c r="I58" s="444">
        <v>167895.55</v>
      </c>
      <c r="J58" s="444">
        <v>0</v>
      </c>
      <c r="K58" s="438">
        <v>-3495.65</v>
      </c>
      <c r="L58" s="444">
        <v>0</v>
      </c>
      <c r="M58" s="444">
        <v>113669.64</v>
      </c>
      <c r="N58" s="445">
        <v>62126.02</v>
      </c>
      <c r="O58" s="440">
        <f>SUM(C58:N58)</f>
        <v>901942.41999999993</v>
      </c>
      <c r="P58" s="441">
        <f>IF(O$86=0,O$86,O58/O$86)</f>
        <v>1.5295279061394721E-2</v>
      </c>
    </row>
    <row r="59" spans="1:17" outlineLevel="2" x14ac:dyDescent="0.25">
      <c r="A59" s="751"/>
      <c r="B59" s="500" t="s">
        <v>183</v>
      </c>
      <c r="C59" s="437">
        <v>0</v>
      </c>
      <c r="D59" s="438">
        <v>0</v>
      </c>
      <c r="E59" s="438">
        <v>298852</v>
      </c>
      <c r="F59" s="438">
        <v>0</v>
      </c>
      <c r="G59" s="438">
        <v>0</v>
      </c>
      <c r="H59" s="438">
        <v>0</v>
      </c>
      <c r="I59" s="438">
        <v>0</v>
      </c>
      <c r="J59" s="438">
        <v>0</v>
      </c>
      <c r="K59" s="438">
        <v>448260.66</v>
      </c>
      <c r="L59" s="438">
        <v>0</v>
      </c>
      <c r="M59" s="438">
        <v>0</v>
      </c>
      <c r="N59" s="439">
        <v>0</v>
      </c>
      <c r="O59" s="440">
        <f>SUM(C59:N59)</f>
        <v>747112.65999999992</v>
      </c>
      <c r="P59" s="441">
        <f>IF(O$87=0,O$87,O59/O$87)</f>
        <v>1.5624364869011349E-2</v>
      </c>
      <c r="Q59" s="450"/>
    </row>
    <row r="60" spans="1:17" outlineLevel="2" x14ac:dyDescent="0.25">
      <c r="A60" s="751"/>
      <c r="B60" s="501" t="s">
        <v>184</v>
      </c>
      <c r="C60" s="443">
        <f>'July 2022'!F14</f>
        <v>0</v>
      </c>
      <c r="D60" s="444">
        <f>' August 2022'!F14</f>
        <v>0</v>
      </c>
      <c r="E60" s="444">
        <f>'September 2022'!F14</f>
        <v>0</v>
      </c>
      <c r="F60" s="444">
        <f>'October 2022'!F14</f>
        <v>0</v>
      </c>
      <c r="G60" s="444">
        <f>'November 2022'!F14</f>
        <v>0</v>
      </c>
      <c r="H60" s="444">
        <f>'December 2022'!F14</f>
        <v>0</v>
      </c>
      <c r="I60" s="444">
        <f>'January 2023'!F14</f>
        <v>0</v>
      </c>
      <c r="J60" s="444">
        <f>'February 2023'!F14</f>
        <v>106047.62</v>
      </c>
      <c r="K60" s="444">
        <f>'March 2023'!F14</f>
        <v>0</v>
      </c>
      <c r="L60" s="444">
        <f>'April 2023'!F14</f>
        <v>0</v>
      </c>
      <c r="M60" s="444">
        <f>'May 2023'!F14</f>
        <v>0</v>
      </c>
      <c r="N60" s="445">
        <f>'June 2023'!F14</f>
        <v>0</v>
      </c>
      <c r="O60" s="446">
        <f t="shared" ref="O60:O62" si="9">SUM(C60:N60)</f>
        <v>106047.62</v>
      </c>
      <c r="P60" s="447">
        <f>IF(O$88=0,O$88,O60/O$88)</f>
        <v>6.4443731430749475E-3</v>
      </c>
      <c r="Q60" s="450"/>
    </row>
    <row r="61" spans="1:17" outlineLevel="2" x14ac:dyDescent="0.25">
      <c r="A61" s="751"/>
      <c r="B61" s="501" t="s">
        <v>197</v>
      </c>
      <c r="C61" s="443">
        <f>'July 2022'!J14</f>
        <v>0</v>
      </c>
      <c r="D61" s="444">
        <f>' August 2022'!J14</f>
        <v>94752</v>
      </c>
      <c r="E61" s="444">
        <f>'September 2022'!J14</f>
        <v>308018</v>
      </c>
      <c r="F61" s="444">
        <f>'October 2022'!J14</f>
        <v>0</v>
      </c>
      <c r="G61" s="444">
        <f>'November 2022'!J14</f>
        <v>0</v>
      </c>
      <c r="H61" s="444">
        <f>'December 2022'!J14</f>
        <v>43933</v>
      </c>
      <c r="I61" s="444">
        <f>'January 2023'!J14</f>
        <v>177939</v>
      </c>
      <c r="J61" s="444">
        <f>'February 2023'!J14</f>
        <v>0</v>
      </c>
      <c r="K61" s="444">
        <f>'March 2023'!J14</f>
        <v>521066</v>
      </c>
      <c r="L61" s="444">
        <f>'April 2023'!J14</f>
        <v>102791</v>
      </c>
      <c r="M61" s="543">
        <f>'May 2023'!J14</f>
        <v>0</v>
      </c>
      <c r="N61" s="544">
        <f>'June 2023'!J14</f>
        <v>0</v>
      </c>
      <c r="O61" s="446">
        <f t="shared" si="9"/>
        <v>1248499</v>
      </c>
      <c r="P61" s="447">
        <f>IF(O$89=0,O$89,O61/O$89)</f>
        <v>4.8715822954890749E-2</v>
      </c>
      <c r="Q61" s="450"/>
    </row>
    <row r="62" spans="1:17" ht="15.75" outlineLevel="2" thickBot="1" x14ac:dyDescent="0.3">
      <c r="A62" s="752"/>
      <c r="B62" s="451" t="s">
        <v>198</v>
      </c>
      <c r="C62" s="452">
        <f>'July 2022'!N14</f>
        <v>286825.64999999938</v>
      </c>
      <c r="D62" s="453">
        <f>' August 2022'!N14</f>
        <v>307347.34999999939</v>
      </c>
      <c r="E62" s="453">
        <f>'September 2022'!N14</f>
        <v>150552</v>
      </c>
      <c r="F62" s="453">
        <f>'October 2022'!N14</f>
        <v>0</v>
      </c>
      <c r="G62" s="453">
        <f>'November 2022'!N14</f>
        <v>0</v>
      </c>
      <c r="H62" s="453">
        <f>'December 2022'!N14</f>
        <v>0</v>
      </c>
      <c r="I62" s="453">
        <f>'January 2023'!N14</f>
        <v>0</v>
      </c>
      <c r="J62" s="453">
        <f>'February 2023'!N14</f>
        <v>0</v>
      </c>
      <c r="K62" s="453">
        <f>'March 2023'!N14</f>
        <v>0</v>
      </c>
      <c r="L62" s="453">
        <f>'April 2023'!N14</f>
        <v>0</v>
      </c>
      <c r="M62" s="453">
        <f>'May 2023'!N14</f>
        <v>0</v>
      </c>
      <c r="N62" s="454">
        <f>'June 2023'!N14</f>
        <v>0</v>
      </c>
      <c r="O62" s="455">
        <f t="shared" si="9"/>
        <v>744724.99999999884</v>
      </c>
      <c r="P62" s="456">
        <f>IF(O$90=0,O$90,O62/O$90)</f>
        <v>2.3958548278545638E-2</v>
      </c>
      <c r="Q62" s="450"/>
    </row>
    <row r="63" spans="1:17" ht="15.75" outlineLevel="2" thickTop="1" x14ac:dyDescent="0.25">
      <c r="A63" s="755" t="s">
        <v>43</v>
      </c>
      <c r="B63" s="457" t="s">
        <v>180</v>
      </c>
      <c r="C63" s="437">
        <v>1276384.4099999999</v>
      </c>
      <c r="D63" s="438">
        <v>930496.97</v>
      </c>
      <c r="E63" s="438">
        <v>1902260.13</v>
      </c>
      <c r="F63" s="438">
        <v>2937857.85</v>
      </c>
      <c r="G63" s="438">
        <v>2187234.9700000002</v>
      </c>
      <c r="H63" s="438">
        <v>1177202.31</v>
      </c>
      <c r="I63" s="438">
        <v>988731.11</v>
      </c>
      <c r="J63" s="438">
        <v>1702700.1</v>
      </c>
      <c r="K63" s="438">
        <v>1716939.58</v>
      </c>
      <c r="L63" s="438">
        <v>1429465.72</v>
      </c>
      <c r="M63" s="438">
        <v>1207800.23</v>
      </c>
      <c r="N63" s="439">
        <v>415412.25</v>
      </c>
      <c r="O63" s="461">
        <f t="shared" si="8"/>
        <v>17872485.629999999</v>
      </c>
      <c r="P63" s="462">
        <f>IF(O$84=0,O$84,O63/O$84)</f>
        <v>0.34110275616579117</v>
      </c>
    </row>
    <row r="64" spans="1:17" outlineLevel="2" x14ac:dyDescent="0.25">
      <c r="A64" s="751"/>
      <c r="B64" s="442" t="s">
        <v>181</v>
      </c>
      <c r="C64" s="443">
        <v>1288921.08</v>
      </c>
      <c r="D64" s="444">
        <v>2113723.91</v>
      </c>
      <c r="E64" s="444">
        <v>1304796.1200000001</v>
      </c>
      <c r="F64" s="444">
        <v>2886213.12</v>
      </c>
      <c r="G64" s="444">
        <v>3286877.19</v>
      </c>
      <c r="H64" s="444">
        <v>1707292.61</v>
      </c>
      <c r="I64" s="444">
        <v>2437170.21</v>
      </c>
      <c r="J64" s="444">
        <v>1996027.41</v>
      </c>
      <c r="K64" s="438">
        <v>1876326.32</v>
      </c>
      <c r="L64" s="444">
        <v>1632171.18</v>
      </c>
      <c r="M64" s="444">
        <v>1944926.64</v>
      </c>
      <c r="N64" s="445">
        <v>1333227.56</v>
      </c>
      <c r="O64" s="440">
        <f t="shared" si="8"/>
        <v>23807673.349999998</v>
      </c>
      <c r="P64" s="441">
        <f>IF(O$85=0,O$85,O64/O$85)</f>
        <v>0.41471405544568601</v>
      </c>
    </row>
    <row r="65" spans="1:17" outlineLevel="2" x14ac:dyDescent="0.25">
      <c r="A65" s="751"/>
      <c r="B65" s="442" t="s">
        <v>182</v>
      </c>
      <c r="C65" s="443">
        <v>739134.09</v>
      </c>
      <c r="D65" s="444">
        <v>2093393.57</v>
      </c>
      <c r="E65" s="444">
        <v>2034172.89</v>
      </c>
      <c r="F65" s="444">
        <v>2333254.9</v>
      </c>
      <c r="G65" s="444">
        <v>2524034.33</v>
      </c>
      <c r="H65" s="444">
        <v>1114696.58</v>
      </c>
      <c r="I65" s="444">
        <v>2935134.52</v>
      </c>
      <c r="J65" s="444">
        <v>2339289.9700000002</v>
      </c>
      <c r="K65" s="438">
        <v>2654079.2000000002</v>
      </c>
      <c r="L65" s="444">
        <v>1674141.64</v>
      </c>
      <c r="M65" s="444">
        <v>2447861.5299999998</v>
      </c>
      <c r="N65" s="445">
        <v>2239043.42</v>
      </c>
      <c r="O65" s="440">
        <f>SUM(C65:N65)</f>
        <v>25128236.640000001</v>
      </c>
      <c r="P65" s="441">
        <f>IF(O$86=0,O$86,O65/O$86)</f>
        <v>0.42612852351435437</v>
      </c>
    </row>
    <row r="66" spans="1:17" outlineLevel="2" x14ac:dyDescent="0.25">
      <c r="A66" s="751"/>
      <c r="B66" s="500" t="s">
        <v>183</v>
      </c>
      <c r="C66" s="437">
        <v>702364.04</v>
      </c>
      <c r="D66" s="438">
        <v>993477.36</v>
      </c>
      <c r="E66" s="438">
        <v>3353844.68</v>
      </c>
      <c r="F66" s="438">
        <v>2350901.89</v>
      </c>
      <c r="G66" s="438">
        <v>2950535.1</v>
      </c>
      <c r="H66" s="438">
        <v>484482.75</v>
      </c>
      <c r="I66" s="438">
        <v>3685238.24</v>
      </c>
      <c r="J66" s="438">
        <v>2598320.7400000002</v>
      </c>
      <c r="K66" s="438">
        <v>548134.22</v>
      </c>
      <c r="L66" s="438">
        <v>8869.57</v>
      </c>
      <c r="M66" s="438">
        <v>651869.56000000006</v>
      </c>
      <c r="N66" s="439">
        <v>1819.57</v>
      </c>
      <c r="O66" s="440">
        <f t="shared" si="8"/>
        <v>18329857.719999999</v>
      </c>
      <c r="P66" s="441">
        <f>IF(O$87=0,O$87,O66/O$87)</f>
        <v>0.38333226077890914</v>
      </c>
      <c r="Q66" s="450"/>
    </row>
    <row r="67" spans="1:17" outlineLevel="2" x14ac:dyDescent="0.25">
      <c r="A67" s="751"/>
      <c r="B67" s="501" t="s">
        <v>184</v>
      </c>
      <c r="C67" s="443">
        <f>'July 2022'!F15</f>
        <v>10895.66</v>
      </c>
      <c r="D67" s="444">
        <f>' August 2022'!F15</f>
        <v>47866.86</v>
      </c>
      <c r="E67" s="444">
        <f>'September 2022'!F15</f>
        <v>298419.24</v>
      </c>
      <c r="F67" s="444">
        <f>'October 2022'!F15</f>
        <v>2549273.42</v>
      </c>
      <c r="G67" s="444">
        <f>'November 2022'!F15</f>
        <v>2435792.63</v>
      </c>
      <c r="H67" s="444">
        <f>'December 2022'!F15</f>
        <v>150627.51</v>
      </c>
      <c r="I67" s="444">
        <f>'January 2023'!F15</f>
        <v>115795.55</v>
      </c>
      <c r="J67" s="444">
        <f>'February 2023'!F15</f>
        <v>330751.87</v>
      </c>
      <c r="K67" s="444">
        <f>'March 2023'!F15</f>
        <v>840021.05999999994</v>
      </c>
      <c r="L67" s="444">
        <f>'April 2023'!F15</f>
        <v>413104.32</v>
      </c>
      <c r="M67" s="444">
        <f>'May 2023'!F15</f>
        <v>1084796.1000000001</v>
      </c>
      <c r="N67" s="445">
        <f>'June 2023'!F15</f>
        <v>444514.81</v>
      </c>
      <c r="O67" s="440">
        <f t="shared" si="8"/>
        <v>8721859.0299999993</v>
      </c>
      <c r="P67" s="441">
        <f>IF(O$88=0,O$88,O67/O$88)</f>
        <v>0.5300157994174477</v>
      </c>
      <c r="Q67" s="450"/>
    </row>
    <row r="68" spans="1:17" outlineLevel="2" x14ac:dyDescent="0.25">
      <c r="A68" s="751"/>
      <c r="B68" s="501" t="s">
        <v>197</v>
      </c>
      <c r="C68" s="443">
        <f>'July 2022'!J15</f>
        <v>23111</v>
      </c>
      <c r="D68" s="444">
        <f>' August 2022'!J15</f>
        <v>163357</v>
      </c>
      <c r="E68" s="444">
        <f>'September 2022'!J15</f>
        <v>415472</v>
      </c>
      <c r="F68" s="444">
        <f>'October 2022'!J15</f>
        <v>396284</v>
      </c>
      <c r="G68" s="444">
        <f>'November 2022'!J15</f>
        <v>500657</v>
      </c>
      <c r="H68" s="444">
        <f>'December 2022'!J15</f>
        <v>271470</v>
      </c>
      <c r="I68" s="444">
        <f>'January 2023'!J15</f>
        <v>114186</v>
      </c>
      <c r="J68" s="444">
        <f>'February 2023'!J15</f>
        <v>382745</v>
      </c>
      <c r="K68" s="444">
        <f>'March 2023'!J15</f>
        <v>869778</v>
      </c>
      <c r="L68" s="444">
        <f>'April 2023'!J15</f>
        <v>142067</v>
      </c>
      <c r="M68" s="543">
        <f>'May 2023'!J15</f>
        <v>615600</v>
      </c>
      <c r="N68" s="544">
        <f>'June 2023'!J15</f>
        <v>483108</v>
      </c>
      <c r="O68" s="440">
        <f t="shared" si="8"/>
        <v>4377835</v>
      </c>
      <c r="P68" s="441">
        <f>IF(O$89=0,O$89,O68/O$89)</f>
        <v>0.17082098967297862</v>
      </c>
      <c r="Q68" s="450"/>
    </row>
    <row r="69" spans="1:17" ht="15.75" outlineLevel="2" thickBot="1" x14ac:dyDescent="0.3">
      <c r="A69" s="752"/>
      <c r="B69" s="451" t="s">
        <v>198</v>
      </c>
      <c r="C69" s="452">
        <f>'July 2022'!N15</f>
        <v>93365.569999999905</v>
      </c>
      <c r="D69" s="453">
        <f>' August 2022'!N15</f>
        <v>115320</v>
      </c>
      <c r="E69" s="453">
        <f>'September 2022'!N15</f>
        <v>155136.08307692307</v>
      </c>
      <c r="F69" s="453">
        <f>'October 2022'!N15</f>
        <v>450231.21999999927</v>
      </c>
      <c r="G69" s="453">
        <f>'November 2022'!N15</f>
        <v>266127.40000000002</v>
      </c>
      <c r="H69" s="453">
        <f>'December 2022'!N15</f>
        <v>46156.436129032198</v>
      </c>
      <c r="I69" s="453">
        <f>'January 2023'!N15</f>
        <v>551506.05999999971</v>
      </c>
      <c r="J69" s="453">
        <f>'February 2023'!N15</f>
        <v>443875.44</v>
      </c>
      <c r="K69" s="453">
        <f>'March 2023'!N15</f>
        <v>553968</v>
      </c>
      <c r="L69" s="453">
        <f>'April 2023'!N15</f>
        <v>152250</v>
      </c>
      <c r="M69" s="453">
        <f>'May 2023'!N15</f>
        <v>168525</v>
      </c>
      <c r="N69" s="454">
        <f>'June 2023'!N15</f>
        <v>160200</v>
      </c>
      <c r="O69" s="548">
        <f t="shared" si="8"/>
        <v>3156661.2092059539</v>
      </c>
      <c r="P69" s="549">
        <f>IF(O$90=0,O$90,O69/O$90)</f>
        <v>0.1015529490480019</v>
      </c>
      <c r="Q69" s="450"/>
    </row>
    <row r="70" spans="1:17" ht="15.75" thickTop="1" x14ac:dyDescent="0.25">
      <c r="A70" s="745" t="s">
        <v>196</v>
      </c>
      <c r="B70" s="470" t="s">
        <v>180</v>
      </c>
      <c r="C70" s="471">
        <f t="shared" ref="C70:O73" si="10">C56+C63</f>
        <v>1276384.4099999999</v>
      </c>
      <c r="D70" s="472">
        <f t="shared" si="10"/>
        <v>933979.41999999993</v>
      </c>
      <c r="E70" s="472">
        <f t="shared" si="10"/>
        <v>2050422.18</v>
      </c>
      <c r="F70" s="472">
        <f t="shared" si="10"/>
        <v>2937857.85</v>
      </c>
      <c r="G70" s="472">
        <f t="shared" si="10"/>
        <v>2186041.9900000002</v>
      </c>
      <c r="H70" s="472">
        <f t="shared" si="10"/>
        <v>1177202.31</v>
      </c>
      <c r="I70" s="472">
        <f t="shared" si="10"/>
        <v>988731.11</v>
      </c>
      <c r="J70" s="472">
        <f t="shared" si="10"/>
        <v>1864188.33</v>
      </c>
      <c r="K70" s="472">
        <f t="shared" si="10"/>
        <v>2142864.66</v>
      </c>
      <c r="L70" s="472">
        <f t="shared" si="10"/>
        <v>1429465.72</v>
      </c>
      <c r="M70" s="472">
        <f t="shared" si="10"/>
        <v>1207800.23</v>
      </c>
      <c r="N70" s="473">
        <f t="shared" si="10"/>
        <v>653061.89</v>
      </c>
      <c r="O70" s="474">
        <f t="shared" si="10"/>
        <v>18848000.099999998</v>
      </c>
      <c r="P70" s="475">
        <f>IF(O$84=0,O$84,O70/O$84)</f>
        <v>0.35972079739885104</v>
      </c>
    </row>
    <row r="71" spans="1:17" x14ac:dyDescent="0.25">
      <c r="A71" s="746"/>
      <c r="B71" s="477" t="s">
        <v>181</v>
      </c>
      <c r="C71" s="478">
        <f t="shared" si="10"/>
        <v>1288921.08</v>
      </c>
      <c r="D71" s="483">
        <f t="shared" si="10"/>
        <v>2113723.91</v>
      </c>
      <c r="E71" s="483">
        <f t="shared" si="10"/>
        <v>1428157.9100000001</v>
      </c>
      <c r="F71" s="483">
        <f t="shared" si="10"/>
        <v>2886213.12</v>
      </c>
      <c r="G71" s="483">
        <f t="shared" si="10"/>
        <v>3286877.19</v>
      </c>
      <c r="H71" s="483">
        <f t="shared" si="10"/>
        <v>1707292.61</v>
      </c>
      <c r="I71" s="483">
        <f t="shared" si="10"/>
        <v>2437170.21</v>
      </c>
      <c r="J71" s="483">
        <f t="shared" si="10"/>
        <v>2026588.8399999999</v>
      </c>
      <c r="K71" s="479">
        <f t="shared" si="10"/>
        <v>2642795.2999999998</v>
      </c>
      <c r="L71" s="483">
        <f t="shared" si="10"/>
        <v>1632171.18</v>
      </c>
      <c r="M71" s="483">
        <f t="shared" si="10"/>
        <v>2068322.2899999998</v>
      </c>
      <c r="N71" s="487">
        <f t="shared" si="10"/>
        <v>1333227.56</v>
      </c>
      <c r="O71" s="481">
        <f t="shared" si="10"/>
        <v>24851461.199999999</v>
      </c>
      <c r="P71" s="482">
        <f>IF(O$85=0,O$85,O71/O$85)</f>
        <v>0.43289615522228742</v>
      </c>
    </row>
    <row r="72" spans="1:17" x14ac:dyDescent="0.25">
      <c r="A72" s="746"/>
      <c r="B72" s="477" t="s">
        <v>182</v>
      </c>
      <c r="C72" s="478">
        <f t="shared" si="10"/>
        <v>739134.09</v>
      </c>
      <c r="D72" s="483">
        <f t="shared" si="10"/>
        <v>2289892.6</v>
      </c>
      <c r="E72" s="483">
        <f t="shared" si="10"/>
        <v>2034172.89</v>
      </c>
      <c r="F72" s="483">
        <f t="shared" si="10"/>
        <v>2479430.02</v>
      </c>
      <c r="G72" s="483">
        <f t="shared" si="10"/>
        <v>2524034.33</v>
      </c>
      <c r="H72" s="483">
        <f t="shared" si="10"/>
        <v>1333769.29</v>
      </c>
      <c r="I72" s="483">
        <f t="shared" si="10"/>
        <v>3103030.07</v>
      </c>
      <c r="J72" s="483">
        <f t="shared" si="10"/>
        <v>2339289.9700000002</v>
      </c>
      <c r="K72" s="479">
        <f t="shared" si="10"/>
        <v>2650583.5500000003</v>
      </c>
      <c r="L72" s="483">
        <f t="shared" si="10"/>
        <v>1674141.64</v>
      </c>
      <c r="M72" s="483">
        <f t="shared" si="10"/>
        <v>2561531.17</v>
      </c>
      <c r="N72" s="487">
        <f t="shared" si="10"/>
        <v>2301169.44</v>
      </c>
      <c r="O72" s="481">
        <f t="shared" si="10"/>
        <v>26030179.060000002</v>
      </c>
      <c r="P72" s="482">
        <f>IF(O$86=0,O$86,O72/O$86)</f>
        <v>0.44142380257574915</v>
      </c>
    </row>
    <row r="73" spans="1:17" x14ac:dyDescent="0.25">
      <c r="A73" s="746"/>
      <c r="B73" s="515" t="s">
        <v>183</v>
      </c>
      <c r="C73" s="478">
        <f>C59+C66</f>
        <v>702364.04</v>
      </c>
      <c r="D73" s="479">
        <f t="shared" si="10"/>
        <v>993477.36</v>
      </c>
      <c r="E73" s="479">
        <f t="shared" si="10"/>
        <v>3652696.68</v>
      </c>
      <c r="F73" s="479">
        <f t="shared" si="10"/>
        <v>2350901.89</v>
      </c>
      <c r="G73" s="479">
        <f t="shared" si="10"/>
        <v>2950535.1</v>
      </c>
      <c r="H73" s="479">
        <f t="shared" si="10"/>
        <v>484482.75</v>
      </c>
      <c r="I73" s="479">
        <f t="shared" si="10"/>
        <v>3685238.24</v>
      </c>
      <c r="J73" s="479">
        <f t="shared" si="10"/>
        <v>2598320.7400000002</v>
      </c>
      <c r="K73" s="479">
        <f t="shared" si="10"/>
        <v>996394.87999999989</v>
      </c>
      <c r="L73" s="479">
        <f t="shared" si="10"/>
        <v>8869.57</v>
      </c>
      <c r="M73" s="479">
        <f t="shared" si="10"/>
        <v>651869.56000000006</v>
      </c>
      <c r="N73" s="480">
        <f t="shared" si="10"/>
        <v>1819.57</v>
      </c>
      <c r="O73" s="481">
        <f t="shared" si="10"/>
        <v>19076970.379999999</v>
      </c>
      <c r="P73" s="509">
        <f>IF(O$87=0,O$87,O73/O$87)</f>
        <v>0.39895662564792045</v>
      </c>
      <c r="Q73" s="450"/>
    </row>
    <row r="74" spans="1:17" x14ac:dyDescent="0.25">
      <c r="A74" s="746"/>
      <c r="B74" s="515" t="s">
        <v>184</v>
      </c>
      <c r="C74" s="478">
        <f t="shared" ref="C74:O76" si="11">C60+C67</f>
        <v>10895.66</v>
      </c>
      <c r="D74" s="479">
        <f t="shared" si="11"/>
        <v>47866.86</v>
      </c>
      <c r="E74" s="479">
        <f t="shared" si="11"/>
        <v>298419.24</v>
      </c>
      <c r="F74" s="479">
        <f t="shared" si="11"/>
        <v>2549273.42</v>
      </c>
      <c r="G74" s="479">
        <f t="shared" si="11"/>
        <v>2435792.63</v>
      </c>
      <c r="H74" s="479">
        <f t="shared" si="11"/>
        <v>150627.51</v>
      </c>
      <c r="I74" s="479">
        <f t="shared" si="11"/>
        <v>115795.55</v>
      </c>
      <c r="J74" s="479">
        <f t="shared" si="11"/>
        <v>436799.49</v>
      </c>
      <c r="K74" s="479">
        <f t="shared" si="11"/>
        <v>840021.05999999994</v>
      </c>
      <c r="L74" s="479">
        <f t="shared" si="11"/>
        <v>413104.32</v>
      </c>
      <c r="M74" s="479">
        <f t="shared" si="11"/>
        <v>1084796.1000000001</v>
      </c>
      <c r="N74" s="480">
        <f t="shared" si="11"/>
        <v>444514.81</v>
      </c>
      <c r="O74" s="481">
        <f t="shared" si="11"/>
        <v>8827906.6499999985</v>
      </c>
      <c r="P74" s="509">
        <f>IF(O$88=0,O$88,O74/O$88)</f>
        <v>0.53646017256052259</v>
      </c>
      <c r="Q74" s="450"/>
    </row>
    <row r="75" spans="1:17" x14ac:dyDescent="0.25">
      <c r="A75" s="746"/>
      <c r="B75" s="515" t="s">
        <v>197</v>
      </c>
      <c r="C75" s="478">
        <f t="shared" si="11"/>
        <v>23111</v>
      </c>
      <c r="D75" s="479">
        <f t="shared" si="11"/>
        <v>258109</v>
      </c>
      <c r="E75" s="479">
        <f t="shared" si="11"/>
        <v>723490</v>
      </c>
      <c r="F75" s="479">
        <f t="shared" si="11"/>
        <v>396284</v>
      </c>
      <c r="G75" s="479">
        <f t="shared" si="11"/>
        <v>500657</v>
      </c>
      <c r="H75" s="479">
        <f t="shared" si="11"/>
        <v>315403</v>
      </c>
      <c r="I75" s="479">
        <f t="shared" si="11"/>
        <v>292125</v>
      </c>
      <c r="J75" s="479">
        <f t="shared" si="11"/>
        <v>382745</v>
      </c>
      <c r="K75" s="479">
        <f t="shared" si="11"/>
        <v>1390844</v>
      </c>
      <c r="L75" s="479">
        <f t="shared" si="11"/>
        <v>244858</v>
      </c>
      <c r="M75" s="448">
        <f t="shared" si="11"/>
        <v>615600</v>
      </c>
      <c r="N75" s="449">
        <f t="shared" si="11"/>
        <v>483108</v>
      </c>
      <c r="O75" s="481">
        <f t="shared" si="11"/>
        <v>5626334</v>
      </c>
      <c r="P75" s="509">
        <f>IF(O$89=0,O$89,O75/O$89)</f>
        <v>0.21953681262786939</v>
      </c>
      <c r="Q75" s="450"/>
    </row>
    <row r="76" spans="1:17" ht="15.75" thickBot="1" x14ac:dyDescent="0.3">
      <c r="A76" s="747"/>
      <c r="B76" s="465" t="s">
        <v>198</v>
      </c>
      <c r="C76" s="466">
        <f t="shared" si="11"/>
        <v>380191.21999999927</v>
      </c>
      <c r="D76" s="467">
        <f t="shared" si="11"/>
        <v>422667.34999999939</v>
      </c>
      <c r="E76" s="467">
        <f t="shared" si="11"/>
        <v>305688.08307692304</v>
      </c>
      <c r="F76" s="467">
        <f t="shared" si="11"/>
        <v>450231.21999999927</v>
      </c>
      <c r="G76" s="467">
        <f t="shared" si="11"/>
        <v>266127.40000000002</v>
      </c>
      <c r="H76" s="467">
        <f t="shared" si="11"/>
        <v>46156.436129032198</v>
      </c>
      <c r="I76" s="467">
        <f t="shared" si="11"/>
        <v>551506.05999999971</v>
      </c>
      <c r="J76" s="467">
        <f t="shared" si="11"/>
        <v>443875.44</v>
      </c>
      <c r="K76" s="467">
        <f t="shared" si="11"/>
        <v>553968</v>
      </c>
      <c r="L76" s="467">
        <f t="shared" si="11"/>
        <v>152250</v>
      </c>
      <c r="M76" s="467">
        <f t="shared" si="11"/>
        <v>168525</v>
      </c>
      <c r="N76" s="468">
        <f t="shared" si="11"/>
        <v>160200</v>
      </c>
      <c r="O76" s="469">
        <f t="shared" si="11"/>
        <v>3901386.2092059525</v>
      </c>
      <c r="P76" s="488">
        <f>IF(O$90=0,O$90,O76/O$90)</f>
        <v>0.12551149732654751</v>
      </c>
      <c r="Q76" s="450"/>
    </row>
    <row r="77" spans="1:17" ht="15.75" thickTop="1" x14ac:dyDescent="0.25">
      <c r="A77" s="745" t="s">
        <v>57</v>
      </c>
      <c r="B77" s="490" t="s">
        <v>180</v>
      </c>
      <c r="C77" s="478">
        <v>-3582.36</v>
      </c>
      <c r="D77" s="479">
        <v>75135.969999999987</v>
      </c>
      <c r="E77" s="479">
        <v>-115179.29</v>
      </c>
      <c r="F77" s="479">
        <v>-138039.37</v>
      </c>
      <c r="G77" s="479">
        <v>-13817.97</v>
      </c>
      <c r="H77" s="479">
        <v>-7201.85</v>
      </c>
      <c r="I77" s="479">
        <v>-11206.42</v>
      </c>
      <c r="J77" s="479">
        <v>-8629.11</v>
      </c>
      <c r="K77" s="479">
        <v>-138078.24</v>
      </c>
      <c r="L77" s="479">
        <v>-7605.2599999999993</v>
      </c>
      <c r="M77" s="479">
        <v>12771.010000000002</v>
      </c>
      <c r="N77" s="480">
        <v>-62916.97</v>
      </c>
      <c r="O77" s="481">
        <f t="shared" ref="O77:O83" si="12">SUM(C77:N77)</f>
        <v>-418349.86</v>
      </c>
      <c r="P77" s="482">
        <f>IF(O$84=0,O$84,O77/O$84)</f>
        <v>-7.9843561349990499E-3</v>
      </c>
    </row>
    <row r="78" spans="1:17" x14ac:dyDescent="0.25">
      <c r="A78" s="746"/>
      <c r="B78" s="477" t="s">
        <v>181</v>
      </c>
      <c r="C78" s="491">
        <v>-552.71999999999991</v>
      </c>
      <c r="D78" s="483">
        <v>-195044.38</v>
      </c>
      <c r="E78" s="483">
        <v>-1290.2000000000025</v>
      </c>
      <c r="F78" s="483">
        <v>2047.8499999999995</v>
      </c>
      <c r="G78" s="483">
        <v>-70287.590000000011</v>
      </c>
      <c r="H78" s="483">
        <v>-9535.7799999999988</v>
      </c>
      <c r="I78" s="483">
        <v>-831.85000000000036</v>
      </c>
      <c r="J78" s="483">
        <v>-2050.7600000000002</v>
      </c>
      <c r="K78" s="479">
        <v>-98910.11</v>
      </c>
      <c r="L78" s="483">
        <v>-18472.96</v>
      </c>
      <c r="M78" s="483">
        <v>2509.5700000000002</v>
      </c>
      <c r="N78" s="487">
        <v>-5990.17</v>
      </c>
      <c r="O78" s="492">
        <f t="shared" si="12"/>
        <v>-398409.10000000003</v>
      </c>
      <c r="P78" s="482">
        <f>IF(O$85=0,O$85,O78/O$85)</f>
        <v>-6.9400252245760043E-3</v>
      </c>
    </row>
    <row r="79" spans="1:17" x14ac:dyDescent="0.25">
      <c r="A79" s="746"/>
      <c r="B79" s="477" t="s">
        <v>182</v>
      </c>
      <c r="C79" s="493">
        <v>3304.35</v>
      </c>
      <c r="D79" s="494">
        <v>-135168.26999999999</v>
      </c>
      <c r="E79" s="494">
        <v>-39385.109999999993</v>
      </c>
      <c r="F79" s="494">
        <v>-45601.25</v>
      </c>
      <c r="G79" s="494">
        <v>-38513.410000000003</v>
      </c>
      <c r="H79" s="494">
        <v>-5952.6400000000012</v>
      </c>
      <c r="I79" s="494">
        <v>-396.23</v>
      </c>
      <c r="J79" s="494">
        <v>-2691.86</v>
      </c>
      <c r="K79" s="495">
        <v>86.4699999999998</v>
      </c>
      <c r="L79" s="494">
        <v>-43442.57</v>
      </c>
      <c r="M79" s="494">
        <v>-213060.54</v>
      </c>
      <c r="N79" s="496">
        <v>-70099.7</v>
      </c>
      <c r="O79" s="497">
        <f t="shared" si="12"/>
        <v>-590920.76</v>
      </c>
      <c r="P79" s="580">
        <f>IF(O$86=0,O$86,O79/O$86)</f>
        <v>-1.0020925645532291E-2</v>
      </c>
    </row>
    <row r="80" spans="1:17" x14ac:dyDescent="0.25">
      <c r="A80" s="746"/>
      <c r="B80" s="515" t="s">
        <v>183</v>
      </c>
      <c r="C80" s="478">
        <v>-12031.87</v>
      </c>
      <c r="D80" s="479">
        <v>-512.37</v>
      </c>
      <c r="E80" s="479">
        <v>2495.15</v>
      </c>
      <c r="F80" s="479">
        <v>9010.85</v>
      </c>
      <c r="G80" s="479">
        <v>30727.1</v>
      </c>
      <c r="H80" s="479">
        <v>-36206.53</v>
      </c>
      <c r="I80" s="479">
        <v>4115.97</v>
      </c>
      <c r="J80" s="479">
        <v>-14604.18</v>
      </c>
      <c r="K80" s="479">
        <v>43248.680000000008</v>
      </c>
      <c r="L80" s="479">
        <v>-4852.17</v>
      </c>
      <c r="M80" s="479">
        <v>0</v>
      </c>
      <c r="N80" s="480">
        <v>0</v>
      </c>
      <c r="O80" s="481">
        <f t="shared" si="12"/>
        <v>21390.630000000005</v>
      </c>
      <c r="P80" s="509">
        <f>IF(O$87=0,O$87,O80/O$87)</f>
        <v>4.4734218250032105E-4</v>
      </c>
      <c r="Q80" s="450"/>
    </row>
    <row r="81" spans="1:18" x14ac:dyDescent="0.25">
      <c r="A81" s="746"/>
      <c r="B81" s="515" t="s">
        <v>184</v>
      </c>
      <c r="C81" s="478">
        <f>'July 2022'!F22</f>
        <v>-2693.91</v>
      </c>
      <c r="D81" s="479">
        <f>' August 2022'!F22</f>
        <v>0</v>
      </c>
      <c r="E81" s="479">
        <f>'September 2022'!F22</f>
        <v>-16279.77</v>
      </c>
      <c r="F81" s="479">
        <f>'October 2022'!F22</f>
        <v>0</v>
      </c>
      <c r="G81" s="479">
        <f>'November 2022'!F22</f>
        <v>0</v>
      </c>
      <c r="H81" s="479">
        <f>'December 2022'!F22</f>
        <v>-1039.579999999999</v>
      </c>
      <c r="I81" s="479">
        <f>'January 2023'!F22</f>
        <v>-9219.32</v>
      </c>
      <c r="J81" s="479">
        <f>'February 2023'!F22</f>
        <v>-5064</v>
      </c>
      <c r="K81" s="479">
        <f>'March 2023'!F22</f>
        <v>-20486.23</v>
      </c>
      <c r="L81" s="479">
        <f>'April 2023'!F22</f>
        <v>-9850.7900000000009</v>
      </c>
      <c r="M81" s="479">
        <f>'May 2023'!F22</f>
        <v>-8830.4699999999993</v>
      </c>
      <c r="N81" s="480">
        <f>'June 2023'!F22</f>
        <v>-17233.509999999998</v>
      </c>
      <c r="O81" s="481">
        <f t="shared" ref="O81:O82" si="13">SUM(C81:N81)</f>
        <v>-90697.579999999987</v>
      </c>
      <c r="P81" s="509">
        <f>IF(O$88=0,O$88,O81/O$88)</f>
        <v>-5.5115715816525775E-3</v>
      </c>
      <c r="Q81" s="450"/>
    </row>
    <row r="82" spans="1:18" x14ac:dyDescent="0.25">
      <c r="A82" s="746"/>
      <c r="B82" s="515" t="s">
        <v>197</v>
      </c>
      <c r="C82" s="478">
        <f>'July 2022'!J22</f>
        <v>-4904</v>
      </c>
      <c r="D82" s="479">
        <f>' August 2022'!J22</f>
        <v>3288</v>
      </c>
      <c r="E82" s="479">
        <f>'September 2022'!J22</f>
        <v>0</v>
      </c>
      <c r="F82" s="479">
        <f>'October 2022'!J22</f>
        <v>0</v>
      </c>
      <c r="G82" s="479">
        <f>'November 2022'!J22</f>
        <v>305</v>
      </c>
      <c r="H82" s="479">
        <f>'December 2022'!J22</f>
        <v>942</v>
      </c>
      <c r="I82" s="479">
        <f>'January 2023'!J22</f>
        <v>0</v>
      </c>
      <c r="J82" s="479">
        <f>'February 2023'!J22</f>
        <v>6277</v>
      </c>
      <c r="K82" s="479">
        <f>'March 2023'!J22</f>
        <v>14864</v>
      </c>
      <c r="L82" s="479">
        <f>'April 2023'!J22</f>
        <v>7831</v>
      </c>
      <c r="M82" s="448">
        <f>'May 2023'!J22</f>
        <v>0</v>
      </c>
      <c r="N82" s="449">
        <f>'June 2023'!J22</f>
        <v>0</v>
      </c>
      <c r="O82" s="481">
        <f t="shared" si="13"/>
        <v>28603</v>
      </c>
      <c r="P82" s="509">
        <f>IF(O$89=0,O$89,O82/O$89)</f>
        <v>1.1160751301993355E-3</v>
      </c>
      <c r="Q82" s="450"/>
    </row>
    <row r="83" spans="1:18" ht="15.75" thickBot="1" x14ac:dyDescent="0.3">
      <c r="A83" s="747"/>
      <c r="B83" s="465" t="s">
        <v>198</v>
      </c>
      <c r="C83" s="466">
        <f>'July 2022'!N22</f>
        <v>0</v>
      </c>
      <c r="D83" s="467">
        <f>' August 2022'!N22</f>
        <v>0</v>
      </c>
      <c r="E83" s="467">
        <f>'September 2022'!N22</f>
        <v>0</v>
      </c>
      <c r="F83" s="467">
        <f>'October 2022'!N22</f>
        <v>0</v>
      </c>
      <c r="G83" s="467">
        <f>'November 2022'!N22</f>
        <v>0</v>
      </c>
      <c r="H83" s="467">
        <f>'December 2022'!N22</f>
        <v>0</v>
      </c>
      <c r="I83" s="467">
        <f>'January 2023'!N22</f>
        <v>0</v>
      </c>
      <c r="J83" s="467">
        <f>'February 2023'!N22</f>
        <v>0</v>
      </c>
      <c r="K83" s="467">
        <f>'March 2023'!N22</f>
        <v>0</v>
      </c>
      <c r="L83" s="467">
        <f>'April 2023'!N22</f>
        <v>0</v>
      </c>
      <c r="M83" s="467">
        <f>'May 2023'!N22</f>
        <v>0</v>
      </c>
      <c r="N83" s="468">
        <f>'June 2023'!N22</f>
        <v>0</v>
      </c>
      <c r="O83" s="469">
        <f t="shared" si="12"/>
        <v>0</v>
      </c>
      <c r="P83" s="488">
        <f>IF(O$90=0,O$90,O83/O$90)</f>
        <v>0</v>
      </c>
      <c r="Q83" s="450"/>
    </row>
    <row r="84" spans="1:18" ht="15.75" thickTop="1" x14ac:dyDescent="0.25">
      <c r="A84" s="745" t="s">
        <v>20</v>
      </c>
      <c r="B84" s="490" t="s">
        <v>180</v>
      </c>
      <c r="C84" s="498">
        <f t="shared" ref="C84:O90" si="14">C28+C49+C70+C77</f>
        <v>2288003.7600000002</v>
      </c>
      <c r="D84" s="495">
        <f t="shared" si="14"/>
        <v>2152918.5700000003</v>
      </c>
      <c r="E84" s="495">
        <f t="shared" si="14"/>
        <v>3172014.0300000003</v>
      </c>
      <c r="F84" s="495">
        <f t="shared" si="14"/>
        <v>5430142.2700000005</v>
      </c>
      <c r="G84" s="495">
        <f t="shared" si="14"/>
        <v>5496784.1200000001</v>
      </c>
      <c r="H84" s="495">
        <f t="shared" si="14"/>
        <v>6090678.5200000014</v>
      </c>
      <c r="I84" s="495">
        <f t="shared" si="14"/>
        <v>6653861.580000001</v>
      </c>
      <c r="J84" s="495">
        <f t="shared" si="14"/>
        <v>6354867.5699999994</v>
      </c>
      <c r="K84" s="495">
        <f t="shared" si="14"/>
        <v>5926915.5199999996</v>
      </c>
      <c r="L84" s="495">
        <f t="shared" si="14"/>
        <v>4568972.5999999996</v>
      </c>
      <c r="M84" s="495">
        <f t="shared" si="14"/>
        <v>2599923.0699999998</v>
      </c>
      <c r="N84" s="499">
        <f t="shared" si="14"/>
        <v>1661110.76</v>
      </c>
      <c r="O84" s="481">
        <f t="shared" si="14"/>
        <v>52396192.370000005</v>
      </c>
      <c r="P84" s="742"/>
      <c r="Q84" s="476"/>
      <c r="R84" s="476"/>
    </row>
    <row r="85" spans="1:18" x14ac:dyDescent="0.25">
      <c r="A85" s="746"/>
      <c r="B85" s="477" t="s">
        <v>181</v>
      </c>
      <c r="C85" s="478">
        <f t="shared" si="14"/>
        <v>2390980.46</v>
      </c>
      <c r="D85" s="479">
        <f t="shared" si="14"/>
        <v>3043477.8800000004</v>
      </c>
      <c r="E85" s="479">
        <f t="shared" si="14"/>
        <v>3410026.71</v>
      </c>
      <c r="F85" s="479">
        <f t="shared" si="14"/>
        <v>5932919.8699999992</v>
      </c>
      <c r="G85" s="479">
        <f t="shared" si="14"/>
        <v>6518155.8399999999</v>
      </c>
      <c r="H85" s="479">
        <f t="shared" si="14"/>
        <v>6453069.5500000007</v>
      </c>
      <c r="I85" s="479">
        <f t="shared" si="14"/>
        <v>6931017.7800000003</v>
      </c>
      <c r="J85" s="479">
        <f t="shared" si="14"/>
        <v>6847774.0800000001</v>
      </c>
      <c r="K85" s="495">
        <f t="shared" si="14"/>
        <v>6184284.4999999991</v>
      </c>
      <c r="L85" s="479">
        <f t="shared" si="14"/>
        <v>4296393.78</v>
      </c>
      <c r="M85" s="479">
        <f t="shared" si="14"/>
        <v>3201732.94</v>
      </c>
      <c r="N85" s="480">
        <f t="shared" si="14"/>
        <v>2197609.25</v>
      </c>
      <c r="O85" s="481">
        <f t="shared" si="14"/>
        <v>57407442.639999993</v>
      </c>
      <c r="P85" s="743"/>
      <c r="Q85" s="476"/>
    </row>
    <row r="86" spans="1:18" s="733" customFormat="1" x14ac:dyDescent="0.25">
      <c r="A86" s="746"/>
      <c r="B86" s="726" t="s">
        <v>182</v>
      </c>
      <c r="C86" s="727">
        <f t="shared" si="14"/>
        <v>1978508.2199999997</v>
      </c>
      <c r="D86" s="728">
        <f t="shared" si="14"/>
        <v>3376530.95</v>
      </c>
      <c r="E86" s="728">
        <f t="shared" si="14"/>
        <v>4297783.2199999988</v>
      </c>
      <c r="F86" s="728">
        <f t="shared" si="14"/>
        <v>5293387.4399999995</v>
      </c>
      <c r="G86" s="728">
        <f t="shared" si="14"/>
        <v>6063313.21</v>
      </c>
      <c r="H86" s="728">
        <f t="shared" si="14"/>
        <v>6585064.04</v>
      </c>
      <c r="I86" s="728">
        <f t="shared" si="14"/>
        <v>7431041.3899999987</v>
      </c>
      <c r="J86" s="728">
        <f t="shared" si="14"/>
        <v>6388799.5899999999</v>
      </c>
      <c r="K86" s="729">
        <f t="shared" si="14"/>
        <v>6936031.0599999996</v>
      </c>
      <c r="L86" s="728">
        <f t="shared" si="14"/>
        <v>4108938.1300000004</v>
      </c>
      <c r="M86" s="728">
        <f t="shared" si="14"/>
        <v>3575145.51</v>
      </c>
      <c r="N86" s="730">
        <f t="shared" si="14"/>
        <v>2934137.4699999997</v>
      </c>
      <c r="O86" s="731">
        <f t="shared" si="14"/>
        <v>58968680.230000004</v>
      </c>
      <c r="P86" s="743"/>
      <c r="Q86" s="732"/>
    </row>
    <row r="87" spans="1:18" s="430" customFormat="1" x14ac:dyDescent="0.25">
      <c r="A87" s="746"/>
      <c r="B87" s="515" t="s">
        <v>183</v>
      </c>
      <c r="C87" s="478">
        <f t="shared" si="14"/>
        <v>2003621.74</v>
      </c>
      <c r="D87" s="479">
        <f t="shared" si="14"/>
        <v>2460448.5199999996</v>
      </c>
      <c r="E87" s="479">
        <f t="shared" si="14"/>
        <v>5348749.6500000004</v>
      </c>
      <c r="F87" s="479">
        <f t="shared" si="14"/>
        <v>5063964.1999999993</v>
      </c>
      <c r="G87" s="479">
        <f t="shared" si="14"/>
        <v>6260252.8599999994</v>
      </c>
      <c r="H87" s="495">
        <f t="shared" si="14"/>
        <v>6163487.3499999996</v>
      </c>
      <c r="I87" s="479">
        <f t="shared" si="14"/>
        <v>8498885.160000002</v>
      </c>
      <c r="J87" s="479">
        <f t="shared" si="14"/>
        <v>7768589.5899999999</v>
      </c>
      <c r="K87" s="495">
        <f t="shared" si="14"/>
        <v>3536911.08</v>
      </c>
      <c r="L87" s="479">
        <f t="shared" si="14"/>
        <v>10970.53</v>
      </c>
      <c r="M87" s="479">
        <f t="shared" si="14"/>
        <v>649165.21000000008</v>
      </c>
      <c r="N87" s="480">
        <f t="shared" si="14"/>
        <v>52108.04</v>
      </c>
      <c r="O87" s="481">
        <f t="shared" si="14"/>
        <v>47817153.93</v>
      </c>
      <c r="P87" s="743"/>
      <c r="Q87" s="450"/>
      <c r="R87" s="297"/>
    </row>
    <row r="88" spans="1:18" s="430" customFormat="1" x14ac:dyDescent="0.25">
      <c r="A88" s="746"/>
      <c r="B88" s="515" t="s">
        <v>184</v>
      </c>
      <c r="C88" s="478">
        <f t="shared" si="14"/>
        <v>70504.76999999999</v>
      </c>
      <c r="D88" s="479">
        <f t="shared" si="14"/>
        <v>380572.43</v>
      </c>
      <c r="E88" s="479">
        <f t="shared" si="14"/>
        <v>462488.55</v>
      </c>
      <c r="F88" s="479">
        <f t="shared" si="14"/>
        <v>2549273.42</v>
      </c>
      <c r="G88" s="479">
        <f t="shared" si="14"/>
        <v>2557999.09</v>
      </c>
      <c r="H88" s="495">
        <f t="shared" si="14"/>
        <v>1776551.1999999997</v>
      </c>
      <c r="I88" s="479">
        <f t="shared" si="14"/>
        <v>625304.12000000011</v>
      </c>
      <c r="J88" s="479">
        <f t="shared" si="14"/>
        <v>1071117.3599999999</v>
      </c>
      <c r="K88" s="495">
        <f t="shared" si="14"/>
        <v>1850624.9</v>
      </c>
      <c r="L88" s="479">
        <f t="shared" si="14"/>
        <v>2137605.0699999998</v>
      </c>
      <c r="M88" s="479">
        <f t="shared" si="14"/>
        <v>1806549.2400000002</v>
      </c>
      <c r="N88" s="480">
        <f t="shared" si="14"/>
        <v>1167257.0900000001</v>
      </c>
      <c r="O88" s="481">
        <f t="shared" si="14"/>
        <v>16455847.239999998</v>
      </c>
      <c r="P88" s="743"/>
      <c r="Q88" s="450"/>
      <c r="R88" s="297"/>
    </row>
    <row r="89" spans="1:18" s="430" customFormat="1" x14ac:dyDescent="0.25">
      <c r="A89" s="746"/>
      <c r="B89" s="515" t="s">
        <v>197</v>
      </c>
      <c r="C89" s="478">
        <f t="shared" si="14"/>
        <v>380205</v>
      </c>
      <c r="D89" s="479">
        <f t="shared" si="14"/>
        <v>946595</v>
      </c>
      <c r="E89" s="479">
        <f t="shared" si="14"/>
        <v>1856695</v>
      </c>
      <c r="F89" s="479">
        <f t="shared" si="14"/>
        <v>1776045</v>
      </c>
      <c r="G89" s="479">
        <f t="shared" si="14"/>
        <v>2760927</v>
      </c>
      <c r="H89" s="495">
        <f t="shared" si="14"/>
        <v>2592659</v>
      </c>
      <c r="I89" s="479">
        <f t="shared" si="14"/>
        <v>2460910</v>
      </c>
      <c r="J89" s="479">
        <f t="shared" si="14"/>
        <v>3156692</v>
      </c>
      <c r="K89" s="495">
        <f t="shared" si="14"/>
        <v>4041787</v>
      </c>
      <c r="L89" s="479">
        <f t="shared" si="14"/>
        <v>2899268</v>
      </c>
      <c r="M89" s="448">
        <f t="shared" si="14"/>
        <v>1519965</v>
      </c>
      <c r="N89" s="449">
        <f t="shared" si="14"/>
        <v>1236455</v>
      </c>
      <c r="O89" s="481">
        <f t="shared" si="14"/>
        <v>25628203</v>
      </c>
      <c r="P89" s="743"/>
      <c r="Q89" s="450"/>
      <c r="R89" s="297"/>
    </row>
    <row r="90" spans="1:18" s="430" customFormat="1" ht="15.75" thickBot="1" x14ac:dyDescent="0.3">
      <c r="A90" s="747"/>
      <c r="B90" s="465" t="s">
        <v>198</v>
      </c>
      <c r="C90" s="466">
        <f t="shared" si="14"/>
        <v>1372514.6058518505</v>
      </c>
      <c r="D90" s="466">
        <f t="shared" si="14"/>
        <v>1439388.6586190469</v>
      </c>
      <c r="E90" s="466">
        <f t="shared" si="14"/>
        <v>1731562.0635932134</v>
      </c>
      <c r="F90" s="466">
        <f t="shared" si="14"/>
        <v>2772301.1422111788</v>
      </c>
      <c r="G90" s="466">
        <f t="shared" si="14"/>
        <v>3450691.2669082754</v>
      </c>
      <c r="H90" s="466">
        <f t="shared" si="14"/>
        <v>4005356.3867873657</v>
      </c>
      <c r="I90" s="466">
        <f t="shared" si="14"/>
        <v>3141344.5437254896</v>
      </c>
      <c r="J90" s="466">
        <f t="shared" si="14"/>
        <v>3761001.4202749995</v>
      </c>
      <c r="K90" s="504">
        <f t="shared" si="14"/>
        <v>3662604.5482625002</v>
      </c>
      <c r="L90" s="466">
        <f t="shared" si="14"/>
        <v>2822092.4129999997</v>
      </c>
      <c r="M90" s="466">
        <f t="shared" si="14"/>
        <v>1523006.0459443345</v>
      </c>
      <c r="N90" s="486">
        <f t="shared" si="14"/>
        <v>1402031.9447764</v>
      </c>
      <c r="O90" s="469">
        <f t="shared" si="14"/>
        <v>31083895.039954655</v>
      </c>
      <c r="P90" s="744"/>
      <c r="Q90" s="450"/>
      <c r="R90" s="297"/>
    </row>
    <row r="91" spans="1:18" s="430" customFormat="1" ht="15.75" thickTop="1" x14ac:dyDescent="0.25">
      <c r="A91" s="746" t="s">
        <v>188</v>
      </c>
      <c r="B91" s="515" t="s">
        <v>180</v>
      </c>
      <c r="C91" s="516">
        <f t="shared" ref="C91:M95" si="15">155*31</f>
        <v>4805</v>
      </c>
      <c r="D91" s="517">
        <f t="shared" si="15"/>
        <v>4805</v>
      </c>
      <c r="E91" s="517">
        <f t="shared" ref="E91:G95" si="16">155*30</f>
        <v>4650</v>
      </c>
      <c r="F91" s="517">
        <f t="shared" si="15"/>
        <v>4805</v>
      </c>
      <c r="G91" s="517">
        <f t="shared" si="16"/>
        <v>4650</v>
      </c>
      <c r="H91" s="517">
        <f t="shared" si="15"/>
        <v>4805</v>
      </c>
      <c r="I91" s="517">
        <f t="shared" si="15"/>
        <v>4805</v>
      </c>
      <c r="J91" s="517">
        <f>155*28</f>
        <v>4340</v>
      </c>
      <c r="K91" s="517">
        <f t="shared" si="15"/>
        <v>4805</v>
      </c>
      <c r="L91" s="517">
        <f t="shared" ref="L91:N95" si="17">155*30</f>
        <v>4650</v>
      </c>
      <c r="M91" s="517">
        <f t="shared" si="15"/>
        <v>4805</v>
      </c>
      <c r="N91" s="518">
        <f t="shared" si="17"/>
        <v>4650</v>
      </c>
      <c r="O91" s="515">
        <f t="shared" ref="O91:O97" si="18">SUM(C91:N91)</f>
        <v>56575</v>
      </c>
      <c r="P91" s="742"/>
      <c r="Q91" s="297"/>
      <c r="R91" s="297"/>
    </row>
    <row r="92" spans="1:18" s="430" customFormat="1" x14ac:dyDescent="0.25">
      <c r="A92" s="746"/>
      <c r="B92" s="519" t="s">
        <v>181</v>
      </c>
      <c r="C92" s="516">
        <f t="shared" si="15"/>
        <v>4805</v>
      </c>
      <c r="D92" s="517">
        <f t="shared" si="15"/>
        <v>4805</v>
      </c>
      <c r="E92" s="517">
        <f t="shared" si="16"/>
        <v>4650</v>
      </c>
      <c r="F92" s="517">
        <f t="shared" si="15"/>
        <v>4805</v>
      </c>
      <c r="G92" s="517">
        <f t="shared" si="16"/>
        <v>4650</v>
      </c>
      <c r="H92" s="517">
        <f t="shared" si="15"/>
        <v>4805</v>
      </c>
      <c r="I92" s="517">
        <f t="shared" si="15"/>
        <v>4805</v>
      </c>
      <c r="J92" s="517">
        <f>155*28</f>
        <v>4340</v>
      </c>
      <c r="K92" s="517">
        <f t="shared" si="15"/>
        <v>4805</v>
      </c>
      <c r="L92" s="517">
        <f t="shared" si="17"/>
        <v>4650</v>
      </c>
      <c r="M92" s="517">
        <f t="shared" si="15"/>
        <v>4805</v>
      </c>
      <c r="N92" s="518">
        <f t="shared" si="17"/>
        <v>4650</v>
      </c>
      <c r="O92" s="515">
        <f t="shared" si="18"/>
        <v>56575</v>
      </c>
      <c r="P92" s="743"/>
      <c r="Q92" s="297"/>
      <c r="R92" s="297"/>
    </row>
    <row r="93" spans="1:18" s="430" customFormat="1" x14ac:dyDescent="0.25">
      <c r="A93" s="746"/>
      <c r="B93" s="519" t="s">
        <v>182</v>
      </c>
      <c r="C93" s="520">
        <f t="shared" si="15"/>
        <v>4805</v>
      </c>
      <c r="D93" s="521">
        <f t="shared" si="15"/>
        <v>4805</v>
      </c>
      <c r="E93" s="521">
        <f t="shared" si="16"/>
        <v>4650</v>
      </c>
      <c r="F93" s="521">
        <f t="shared" si="15"/>
        <v>4805</v>
      </c>
      <c r="G93" s="521">
        <f t="shared" si="16"/>
        <v>4650</v>
      </c>
      <c r="H93" s="521">
        <f t="shared" si="15"/>
        <v>4805</v>
      </c>
      <c r="I93" s="521">
        <f t="shared" si="15"/>
        <v>4805</v>
      </c>
      <c r="J93" s="521">
        <f>155*28</f>
        <v>4340</v>
      </c>
      <c r="K93" s="521">
        <f t="shared" si="15"/>
        <v>4805</v>
      </c>
      <c r="L93" s="521">
        <f t="shared" si="17"/>
        <v>4650</v>
      </c>
      <c r="M93" s="521">
        <f t="shared" si="15"/>
        <v>4805</v>
      </c>
      <c r="N93" s="522">
        <f t="shared" si="17"/>
        <v>4650</v>
      </c>
      <c r="O93" s="515">
        <f t="shared" si="18"/>
        <v>56575</v>
      </c>
      <c r="P93" s="743"/>
      <c r="Q93" s="297"/>
      <c r="R93" s="297"/>
    </row>
    <row r="94" spans="1:18" s="430" customFormat="1" x14ac:dyDescent="0.25">
      <c r="A94" s="746"/>
      <c r="B94" s="515" t="s">
        <v>183</v>
      </c>
      <c r="C94" s="516">
        <f t="shared" si="15"/>
        <v>4805</v>
      </c>
      <c r="D94" s="517">
        <f t="shared" si="15"/>
        <v>4805</v>
      </c>
      <c r="E94" s="517">
        <f t="shared" si="16"/>
        <v>4650</v>
      </c>
      <c r="F94" s="517">
        <f t="shared" si="15"/>
        <v>4805</v>
      </c>
      <c r="G94" s="517">
        <f t="shared" si="16"/>
        <v>4650</v>
      </c>
      <c r="H94" s="517">
        <f t="shared" si="15"/>
        <v>4805</v>
      </c>
      <c r="I94" s="517">
        <f t="shared" si="15"/>
        <v>4805</v>
      </c>
      <c r="J94" s="517">
        <f>155*29</f>
        <v>4495</v>
      </c>
      <c r="K94" s="517">
        <f t="shared" si="15"/>
        <v>4805</v>
      </c>
      <c r="L94" s="517">
        <f t="shared" si="17"/>
        <v>4650</v>
      </c>
      <c r="M94" s="517">
        <f t="shared" si="15"/>
        <v>4805</v>
      </c>
      <c r="N94" s="518">
        <f t="shared" si="17"/>
        <v>4650</v>
      </c>
      <c r="O94" s="515">
        <f t="shared" si="18"/>
        <v>56730</v>
      </c>
      <c r="P94" s="743"/>
      <c r="Q94" s="297"/>
      <c r="R94" s="297"/>
    </row>
    <row r="95" spans="1:18" s="430" customFormat="1" x14ac:dyDescent="0.25">
      <c r="A95" s="746"/>
      <c r="B95" s="515" t="s">
        <v>184</v>
      </c>
      <c r="C95" s="516">
        <f t="shared" si="15"/>
        <v>4805</v>
      </c>
      <c r="D95" s="517">
        <f t="shared" si="15"/>
        <v>4805</v>
      </c>
      <c r="E95" s="517">
        <f t="shared" si="16"/>
        <v>4650</v>
      </c>
      <c r="F95" s="517">
        <f t="shared" si="15"/>
        <v>4805</v>
      </c>
      <c r="G95" s="517">
        <f t="shared" si="16"/>
        <v>4650</v>
      </c>
      <c r="H95" s="517">
        <f t="shared" si="15"/>
        <v>4805</v>
      </c>
      <c r="I95" s="517">
        <f t="shared" si="15"/>
        <v>4805</v>
      </c>
      <c r="J95" s="517">
        <f>155*29</f>
        <v>4495</v>
      </c>
      <c r="K95" s="517">
        <f t="shared" si="15"/>
        <v>4805</v>
      </c>
      <c r="L95" s="517">
        <f t="shared" si="17"/>
        <v>4650</v>
      </c>
      <c r="M95" s="517">
        <f t="shared" si="15"/>
        <v>4805</v>
      </c>
      <c r="N95" s="518">
        <f t="shared" si="17"/>
        <v>4650</v>
      </c>
      <c r="O95" s="515">
        <f t="shared" si="18"/>
        <v>56730</v>
      </c>
      <c r="P95" s="743"/>
      <c r="Q95" s="297"/>
      <c r="R95" s="297"/>
    </row>
    <row r="96" spans="1:18" s="430" customFormat="1" x14ac:dyDescent="0.25">
      <c r="A96" s="746"/>
      <c r="B96" s="515" t="s">
        <v>197</v>
      </c>
      <c r="C96" s="516">
        <f>80*31</f>
        <v>2480</v>
      </c>
      <c r="D96" s="517">
        <f>80*31</f>
        <v>2480</v>
      </c>
      <c r="E96" s="517">
        <f>80*30</f>
        <v>2400</v>
      </c>
      <c r="F96" s="517">
        <f>80*31</f>
        <v>2480</v>
      </c>
      <c r="G96" s="517">
        <f>80*30</f>
        <v>2400</v>
      </c>
      <c r="H96" s="517">
        <f>80*31</f>
        <v>2480</v>
      </c>
      <c r="I96" s="517">
        <f>80*31</f>
        <v>2480</v>
      </c>
      <c r="J96" s="517">
        <f>80*28</f>
        <v>2240</v>
      </c>
      <c r="K96" s="517">
        <f>80*31</f>
        <v>2480</v>
      </c>
      <c r="L96" s="517">
        <f>80*30</f>
        <v>2400</v>
      </c>
      <c r="M96" s="550">
        <f>80*31</f>
        <v>2480</v>
      </c>
      <c r="N96" s="551">
        <f>80*30</f>
        <v>2400</v>
      </c>
      <c r="O96" s="515">
        <f t="shared" si="18"/>
        <v>29200</v>
      </c>
      <c r="P96" s="743"/>
      <c r="Q96" s="297"/>
      <c r="R96" s="297"/>
    </row>
    <row r="97" spans="1:18" s="430" customFormat="1" ht="15.75" thickBot="1" x14ac:dyDescent="0.3">
      <c r="A97" s="747"/>
      <c r="B97" s="523" t="s">
        <v>198</v>
      </c>
      <c r="C97" s="524">
        <f>80*31</f>
        <v>2480</v>
      </c>
      <c r="D97" s="524">
        <f>80*31</f>
        <v>2480</v>
      </c>
      <c r="E97" s="524">
        <f>80*30</f>
        <v>2400</v>
      </c>
      <c r="F97" s="524">
        <f>80*31</f>
        <v>2480</v>
      </c>
      <c r="G97" s="524">
        <f>80*30</f>
        <v>2400</v>
      </c>
      <c r="H97" s="524">
        <f>80*31</f>
        <v>2480</v>
      </c>
      <c r="I97" s="524">
        <f>80*31</f>
        <v>2480</v>
      </c>
      <c r="J97" s="524">
        <f>80*28</f>
        <v>2240</v>
      </c>
      <c r="K97" s="524">
        <f>80*31</f>
        <v>2480</v>
      </c>
      <c r="L97" s="524">
        <f>80*30</f>
        <v>2400</v>
      </c>
      <c r="M97" s="524">
        <f>80*31</f>
        <v>2480</v>
      </c>
      <c r="N97" s="525">
        <f>80*30</f>
        <v>2400</v>
      </c>
      <c r="O97" s="526">
        <f t="shared" si="18"/>
        <v>29200</v>
      </c>
      <c r="P97" s="744"/>
      <c r="Q97" s="297"/>
      <c r="R97" s="297"/>
    </row>
    <row r="98" spans="1:18" s="430" customFormat="1" ht="15.75" thickTop="1" x14ac:dyDescent="0.25">
      <c r="A98" s="297"/>
      <c r="B98" s="297"/>
      <c r="C98" s="527"/>
      <c r="D98" s="527"/>
      <c r="E98" s="527"/>
      <c r="F98" s="527"/>
      <c r="G98" s="527"/>
      <c r="H98" s="527"/>
      <c r="I98" s="527"/>
      <c r="J98" s="527"/>
      <c r="K98" s="527"/>
      <c r="L98" s="527"/>
      <c r="M98" s="527"/>
      <c r="N98" s="527"/>
      <c r="O98" s="527"/>
      <c r="P98" s="297"/>
      <c r="Q98" s="297"/>
      <c r="R98" s="297"/>
    </row>
    <row r="99" spans="1:18" s="430" customFormat="1" ht="4.9000000000000004" customHeight="1" thickBot="1" x14ac:dyDescent="0.3">
      <c r="A99" s="297"/>
      <c r="B99" s="297"/>
      <c r="C99" s="527"/>
      <c r="D99" s="527"/>
      <c r="E99" s="527"/>
      <c r="F99" s="527"/>
      <c r="G99" s="527"/>
      <c r="H99" s="527"/>
      <c r="I99" s="527"/>
      <c r="J99" s="527"/>
      <c r="K99" s="527"/>
      <c r="L99" s="527"/>
      <c r="M99" s="527"/>
      <c r="N99" s="527"/>
      <c r="O99" s="297"/>
      <c r="P99" s="297"/>
      <c r="Q99" s="297"/>
      <c r="R99" s="297"/>
    </row>
    <row r="100" spans="1:18" s="430" customFormat="1" ht="15.75" thickTop="1" x14ac:dyDescent="0.25">
      <c r="A100" s="745" t="s">
        <v>195</v>
      </c>
      <c r="B100" s="542" t="s">
        <v>180</v>
      </c>
      <c r="C100" s="536">
        <f>C84/C91</f>
        <v>476.17143808532785</v>
      </c>
      <c r="D100" s="537">
        <f t="shared" ref="D100:O100" si="19">D84/D91</f>
        <v>448.05797502601462</v>
      </c>
      <c r="E100" s="537">
        <f t="shared" si="19"/>
        <v>682.15355483870974</v>
      </c>
      <c r="F100" s="537">
        <f t="shared" si="19"/>
        <v>1130.1024495317379</v>
      </c>
      <c r="G100" s="537">
        <f t="shared" si="19"/>
        <v>1182.104111827957</v>
      </c>
      <c r="H100" s="537">
        <f t="shared" si="19"/>
        <v>1267.5709719042666</v>
      </c>
      <c r="I100" s="537">
        <f t="shared" si="19"/>
        <v>1384.7786847034342</v>
      </c>
      <c r="J100" s="537">
        <f t="shared" si="19"/>
        <v>1464.2552004608294</v>
      </c>
      <c r="K100" s="537">
        <f t="shared" si="19"/>
        <v>1233.4891821019771</v>
      </c>
      <c r="L100" s="537">
        <f t="shared" si="19"/>
        <v>982.574752688172</v>
      </c>
      <c r="M100" s="537">
        <f t="shared" si="19"/>
        <v>541.08700728407905</v>
      </c>
      <c r="N100" s="538">
        <f t="shared" si="19"/>
        <v>357.22812043010754</v>
      </c>
      <c r="O100" s="539">
        <f t="shared" si="19"/>
        <v>926.1368514361468</v>
      </c>
      <c r="P100" s="742"/>
      <c r="Q100" s="297"/>
      <c r="R100" s="297"/>
    </row>
    <row r="101" spans="1:18" s="430" customFormat="1" x14ac:dyDescent="0.25">
      <c r="A101" s="746"/>
      <c r="B101" s="490" t="s">
        <v>181</v>
      </c>
      <c r="C101" s="493">
        <f t="shared" ref="C101:O101" si="20">C85/C92</f>
        <v>497.60259313215397</v>
      </c>
      <c r="D101" s="494">
        <f t="shared" si="20"/>
        <v>633.39810197710722</v>
      </c>
      <c r="E101" s="494">
        <f t="shared" si="20"/>
        <v>733.33907741935479</v>
      </c>
      <c r="F101" s="494">
        <f t="shared" si="20"/>
        <v>1234.7387866805409</v>
      </c>
      <c r="G101" s="494">
        <f t="shared" si="20"/>
        <v>1401.7539440860214</v>
      </c>
      <c r="H101" s="494">
        <f t="shared" si="20"/>
        <v>1342.9905411030179</v>
      </c>
      <c r="I101" s="494">
        <f t="shared" si="20"/>
        <v>1442.4594755463061</v>
      </c>
      <c r="J101" s="494">
        <f t="shared" si="20"/>
        <v>1577.8281290322582</v>
      </c>
      <c r="K101" s="494">
        <f t="shared" si="20"/>
        <v>1287.0519250780435</v>
      </c>
      <c r="L101" s="494">
        <f t="shared" si="20"/>
        <v>923.95565161290324</v>
      </c>
      <c r="M101" s="494">
        <f t="shared" si="20"/>
        <v>666.33359833506768</v>
      </c>
      <c r="N101" s="496">
        <f t="shared" si="20"/>
        <v>472.60413978494626</v>
      </c>
      <c r="O101" s="540">
        <f t="shared" si="20"/>
        <v>1014.713966239505</v>
      </c>
      <c r="P101" s="743"/>
      <c r="Q101" s="297"/>
      <c r="R101" s="297"/>
    </row>
    <row r="102" spans="1:18" x14ac:dyDescent="0.25">
      <c r="A102" s="746"/>
      <c r="B102" s="477" t="s">
        <v>182</v>
      </c>
      <c r="C102" s="493">
        <f t="shared" ref="C102:O102" si="21">C86/C93</f>
        <v>411.7602955254942</v>
      </c>
      <c r="D102" s="494">
        <f t="shared" si="21"/>
        <v>702.71195629552551</v>
      </c>
      <c r="E102" s="494">
        <f t="shared" si="21"/>
        <v>924.25445591397829</v>
      </c>
      <c r="F102" s="494">
        <f t="shared" si="21"/>
        <v>1101.6415067637877</v>
      </c>
      <c r="G102" s="494">
        <f t="shared" si="21"/>
        <v>1303.9383247311828</v>
      </c>
      <c r="H102" s="494">
        <f t="shared" si="21"/>
        <v>1370.4607783558793</v>
      </c>
      <c r="I102" s="494">
        <f t="shared" si="21"/>
        <v>1546.5226618106137</v>
      </c>
      <c r="J102" s="494">
        <f t="shared" si="21"/>
        <v>1472.0736382488478</v>
      </c>
      <c r="K102" s="494">
        <f t="shared" si="21"/>
        <v>1443.5028220603538</v>
      </c>
      <c r="L102" s="494">
        <f t="shared" si="21"/>
        <v>883.64260860215063</v>
      </c>
      <c r="M102" s="494">
        <f t="shared" si="21"/>
        <v>744.04693236212279</v>
      </c>
      <c r="N102" s="496">
        <f t="shared" si="21"/>
        <v>630.997305376344</v>
      </c>
      <c r="O102" s="540">
        <f t="shared" si="21"/>
        <v>1042.3098582412727</v>
      </c>
      <c r="P102" s="743"/>
    </row>
    <row r="103" spans="1:18" x14ac:dyDescent="0.25">
      <c r="A103" s="746"/>
      <c r="B103" s="515" t="s">
        <v>183</v>
      </c>
      <c r="C103" s="498">
        <f t="shared" ref="C103:O103" si="22">C87/C94</f>
        <v>416.98683454734652</v>
      </c>
      <c r="D103" s="495">
        <f t="shared" si="22"/>
        <v>512.06004578563989</v>
      </c>
      <c r="E103" s="495">
        <f t="shared" si="22"/>
        <v>1150.2687419354841</v>
      </c>
      <c r="F103" s="495">
        <f t="shared" si="22"/>
        <v>1053.8947346514046</v>
      </c>
      <c r="G103" s="495">
        <f t="shared" si="22"/>
        <v>1346.2909376344085</v>
      </c>
      <c r="H103" s="495">
        <f t="shared" si="22"/>
        <v>1282.7236940686785</v>
      </c>
      <c r="I103" s="495">
        <f t="shared" si="22"/>
        <v>1768.7586181061399</v>
      </c>
      <c r="J103" s="495">
        <f t="shared" si="22"/>
        <v>1728.2735461624027</v>
      </c>
      <c r="K103" s="495">
        <f t="shared" si="22"/>
        <v>736.08971488033296</v>
      </c>
      <c r="L103" s="495">
        <f t="shared" si="22"/>
        <v>2.3592537634408606</v>
      </c>
      <c r="M103" s="495">
        <f t="shared" si="22"/>
        <v>135.10202081165454</v>
      </c>
      <c r="N103" s="499">
        <f t="shared" si="22"/>
        <v>11.206030107526882</v>
      </c>
      <c r="O103" s="540">
        <f t="shared" si="22"/>
        <v>842.89007456372292</v>
      </c>
      <c r="P103" s="743"/>
      <c r="Q103" s="476"/>
    </row>
    <row r="104" spans="1:18" x14ac:dyDescent="0.25">
      <c r="A104" s="746"/>
      <c r="B104" s="515" t="s">
        <v>184</v>
      </c>
      <c r="C104" s="498">
        <f t="shared" ref="C104:O104" si="23">C88/C95</f>
        <v>14.673209157127989</v>
      </c>
      <c r="D104" s="495">
        <f t="shared" si="23"/>
        <v>79.203419354838715</v>
      </c>
      <c r="E104" s="495">
        <f t="shared" si="23"/>
        <v>99.459903225806443</v>
      </c>
      <c r="F104" s="495">
        <f t="shared" si="23"/>
        <v>530.54597710717997</v>
      </c>
      <c r="G104" s="495">
        <f t="shared" si="23"/>
        <v>550.10733118279563</v>
      </c>
      <c r="H104" s="495">
        <f t="shared" si="23"/>
        <v>369.72969823100931</v>
      </c>
      <c r="I104" s="495">
        <f t="shared" si="23"/>
        <v>130.13613319458901</v>
      </c>
      <c r="J104" s="495">
        <f t="shared" si="23"/>
        <v>238.29084760845382</v>
      </c>
      <c r="K104" s="495">
        <f t="shared" si="23"/>
        <v>385.14566077003121</v>
      </c>
      <c r="L104" s="495">
        <f t="shared" si="23"/>
        <v>459.70001505376342</v>
      </c>
      <c r="M104" s="495">
        <f t="shared" si="23"/>
        <v>375.97278668054116</v>
      </c>
      <c r="N104" s="499">
        <f t="shared" si="23"/>
        <v>251.02303010752689</v>
      </c>
      <c r="O104" s="540">
        <f t="shared" si="23"/>
        <v>290.07310488277807</v>
      </c>
      <c r="P104" s="743"/>
      <c r="Q104" s="476"/>
    </row>
    <row r="105" spans="1:18" x14ac:dyDescent="0.25">
      <c r="A105" s="746"/>
      <c r="B105" s="515" t="s">
        <v>197</v>
      </c>
      <c r="C105" s="498">
        <f t="shared" ref="C105:O105" si="24">C89/C96</f>
        <v>153.30846774193549</v>
      </c>
      <c r="D105" s="495">
        <f t="shared" si="24"/>
        <v>381.69153225806451</v>
      </c>
      <c r="E105" s="495">
        <f t="shared" si="24"/>
        <v>773.6229166666667</v>
      </c>
      <c r="F105" s="495">
        <f t="shared" si="24"/>
        <v>716.14717741935488</v>
      </c>
      <c r="G105" s="495">
        <f t="shared" si="24"/>
        <v>1150.38625</v>
      </c>
      <c r="H105" s="495">
        <f t="shared" si="24"/>
        <v>1045.4270161290322</v>
      </c>
      <c r="I105" s="495">
        <f t="shared" si="24"/>
        <v>992.30241935483866</v>
      </c>
      <c r="J105" s="495">
        <f t="shared" si="24"/>
        <v>1409.2375</v>
      </c>
      <c r="K105" s="495">
        <f t="shared" si="24"/>
        <v>1629.7528225806452</v>
      </c>
      <c r="L105" s="495">
        <f t="shared" si="24"/>
        <v>1208.0283333333334</v>
      </c>
      <c r="M105" s="502">
        <f t="shared" si="24"/>
        <v>612.88911290322585</v>
      </c>
      <c r="N105" s="502">
        <f t="shared" si="24"/>
        <v>515.1895833333333</v>
      </c>
      <c r="O105" s="540">
        <f t="shared" si="24"/>
        <v>877.67818493150685</v>
      </c>
      <c r="P105" s="743"/>
      <c r="Q105" s="476"/>
    </row>
    <row r="106" spans="1:18" ht="15.75" thickBot="1" x14ac:dyDescent="0.3">
      <c r="A106" s="747"/>
      <c r="B106" s="552" t="s">
        <v>198</v>
      </c>
      <c r="C106" s="553">
        <f t="shared" ref="C106:O106" si="25">C90/C97</f>
        <v>553.43330881123006</v>
      </c>
      <c r="D106" s="554">
        <f t="shared" si="25"/>
        <v>580.3986526689705</v>
      </c>
      <c r="E106" s="554">
        <f t="shared" si="25"/>
        <v>721.48419316383888</v>
      </c>
      <c r="F106" s="554">
        <f t="shared" si="25"/>
        <v>1117.8633637948301</v>
      </c>
      <c r="G106" s="554">
        <f t="shared" si="25"/>
        <v>1437.788027878448</v>
      </c>
      <c r="H106" s="554">
        <f t="shared" si="25"/>
        <v>1615.063059188454</v>
      </c>
      <c r="I106" s="554">
        <f t="shared" si="25"/>
        <v>1266.6711869860844</v>
      </c>
      <c r="J106" s="554">
        <f t="shared" si="25"/>
        <v>1679.0184911941963</v>
      </c>
      <c r="K106" s="554">
        <f t="shared" si="25"/>
        <v>1476.8566726864919</v>
      </c>
      <c r="L106" s="554">
        <f t="shared" si="25"/>
        <v>1175.8718387499998</v>
      </c>
      <c r="M106" s="554">
        <f t="shared" si="25"/>
        <v>614.11534110658647</v>
      </c>
      <c r="N106" s="563">
        <f t="shared" si="25"/>
        <v>584.17997699016667</v>
      </c>
      <c r="O106" s="564">
        <f t="shared" si="25"/>
        <v>1064.5169534231047</v>
      </c>
      <c r="P106" s="744"/>
      <c r="Q106" s="476"/>
    </row>
    <row r="107" spans="1:18" ht="15.75" thickTop="1" x14ac:dyDescent="0.25">
      <c r="A107" s="529"/>
      <c r="C107" s="430"/>
      <c r="D107" s="430"/>
      <c r="E107" s="430"/>
      <c r="F107" s="430"/>
      <c r="G107" s="430"/>
      <c r="H107" s="430"/>
      <c r="I107" s="430"/>
      <c r="J107" s="430"/>
      <c r="K107" s="430"/>
      <c r="L107" s="430"/>
      <c r="M107" s="430"/>
      <c r="N107" s="430"/>
      <c r="O107" s="430"/>
      <c r="P107" s="430"/>
    </row>
  </sheetData>
  <mergeCells count="19">
    <mergeCell ref="A70:A76"/>
    <mergeCell ref="C2:O4"/>
    <mergeCell ref="A6:B6"/>
    <mergeCell ref="A7:A13"/>
    <mergeCell ref="A14:A20"/>
    <mergeCell ref="A21:A27"/>
    <mergeCell ref="A28:A34"/>
    <mergeCell ref="A35:A41"/>
    <mergeCell ref="A42:A48"/>
    <mergeCell ref="A49:A55"/>
    <mergeCell ref="A56:A62"/>
    <mergeCell ref="A63:A69"/>
    <mergeCell ref="A100:A106"/>
    <mergeCell ref="P100:P106"/>
    <mergeCell ref="A77:A83"/>
    <mergeCell ref="A84:A90"/>
    <mergeCell ref="P84:P90"/>
    <mergeCell ref="A91:A97"/>
    <mergeCell ref="P91:P97"/>
  </mergeCells>
  <pageMargins left="0.70866141732283472" right="0.70866141732283472" top="0.74803149606299213" bottom="0.74803149606299213" header="0.31496062992125984" footer="0.31496062992125984"/>
  <pageSetup paperSize="9" scale="46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>
    <tabColor rgb="FFFF0000"/>
  </sheetPr>
  <dimension ref="A1:O35"/>
  <sheetViews>
    <sheetView view="pageBreakPreview" zoomScale="90" zoomScaleNormal="100" zoomScaleSheetLayoutView="90" workbookViewId="0">
      <selection activeCell="D26" sqref="D26:O26"/>
    </sheetView>
  </sheetViews>
  <sheetFormatPr defaultColWidth="9.140625" defaultRowHeight="13.5" x14ac:dyDescent="0.3"/>
  <cols>
    <col min="1" max="1" width="11.28515625" style="248" bestFit="1" customWidth="1"/>
    <col min="2" max="2" width="30.140625" style="248" bestFit="1" customWidth="1"/>
    <col min="3" max="3" width="12" style="248" bestFit="1" customWidth="1"/>
    <col min="4" max="12" width="11.140625" style="248" bestFit="1" customWidth="1"/>
    <col min="13" max="13" width="12.7109375" style="248" bestFit="1" customWidth="1"/>
    <col min="14" max="15" width="11.140625" style="248" bestFit="1" customWidth="1"/>
    <col min="16" max="16384" width="9.140625" style="248"/>
  </cols>
  <sheetData>
    <row r="1" spans="1:15" x14ac:dyDescent="0.3">
      <c r="A1" s="279" t="s">
        <v>100</v>
      </c>
    </row>
    <row r="2" spans="1:15" ht="14.25" thickBot="1" x14ac:dyDescent="0.35">
      <c r="D2" s="261"/>
      <c r="E2" s="261"/>
      <c r="F2" s="261"/>
    </row>
    <row r="3" spans="1:15" x14ac:dyDescent="0.3">
      <c r="A3" s="249" t="s">
        <v>99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1"/>
    </row>
    <row r="4" spans="1:15" x14ac:dyDescent="0.3">
      <c r="A4" s="252" t="s">
        <v>83</v>
      </c>
      <c r="B4" s="253" t="s">
        <v>84</v>
      </c>
      <c r="C4" s="254" t="s">
        <v>97</v>
      </c>
      <c r="D4" s="254" t="s">
        <v>85</v>
      </c>
      <c r="E4" s="254" t="s">
        <v>86</v>
      </c>
      <c r="F4" s="254" t="s">
        <v>87</v>
      </c>
      <c r="G4" s="254" t="s">
        <v>88</v>
      </c>
      <c r="H4" s="254" t="s">
        <v>89</v>
      </c>
      <c r="I4" s="254" t="s">
        <v>90</v>
      </c>
      <c r="J4" s="254" t="s">
        <v>91</v>
      </c>
      <c r="K4" s="254" t="s">
        <v>92</v>
      </c>
      <c r="L4" s="254" t="s">
        <v>93</v>
      </c>
      <c r="M4" s="254" t="s">
        <v>94</v>
      </c>
      <c r="N4" s="254" t="s">
        <v>95</v>
      </c>
      <c r="O4" s="255" t="s">
        <v>96</v>
      </c>
    </row>
    <row r="5" spans="1:15" x14ac:dyDescent="0.3">
      <c r="A5" s="256" t="s">
        <v>82</v>
      </c>
      <c r="B5" s="248" t="s">
        <v>151</v>
      </c>
      <c r="C5" s="267">
        <f>SUM(D5:O5)</f>
        <v>31083895.039954651</v>
      </c>
      <c r="D5" s="257">
        <f>+'July 2022'!N24</f>
        <v>1372514.6058518505</v>
      </c>
      <c r="E5" s="257">
        <f>+' August 2022'!N24</f>
        <v>1439388.6586190469</v>
      </c>
      <c r="F5" s="257">
        <f>+'September 2022'!N24</f>
        <v>1731562.0635932134</v>
      </c>
      <c r="G5" s="257">
        <f>+'October 2022'!N24</f>
        <v>2772301.1422111788</v>
      </c>
      <c r="H5" s="257">
        <f>+'November 2022'!N24</f>
        <v>3450691.2669082754</v>
      </c>
      <c r="I5" s="257">
        <f>+'December 2022'!N24</f>
        <v>4005356.3867873657</v>
      </c>
      <c r="J5" s="257">
        <f>+'January 2023'!N24</f>
        <v>3141344.5437254896</v>
      </c>
      <c r="K5" s="257">
        <f>+'February 2023'!N24</f>
        <v>3761001.4202749995</v>
      </c>
      <c r="L5" s="257">
        <f>+'March 2023'!N24</f>
        <v>3662604.5482625002</v>
      </c>
      <c r="M5" s="257">
        <f>+'April 2023'!N24</f>
        <v>2822092.4129999997</v>
      </c>
      <c r="N5" s="257">
        <f>+'May 2023'!N24</f>
        <v>1523006.0459443345</v>
      </c>
      <c r="O5" s="258">
        <f>+'June 2023'!N24</f>
        <v>1402031.9447764</v>
      </c>
    </row>
    <row r="6" spans="1:15" x14ac:dyDescent="0.3">
      <c r="A6" s="256"/>
      <c r="B6" s="248" t="s">
        <v>109</v>
      </c>
      <c r="C6" s="267">
        <f>SUM(D6:O6)</f>
        <v>25628203</v>
      </c>
      <c r="D6" s="257">
        <f>'July 2022'!J24</f>
        <v>380205</v>
      </c>
      <c r="E6" s="257">
        <f>+' August 2022'!J24</f>
        <v>946595</v>
      </c>
      <c r="F6" s="257">
        <f>+'September 2022'!J24</f>
        <v>1856695</v>
      </c>
      <c r="G6" s="257">
        <f>+'October 2022'!J24</f>
        <v>1776045</v>
      </c>
      <c r="H6" s="257">
        <f>+'November 2022'!J24</f>
        <v>2760927</v>
      </c>
      <c r="I6" s="257">
        <f>+'December 2022'!J24</f>
        <v>2592659</v>
      </c>
      <c r="J6" s="257">
        <f>+'January 2023'!J24</f>
        <v>2460910</v>
      </c>
      <c r="K6" s="257">
        <f>+'February 2023'!J24</f>
        <v>3156692</v>
      </c>
      <c r="L6" s="257">
        <f>+'March 2023'!J24</f>
        <v>4041787</v>
      </c>
      <c r="M6" s="257">
        <f>+'April 2023'!J24</f>
        <v>2899268</v>
      </c>
      <c r="N6" s="257">
        <f>+'May 2023'!J24</f>
        <v>1519965</v>
      </c>
      <c r="O6" s="258">
        <f>+'June 2023'!J24</f>
        <v>1236455</v>
      </c>
    </row>
    <row r="7" spans="1:15" s="274" customFormat="1" x14ac:dyDescent="0.3">
      <c r="A7" s="271"/>
      <c r="B7" s="253" t="s">
        <v>98</v>
      </c>
      <c r="C7" s="272">
        <f>IF(C6=0,(C5-C6),(C5-C6)/C6)</f>
        <v>0.21287844645036763</v>
      </c>
      <c r="D7" s="272">
        <f>IF(D6=0,(D5-D6),(D5-D6)/D6)</f>
        <v>2.6099330778181518</v>
      </c>
      <c r="E7" s="272">
        <f t="shared" ref="E7:O7" si="0">IF(E6=0,(E5-E6),(E5-E6)/E6)</f>
        <v>0.5205960929637774</v>
      </c>
      <c r="F7" s="272">
        <f t="shared" si="0"/>
        <v>-6.7395526140150402E-2</v>
      </c>
      <c r="G7" s="272">
        <f t="shared" si="0"/>
        <v>0.56094082200123241</v>
      </c>
      <c r="H7" s="272">
        <f t="shared" si="0"/>
        <v>0.2498306789380072</v>
      </c>
      <c r="I7" s="272">
        <f t="shared" si="0"/>
        <v>0.54488360667074442</v>
      </c>
      <c r="J7" s="272">
        <f t="shared" si="0"/>
        <v>0.27649712656110531</v>
      </c>
      <c r="K7" s="272">
        <f t="shared" si="0"/>
        <v>0.19143756193984066</v>
      </c>
      <c r="L7" s="272">
        <f t="shared" si="0"/>
        <v>-9.3815545385617746E-2</v>
      </c>
      <c r="M7" s="272">
        <f t="shared" si="0"/>
        <v>-2.6618990379640755E-2</v>
      </c>
      <c r="N7" s="272">
        <f t="shared" si="0"/>
        <v>2.0007341908099682E-3</v>
      </c>
      <c r="O7" s="273">
        <f t="shared" si="0"/>
        <v>0.13391263311353829</v>
      </c>
    </row>
    <row r="8" spans="1:15" x14ac:dyDescent="0.3">
      <c r="A8" s="256"/>
      <c r="B8" s="248" t="s">
        <v>152</v>
      </c>
      <c r="C8" s="268">
        <f>+'Annual 2022l2023'!K26</f>
        <v>0.64371575342465759</v>
      </c>
      <c r="D8" s="259">
        <f>+'July 2022'!K26</f>
        <v>0.43185483870967745</v>
      </c>
      <c r="E8" s="259">
        <f>+' August 2022'!K26</f>
        <v>0.43709677419354837</v>
      </c>
      <c r="F8" s="259">
        <f>+'September 2022'!K26</f>
        <v>0.55666666666666664</v>
      </c>
      <c r="G8" s="259">
        <f>+'October 2022'!K26</f>
        <v>0.70040322580645165</v>
      </c>
      <c r="H8" s="259">
        <f>+'November 2022'!K26</f>
        <v>0.78833333333333333</v>
      </c>
      <c r="I8" s="259">
        <f>+'December 2022'!K26</f>
        <v>0.78044354838709673</v>
      </c>
      <c r="J8" s="259">
        <f>+'January 2023'!K26</f>
        <v>0.70766129032258063</v>
      </c>
      <c r="K8" s="259">
        <f>+'February 2023'!K26</f>
        <v>0.81964285714285712</v>
      </c>
      <c r="L8" s="259">
        <f>+'March 2023'!K26</f>
        <v>0.77419354838709675</v>
      </c>
      <c r="M8" s="259">
        <f>+'April 2023'!K26</f>
        <v>0.75083333333333335</v>
      </c>
      <c r="N8" s="259">
        <f>+'May 2023'!K26</f>
        <v>0.50887096774193552</v>
      </c>
      <c r="O8" s="260">
        <f>+'June 2023'!K26</f>
        <v>0.48583333333333334</v>
      </c>
    </row>
    <row r="9" spans="1:15" x14ac:dyDescent="0.3">
      <c r="A9" s="256"/>
      <c r="B9" s="248" t="s">
        <v>110</v>
      </c>
      <c r="C9" s="268">
        <f>+'Annual 2022l2023'!G26</f>
        <v>0.55441780821917808</v>
      </c>
      <c r="D9" s="259">
        <f>+'July 2022'!G26</f>
        <v>0.16532258064516128</v>
      </c>
      <c r="E9" s="259">
        <f>+' August 2022'!G26</f>
        <v>0.35443548387096774</v>
      </c>
      <c r="F9" s="259">
        <f>+'September 2022'!G26</f>
        <v>0.61375000000000002</v>
      </c>
      <c r="G9" s="259">
        <f>+'October 2022'!G26</f>
        <v>0.50887096774193552</v>
      </c>
      <c r="H9" s="259">
        <f>+'November 2022'!G26</f>
        <v>0.76083333333333336</v>
      </c>
      <c r="I9" s="259">
        <f>+'December 2022'!G26</f>
        <v>0.59919354838709682</v>
      </c>
      <c r="J9" s="259">
        <f>+'January 2023'!G26</f>
        <v>0.50645161290322582</v>
      </c>
      <c r="K9" s="259">
        <f>+'February 2023'!G26</f>
        <v>0.7075892857142857</v>
      </c>
      <c r="L9" s="259">
        <f>+'March 2023'!G26</f>
        <v>0.82016129032258067</v>
      </c>
      <c r="M9" s="259">
        <f>+'April 2023'!G26</f>
        <v>0.7416666666666667</v>
      </c>
      <c r="N9" s="259">
        <f>+'May 2023'!G26</f>
        <v>0.48790322580645162</v>
      </c>
      <c r="O9" s="260">
        <f>+'June 2023'!G26</f>
        <v>0.41166666666666668</v>
      </c>
    </row>
    <row r="10" spans="1:15" s="274" customFormat="1" x14ac:dyDescent="0.3">
      <c r="A10" s="271"/>
      <c r="B10" s="253" t="s">
        <v>98</v>
      </c>
      <c r="C10" s="272">
        <f t="shared" ref="C10:O10" si="1">IF(C9=0,(C8-C9),(C8-C9)/C9)</f>
        <v>0.1610661560318736</v>
      </c>
      <c r="D10" s="272">
        <f t="shared" si="1"/>
        <v>1.6121951219512201</v>
      </c>
      <c r="E10" s="272">
        <f t="shared" si="1"/>
        <v>0.23321956769055741</v>
      </c>
      <c r="F10" s="272">
        <f t="shared" si="1"/>
        <v>-9.3007467752885334E-2</v>
      </c>
      <c r="G10" s="272">
        <f t="shared" si="1"/>
        <v>0.37638668779714735</v>
      </c>
      <c r="H10" s="272">
        <f t="shared" si="1"/>
        <v>3.6144578313252969E-2</v>
      </c>
      <c r="I10" s="272">
        <f t="shared" si="1"/>
        <v>0.30248990578734841</v>
      </c>
      <c r="J10" s="272">
        <f t="shared" si="1"/>
        <v>0.39729299363057319</v>
      </c>
      <c r="K10" s="272">
        <f t="shared" si="1"/>
        <v>0.1583596214511041</v>
      </c>
      <c r="L10" s="272">
        <f t="shared" si="1"/>
        <v>-5.6047197640118049E-2</v>
      </c>
      <c r="M10" s="272">
        <f t="shared" si="1"/>
        <v>1.2359550561797739E-2</v>
      </c>
      <c r="N10" s="272">
        <f t="shared" si="1"/>
        <v>4.2975206611570303E-2</v>
      </c>
      <c r="O10" s="273">
        <f t="shared" si="1"/>
        <v>0.18016194331983804</v>
      </c>
    </row>
    <row r="11" spans="1:15" x14ac:dyDescent="0.3">
      <c r="A11" s="256"/>
      <c r="B11" s="248" t="s">
        <v>153</v>
      </c>
      <c r="C11" s="269">
        <f>+'Annual 2022l2023'!K27</f>
        <v>1064.5169534231047</v>
      </c>
      <c r="D11" s="257">
        <f>+'July 2022'!K27</f>
        <v>553.43330881123006</v>
      </c>
      <c r="E11" s="257">
        <f>+' August 2022'!K27</f>
        <v>580.3986526689705</v>
      </c>
      <c r="F11" s="257">
        <f>+'September 2022'!K27</f>
        <v>721.48419316383888</v>
      </c>
      <c r="G11" s="257">
        <f>+'October 2022'!K27</f>
        <v>1117.8633637948301</v>
      </c>
      <c r="H11" s="257">
        <f>+'November 2022'!K27</f>
        <v>1437.788027878448</v>
      </c>
      <c r="I11" s="257">
        <f>+'December 2022'!K27</f>
        <v>1615.063059188454</v>
      </c>
      <c r="J11" s="257">
        <f>+'January 2023'!K27</f>
        <v>1266.6711869860844</v>
      </c>
      <c r="K11" s="257">
        <f>+'February 2023'!K27</f>
        <v>1679.0184911941963</v>
      </c>
      <c r="L11" s="257">
        <f>+'March 2023'!K27</f>
        <v>1476.8566726864919</v>
      </c>
      <c r="M11" s="257">
        <f>+'April 2023'!K27</f>
        <v>1175.8718387499998</v>
      </c>
      <c r="N11" s="257">
        <f>+'May 2023'!K27</f>
        <v>614.11534110658647</v>
      </c>
      <c r="O11" s="258">
        <f>+'June 2023'!K27</f>
        <v>584.17997699016667</v>
      </c>
    </row>
    <row r="12" spans="1:15" x14ac:dyDescent="0.3">
      <c r="A12" s="256"/>
      <c r="B12" s="248" t="s">
        <v>111</v>
      </c>
      <c r="C12" s="269">
        <f>+'Annual 2022l2023'!G27</f>
        <v>877.67818493150685</v>
      </c>
      <c r="D12" s="257">
        <f>+'July 2022'!G27</f>
        <v>153.30846774193549</v>
      </c>
      <c r="E12" s="257">
        <f>+' August 2022'!G27</f>
        <v>381.69153225806451</v>
      </c>
      <c r="F12" s="257">
        <f>+'September 2022'!G27</f>
        <v>773.6229166666667</v>
      </c>
      <c r="G12" s="257">
        <f>+'October 2022'!G27</f>
        <v>716.14717741935488</v>
      </c>
      <c r="H12" s="257">
        <f>+'November 2022'!G27</f>
        <v>1150.38625</v>
      </c>
      <c r="I12" s="257">
        <f>+'December 2022'!G27</f>
        <v>1045.4270161290322</v>
      </c>
      <c r="J12" s="257">
        <f>+'January 2023'!G27</f>
        <v>992.30241935483866</v>
      </c>
      <c r="K12" s="257">
        <f>+'February 2023'!G27</f>
        <v>1409.2375</v>
      </c>
      <c r="L12" s="257">
        <f>+'March 2023'!G27</f>
        <v>1629.7528225806452</v>
      </c>
      <c r="M12" s="257">
        <f>+'April 2023'!G27</f>
        <v>1208.0283333333334</v>
      </c>
      <c r="N12" s="257">
        <f>+'May 2023'!G27</f>
        <v>612.88911290322585</v>
      </c>
      <c r="O12" s="258">
        <f>+'June 2023'!G27</f>
        <v>515.1895833333333</v>
      </c>
    </row>
    <row r="13" spans="1:15" s="274" customFormat="1" x14ac:dyDescent="0.3">
      <c r="A13" s="271"/>
      <c r="B13" s="253" t="s">
        <v>98</v>
      </c>
      <c r="C13" s="272">
        <f t="shared" ref="C13:O13" si="2">IF(C12=0,(C11-C12),(C11-C12)/C12)</f>
        <v>0.21287844645036791</v>
      </c>
      <c r="D13" s="272">
        <f t="shared" si="2"/>
        <v>2.6099330778181522</v>
      </c>
      <c r="E13" s="272">
        <f t="shared" si="2"/>
        <v>0.5205960929637774</v>
      </c>
      <c r="F13" s="272">
        <f t="shared" si="2"/>
        <v>-6.7395526140150513E-2</v>
      </c>
      <c r="G13" s="272">
        <f t="shared" si="2"/>
        <v>0.56094082200123219</v>
      </c>
      <c r="H13" s="272">
        <f t="shared" si="2"/>
        <v>0.24983067893800712</v>
      </c>
      <c r="I13" s="272">
        <f t="shared" si="2"/>
        <v>0.54488360667074465</v>
      </c>
      <c r="J13" s="272">
        <f t="shared" si="2"/>
        <v>0.27649712656110526</v>
      </c>
      <c r="K13" s="272">
        <f t="shared" si="2"/>
        <v>0.19143756193984074</v>
      </c>
      <c r="L13" s="272">
        <f t="shared" si="2"/>
        <v>-9.3815545385617816E-2</v>
      </c>
      <c r="M13" s="272">
        <f t="shared" si="2"/>
        <v>-2.6618990379640869E-2</v>
      </c>
      <c r="N13" s="272">
        <f t="shared" si="2"/>
        <v>2.0007341908098784E-3</v>
      </c>
      <c r="O13" s="273">
        <f t="shared" si="2"/>
        <v>0.13391263311353838</v>
      </c>
    </row>
    <row r="14" spans="1:15" x14ac:dyDescent="0.3">
      <c r="A14" s="256"/>
      <c r="B14" s="379" t="s">
        <v>154</v>
      </c>
      <c r="C14" s="269">
        <f>+'Annual 2022l2023'!M24</f>
        <v>1653.7065432370205</v>
      </c>
      <c r="D14" s="257">
        <f>+'July 2022'!M24</f>
        <v>1281.526242625444</v>
      </c>
      <c r="E14" s="257">
        <f>+' August 2022'!M24</f>
        <v>1327.8493160692315</v>
      </c>
      <c r="F14" s="257">
        <f>+'September 2022'!M24</f>
        <v>1296.0793889170759</v>
      </c>
      <c r="G14" s="257">
        <f>+'October 2022'!M24</f>
        <v>1596.0282914284276</v>
      </c>
      <c r="H14" s="257">
        <f>+'November 2022'!M24</f>
        <v>1823.8325935033167</v>
      </c>
      <c r="I14" s="257">
        <f>+'December 2022'!M24</f>
        <v>2069.4168880327388</v>
      </c>
      <c r="J14" s="257">
        <f>+'January 2023'!M24</f>
        <v>1789.9399109546951</v>
      </c>
      <c r="K14" s="257">
        <f>+'February 2023'!M24</f>
        <v>2048.4757191040303</v>
      </c>
      <c r="L14" s="257">
        <f>+'March 2023'!M24</f>
        <v>1907.6065355533856</v>
      </c>
      <c r="M14" s="257">
        <f>+'April 2023'!M24</f>
        <v>1566.0890194228634</v>
      </c>
      <c r="N14" s="257">
        <f>+'May 2023'!M24</f>
        <v>1206.8193707958276</v>
      </c>
      <c r="O14" s="258">
        <f>+'June 2023'!M24</f>
        <v>1202.4287691049742</v>
      </c>
    </row>
    <row r="15" spans="1:15" x14ac:dyDescent="0.3">
      <c r="A15" s="256"/>
      <c r="B15" s="379" t="s">
        <v>117</v>
      </c>
      <c r="C15" s="269">
        <f>+'Annual 2022l2023'!I24</f>
        <v>1583.06275866329</v>
      </c>
      <c r="D15" s="257">
        <f>+'July 2022'!I24</f>
        <v>927.32926829268297</v>
      </c>
      <c r="E15" s="257">
        <f>+' August 2022'!I24</f>
        <v>1076.8998862343572</v>
      </c>
      <c r="F15" s="257">
        <f>+'September 2022'!I24</f>
        <v>1260.4854039375425</v>
      </c>
      <c r="G15" s="257">
        <f>+'October 2022'!I24</f>
        <v>1407.3256735340728</v>
      </c>
      <c r="H15" s="257">
        <f>+'November 2022'!I24</f>
        <v>1512.0082146768893</v>
      </c>
      <c r="I15" s="257">
        <f>+'December 2022'!I24</f>
        <v>1744.7234185733512</v>
      </c>
      <c r="J15" s="257">
        <f>+'January 2023'!I24</f>
        <v>1959.3232484076434</v>
      </c>
      <c r="K15" s="257">
        <f>+'February 2023'!I24</f>
        <v>1991.6037854889589</v>
      </c>
      <c r="L15" s="257">
        <f>+'March 2023'!I24</f>
        <v>1987.1125860373647</v>
      </c>
      <c r="M15" s="257">
        <f>+'April 2023'!I24</f>
        <v>1628.8022471910112</v>
      </c>
      <c r="N15" s="257">
        <f>+'May 2023'!I24</f>
        <v>1256.1694214876034</v>
      </c>
      <c r="O15" s="258">
        <f>+'June 2023'!I24</f>
        <v>1251.4726720647773</v>
      </c>
    </row>
    <row r="16" spans="1:15" s="274" customFormat="1" x14ac:dyDescent="0.3">
      <c r="A16" s="271"/>
      <c r="B16" s="253" t="s">
        <v>98</v>
      </c>
      <c r="C16" s="272">
        <f t="shared" ref="C16:O16" si="3">IF(C15=0,(C14-C15),(C14-C15)/C15)</f>
        <v>4.4624752990450524E-2</v>
      </c>
      <c r="D16" s="272">
        <f t="shared" si="3"/>
        <v>0.3819538393141384</v>
      </c>
      <c r="E16" s="272">
        <f t="shared" si="3"/>
        <v>0.2330294886671222</v>
      </c>
      <c r="F16" s="272">
        <f t="shared" si="3"/>
        <v>2.823831586493887E-2</v>
      </c>
      <c r="G16" s="272">
        <f t="shared" si="3"/>
        <v>0.13408596278961155</v>
      </c>
      <c r="H16" s="272">
        <f t="shared" si="3"/>
        <v>0.20623193432389064</v>
      </c>
      <c r="I16" s="272">
        <f t="shared" si="3"/>
        <v>0.18610025291280113</v>
      </c>
      <c r="J16" s="272">
        <f t="shared" si="3"/>
        <v>-8.6449919680485321E-2</v>
      </c>
      <c r="K16" s="272">
        <f t="shared" si="3"/>
        <v>2.8555847317346179E-2</v>
      </c>
      <c r="L16" s="272">
        <f t="shared" si="3"/>
        <v>-4.001084339288874E-2</v>
      </c>
      <c r="M16" s="272">
        <f t="shared" si="3"/>
        <v>-3.8502665302863726E-2</v>
      </c>
      <c r="N16" s="272">
        <f t="shared" si="3"/>
        <v>-3.9286142336862159E-2</v>
      </c>
      <c r="O16" s="273">
        <f t="shared" si="3"/>
        <v>-3.9188952387499282E-2</v>
      </c>
    </row>
    <row r="17" spans="1:15" x14ac:dyDescent="0.3">
      <c r="A17" s="256"/>
      <c r="B17" s="248" t="s">
        <v>155</v>
      </c>
      <c r="C17" s="269">
        <f>+'Annual 2022l2023'!K4</f>
        <v>29200</v>
      </c>
      <c r="D17" s="261">
        <f>+'July 2022'!K4</f>
        <v>2480</v>
      </c>
      <c r="E17" s="261">
        <f>+' August 2022'!K4</f>
        <v>2480</v>
      </c>
      <c r="F17" s="261">
        <f>+'September 2022'!K4</f>
        <v>2400</v>
      </c>
      <c r="G17" s="261">
        <f>+'October 2022'!K4</f>
        <v>2480</v>
      </c>
      <c r="H17" s="261">
        <f>+'November 2022'!K4</f>
        <v>2400</v>
      </c>
      <c r="I17" s="261">
        <f>+'December 2022'!K4</f>
        <v>2480</v>
      </c>
      <c r="J17" s="261">
        <f>+'January 2023'!K4</f>
        <v>2480</v>
      </c>
      <c r="K17" s="261">
        <f>+'February 2023'!K4</f>
        <v>2240</v>
      </c>
      <c r="L17" s="261">
        <f>+'March 2023'!K4</f>
        <v>2480</v>
      </c>
      <c r="M17" s="261">
        <f>+'April 2023'!K4</f>
        <v>2400</v>
      </c>
      <c r="N17" s="261">
        <f>+'May 2023'!K4</f>
        <v>2480</v>
      </c>
      <c r="O17" s="262">
        <f>+'June 2023'!K4</f>
        <v>2400</v>
      </c>
    </row>
    <row r="18" spans="1:15" x14ac:dyDescent="0.3">
      <c r="A18" s="256"/>
      <c r="B18" s="248" t="s">
        <v>112</v>
      </c>
      <c r="C18" s="269">
        <f>+'Annual 2022l2023'!G4</f>
        <v>29200</v>
      </c>
      <c r="D18" s="261">
        <f>+'July 2022'!G4</f>
        <v>2480</v>
      </c>
      <c r="E18" s="261">
        <f>+' August 2022'!G4</f>
        <v>2480</v>
      </c>
      <c r="F18" s="261">
        <f>+'September 2022'!G4</f>
        <v>2400</v>
      </c>
      <c r="G18" s="261">
        <f>+'October 2022'!G4</f>
        <v>2480</v>
      </c>
      <c r="H18" s="261">
        <f>+'November 2022'!G4</f>
        <v>2400</v>
      </c>
      <c r="I18" s="261">
        <f>+'December 2022'!G4</f>
        <v>2480</v>
      </c>
      <c r="J18" s="261">
        <f>+'January 2023'!G4</f>
        <v>2480</v>
      </c>
      <c r="K18" s="261">
        <f>+'February 2023'!G4</f>
        <v>2240</v>
      </c>
      <c r="L18" s="261">
        <f>+'March 2023'!G4</f>
        <v>2480</v>
      </c>
      <c r="M18" s="261">
        <f>+'April 2023'!G4</f>
        <v>2400</v>
      </c>
      <c r="N18" s="261">
        <f>+'May 2023'!G4</f>
        <v>2480</v>
      </c>
      <c r="O18" s="262">
        <f>+'June 2023'!G4</f>
        <v>2400</v>
      </c>
    </row>
    <row r="19" spans="1:15" s="274" customFormat="1" x14ac:dyDescent="0.3">
      <c r="A19" s="271"/>
      <c r="B19" s="253" t="s">
        <v>98</v>
      </c>
      <c r="C19" s="272">
        <f t="shared" ref="C19:O19" si="4">IF(C18=0,(C17-C18),(C17-C18)/C18)</f>
        <v>0</v>
      </c>
      <c r="D19" s="272">
        <f t="shared" si="4"/>
        <v>0</v>
      </c>
      <c r="E19" s="272">
        <f t="shared" si="4"/>
        <v>0</v>
      </c>
      <c r="F19" s="272">
        <f t="shared" si="4"/>
        <v>0</v>
      </c>
      <c r="G19" s="272">
        <f t="shared" si="4"/>
        <v>0</v>
      </c>
      <c r="H19" s="272">
        <f t="shared" si="4"/>
        <v>0</v>
      </c>
      <c r="I19" s="272">
        <f t="shared" si="4"/>
        <v>0</v>
      </c>
      <c r="J19" s="272">
        <f t="shared" si="4"/>
        <v>0</v>
      </c>
      <c r="K19" s="272">
        <f t="shared" si="4"/>
        <v>0</v>
      </c>
      <c r="L19" s="272">
        <f t="shared" si="4"/>
        <v>0</v>
      </c>
      <c r="M19" s="272">
        <f t="shared" si="4"/>
        <v>0</v>
      </c>
      <c r="N19" s="272">
        <f t="shared" si="4"/>
        <v>0</v>
      </c>
      <c r="O19" s="273">
        <f t="shared" si="4"/>
        <v>0</v>
      </c>
    </row>
    <row r="20" spans="1:15" x14ac:dyDescent="0.3">
      <c r="A20" s="256"/>
      <c r="B20" s="248" t="s">
        <v>156</v>
      </c>
      <c r="C20" s="269">
        <f>+'Annual 2022l2023'!K24</f>
        <v>18796.5</v>
      </c>
      <c r="D20" s="257">
        <f>+'July 2022'!K24</f>
        <v>1071</v>
      </c>
      <c r="E20" s="257">
        <f>+' August 2022'!K24</f>
        <v>1084</v>
      </c>
      <c r="F20" s="257">
        <f>+'September 2022'!K24</f>
        <v>1336</v>
      </c>
      <c r="G20" s="257">
        <f>+'October 2022'!K24</f>
        <v>1737</v>
      </c>
      <c r="H20" s="257">
        <f>+'November 2022'!K24</f>
        <v>1892</v>
      </c>
      <c r="I20" s="257">
        <f>+'December 2022'!K24</f>
        <v>1935.5</v>
      </c>
      <c r="J20" s="257">
        <f>+'January 2023'!K24</f>
        <v>1755</v>
      </c>
      <c r="K20" s="257">
        <f>+'February 2023'!K24</f>
        <v>1836</v>
      </c>
      <c r="L20" s="257">
        <f>+'March 2023'!K24</f>
        <v>1920</v>
      </c>
      <c r="M20" s="257">
        <f>+'April 2023'!K24</f>
        <v>1802</v>
      </c>
      <c r="N20" s="257">
        <f>+'May 2023'!K24</f>
        <v>1262</v>
      </c>
      <c r="O20" s="258">
        <f>+'June 2023'!K24</f>
        <v>1166</v>
      </c>
    </row>
    <row r="21" spans="1:15" x14ac:dyDescent="0.3">
      <c r="A21" s="256"/>
      <c r="B21" s="248" t="s">
        <v>113</v>
      </c>
      <c r="C21" s="269">
        <f>+'Annual 2022l2023'!G24</f>
        <v>16189</v>
      </c>
      <c r="D21" s="257">
        <f>+'July 2022'!G24</f>
        <v>410</v>
      </c>
      <c r="E21" s="257">
        <f>+' August 2022'!G24</f>
        <v>879</v>
      </c>
      <c r="F21" s="257">
        <f>+'September 2022'!G24</f>
        <v>1473</v>
      </c>
      <c r="G21" s="257">
        <f>+'October 2022'!G24</f>
        <v>1262</v>
      </c>
      <c r="H21" s="257">
        <f>+'November 2022'!G24</f>
        <v>1826</v>
      </c>
      <c r="I21" s="257">
        <f>+'December 2022'!G24</f>
        <v>1486</v>
      </c>
      <c r="J21" s="257">
        <f>+'January 2023'!G24</f>
        <v>1256</v>
      </c>
      <c r="K21" s="257">
        <f>+'February 2023'!G24</f>
        <v>1585</v>
      </c>
      <c r="L21" s="257">
        <f>+'March 2023'!G24</f>
        <v>2034</v>
      </c>
      <c r="M21" s="257">
        <f>+'April 2023'!G24</f>
        <v>1780</v>
      </c>
      <c r="N21" s="257">
        <f>+'May 2023'!G24</f>
        <v>1210</v>
      </c>
      <c r="O21" s="258">
        <f>+'June 2023'!G24</f>
        <v>988</v>
      </c>
    </row>
    <row r="22" spans="1:15" s="274" customFormat="1" x14ac:dyDescent="0.3">
      <c r="A22" s="271"/>
      <c r="B22" s="253" t="s">
        <v>98</v>
      </c>
      <c r="C22" s="272">
        <f t="shared" ref="C22:O22" si="5">IF(C21=0,(C20-C21),(C20-C21)/C21)</f>
        <v>0.16106615603187349</v>
      </c>
      <c r="D22" s="272">
        <f t="shared" si="5"/>
        <v>1.6121951219512196</v>
      </c>
      <c r="E22" s="272">
        <f t="shared" si="5"/>
        <v>0.23321956769055746</v>
      </c>
      <c r="F22" s="272">
        <f t="shared" si="5"/>
        <v>-9.3007467752885264E-2</v>
      </c>
      <c r="G22" s="272">
        <f t="shared" si="5"/>
        <v>0.3763866877971474</v>
      </c>
      <c r="H22" s="272">
        <f t="shared" si="5"/>
        <v>3.614457831325301E-2</v>
      </c>
      <c r="I22" s="272">
        <f t="shared" si="5"/>
        <v>0.30248990578734858</v>
      </c>
      <c r="J22" s="272">
        <f t="shared" si="5"/>
        <v>0.39729299363057324</v>
      </c>
      <c r="K22" s="272">
        <f t="shared" si="5"/>
        <v>0.1583596214511041</v>
      </c>
      <c r="L22" s="272">
        <f t="shared" si="5"/>
        <v>-5.6047197640117993E-2</v>
      </c>
      <c r="M22" s="272">
        <f t="shared" si="5"/>
        <v>1.2359550561797753E-2</v>
      </c>
      <c r="N22" s="272">
        <f t="shared" si="5"/>
        <v>4.2975206611570248E-2</v>
      </c>
      <c r="O22" s="273">
        <f t="shared" si="5"/>
        <v>0.18016194331983806</v>
      </c>
    </row>
    <row r="23" spans="1:15" x14ac:dyDescent="0.3">
      <c r="A23" s="256"/>
      <c r="B23" s="248" t="s">
        <v>157</v>
      </c>
      <c r="C23" s="269">
        <f>+'Annual 2022l2023'!K22</f>
        <v>163</v>
      </c>
      <c r="D23" s="261">
        <f>+'July 2022'!K22</f>
        <v>12</v>
      </c>
      <c r="E23" s="261">
        <f>+' August 2022'!K22</f>
        <v>21</v>
      </c>
      <c r="F23" s="261">
        <f>+'September 2022'!K22</f>
        <v>2</v>
      </c>
      <c r="G23" s="261">
        <f>+'October 2022'!K22</f>
        <v>0</v>
      </c>
      <c r="H23" s="261">
        <f>+'November 2022'!K22</f>
        <v>22</v>
      </c>
      <c r="I23" s="261">
        <f>+'December 2022'!K22</f>
        <v>19</v>
      </c>
      <c r="J23" s="261">
        <f>+'January 2023'!K22</f>
        <v>0</v>
      </c>
      <c r="K23" s="261">
        <f>+'February 2023'!K22</f>
        <v>0</v>
      </c>
      <c r="L23" s="261">
        <f>+'March 2023'!K22</f>
        <v>25</v>
      </c>
      <c r="M23" s="261">
        <f>+'April 2023'!K22</f>
        <v>18</v>
      </c>
      <c r="N23" s="261">
        <f>+'May 2023'!K22</f>
        <v>24</v>
      </c>
      <c r="O23" s="262">
        <f>+'June 2023'!K22</f>
        <v>20</v>
      </c>
    </row>
    <row r="24" spans="1:15" x14ac:dyDescent="0.3">
      <c r="A24" s="256"/>
      <c r="B24" s="248" t="s">
        <v>114</v>
      </c>
      <c r="C24" s="269">
        <f>+'Annual 2022l2023'!G22</f>
        <v>99</v>
      </c>
      <c r="D24" s="261">
        <f>+'July 2022'!G22</f>
        <v>6</v>
      </c>
      <c r="E24" s="261">
        <f>+' August 2022'!G22</f>
        <v>6</v>
      </c>
      <c r="F24" s="261">
        <f>+'September 2022'!G22</f>
        <v>12</v>
      </c>
      <c r="G24" s="261">
        <f>+'October 2022'!G22</f>
        <v>30</v>
      </c>
      <c r="H24" s="261">
        <f>+'November 2022'!G22</f>
        <v>3</v>
      </c>
      <c r="I24" s="261">
        <f>+'December 2022'!G22</f>
        <v>4</v>
      </c>
      <c r="J24" s="261">
        <f>+'January 2023'!G22</f>
        <v>0</v>
      </c>
      <c r="K24" s="261">
        <f>+'February 2023'!G22</f>
        <v>3</v>
      </c>
      <c r="L24" s="261">
        <f>+'March 2023'!G22</f>
        <v>24</v>
      </c>
      <c r="M24" s="261">
        <f>+'April 2023'!G22</f>
        <v>11</v>
      </c>
      <c r="N24" s="261">
        <f>+'May 2023'!G22</f>
        <v>0</v>
      </c>
      <c r="O24" s="262">
        <f>+'June 2023'!G22</f>
        <v>0</v>
      </c>
    </row>
    <row r="25" spans="1:15" s="274" customFormat="1" x14ac:dyDescent="0.3">
      <c r="A25" s="271"/>
      <c r="B25" s="253" t="s">
        <v>98</v>
      </c>
      <c r="C25" s="272">
        <f t="shared" ref="C25:O25" si="6">IF(C24=0,(C23-C24),(C23-C24)/C24)</f>
        <v>0.64646464646464652</v>
      </c>
      <c r="D25" s="272">
        <f t="shared" si="6"/>
        <v>1</v>
      </c>
      <c r="E25" s="272">
        <f t="shared" si="6"/>
        <v>2.5</v>
      </c>
      <c r="F25" s="272">
        <f t="shared" si="6"/>
        <v>-0.83333333333333337</v>
      </c>
      <c r="G25" s="272">
        <f t="shared" si="6"/>
        <v>-1</v>
      </c>
      <c r="H25" s="272">
        <f t="shared" si="6"/>
        <v>6.333333333333333</v>
      </c>
      <c r="I25" s="272">
        <f t="shared" si="6"/>
        <v>3.75</v>
      </c>
      <c r="J25" s="272">
        <f t="shared" si="6"/>
        <v>0</v>
      </c>
      <c r="K25" s="272">
        <f t="shared" si="6"/>
        <v>-1</v>
      </c>
      <c r="L25" s="272">
        <f t="shared" si="6"/>
        <v>4.1666666666666664E-2</v>
      </c>
      <c r="M25" s="272">
        <f t="shared" si="6"/>
        <v>0.63636363636363635</v>
      </c>
      <c r="N25" s="272">
        <f t="shared" si="6"/>
        <v>24</v>
      </c>
      <c r="O25" s="273">
        <f t="shared" si="6"/>
        <v>20</v>
      </c>
    </row>
    <row r="26" spans="1:15" x14ac:dyDescent="0.3">
      <c r="A26" s="256"/>
      <c r="B26" s="248" t="s">
        <v>158</v>
      </c>
      <c r="C26" s="270">
        <v>1.8</v>
      </c>
      <c r="D26" s="263">
        <v>1.82</v>
      </c>
      <c r="E26" s="264">
        <v>1.8</v>
      </c>
      <c r="F26" s="264">
        <v>1.8</v>
      </c>
      <c r="G26" s="264">
        <v>1.8</v>
      </c>
      <c r="H26" s="264">
        <v>1.8</v>
      </c>
      <c r="I26" s="264">
        <v>2.13</v>
      </c>
      <c r="J26" s="264">
        <v>1.72</v>
      </c>
      <c r="K26" s="264">
        <v>1.88</v>
      </c>
      <c r="L26" s="264">
        <v>1.84</v>
      </c>
      <c r="M26" s="264">
        <v>1.8</v>
      </c>
      <c r="N26" s="264">
        <v>1.65</v>
      </c>
      <c r="O26" s="265">
        <v>1.83</v>
      </c>
    </row>
    <row r="27" spans="1:15" x14ac:dyDescent="0.3">
      <c r="A27" s="256"/>
      <c r="B27" s="248" t="s">
        <v>115</v>
      </c>
      <c r="C27" s="270">
        <v>1.8</v>
      </c>
      <c r="D27" s="263">
        <v>1.8404255319148937</v>
      </c>
      <c r="E27" s="264">
        <v>1.9854014598540146</v>
      </c>
      <c r="F27" s="264">
        <v>1.4850574712643678</v>
      </c>
      <c r="G27" s="264">
        <v>1.0161588180978762</v>
      </c>
      <c r="H27" s="264">
        <v>1.0721022208700943</v>
      </c>
      <c r="I27" s="264">
        <v>2.3311740890688259</v>
      </c>
      <c r="J27" s="264">
        <v>2.3951120162932789</v>
      </c>
      <c r="K27" s="264">
        <v>1.628501827040195</v>
      </c>
      <c r="L27" s="380">
        <v>1.7</v>
      </c>
      <c r="M27" s="380">
        <v>1.7</v>
      </c>
      <c r="N27" s="380">
        <v>1.51</v>
      </c>
      <c r="O27" s="381">
        <v>1.7</v>
      </c>
    </row>
    <row r="28" spans="1:15" s="274" customFormat="1" x14ac:dyDescent="0.3">
      <c r="A28" s="271"/>
      <c r="B28" s="253" t="s">
        <v>98</v>
      </c>
      <c r="C28" s="272">
        <f t="shared" ref="C28:O28" si="7">IF(C27=0,(C26-C27),(C26-C27)/C27)</f>
        <v>0</v>
      </c>
      <c r="D28" s="272">
        <f t="shared" si="7"/>
        <v>-1.1098265895953748E-2</v>
      </c>
      <c r="E28" s="272">
        <f t="shared" si="7"/>
        <v>-9.3382352941176458E-2</v>
      </c>
      <c r="F28" s="272">
        <f t="shared" si="7"/>
        <v>0.21207430340557279</v>
      </c>
      <c r="G28" s="272">
        <f t="shared" si="7"/>
        <v>0.77137664697864616</v>
      </c>
      <c r="H28" s="272">
        <f t="shared" si="7"/>
        <v>0.67894438138479007</v>
      </c>
      <c r="I28" s="272">
        <f t="shared" si="7"/>
        <v>-8.6297325460229307E-2</v>
      </c>
      <c r="J28" s="272">
        <f t="shared" si="7"/>
        <v>-0.28187074829931968</v>
      </c>
      <c r="K28" s="272">
        <f t="shared" si="7"/>
        <v>0.15443530291697818</v>
      </c>
      <c r="L28" s="272">
        <f t="shared" si="7"/>
        <v>8.235294117647067E-2</v>
      </c>
      <c r="M28" s="272">
        <f t="shared" si="7"/>
        <v>5.8823529411764761E-2</v>
      </c>
      <c r="N28" s="272">
        <f t="shared" si="7"/>
        <v>9.2715231788079402E-2</v>
      </c>
      <c r="O28" s="273">
        <f t="shared" si="7"/>
        <v>7.6470588235294193E-2</v>
      </c>
    </row>
    <row r="29" spans="1:15" x14ac:dyDescent="0.3">
      <c r="A29" s="256"/>
      <c r="B29" s="248" t="s">
        <v>159</v>
      </c>
      <c r="C29" s="270">
        <v>2.1</v>
      </c>
      <c r="D29" s="263">
        <v>1.7</v>
      </c>
      <c r="E29" s="263">
        <v>1.9</v>
      </c>
      <c r="F29" s="263">
        <v>2.2000000000000002</v>
      </c>
      <c r="G29" s="263">
        <v>2.5</v>
      </c>
      <c r="H29" s="263">
        <v>2</v>
      </c>
      <c r="I29" s="263">
        <v>2.2000000000000002</v>
      </c>
      <c r="J29" s="263">
        <v>2.6</v>
      </c>
      <c r="K29" s="263">
        <v>2.1</v>
      </c>
      <c r="L29" s="263">
        <v>1.9</v>
      </c>
      <c r="M29" s="263">
        <v>1.9</v>
      </c>
      <c r="N29" s="263">
        <v>2</v>
      </c>
      <c r="O29" s="266">
        <v>2.4</v>
      </c>
    </row>
    <row r="30" spans="1:15" x14ac:dyDescent="0.3">
      <c r="A30" s="256"/>
      <c r="B30" s="248" t="s">
        <v>116</v>
      </c>
      <c r="C30" s="270">
        <v>5.4</v>
      </c>
      <c r="D30" s="263">
        <v>1.709090909090909</v>
      </c>
      <c r="E30" s="263">
        <v>1.6374501992031874</v>
      </c>
      <c r="F30" s="263">
        <v>3.063380281690141</v>
      </c>
      <c r="G30" s="382">
        <v>33.84375</v>
      </c>
      <c r="H30" s="382">
        <v>10.468152866242038</v>
      </c>
      <c r="I30" s="263">
        <v>2.2093023255813953</v>
      </c>
      <c r="J30" s="263">
        <v>2.4673366834170856</v>
      </c>
      <c r="K30" s="263">
        <v>1.8830275229357798</v>
      </c>
      <c r="L30" s="382">
        <v>2</v>
      </c>
      <c r="M30" s="382">
        <v>2.1</v>
      </c>
      <c r="N30" s="382">
        <v>2.1</v>
      </c>
      <c r="O30" s="383">
        <v>1.9</v>
      </c>
    </row>
    <row r="31" spans="1:15" s="274" customFormat="1" ht="14.25" thickBot="1" x14ac:dyDescent="0.35">
      <c r="A31" s="275"/>
      <c r="B31" s="276" t="s">
        <v>98</v>
      </c>
      <c r="C31" s="277">
        <f t="shared" ref="C31:O31" si="8">IF(C30=0,(C29-C30),(C29-C30)/C30)</f>
        <v>-0.61111111111111116</v>
      </c>
      <c r="D31" s="277">
        <f t="shared" si="8"/>
        <v>-5.3191489361701823E-3</v>
      </c>
      <c r="E31" s="277">
        <f t="shared" si="8"/>
        <v>0.1603406326034062</v>
      </c>
      <c r="F31" s="277">
        <f t="shared" si="8"/>
        <v>-0.28183908045977007</v>
      </c>
      <c r="G31" s="277">
        <f t="shared" si="8"/>
        <v>-0.92613111726685138</v>
      </c>
      <c r="H31" s="277">
        <f t="shared" si="8"/>
        <v>-0.80894432613325218</v>
      </c>
      <c r="I31" s="277">
        <f t="shared" si="8"/>
        <v>-4.2105263157893608E-3</v>
      </c>
      <c r="J31" s="277">
        <f t="shared" si="8"/>
        <v>5.3767820773930733E-2</v>
      </c>
      <c r="K31" s="277">
        <f t="shared" si="8"/>
        <v>0.11522533495736913</v>
      </c>
      <c r="L31" s="277">
        <f t="shared" si="8"/>
        <v>-5.0000000000000044E-2</v>
      </c>
      <c r="M31" s="277">
        <f t="shared" si="8"/>
        <v>-9.5238095238095316E-2</v>
      </c>
      <c r="N31" s="277">
        <f t="shared" si="8"/>
        <v>-4.7619047619047658E-2</v>
      </c>
      <c r="O31" s="278">
        <f t="shared" si="8"/>
        <v>0.26315789473684209</v>
      </c>
    </row>
    <row r="33" spans="3:8" x14ac:dyDescent="0.3">
      <c r="C33" s="261"/>
      <c r="F33" s="261"/>
      <c r="H33" s="261"/>
    </row>
    <row r="34" spans="3:8" x14ac:dyDescent="0.3">
      <c r="H34" s="261"/>
    </row>
    <row r="35" spans="3:8" x14ac:dyDescent="0.3">
      <c r="C35" s="261"/>
      <c r="H35" s="261"/>
    </row>
  </sheetData>
  <pageMargins left="0.70866141732283472" right="0.70866141732283472" top="0.74803149606299213" bottom="0.74803149606299213" header="0.31496062992125984" footer="0.31496062992125984"/>
  <pageSetup paperSize="8" scale="9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tabColor rgb="FF00B0F0"/>
    <pageSetUpPr fitToPage="1"/>
  </sheetPr>
  <dimension ref="B1:W36"/>
  <sheetViews>
    <sheetView view="pageBreakPreview" zoomScale="50" zoomScaleNormal="50" zoomScaleSheetLayoutView="50" workbookViewId="0">
      <pane xSplit="2" ySplit="6" topLeftCell="C7" activePane="bottomRight" state="frozen"/>
      <selection activeCell="C4" sqref="C4"/>
      <selection pane="topRight" activeCell="C4" sqref="C4"/>
      <selection pane="bottomLeft" activeCell="C4" sqref="C4"/>
      <selection pane="bottomRight" activeCell="L13" sqref="L13"/>
    </sheetView>
  </sheetViews>
  <sheetFormatPr defaultColWidth="9.140625" defaultRowHeight="23.25" outlineLevelRow="1" x14ac:dyDescent="0.35"/>
  <cols>
    <col min="1" max="1" width="1.28515625" style="5" customWidth="1"/>
    <col min="2" max="2" width="58.7109375" style="5" customWidth="1"/>
    <col min="3" max="3" width="19.85546875" style="5" customWidth="1"/>
    <col min="4" max="4" width="15.7109375" style="5" customWidth="1"/>
    <col min="5" max="5" width="19.28515625" style="5" customWidth="1"/>
    <col min="6" max="6" width="23" style="5" customWidth="1"/>
    <col min="7" max="7" width="19.85546875" style="5" customWidth="1"/>
    <col min="8" max="8" width="15.7109375" style="5" customWidth="1"/>
    <col min="9" max="9" width="20.7109375" style="5" customWidth="1"/>
    <col min="10" max="10" width="23.28515625" style="5" customWidth="1"/>
    <col min="11" max="11" width="15.7109375" style="5" customWidth="1"/>
    <col min="12" max="12" width="16.7109375" style="5" customWidth="1"/>
    <col min="13" max="13" width="15.7109375" style="5" customWidth="1"/>
    <col min="14" max="14" width="19.85546875" style="5" bestFit="1" customWidth="1"/>
    <col min="15" max="16" width="15.7109375" style="5" customWidth="1"/>
    <col min="17" max="17" width="21.28515625" style="5" bestFit="1" customWidth="1"/>
    <col min="18" max="18" width="1.85546875" style="5" customWidth="1"/>
    <col min="19" max="19" width="12.42578125" style="5" bestFit="1" customWidth="1"/>
    <col min="20" max="20" width="9.140625" style="5" customWidth="1"/>
    <col min="21" max="21" width="14.85546875" style="5" bestFit="1" customWidth="1"/>
    <col min="22" max="22" width="11.42578125" style="5" bestFit="1" customWidth="1"/>
    <col min="23" max="16384" width="9.140625" style="5"/>
  </cols>
  <sheetData>
    <row r="1" spans="2:23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3" s="1" customFormat="1" ht="26.25" x14ac:dyDescent="0.4">
      <c r="B2" s="759" t="s">
        <v>150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3" ht="35.25" customHeight="1" x14ac:dyDescent="0.35">
      <c r="B3" s="2" t="s">
        <v>0</v>
      </c>
      <c r="C3" s="53"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3" ht="33" customHeight="1" x14ac:dyDescent="0.35">
      <c r="B4" s="6" t="s">
        <v>1</v>
      </c>
      <c r="C4" s="7">
        <f>'Q1 2022l2023'!C4+'Q2 2022l2023'!C4+'Q3 2022l2023'!C4+'Q4 2022l2023'!C4</f>
        <v>56730</v>
      </c>
      <c r="D4" s="8"/>
      <c r="E4" s="9"/>
      <c r="F4" s="10"/>
      <c r="G4" s="7">
        <f>'Q1 2022l2023'!G4+'Q2 2022l2023'!G4+'Q3 2022l2023'!G4+'Q4 2022l2023'!G4</f>
        <v>29200</v>
      </c>
      <c r="H4" s="11"/>
      <c r="I4" s="11"/>
      <c r="J4" s="11"/>
      <c r="K4" s="7">
        <f>'Q1 2022l2023'!K4+'Q2 2022l2023'!K4+'Q3 2022l2023'!K4+'Q4 2022l2023'!K4</f>
        <v>29200</v>
      </c>
      <c r="L4" s="12"/>
      <c r="M4" s="12"/>
      <c r="N4" s="12"/>
      <c r="O4" s="12"/>
      <c r="P4" s="12"/>
      <c r="Q4" s="13"/>
    </row>
    <row r="5" spans="2:23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23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  <c r="S6" s="360"/>
      <c r="T6" s="360"/>
      <c r="U6" s="360"/>
      <c r="V6" s="360"/>
    </row>
    <row r="7" spans="2:23" s="94" customFormat="1" ht="33" customHeight="1" outlineLevel="1" x14ac:dyDescent="0.3">
      <c r="B7" s="89" t="s">
        <v>37</v>
      </c>
      <c r="C7" s="90">
        <f>'Q1 2022l2023'!C7+'Q2 2022l2023'!C7+'Q3 2022l2023'!C7+'Q4 2022l2023'!C7</f>
        <v>262</v>
      </c>
      <c r="D7" s="91">
        <f t="shared" ref="D7:D20" si="0">+IF(C$24=0,0,C7/C$24)</f>
        <v>1.9456408733105598E-2</v>
      </c>
      <c r="E7" s="92">
        <f>IF(C7=0,0,F7/C7)</f>
        <v>1476.7628625954198</v>
      </c>
      <c r="F7" s="93">
        <f>'Q1 2022l2023'!F7+'Q2 2022l2023'!F7+'Q3 2022l2023'!F7+'Q4 2022l2023'!F7</f>
        <v>386911.87</v>
      </c>
      <c r="G7" s="90">
        <f>'Q1 2022l2023'!G7+'Q2 2022l2023'!G7+'Q3 2022l2023'!G7+'Q4 2022l2023'!G7</f>
        <v>914</v>
      </c>
      <c r="H7" s="91">
        <f t="shared" ref="H7:H16" si="1">+IF(G$24=0,0,G7/G$24)</f>
        <v>5.6458088825745878E-2</v>
      </c>
      <c r="I7" s="92">
        <f>IF(G7=0,0,J7/G7)</f>
        <v>1537.6411378555799</v>
      </c>
      <c r="J7" s="93">
        <f>'Q1 2022l2023'!J7+'Q2 2022l2023'!J7+'Q3 2022l2023'!J7+'Q4 2022l2023'!J7</f>
        <v>1405404</v>
      </c>
      <c r="K7" s="90">
        <f>'Q1 2022l2023'!K7+'Q2 2022l2023'!K7+'Q3 2022l2023'!K7+'Q4 2022l2023'!K7</f>
        <v>361.5</v>
      </c>
      <c r="L7" s="91">
        <f>+IF(K$24=0,0,K7/K$24)</f>
        <v>1.9232303886361823E-2</v>
      </c>
      <c r="M7" s="92">
        <f>IF(K7=0,0,N7/K7)</f>
        <v>1948.3726832641769</v>
      </c>
      <c r="N7" s="93">
        <f>'Q1 2022l2023'!N7+'Q2 2022l2023'!N7+'Q3 2022l2023'!N7+'Q4 2022l2023'!N7</f>
        <v>704336.72499999998</v>
      </c>
      <c r="O7" s="90">
        <f t="shared" ref="O7:O24" si="2">K7-G7</f>
        <v>-552.5</v>
      </c>
      <c r="P7" s="92">
        <f t="shared" ref="P7:P24" si="3">M7-I7</f>
        <v>410.73154540859696</v>
      </c>
      <c r="Q7" s="93">
        <f t="shared" ref="Q7:Q24" si="4">N7-J7</f>
        <v>-701067.27500000002</v>
      </c>
    </row>
    <row r="8" spans="2:23" s="94" customFormat="1" ht="33" customHeight="1" outlineLevel="1" x14ac:dyDescent="0.3">
      <c r="B8" s="89" t="s">
        <v>38</v>
      </c>
      <c r="C8" s="90">
        <f>'Q1 2022l2023'!C8+'Q2 2022l2023'!C8+'Q3 2022l2023'!C8+'Q4 2022l2023'!C8</f>
        <v>5460</v>
      </c>
      <c r="D8" s="91">
        <f t="shared" si="0"/>
        <v>0.40546561710975793</v>
      </c>
      <c r="E8" s="92">
        <f t="shared" ref="E8:E24" si="5">IF(C8=0,0,F8/C8)</f>
        <v>1194.056228937729</v>
      </c>
      <c r="F8" s="93">
        <f>'Q1 2022l2023'!F8+'Q2 2022l2023'!F8+'Q3 2022l2023'!F8+'Q4 2022l2023'!F8</f>
        <v>6519547.0099999998</v>
      </c>
      <c r="G8" s="90">
        <f>'Q1 2022l2023'!G8+'Q2 2022l2023'!G8+'Q3 2022l2023'!G8+'Q4 2022l2023'!G8</f>
        <v>9597</v>
      </c>
      <c r="H8" s="91">
        <f t="shared" si="1"/>
        <v>0.59280993267033166</v>
      </c>
      <c r="I8" s="92">
        <f>IF(G8=0,0,J8/G8)</f>
        <v>1588.53152026675</v>
      </c>
      <c r="J8" s="93">
        <f>'Q1 2022l2023'!J8+'Q2 2022l2023'!J8+'Q3 2022l2023'!J8+'Q4 2022l2023'!J8</f>
        <v>15245137</v>
      </c>
      <c r="K8" s="90">
        <f>'Q1 2022l2023'!K8+'Q2 2022l2023'!K8+'Q3 2022l2023'!K8+'Q4 2022l2023'!K8</f>
        <v>9902</v>
      </c>
      <c r="L8" s="91">
        <f t="shared" ref="L8:L16" si="6">+IF(K$24=0,0,K8/K$24)</f>
        <v>0.52680020216529677</v>
      </c>
      <c r="M8" s="92">
        <f>IF(K8=0,0,N8/K8)</f>
        <v>1780.1948895533187</v>
      </c>
      <c r="N8" s="93">
        <f>'Q1 2022l2023'!N8+'Q2 2022l2023'!N8+'Q3 2022l2023'!N8+'Q4 2022l2023'!N8</f>
        <v>17627489.796356961</v>
      </c>
      <c r="O8" s="90">
        <f t="shared" si="2"/>
        <v>305</v>
      </c>
      <c r="P8" s="92">
        <f t="shared" si="3"/>
        <v>191.6633692865687</v>
      </c>
      <c r="Q8" s="93">
        <f t="shared" si="4"/>
        <v>2382352.7963569611</v>
      </c>
    </row>
    <row r="9" spans="2:23" s="94" customFormat="1" ht="20.25" outlineLevel="1" x14ac:dyDescent="0.3">
      <c r="B9" s="89" t="s">
        <v>44</v>
      </c>
      <c r="C9" s="90">
        <f>'Q1 2022l2023'!C9+'Q2 2022l2023'!C9+'Q3 2022l2023'!C9+'Q4 2022l2023'!C9</f>
        <v>472</v>
      </c>
      <c r="D9" s="91">
        <f t="shared" si="0"/>
        <v>3.5051240160403979E-2</v>
      </c>
      <c r="E9" s="92">
        <f>IF(C9=0,0,F9/C9)</f>
        <v>1188.8872457627119</v>
      </c>
      <c r="F9" s="93">
        <f>'Q1 2022l2023'!F9+'Q2 2022l2023'!F9+'Q3 2022l2023'!F9+'Q4 2022l2023'!F9</f>
        <v>561154.78</v>
      </c>
      <c r="G9" s="90">
        <f>'Q1 2022l2023'!G9+'Q2 2022l2023'!G9+'Q3 2022l2023'!G9+'Q4 2022l2023'!G9</f>
        <v>581</v>
      </c>
      <c r="H9" s="91">
        <f t="shared" si="1"/>
        <v>3.5888566310457719E-2</v>
      </c>
      <c r="I9" s="92">
        <f>IF(G9=0,0,J9/G9)</f>
        <v>1414.1858864027538</v>
      </c>
      <c r="J9" s="93">
        <f>'Q1 2022l2023'!J9+'Q2 2022l2023'!J9+'Q3 2022l2023'!J9+'Q4 2022l2023'!J9</f>
        <v>821642</v>
      </c>
      <c r="K9" s="90">
        <f>'Q1 2022l2023'!K9+'Q2 2022l2023'!K9+'Q3 2022l2023'!K9+'Q4 2022l2023'!K9</f>
        <v>428</v>
      </c>
      <c r="L9" s="91">
        <f t="shared" si="6"/>
        <v>2.2770196579150373E-2</v>
      </c>
      <c r="M9" s="92">
        <f>IF(K9=0,0,N9/K9)</f>
        <v>1492.1396287642781</v>
      </c>
      <c r="N9" s="93">
        <f>'Q1 2022l2023'!N9+'Q2 2022l2023'!N9+'Q3 2022l2023'!N9+'Q4 2022l2023'!N9</f>
        <v>638635.76111111103</v>
      </c>
      <c r="O9" s="90">
        <f t="shared" si="2"/>
        <v>-153</v>
      </c>
      <c r="P9" s="92">
        <f t="shared" si="3"/>
        <v>77.953742361524291</v>
      </c>
      <c r="Q9" s="93">
        <f t="shared" si="4"/>
        <v>-183006.23888888897</v>
      </c>
    </row>
    <row r="10" spans="2:23" ht="33" customHeight="1" x14ac:dyDescent="0.35">
      <c r="B10" s="20" t="s">
        <v>36</v>
      </c>
      <c r="C10" s="55">
        <f>SUM(C7:C9)</f>
        <v>6194</v>
      </c>
      <c r="D10" s="21">
        <f t="shared" si="0"/>
        <v>0.45997326600326749</v>
      </c>
      <c r="E10" s="58">
        <f>IF(C10=0,0,F10/C10)</f>
        <v>1205.6205456893767</v>
      </c>
      <c r="F10" s="59">
        <f>SUM(F7:F9)</f>
        <v>7467613.6600000001</v>
      </c>
      <c r="G10" s="55">
        <f>SUM(G7:G9)</f>
        <v>11092</v>
      </c>
      <c r="H10" s="21">
        <f t="shared" si="1"/>
        <v>0.68515658780653532</v>
      </c>
      <c r="I10" s="58">
        <f>IF(G10=0,0,J10/G10)</f>
        <v>1575.2058240173099</v>
      </c>
      <c r="J10" s="59">
        <f>SUM(J7:J9)</f>
        <v>17472183</v>
      </c>
      <c r="K10" s="55">
        <f>SUM(K7:K9)</f>
        <v>10691.5</v>
      </c>
      <c r="L10" s="21">
        <f t="shared" si="6"/>
        <v>0.5688027026308089</v>
      </c>
      <c r="M10" s="58">
        <f>IF(K10=0,0,N10/K10)</f>
        <v>1774.3499305493217</v>
      </c>
      <c r="N10" s="59">
        <f>SUM(N7:N9)</f>
        <v>18970462.282468073</v>
      </c>
      <c r="O10" s="55">
        <f t="shared" si="2"/>
        <v>-400.5</v>
      </c>
      <c r="P10" s="58">
        <f t="shared" si="3"/>
        <v>199.14410653201185</v>
      </c>
      <c r="Q10" s="59">
        <f t="shared" si="4"/>
        <v>1498279.2824680731</v>
      </c>
      <c r="S10" s="361">
        <f>P10/I10</f>
        <v>0.12642418120581014</v>
      </c>
      <c r="T10" s="362"/>
      <c r="U10" s="361"/>
      <c r="V10" s="361"/>
      <c r="W10" s="327"/>
    </row>
    <row r="11" spans="2:23" s="94" customFormat="1" ht="33" customHeight="1" outlineLevel="1" x14ac:dyDescent="0.35">
      <c r="B11" s="89" t="s">
        <v>40</v>
      </c>
      <c r="C11" s="90">
        <f>'Q1 2022l2023'!C11+'Q2 2022l2023'!C11+'Q3 2022l2023'!C11+'Q4 2022l2023'!C11</f>
        <v>30</v>
      </c>
      <c r="D11" s="91">
        <f t="shared" si="0"/>
        <v>2.2278330610426261E-3</v>
      </c>
      <c r="E11" s="92">
        <f t="shared" si="5"/>
        <v>1515.8</v>
      </c>
      <c r="F11" s="93">
        <f>'Q1 2022l2023'!F11+'Q2 2022l2023'!F11+'Q3 2022l2023'!F11+'Q4 2022l2023'!F11</f>
        <v>45474</v>
      </c>
      <c r="G11" s="90">
        <f>'Q1 2022l2023'!G11+'Q2 2022l2023'!G11+'Q3 2022l2023'!G11+'Q4 2022l2023'!G11</f>
        <v>496</v>
      </c>
      <c r="H11" s="91">
        <f t="shared" si="1"/>
        <v>3.0638087590339119E-2</v>
      </c>
      <c r="I11" s="92">
        <f t="shared" ref="I11:I16" si="7">IF(G11=0,0,J11/G11)</f>
        <v>1842.8689516129032</v>
      </c>
      <c r="J11" s="93">
        <f>'Q1 2022l2023'!J11+'Q2 2022l2023'!J11+'Q3 2022l2023'!J11+'Q4 2022l2023'!J11</f>
        <v>914063</v>
      </c>
      <c r="K11" s="90">
        <f>'Q1 2022l2023'!K11+'Q2 2022l2023'!K11+'Q3 2022l2023'!K11+'Q4 2022l2023'!K11</f>
        <v>1959</v>
      </c>
      <c r="L11" s="91">
        <f t="shared" si="6"/>
        <v>0.10422153060410183</v>
      </c>
      <c r="M11" s="92">
        <f t="shared" ref="M11:M16" si="8">IF(K11=0,0,N11/K11)</f>
        <v>1521.8021741740599</v>
      </c>
      <c r="N11" s="93">
        <f>'Q1 2022l2023'!N11+'Q2 2022l2023'!N11+'Q3 2022l2023'!N11+'Q4 2022l2023'!N11</f>
        <v>2981210.4592069834</v>
      </c>
      <c r="O11" s="90">
        <f t="shared" si="2"/>
        <v>1463</v>
      </c>
      <c r="P11" s="92">
        <f t="shared" si="3"/>
        <v>-321.06677743884325</v>
      </c>
      <c r="Q11" s="93">
        <f t="shared" si="4"/>
        <v>2067147.4592069834</v>
      </c>
      <c r="S11" s="361"/>
      <c r="T11" s="362"/>
      <c r="U11" s="361"/>
      <c r="V11" s="303"/>
    </row>
    <row r="12" spans="2:23" s="94" customFormat="1" ht="33" customHeight="1" outlineLevel="1" x14ac:dyDescent="0.35">
      <c r="B12" s="89" t="s">
        <v>41</v>
      </c>
      <c r="C12" s="90">
        <f>'Q1 2022l2023'!C12+'Q2 2022l2023'!C12+'Q3 2022l2023'!C12+'Q4 2022l2023'!C12</f>
        <v>225</v>
      </c>
      <c r="D12" s="91">
        <f t="shared" si="0"/>
        <v>1.6708747957819695E-2</v>
      </c>
      <c r="E12" s="92">
        <f t="shared" si="5"/>
        <v>913.55782222222228</v>
      </c>
      <c r="F12" s="93">
        <f>'Q1 2022l2023'!F12+'Q2 2022l2023'!F12+'Q3 2022l2023'!F12+'Q4 2022l2023'!F12</f>
        <v>205550.51</v>
      </c>
      <c r="G12" s="90">
        <f>'Q1 2022l2023'!G12+'Q2 2022l2023'!G12+'Q3 2022l2023'!G12+'Q4 2022l2023'!G12</f>
        <v>1259</v>
      </c>
      <c r="H12" s="91">
        <f t="shared" si="1"/>
        <v>7.7768855395639019E-2</v>
      </c>
      <c r="I12" s="92">
        <f t="shared" si="7"/>
        <v>1260.5401111993647</v>
      </c>
      <c r="J12" s="93">
        <f>'Q1 2022l2023'!J12+'Q2 2022l2023'!J12+'Q3 2022l2023'!J12+'Q4 2022l2023'!J12</f>
        <v>1587020</v>
      </c>
      <c r="K12" s="90">
        <f>'Q1 2022l2023'!K12+'Q2 2022l2023'!K12+'Q3 2022l2023'!K12+'Q4 2022l2023'!K12</f>
        <v>3638</v>
      </c>
      <c r="L12" s="91">
        <f t="shared" si="6"/>
        <v>0.19354667092277816</v>
      </c>
      <c r="M12" s="92">
        <f t="shared" si="8"/>
        <v>1437.8328996903922</v>
      </c>
      <c r="N12" s="93">
        <f>'Q1 2022l2023'!N12+'Q2 2022l2023'!N12+'Q3 2022l2023'!N12+'Q4 2022l2023'!N12</f>
        <v>5230836.0890736468</v>
      </c>
      <c r="O12" s="90">
        <f t="shared" si="2"/>
        <v>2379</v>
      </c>
      <c r="P12" s="92">
        <f t="shared" si="3"/>
        <v>177.29278849102752</v>
      </c>
      <c r="Q12" s="93">
        <f t="shared" si="4"/>
        <v>3643816.0890736468</v>
      </c>
      <c r="S12" s="361"/>
      <c r="T12" s="362"/>
      <c r="U12" s="361"/>
      <c r="V12" s="303"/>
    </row>
    <row r="13" spans="2:23" ht="33" customHeight="1" x14ac:dyDescent="0.35">
      <c r="B13" s="20" t="s">
        <v>39</v>
      </c>
      <c r="C13" s="55">
        <f>SUM(C11:C12)</f>
        <v>255</v>
      </c>
      <c r="D13" s="21">
        <f t="shared" si="0"/>
        <v>1.8936581018862319E-2</v>
      </c>
      <c r="E13" s="58">
        <f t="shared" si="5"/>
        <v>984.40984313725494</v>
      </c>
      <c r="F13" s="59">
        <f>SUM(F11:F12)</f>
        <v>251024.51</v>
      </c>
      <c r="G13" s="55">
        <f>SUM(G11:G12)</f>
        <v>1755</v>
      </c>
      <c r="H13" s="21">
        <f t="shared" si="1"/>
        <v>0.10840694298597814</v>
      </c>
      <c r="I13" s="58">
        <f t="shared" si="7"/>
        <v>1425.1185185185186</v>
      </c>
      <c r="J13" s="59">
        <f>SUM(J11:J12)</f>
        <v>2501083</v>
      </c>
      <c r="K13" s="55">
        <f>SUM(K11:K12)</f>
        <v>5597</v>
      </c>
      <c r="L13" s="21">
        <f t="shared" si="6"/>
        <v>0.29776820152687999</v>
      </c>
      <c r="M13" s="58">
        <f t="shared" si="8"/>
        <v>1467.2228958871949</v>
      </c>
      <c r="N13" s="59">
        <f>SUM(N11:N12)</f>
        <v>8212046.5482806303</v>
      </c>
      <c r="O13" s="55">
        <f t="shared" si="2"/>
        <v>3842</v>
      </c>
      <c r="P13" s="58">
        <f t="shared" si="3"/>
        <v>42.104377368676296</v>
      </c>
      <c r="Q13" s="59">
        <f t="shared" si="4"/>
        <v>5710963.5482806303</v>
      </c>
      <c r="S13" s="361">
        <f>P13/I13</f>
        <v>2.9544474246567146E-2</v>
      </c>
      <c r="T13" s="362"/>
      <c r="U13" s="361"/>
      <c r="V13" s="361"/>
      <c r="W13" s="327"/>
    </row>
    <row r="14" spans="2:23" s="94" customFormat="1" ht="33" customHeight="1" outlineLevel="1" x14ac:dyDescent="0.35">
      <c r="B14" s="89" t="s">
        <v>47</v>
      </c>
      <c r="C14" s="90">
        <f>'Q1 2022l2023'!C14+'Q2 2022l2023'!C14+'Q3 2022l2023'!C14+'Q4 2022l2023'!C14</f>
        <v>77</v>
      </c>
      <c r="D14" s="91">
        <f t="shared" si="0"/>
        <v>5.7181048566760729E-3</v>
      </c>
      <c r="E14" s="92">
        <f t="shared" si="5"/>
        <v>1377.2418181818182</v>
      </c>
      <c r="F14" s="95">
        <f>'Q1 2022l2023'!F14+'Q2 2022l2023'!F14+'Q3 2022l2023'!F14+'Q4 2022l2023'!F14</f>
        <v>106047.62</v>
      </c>
      <c r="G14" s="90">
        <f>'Q1 2022l2023'!G14+'Q2 2022l2023'!G14+'Q3 2022l2023'!G14+'Q4 2022l2023'!G14</f>
        <v>661</v>
      </c>
      <c r="H14" s="91">
        <f t="shared" si="1"/>
        <v>4.0830193341157575E-2</v>
      </c>
      <c r="I14" s="92">
        <f t="shared" si="7"/>
        <v>1888.8033282904689</v>
      </c>
      <c r="J14" s="95">
        <f>'Q1 2022l2023'!J14+'Q2 2022l2023'!J14+'Q3 2022l2023'!J14+'Q4 2022l2023'!J14</f>
        <v>1248499</v>
      </c>
      <c r="K14" s="90">
        <f>'Q1 2022l2023'!K14+'Q2 2022l2023'!K14+'Q3 2022l2023'!K14+'Q4 2022l2023'!K14</f>
        <v>382</v>
      </c>
      <c r="L14" s="91">
        <f t="shared" si="6"/>
        <v>2.0322932460830473E-2</v>
      </c>
      <c r="M14" s="92">
        <f t="shared" si="8"/>
        <v>1949.5418848167508</v>
      </c>
      <c r="N14" s="95">
        <f>'Q1 2022l2023'!N14+'Q2 2022l2023'!N14+'Q3 2022l2023'!N14+'Q4 2022l2023'!N14</f>
        <v>744724.99999999884</v>
      </c>
      <c r="O14" s="90">
        <f t="shared" si="2"/>
        <v>-279</v>
      </c>
      <c r="P14" s="92">
        <f t="shared" si="3"/>
        <v>60.738556526281855</v>
      </c>
      <c r="Q14" s="96">
        <f t="shared" si="4"/>
        <v>-503774.00000000116</v>
      </c>
      <c r="S14" s="361"/>
      <c r="T14" s="362"/>
      <c r="U14" s="361"/>
      <c r="V14" s="303"/>
    </row>
    <row r="15" spans="2:23" s="94" customFormat="1" ht="33" customHeight="1" outlineLevel="1" x14ac:dyDescent="0.35">
      <c r="B15" s="89" t="s">
        <v>43</v>
      </c>
      <c r="C15" s="90">
        <f>'Q1 2022l2023'!C15+'Q2 2022l2023'!C15+'Q3 2022l2023'!C15+'Q4 2022l2023'!C15</f>
        <v>6785</v>
      </c>
      <c r="D15" s="91">
        <f t="shared" si="0"/>
        <v>0.50386157730580727</v>
      </c>
      <c r="E15" s="92">
        <f t="shared" si="5"/>
        <v>1285.4619056742813</v>
      </c>
      <c r="F15" s="95">
        <f>'Q1 2022l2023'!F15+'Q2 2022l2023'!F15+'Q3 2022l2023'!F15+'Q4 2022l2023'!F15</f>
        <v>8721859.0299999993</v>
      </c>
      <c r="G15" s="90">
        <f>'Q1 2022l2023'!G15+'Q2 2022l2023'!G15+'Q3 2022l2023'!G15+'Q4 2022l2023'!G15</f>
        <v>2582</v>
      </c>
      <c r="H15" s="91">
        <f t="shared" si="1"/>
        <v>0.15949101241583791</v>
      </c>
      <c r="I15" s="92">
        <f t="shared" si="7"/>
        <v>1695.5209140201393</v>
      </c>
      <c r="J15" s="95">
        <f>'Q1 2022l2023'!J15+'Q2 2022l2023'!J15+'Q3 2022l2023'!J15+'Q4 2022l2023'!J15</f>
        <v>4377835</v>
      </c>
      <c r="K15" s="90">
        <f>'Q1 2022l2023'!K15+'Q2 2022l2023'!K15+'Q3 2022l2023'!K15+'Q4 2022l2023'!K15</f>
        <v>1963</v>
      </c>
      <c r="L15" s="91">
        <f t="shared" si="6"/>
        <v>0.1044343361796079</v>
      </c>
      <c r="M15" s="92">
        <f t="shared" si="8"/>
        <v>1608.0800861976334</v>
      </c>
      <c r="N15" s="95">
        <f>'Q1 2022l2023'!N15+'Q2 2022l2023'!N15+'Q3 2022l2023'!N15+'Q4 2022l2023'!N15</f>
        <v>3156661.2092059543</v>
      </c>
      <c r="O15" s="90">
        <f t="shared" si="2"/>
        <v>-619</v>
      </c>
      <c r="P15" s="92">
        <f t="shared" si="3"/>
        <v>-87.44082782250598</v>
      </c>
      <c r="Q15" s="96">
        <f t="shared" si="4"/>
        <v>-1221173.7907940457</v>
      </c>
      <c r="S15" s="361"/>
      <c r="T15" s="362"/>
      <c r="U15" s="361"/>
      <c r="V15" s="303"/>
    </row>
    <row r="16" spans="2:23" ht="33" customHeight="1" x14ac:dyDescent="0.35">
      <c r="B16" s="20" t="s">
        <v>42</v>
      </c>
      <c r="C16" s="55">
        <f>SUM(C14:C15)</f>
        <v>6862</v>
      </c>
      <c r="D16" s="21">
        <f t="shared" si="0"/>
        <v>0.50957968216248328</v>
      </c>
      <c r="E16" s="58">
        <f t="shared" si="5"/>
        <v>1286.491788108423</v>
      </c>
      <c r="F16" s="87">
        <f>SUM(F14:F15)</f>
        <v>8827906.6499999985</v>
      </c>
      <c r="G16" s="55">
        <f>SUM(G14:G15)</f>
        <v>3243</v>
      </c>
      <c r="H16" s="21">
        <f t="shared" si="1"/>
        <v>0.2003212057569955</v>
      </c>
      <c r="I16" s="58">
        <f t="shared" si="7"/>
        <v>1734.9164353993217</v>
      </c>
      <c r="J16" s="87">
        <f>'Q1 2022l2023'!J16+'Q2 2022l2023'!J16+'Q3 2022l2023'!J16+'Q4 2022l2023'!J16</f>
        <v>5626334</v>
      </c>
      <c r="K16" s="55">
        <f>SUM(K14:K15)</f>
        <v>2345</v>
      </c>
      <c r="L16" s="21">
        <f t="shared" si="6"/>
        <v>0.12475726864043837</v>
      </c>
      <c r="M16" s="58">
        <f t="shared" si="8"/>
        <v>1663.7041403863341</v>
      </c>
      <c r="N16" s="87">
        <f>SUM(N14:N15)</f>
        <v>3901386.2092059534</v>
      </c>
      <c r="O16" s="55">
        <f t="shared" si="2"/>
        <v>-898</v>
      </c>
      <c r="P16" s="58">
        <f t="shared" si="3"/>
        <v>-71.212295012987624</v>
      </c>
      <c r="Q16" s="88">
        <f t="shared" si="4"/>
        <v>-1724947.7907940466</v>
      </c>
      <c r="S16" s="361">
        <f>P16/I16</f>
        <v>-4.1046527406143833E-2</v>
      </c>
      <c r="T16" s="362"/>
      <c r="U16" s="361"/>
      <c r="V16" s="361"/>
      <c r="W16" s="327"/>
    </row>
    <row r="17" spans="2:22" ht="33" hidden="1" customHeight="1" x14ac:dyDescent="0.35">
      <c r="B17" s="20" t="s">
        <v>46</v>
      </c>
      <c r="C17" s="55">
        <v>0</v>
      </c>
      <c r="D17" s="21">
        <f t="shared" si="0"/>
        <v>0</v>
      </c>
      <c r="E17" s="58">
        <f t="shared" si="5"/>
        <v>0</v>
      </c>
      <c r="F17" s="87">
        <v>0</v>
      </c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S17" s="361"/>
      <c r="T17" s="362"/>
      <c r="U17" s="361"/>
      <c r="V17" s="362"/>
    </row>
    <row r="18" spans="2:22" ht="33" hidden="1" customHeight="1" x14ac:dyDescent="0.35">
      <c r="B18" s="22" t="s">
        <v>13</v>
      </c>
      <c r="C18" s="56">
        <f>C8+C9+C11+C12+C17</f>
        <v>6187</v>
      </c>
      <c r="D18" s="23">
        <f t="shared" si="0"/>
        <v>0.45945343828902419</v>
      </c>
      <c r="E18" s="60">
        <f>IF(C18=0,0,F18/C18)</f>
        <v>1185.0212219169225</v>
      </c>
      <c r="F18" s="61">
        <f>F8+F9+F11+F12+F17</f>
        <v>7331726.2999999998</v>
      </c>
      <c r="G18" s="56">
        <f>G8+G9+G11+G12</f>
        <v>11933</v>
      </c>
      <c r="H18" s="23">
        <f>+IF(G$24=0,0,G18/G$24)</f>
        <v>0.73710544196676753</v>
      </c>
      <c r="I18" s="60">
        <f>IF(G18=0,0,J18/G18)</f>
        <v>1556.0095533394788</v>
      </c>
      <c r="J18" s="61">
        <f>J8+J9+J11+J12</f>
        <v>18567862</v>
      </c>
      <c r="K18" s="56">
        <f>K8+K9+K11+K12</f>
        <v>15927</v>
      </c>
      <c r="L18" s="23">
        <f>+IF(K$24=0,0,K18/K$24)</f>
        <v>0.84733860027132712</v>
      </c>
      <c r="M18" s="60">
        <f>IF(K18=0,0,N18/K18)</f>
        <v>1662.4707795409495</v>
      </c>
      <c r="N18" s="61">
        <f>N8+N9+N11+N12</f>
        <v>26478172.105748702</v>
      </c>
      <c r="O18" s="56">
        <f t="shared" si="2"/>
        <v>3994</v>
      </c>
      <c r="P18" s="60">
        <f t="shared" si="3"/>
        <v>106.46122620147071</v>
      </c>
      <c r="Q18" s="66">
        <f t="shared" si="4"/>
        <v>7910310.1057487018</v>
      </c>
      <c r="S18" s="361"/>
      <c r="T18" s="362"/>
      <c r="U18" s="361"/>
      <c r="V18" s="362"/>
    </row>
    <row r="19" spans="2:22" ht="33" hidden="1" customHeight="1" x14ac:dyDescent="0.35">
      <c r="B19" s="22" t="s">
        <v>45</v>
      </c>
      <c r="C19" s="56">
        <f>C7+C14+C15</f>
        <v>7124</v>
      </c>
      <c r="D19" s="23">
        <f t="shared" si="0"/>
        <v>0.5290360908955889</v>
      </c>
      <c r="E19" s="60">
        <f>IF(C19=0,0,F19/C19)</f>
        <v>1293.4894048287479</v>
      </c>
      <c r="F19" s="61">
        <f>F7+F14+F15</f>
        <v>9214818.5199999996</v>
      </c>
      <c r="G19" s="105">
        <f>G7+G14+G15</f>
        <v>4157</v>
      </c>
      <c r="H19" s="106">
        <f>+IF(G$24=0,0,G19/G$24)</f>
        <v>0.25677929458274135</v>
      </c>
      <c r="I19" s="107">
        <f>IF(G19=0,0,J19/G19)</f>
        <v>1691.5414962713496</v>
      </c>
      <c r="J19" s="108">
        <f>J7+J14+J15</f>
        <v>7031738</v>
      </c>
      <c r="K19" s="105">
        <f>K7+K14+K15</f>
        <v>2706.5</v>
      </c>
      <c r="L19" s="106">
        <f>+IF(K$24=0,0,K19/K$24)</f>
        <v>0.1439895725268002</v>
      </c>
      <c r="M19" s="107">
        <f>IF(K19=0,0,N19/K19)</f>
        <v>1701.726559839628</v>
      </c>
      <c r="N19" s="108">
        <f>N7+N14+N15</f>
        <v>4605722.934205953</v>
      </c>
      <c r="O19" s="56">
        <f t="shared" si="2"/>
        <v>-1450.5</v>
      </c>
      <c r="P19" s="60">
        <f t="shared" si="3"/>
        <v>10.185063568278338</v>
      </c>
      <c r="Q19" s="66">
        <f t="shared" si="4"/>
        <v>-2426015.065794047</v>
      </c>
      <c r="S19" s="361"/>
      <c r="T19" s="362"/>
      <c r="U19" s="361"/>
      <c r="V19" s="362"/>
    </row>
    <row r="20" spans="2:22" ht="33" customHeight="1" x14ac:dyDescent="0.35">
      <c r="B20" s="28" t="s">
        <v>16</v>
      </c>
      <c r="C20" s="56">
        <f>C18+C19</f>
        <v>13311</v>
      </c>
      <c r="D20" s="23">
        <f t="shared" si="0"/>
        <v>0.98848952918461308</v>
      </c>
      <c r="E20" s="60">
        <f t="shared" si="5"/>
        <v>1243.0730087897227</v>
      </c>
      <c r="F20" s="64">
        <f>F18+F19</f>
        <v>16546544.82</v>
      </c>
      <c r="G20" s="56">
        <f>G18+G19</f>
        <v>16090</v>
      </c>
      <c r="H20" s="23">
        <f>+IF(G$24=0,0,G20/G$24)</f>
        <v>0.99388473654950893</v>
      </c>
      <c r="I20" s="60">
        <f>IF(G20=0,0,J20/G20)</f>
        <v>1591.0254816656309</v>
      </c>
      <c r="J20" s="64">
        <f>J18+J19</f>
        <v>25599600</v>
      </c>
      <c r="K20" s="56">
        <f>K18+K19</f>
        <v>18633.5</v>
      </c>
      <c r="L20" s="23">
        <f>+IF(K$24=0,0,K20/K$24)</f>
        <v>0.99132817279812735</v>
      </c>
      <c r="M20" s="60">
        <f>IF(K20=0,0,N20/K20)</f>
        <v>1668.172648184971</v>
      </c>
      <c r="N20" s="64">
        <f>N18+N19</f>
        <v>31083895.039954655</v>
      </c>
      <c r="O20" s="56">
        <f t="shared" si="2"/>
        <v>2543.5</v>
      </c>
      <c r="P20" s="60">
        <f t="shared" si="3"/>
        <v>77.14716651934009</v>
      </c>
      <c r="Q20" s="66">
        <f t="shared" si="4"/>
        <v>5484295.0399546549</v>
      </c>
      <c r="S20" s="362"/>
      <c r="T20" s="362"/>
      <c r="U20" s="362"/>
      <c r="V20" s="362"/>
    </row>
    <row r="21" spans="2:22" ht="33" customHeight="1" x14ac:dyDescent="0.35">
      <c r="B21" s="29" t="s">
        <v>17</v>
      </c>
      <c r="C21" s="24">
        <f>IF(C4=0,C20,C20/$C$4)</f>
        <v>0.23463775780010576</v>
      </c>
      <c r="D21" s="30"/>
      <c r="E21" s="35"/>
      <c r="F21" s="36"/>
      <c r="G21" s="24">
        <f>IF(G4=0,G20,G20/$C$4)</f>
        <v>0.28362418473470824</v>
      </c>
      <c r="H21" s="30"/>
      <c r="I21" s="35"/>
      <c r="J21" s="36"/>
      <c r="K21" s="24">
        <f>IF(K4=0,K20,K20/$C$4)</f>
        <v>0.3284593689405958</v>
      </c>
      <c r="L21" s="30"/>
      <c r="M21" s="35"/>
      <c r="N21" s="36"/>
      <c r="O21" s="54">
        <f t="shared" si="2"/>
        <v>4.4835184205887557E-2</v>
      </c>
      <c r="P21" s="30">
        <f t="shared" si="3"/>
        <v>0</v>
      </c>
      <c r="Q21" s="31">
        <f t="shared" si="4"/>
        <v>0</v>
      </c>
      <c r="S21" s="362"/>
      <c r="T21" s="362"/>
      <c r="U21" s="362"/>
      <c r="V21" s="362"/>
    </row>
    <row r="22" spans="2:22" ht="33" customHeight="1" x14ac:dyDescent="0.35">
      <c r="B22" s="25" t="s">
        <v>18</v>
      </c>
      <c r="C22" s="57">
        <f>'Q1 2022l2023'!C22+'Q2 2022l2023'!C22+'Q3 2022l2023'!C22+'Q4 2022l2023'!C22</f>
        <v>155</v>
      </c>
      <c r="D22" s="26">
        <f>+IF(C$24=0,0,C22/C$24)</f>
        <v>1.15104708153869E-2</v>
      </c>
      <c r="E22" s="65">
        <f t="shared" si="5"/>
        <v>-585.1456774193548</v>
      </c>
      <c r="F22" s="63">
        <f>'Q1 2022l2023'!F22+'Q2 2022l2023'!F22+'Q3 2022l2023'!F22+'Q4 2022l2023'!F22</f>
        <v>-90697.58</v>
      </c>
      <c r="G22" s="57">
        <f>'Q1 2022l2023'!G22+'Q2 2022l2023'!G22+'Q3 2022l2023'!G22+'Q4 2022l2023'!G22</f>
        <v>99</v>
      </c>
      <c r="H22" s="26">
        <f>+IF(G$24=0,0,G22/G$24)</f>
        <v>6.1152634504910743E-3</v>
      </c>
      <c r="I22" s="65">
        <f>IF(G22=0,0,J22/G22)</f>
        <v>288.91919191919192</v>
      </c>
      <c r="J22" s="63">
        <f>'Q1 2022l2023'!J22+'Q2 2022l2023'!J22+'Q3 2022l2023'!J22+'Q4 2022l2023'!J22</f>
        <v>28603</v>
      </c>
      <c r="K22" s="57">
        <f>'Q1 2022l2023'!K22+'Q2 2022l2023'!K22+'Q3 2022l2023'!K22+'Q4 2022l2023'!K22</f>
        <v>163</v>
      </c>
      <c r="L22" s="26">
        <f>+IF(K$24=0,0,K22/K$24)</f>
        <v>8.6718272018726887E-3</v>
      </c>
      <c r="M22" s="65">
        <f>IF(K22=0,0,N22/K22)</f>
        <v>0</v>
      </c>
      <c r="N22" s="63">
        <f>'Q1 2022l2023'!N22+'Q2 2022l2023'!N22+'Q3 2022l2023'!N22+'Q4 2022l2023'!N22</f>
        <v>0</v>
      </c>
      <c r="O22" s="57">
        <f t="shared" si="2"/>
        <v>64</v>
      </c>
      <c r="P22" s="62">
        <f t="shared" si="3"/>
        <v>-288.91919191919192</v>
      </c>
      <c r="Q22" s="63">
        <f t="shared" si="4"/>
        <v>-28603</v>
      </c>
      <c r="S22" s="362"/>
      <c r="T22" s="362"/>
      <c r="U22" s="362"/>
      <c r="V22" s="362"/>
    </row>
    <row r="23" spans="2:22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 t="shared" si="5"/>
        <v>0</v>
      </c>
      <c r="F23" s="63">
        <f>'Q1 2022l2023'!F23+'Q2 2022l2023'!F23+'Q3 2022l2023'!F23+'Q4 2022l2023'!F23</f>
        <v>0</v>
      </c>
      <c r="G23" s="57">
        <f>'Q1 2022l2023'!G23+'Q2 2022l2023'!G23+'Q3 2022l2023'!G23+'Q4 2022l2023'!G23</f>
        <v>0</v>
      </c>
      <c r="H23" s="26">
        <f>+IF(G$24=0,0,G23/G$24)</f>
        <v>0</v>
      </c>
      <c r="I23" s="62">
        <f>IF(G23=0,0,J23/G23)</f>
        <v>0</v>
      </c>
      <c r="J23" s="63">
        <f>'Q1 2022l2023'!J23+'Q2 2022l2023'!J23+'Q3 2022l2023'!J23+'Q4 2022l2023'!J23</f>
        <v>0</v>
      </c>
      <c r="K23" s="57">
        <f>'Q1 2022l2023'!K23+'Q2 2022l2023'!K23+'Q3 2022l2023'!K23+'Q4 2022l2023'!K23</f>
        <v>0</v>
      </c>
      <c r="L23" s="26">
        <f>+IF(K$24=0,0,K23/K$24)</f>
        <v>0</v>
      </c>
      <c r="M23" s="62">
        <f>IF(K23=0,0,N23/K23)</f>
        <v>0</v>
      </c>
      <c r="N23" s="63">
        <f>'Q1 2022l2023'!N23+'Q2 2022l2023'!N23+'Q3 2022l2023'!N23+'Q4 2022l2023'!N23</f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  <c r="S23" s="362"/>
      <c r="T23" s="362"/>
      <c r="U23" s="362"/>
      <c r="V23" s="362"/>
    </row>
    <row r="24" spans="2:22" ht="33" customHeight="1" x14ac:dyDescent="0.35">
      <c r="B24" s="22" t="s">
        <v>20</v>
      </c>
      <c r="C24" s="56">
        <f>C10+C13+C16+C22+C23+C17</f>
        <v>13466</v>
      </c>
      <c r="D24" s="23">
        <f>+IF(C$24=0,0,C24/C$24)</f>
        <v>1</v>
      </c>
      <c r="E24" s="60">
        <f t="shared" si="5"/>
        <v>1222.0293509579681</v>
      </c>
      <c r="F24" s="64">
        <f>F10+F13+F16+F22+F23+F17</f>
        <v>16455847.239999998</v>
      </c>
      <c r="G24" s="56">
        <f>G10+G13+G16+G22+G23</f>
        <v>16189</v>
      </c>
      <c r="H24" s="23">
        <f>+IF(G$24=0,0,G24/G$24)</f>
        <v>1</v>
      </c>
      <c r="I24" s="60">
        <f>IF(G24=0,0,J24/G24)</f>
        <v>1583.06275866329</v>
      </c>
      <c r="J24" s="64">
        <f>J10+J13+J16+J22+J23</f>
        <v>25628203</v>
      </c>
      <c r="K24" s="56">
        <f>K10+K13+K16+K22+K23</f>
        <v>18796.5</v>
      </c>
      <c r="L24" s="23">
        <f>+IF(K$24=0,0,K24/K$24)</f>
        <v>1</v>
      </c>
      <c r="M24" s="60">
        <f>IF(K24=0,0,N24/K24)</f>
        <v>1653.7065432370205</v>
      </c>
      <c r="N24" s="64">
        <f>N10+N13+N16+N22+N23</f>
        <v>31083895.039954655</v>
      </c>
      <c r="O24" s="56">
        <f t="shared" si="2"/>
        <v>2607.5</v>
      </c>
      <c r="P24" s="60">
        <f t="shared" si="3"/>
        <v>70.6437845737305</v>
      </c>
      <c r="Q24" s="64">
        <f t="shared" si="4"/>
        <v>5455692.0399546549</v>
      </c>
      <c r="S24" s="361"/>
      <c r="T24" s="363"/>
      <c r="U24" s="361"/>
      <c r="V24" s="361"/>
    </row>
    <row r="25" spans="2:22" ht="33" customHeight="1" x14ac:dyDescent="0.35">
      <c r="B25" s="32"/>
      <c r="C25" s="33"/>
      <c r="D25" s="34"/>
      <c r="E25" s="35"/>
      <c r="F25" s="36"/>
      <c r="G25" s="33"/>
      <c r="H25" s="34"/>
      <c r="I25" s="37"/>
      <c r="J25" s="314"/>
      <c r="K25" s="39"/>
      <c r="L25" s="34"/>
      <c r="M25" s="30"/>
      <c r="N25" s="31"/>
      <c r="O25" s="39"/>
      <c r="P25" s="37">
        <f>IF(I24=0,(M24-I24),(M24-I24)/I24)</f>
        <v>4.4624752990450524E-2</v>
      </c>
      <c r="Q25" s="38">
        <f>IF(J24=0,(N24-J24),(N24-J24)/J24)</f>
        <v>0.21287844645036777</v>
      </c>
    </row>
    <row r="26" spans="2:22" ht="33" customHeight="1" x14ac:dyDescent="0.35">
      <c r="B26" s="40" t="s">
        <v>21</v>
      </c>
      <c r="C26" s="41">
        <f>IF(C4=0,C24,C24/C4)</f>
        <v>0.23736999823726423</v>
      </c>
      <c r="D26" s="30"/>
      <c r="E26" s="30"/>
      <c r="F26" s="31"/>
      <c r="G26" s="41">
        <f>IF(G4=0,G24,G24/G4)</f>
        <v>0.55441780821917808</v>
      </c>
      <c r="H26" s="30"/>
      <c r="I26" s="30"/>
      <c r="J26" s="31"/>
      <c r="K26" s="41">
        <f>IF(K4=0,K24,K24/K4)</f>
        <v>0.64371575342465759</v>
      </c>
      <c r="L26" s="30"/>
      <c r="M26" s="30"/>
      <c r="N26" s="31"/>
      <c r="O26" s="41">
        <f>K26-G26</f>
        <v>8.9297945205479512E-2</v>
      </c>
      <c r="P26" s="30"/>
      <c r="Q26" s="31"/>
    </row>
    <row r="27" spans="2:22" ht="33" customHeight="1" x14ac:dyDescent="0.35">
      <c r="B27" s="42" t="s">
        <v>22</v>
      </c>
      <c r="C27" s="43">
        <f>IF(C4=0,0,F$24/C$4)</f>
        <v>290.07310488277807</v>
      </c>
      <c r="D27" s="44"/>
      <c r="E27" s="45"/>
      <c r="F27" s="46"/>
      <c r="G27" s="43">
        <f>IF(G4=0,0,J$24/G$4)</f>
        <v>877.67818493150685</v>
      </c>
      <c r="H27" s="315"/>
      <c r="I27" s="45"/>
      <c r="J27" s="46"/>
      <c r="K27" s="43">
        <f>IF(K4=0,0,N$24/K$4)</f>
        <v>1064.5169534231047</v>
      </c>
      <c r="L27" s="44"/>
      <c r="M27" s="45"/>
      <c r="N27" s="46"/>
      <c r="O27" s="43">
        <f>K27-G27</f>
        <v>186.83876849159788</v>
      </c>
      <c r="P27" s="45"/>
      <c r="Q27" s="46"/>
    </row>
    <row r="28" spans="2:22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2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22" x14ac:dyDescent="0.35">
      <c r="B30" s="358"/>
      <c r="Q30" s="86"/>
    </row>
    <row r="31" spans="2:22" x14ac:dyDescent="0.35">
      <c r="B31" s="358"/>
      <c r="Q31" s="86"/>
    </row>
    <row r="32" spans="2:22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0" orientation="landscape" errors="blank" horizontalDpi="300" verticalDpi="300" r:id="rId1"/>
  <headerFooter>
    <oddFooter>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46FC6-66E7-429F-8C0F-70CD5B2A7F14}">
  <sheetPr codeName="Sheet12">
    <tabColor rgb="FFFFFF00"/>
  </sheetPr>
  <dimension ref="C2:H4"/>
  <sheetViews>
    <sheetView workbookViewId="0">
      <selection activeCell="P21" sqref="P21"/>
    </sheetView>
  </sheetViews>
  <sheetFormatPr defaultColWidth="8.85546875" defaultRowHeight="15" x14ac:dyDescent="0.25"/>
  <cols>
    <col min="1" max="2" width="8.85546875" style="297"/>
    <col min="3" max="3" width="11.7109375" style="297" bestFit="1" customWidth="1"/>
    <col min="4" max="16384" width="8.85546875" style="297"/>
  </cols>
  <sheetData>
    <row r="2" spans="3:8" x14ac:dyDescent="0.25">
      <c r="D2" s="740" t="s">
        <v>231</v>
      </c>
      <c r="E2" s="740" t="s">
        <v>232</v>
      </c>
      <c r="F2" s="740" t="s">
        <v>233</v>
      </c>
      <c r="G2" s="740" t="s">
        <v>234</v>
      </c>
      <c r="H2" s="740" t="s">
        <v>235</v>
      </c>
    </row>
    <row r="3" spans="3:8" x14ac:dyDescent="0.25">
      <c r="C3" s="714" t="s">
        <v>229</v>
      </c>
      <c r="D3" s="450">
        <f>'Room Nights'!O93</f>
        <v>0.64107821475916926</v>
      </c>
      <c r="E3" s="450">
        <f>'Room Nights'!O94</f>
        <v>0.45623127093248722</v>
      </c>
      <c r="F3" s="450">
        <f>'Room Nights'!O95</f>
        <v>0.23736999823726423</v>
      </c>
      <c r="G3" s="450">
        <f>'Room Nights'!O96</f>
        <v>0.55441780821917808</v>
      </c>
      <c r="H3" s="450">
        <f>'Room Nights'!O97</f>
        <v>0.64371575342465759</v>
      </c>
    </row>
    <row r="4" spans="3:8" x14ac:dyDescent="0.25">
      <c r="C4" s="714" t="s">
        <v>230</v>
      </c>
      <c r="D4" s="741">
        <f>ADR!O85</f>
        <v>1519.0369030482641</v>
      </c>
      <c r="E4" s="741">
        <f>ADR!O87</f>
        <v>1847.5061405610077</v>
      </c>
      <c r="F4" s="741">
        <f>ADR!O88</f>
        <v>1222.0293509579681</v>
      </c>
      <c r="G4" s="741">
        <f>ADR!O89</f>
        <v>1583.06275866329</v>
      </c>
      <c r="H4" s="741">
        <f>ADR!O90</f>
        <v>1653.7065432370205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13">
    <tabColor rgb="FFFFFF00"/>
  </sheetPr>
  <dimension ref="A3:S6"/>
  <sheetViews>
    <sheetView workbookViewId="0">
      <selection activeCell="J3" sqref="J3"/>
    </sheetView>
  </sheetViews>
  <sheetFormatPr defaultColWidth="9.140625" defaultRowHeight="15" x14ac:dyDescent="0.25"/>
  <cols>
    <col min="1" max="16384" width="9.140625" style="297"/>
  </cols>
  <sheetData>
    <row r="3" spans="1:19" x14ac:dyDescent="0.25">
      <c r="B3" s="297" t="s">
        <v>226</v>
      </c>
      <c r="E3" s="297" t="s">
        <v>227</v>
      </c>
      <c r="S3" s="297" t="s">
        <v>228</v>
      </c>
    </row>
    <row r="4" spans="1:19" x14ac:dyDescent="0.25">
      <c r="A4" s="297" t="s">
        <v>185</v>
      </c>
      <c r="B4" s="527">
        <v>0.69</v>
      </c>
      <c r="C4" s="527"/>
      <c r="D4" s="297" t="s">
        <v>185</v>
      </c>
      <c r="E4" s="527">
        <v>0.56999999999999995</v>
      </c>
      <c r="R4" s="297" t="s">
        <v>185</v>
      </c>
      <c r="S4" s="527">
        <v>0.37</v>
      </c>
    </row>
    <row r="5" spans="1:19" x14ac:dyDescent="0.25">
      <c r="A5" s="297" t="s">
        <v>187</v>
      </c>
      <c r="B5" s="527">
        <v>0.11</v>
      </c>
      <c r="C5" s="527"/>
      <c r="D5" s="297" t="s">
        <v>187</v>
      </c>
      <c r="E5" s="527">
        <v>0.13</v>
      </c>
      <c r="R5" s="297" t="s">
        <v>187</v>
      </c>
      <c r="S5" s="527">
        <v>0.21</v>
      </c>
    </row>
    <row r="6" spans="1:19" x14ac:dyDescent="0.25">
      <c r="A6" s="297" t="s">
        <v>217</v>
      </c>
      <c r="B6" s="527">
        <v>0.2</v>
      </c>
      <c r="C6" s="527"/>
      <c r="D6" s="297" t="s">
        <v>217</v>
      </c>
      <c r="E6" s="527">
        <v>0.13</v>
      </c>
      <c r="R6" s="297" t="s">
        <v>217</v>
      </c>
      <c r="S6" s="527">
        <v>0.41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41</vt:i4>
      </vt:variant>
      <vt:variant>
        <vt:lpstr>Named Ranges</vt:lpstr>
      </vt:variant>
      <vt:variant>
        <vt:i4>36</vt:i4>
      </vt:variant>
    </vt:vector>
  </HeadingPairs>
  <TitlesOfParts>
    <vt:vector size="77" baseType="lpstr">
      <vt:lpstr>Sheet2</vt:lpstr>
      <vt:lpstr>80 Room Model</vt:lpstr>
      <vt:lpstr>Room Nights</vt:lpstr>
      <vt:lpstr>ADR</vt:lpstr>
      <vt:lpstr>Room Revenue</vt:lpstr>
      <vt:lpstr>SUMMARY</vt:lpstr>
      <vt:lpstr>Annual 2022l2023</vt:lpstr>
      <vt:lpstr>KPI's Graphs</vt:lpstr>
      <vt:lpstr>Business Mix Graphs</vt:lpstr>
      <vt:lpstr>DJuly 2022</vt:lpstr>
      <vt:lpstr>July 2022</vt:lpstr>
      <vt:lpstr>DAugust 2022</vt:lpstr>
      <vt:lpstr> August 2022</vt:lpstr>
      <vt:lpstr>DSeptember 2022</vt:lpstr>
      <vt:lpstr>September 2022</vt:lpstr>
      <vt:lpstr>Q1 2022l2023</vt:lpstr>
      <vt:lpstr>DOctober 2022</vt:lpstr>
      <vt:lpstr>October 2022</vt:lpstr>
      <vt:lpstr>DNovember 2022</vt:lpstr>
      <vt:lpstr>November 2022</vt:lpstr>
      <vt:lpstr>DDecember 2022</vt:lpstr>
      <vt:lpstr>December 2022</vt:lpstr>
      <vt:lpstr>Q2 2022l2023</vt:lpstr>
      <vt:lpstr>DJanuary 2023</vt:lpstr>
      <vt:lpstr>January 2023</vt:lpstr>
      <vt:lpstr>DFebruary 2023</vt:lpstr>
      <vt:lpstr>February 2023</vt:lpstr>
      <vt:lpstr>DMarch 2023</vt:lpstr>
      <vt:lpstr>March 2023</vt:lpstr>
      <vt:lpstr>Q3 2022l2023</vt:lpstr>
      <vt:lpstr>DApril 2023</vt:lpstr>
      <vt:lpstr>April 2023</vt:lpstr>
      <vt:lpstr>DMay 2023</vt:lpstr>
      <vt:lpstr>May 2023</vt:lpstr>
      <vt:lpstr>DJune 2023</vt:lpstr>
      <vt:lpstr>June 2023</vt:lpstr>
      <vt:lpstr>Q4 2022l2023</vt:lpstr>
      <vt:lpstr>Q1</vt:lpstr>
      <vt:lpstr>Q2</vt:lpstr>
      <vt:lpstr>Q3</vt:lpstr>
      <vt:lpstr>Q4</vt:lpstr>
      <vt:lpstr>' August 2022'!Print_Area</vt:lpstr>
      <vt:lpstr>ADR!Print_Area</vt:lpstr>
      <vt:lpstr>'Annual 2022l2023'!Print_Area</vt:lpstr>
      <vt:lpstr>'April 2023'!Print_Area</vt:lpstr>
      <vt:lpstr>'DApril 2023'!Print_Area</vt:lpstr>
      <vt:lpstr>'DAugust 2022'!Print_Area</vt:lpstr>
      <vt:lpstr>'DDecember 2022'!Print_Area</vt:lpstr>
      <vt:lpstr>'December 2022'!Print_Area</vt:lpstr>
      <vt:lpstr>'DFebruary 2023'!Print_Area</vt:lpstr>
      <vt:lpstr>'DJanuary 2023'!Print_Area</vt:lpstr>
      <vt:lpstr>'DJuly 2022'!Print_Area</vt:lpstr>
      <vt:lpstr>'DJune 2023'!Print_Area</vt:lpstr>
      <vt:lpstr>'DMarch 2023'!Print_Area</vt:lpstr>
      <vt:lpstr>'DMay 2023'!Print_Area</vt:lpstr>
      <vt:lpstr>'DNovember 2022'!Print_Area</vt:lpstr>
      <vt:lpstr>'DOctober 2022'!Print_Area</vt:lpstr>
      <vt:lpstr>'DSeptember 2022'!Print_Area</vt:lpstr>
      <vt:lpstr>'February 2023'!Print_Area</vt:lpstr>
      <vt:lpstr>'January 2023'!Print_Area</vt:lpstr>
      <vt:lpstr>'July 2022'!Print_Area</vt:lpstr>
      <vt:lpstr>'June 2023'!Print_Area</vt:lpstr>
      <vt:lpstr>'March 2023'!Print_Area</vt:lpstr>
      <vt:lpstr>'May 2023'!Print_Area</vt:lpstr>
      <vt:lpstr>'November 2022'!Print_Area</vt:lpstr>
      <vt:lpstr>'October 2022'!Print_Area</vt:lpstr>
      <vt:lpstr>'Q1'!Print_Area</vt:lpstr>
      <vt:lpstr>'Q1 2022l2023'!Print_Area</vt:lpstr>
      <vt:lpstr>'Q2'!Print_Area</vt:lpstr>
      <vt:lpstr>'Q2 2022l2023'!Print_Area</vt:lpstr>
      <vt:lpstr>'Q3'!Print_Area</vt:lpstr>
      <vt:lpstr>'Q3 2022l2023'!Print_Area</vt:lpstr>
      <vt:lpstr>'Q4'!Print_Area</vt:lpstr>
      <vt:lpstr>'Q4 2022l2023'!Print_Area</vt:lpstr>
      <vt:lpstr>'Room Nights'!Print_Area</vt:lpstr>
      <vt:lpstr>'Room Revenue'!Print_Area</vt:lpstr>
      <vt:lpstr>'September 2022'!Print_Area</vt:lpstr>
    </vt:vector>
  </TitlesOfParts>
  <Company>ATLANTIS THE PALM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Josephine.Salleh</dc:creator>
  <cp:lastModifiedBy>Willem Aarts</cp:lastModifiedBy>
  <cp:lastPrinted>2022-05-10T06:11:33Z</cp:lastPrinted>
  <dcterms:created xsi:type="dcterms:W3CDTF">2014-03-25T05:31:18Z</dcterms:created>
  <dcterms:modified xsi:type="dcterms:W3CDTF">2022-11-16T15:32:39Z</dcterms:modified>
</cp:coreProperties>
</file>