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ff19fa9ab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c4dc2688cd64e8a"/>
    <x:sheet xmlns:r="http://schemas.openxmlformats.org/officeDocument/2006/relationships" name="Assumptions" sheetId="2" r:id="R0f16daf7c1fc446d"/>
    <x:sheet xmlns:r="http://schemas.openxmlformats.org/officeDocument/2006/relationships" name="Menu economics" sheetId="3" r:id="Rc8e2bebf7e1b4efa"/>
    <x:sheet xmlns:r="http://schemas.openxmlformats.org/officeDocument/2006/relationships" name="Startup" sheetId="4" r:id="R0a56d2c60c0d4601"/>
    <x:sheet xmlns:r="http://schemas.openxmlformats.org/officeDocument/2006/relationships" name="Operating costs" sheetId="5" r:id="R9fc51ebc86a946c1"/>
    <x:sheet xmlns:r="http://schemas.openxmlformats.org/officeDocument/2006/relationships" name="Monthly forecast" sheetId="6" r:id="R69365b327a6d48e5"/>
    <x:sheet xmlns:r="http://schemas.openxmlformats.org/officeDocument/2006/relationships" name="Annual tax" sheetId="7" r:id="R4ffa1bc52f114b2c"/>
    <x:sheet xmlns:r="http://schemas.openxmlformats.org/officeDocument/2006/relationships" name="Funding" sheetId="8" r:id="R052cde6ee4964722"/>
    <x:sheet xmlns:r="http://schemas.openxmlformats.org/officeDocument/2006/relationships" name="Review" sheetId="9" r:id="Rb33fbe1646f943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(#,##0);&quot;–&quot;"/>
    <x:numFmt numFmtId="201" formatCode="0"/>
    <x:numFmt numFmtId="202" formatCode="0.0%;(0.0%);&quot;–&quot;"/>
    <x:numFmt numFmtId="203" formatCode="0.00"/>
    <x:numFmt numFmtId="204" formatCode="mmm-yy"/>
    <x:numFmt numFmtId="205" formatCode="0.00;(0.00);0.00"/>
  </x:numFmts>
  <x:fonts count="7">
    <x:font>
      <x:sz val="11"/>
      <x:name val="Carlito"/>
    </x:font>
    <x:font>
      <x:sz val="10"/>
      <x:color rgb="FF29251F"/>
      <x:name val="Arial"/>
    </x:font>
    <x:font>
      <x:b/>
      <x:sz val="16"/>
      <x:color rgb="FF29251F"/>
      <x:name val="Arial"/>
    </x:font>
    <x:font>
      <x:sz val="10"/>
      <x:color rgb="FF1751AA"/>
      <x:name val="Arial"/>
    </x:font>
    <x:font>
      <x:sz val="10"/>
      <x:color rgb="FF217346"/>
      <x:name val="Arial"/>
    </x:font>
    <x:font>
      <x:b/>
      <x:sz val="10"/>
      <x:color rgb="FF29251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2EEE7"/>
      </x:patternFill>
    </x:fill>
    <x:fill>
      <x:patternFill patternType="solid">
        <x:fgColor rgb="FF29251F"/>
      </x:patternFill>
    </x:fill>
  </x:fills>
  <x:borders count="4">
    <x:border/>
    <x:border>
      <x:bottom style="thin">
        <x:color rgb="FF785640"/>
      </x:bottom>
    </x:border>
    <x:border>
      <x:left style="dotted">
        <x:color rgb="FF785640"/>
      </x:left>
      <x:right style="dotted">
        <x:color rgb="FF785640"/>
      </x:right>
      <x:top style="dotted">
        <x:color rgb="FF785640"/>
      </x:top>
      <x:bottom style="dotted">
        <x:color rgb="FF785640"/>
      </x:bottom>
    </x:border>
    <x:border>
      <x:top style="thin">
        <x:color rgb="FFBEB6A9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/>
    <x:xf numFmtId="202" fontId="3" fillId="0" borderId="0" xfId="0" applyNumberFormat="1" applyFont="1" applyFill="1" applyBorder="1"/>
    <x:xf numFmtId="202" fontId="1" fillId="0" borderId="0" xfId="0" applyNumberFormat="1" applyFont="1" applyFill="1" applyBorder="1"/>
    <x:xf numFmtId="203" fontId="3" fillId="0" borderId="0" xfId="0" applyNumberFormat="1" applyFont="1" applyFill="1" applyBorder="1"/>
    <x:xf numFmtId="200" fontId="4" fillId="0" borderId="0" xfId="0" applyNumberFormat="1" applyFont="1" applyFill="1" applyBorder="1"/>
    <x:xf numFmtId="203" fontId="4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0" fontId="4" fillId="0" borderId="0" xfId="0" applyNumberFormat="1" applyFont="1" applyFill="1" applyBorder="1"/>
    <x:xf numFmtId="204" fontId="4" fillId="0" borderId="0" xfId="0" applyNumberFormat="1" applyFont="1" applyFill="1" applyBorder="1"/>
    <x:xf numFmtId="202" fontId="4" fillId="0" borderId="0" xfId="0" applyNumberFormat="1" applyFont="1" applyFill="1" applyBorder="1"/>
    <x:xf numFmtId="205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2" borderId="0" xfId="0" applyNumberFormat="1" applyFont="1" applyFill="1" applyBorder="1"/>
    <x:xf numFmtId="204" fontId="4" fillId="3" borderId="0" xfId="0" applyNumberFormat="1" applyFont="1" applyFill="1" applyBorder="1"/>
    <x:xf numFmtId="204" fontId="6" fillId="3" borderId="0" xfId="0" applyNumberFormat="1" applyFont="1" applyFill="1" applyBorder="1"/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0" fontId="4" fillId="0" borderId="3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22424"/>
      </x:font>
      <x:fill>
        <x:patternFill>
          <x:bgColor rgb="FFFBE2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9077defbf4191" /><Relationship Type="http://schemas.openxmlformats.org/officeDocument/2006/relationships/theme" Target="/xl/theme/theme1.xml" Id="R1bb64773e0874d5f" /><Relationship Type="http://schemas.openxmlformats.org/officeDocument/2006/relationships/sharedStrings" Target="/xl/sharedStrings.xml" Id="Rd4b7341506a74ed8" /><Relationship Type="http://schemas.openxmlformats.org/officeDocument/2006/relationships/worksheet" Target="/xl/worksheets/sheet1.xml" Id="R6c4dc2688cd64e8a" /><Relationship Type="http://schemas.openxmlformats.org/officeDocument/2006/relationships/worksheet" Target="/xl/worksheets/sheet2.xml" Id="R0f16daf7c1fc446d" /><Relationship Type="http://schemas.openxmlformats.org/officeDocument/2006/relationships/worksheet" Target="/xl/worksheets/sheet3.xml" Id="Rc8e2bebf7e1b4efa" /><Relationship Type="http://schemas.openxmlformats.org/officeDocument/2006/relationships/worksheet" Target="/xl/worksheets/sheet4.xml" Id="R0a56d2c60c0d4601" /><Relationship Type="http://schemas.openxmlformats.org/officeDocument/2006/relationships/worksheet" Target="/xl/worksheets/sheet5.xml" Id="R9fc51ebc86a946c1" /><Relationship Type="http://schemas.openxmlformats.org/officeDocument/2006/relationships/worksheet" Target="/xl/worksheets/sheet6.xml" Id="R69365b327a6d48e5" /><Relationship Type="http://schemas.openxmlformats.org/officeDocument/2006/relationships/worksheet" Target="/xl/worksheets/sheet7.xml" Id="R4ffa1bc52f114b2c" /><Relationship Type="http://schemas.openxmlformats.org/officeDocument/2006/relationships/worksheet" Target="/xl/worksheets/sheet8.xml" Id="R052cde6ee4964722" /><Relationship Type="http://schemas.openxmlformats.org/officeDocument/2006/relationships/worksheet" Target="/xl/worksheets/sheet9.xml" Id="Rb33fbe1646f943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8a23d9618dd4b02" /><Relationship Type="http://schemas.openxmlformats.org/officeDocument/2006/relationships/chart" Target="/xl/drawings/charts/chart1.xml" Id="R34cf885749484d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Company cash and EBITDA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Cash R</c:v>
          </c:tx>
          <c:spPr>
            <a:solidFill xmlns:a="http://schemas.openxmlformats.org/drawingml/2006/main">
              <a:srgbClr val="785640"/>
            </a:solidFill>
          </c:spPr>
          <c:marker>
            <c:symbol val="none"/>
          </c:marker>
          <c:cat>
            <c:strRef>
              <c:f>'Overview'!$H$24:$H$59</c:f>
              <c:strCache>
                <c:ptCount val="0"/>
              </c:strCache>
            </c:strRef>
          </c:cat>
          <c:val>
            <c:numRef>
              <c:f>'Overview'!$I$24:$I$59</c:f>
              <c:numCache>
                <c:formatCode>#,##0;(#,##0);"–"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 R</c:v>
          </c:tx>
          <c:spPr>
            <a:solidFill xmlns:a="http://schemas.openxmlformats.org/drawingml/2006/main">
              <a:srgbClr val="75846C"/>
            </a:solidFill>
          </c:spPr>
          <c:marker>
            <c:symbol val="none"/>
          </c:marker>
          <c:cat>
            <c:strRef>
              <c:f>'Overview'!$H$24:$H$59</c:f>
              <c:strCache>
                <c:ptCount val="0"/>
              </c:strCache>
            </c:strRef>
          </c:cat>
          <c:val>
            <c:numRef>
              <c:f>'Overview'!$J$24:$J$59</c:f>
              <c:numCache>
                <c:formatCode>#,##0;(#,##0);"–"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cf885749484d5e"/>
        </a:graphicData>
      </a:graphic>
    </xdr:graphicFrame>
    <xdr:clientData/>
  </xdr:twoCellAnchor>
  <xdr:oneCellAnchor>
    <xdr:from>
      <xdr:col>10</xdr:col>
      <xdr:colOff>0</xdr:colOff>
      <xdr:row>22</xdr:row>
      <xdr:rowOff>0</xdr:rowOff>
    </xdr:from>
    <xdr:ext cx="2857500" cy="3571875"/>
    <xdr:pic>
      <xdr:nvPicPr>
        <xdr:cNvPr id="2" name="5d20663d-a27b-4eb9-889e-153f63b820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a23d9618dd4b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2ae32a1bb54d05" /></Relationships>
</file>

<file path=xl/worksheets/sheet1.xml><?xml version="1.0" encoding="utf-8"?>
<x:worksheet xmlns:x="http://schemas.openxmlformats.org/spreadsheetml/2006/main">
  <x:sheetPr>
    <x:tabColor rgb="FF29251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</x:row>
    <x:row r="2" ht="21" customHeight="1">
      <x:c r="A2" s="1"/>
      <x:c r="B2" s="1"/>
      <x:c r="C2" s="3" t="str">
        <x:v>COWBOY CAFE   Financial model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</x:row>
    <x:row r="3" ht="21" customHeight="1">
      <x:c r="A3" s="1"/>
      <x:c r="B3" s="1"/>
      <x:c r="C3" s="4"/>
      <x:c r="D3" s="23" t="str">
        <x:f>INDEX('Assumptions'!$E$6:$G$6,1,'Assumptions'!$D$4)</x:f>
        <x:v>Expected</x:v>
      </x:c>
      <x:c r="E3" s="4"/>
      <x:c r="F3" s="4"/>
      <x:c r="G3" s="4"/>
      <x:c r="H3" s="4"/>
      <x:c r="I3" s="4"/>
      <x:c r="J3" s="4"/>
      <x:c r="K3" s="4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r="4" ht="21" customHeight="1">
      <x:c r="A4" s="1"/>
      <x:c r="B4" s="1"/>
      <x:c r="C4" s="1" t="str">
        <x:v>Case selected</x:v>
      </x:c>
      <x:c r="D4" s="18" t="str">
        <x:f>INDEX('Assumptions'!E6:G6,1,'Assumptions'!D4)</x:f>
        <x:v>Expected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</x:row>
    <x:row r="5" ht="21" customHeight="1">
      <x:c r="A5" s="1"/>
      <x:c r="B5" s="1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</x:row>
    <x:row r="6" ht="21" customHeight="1">
      <x:c r="A6" s="1"/>
      <x:c r="B6" s="1"/>
      <x:c r="C6" s="1" t="str">
        <x:v>Startup and operating economics</x:v>
      </x:c>
      <x:c r="D6" s="2" t="str">
        <x:v>Amount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21" customHeight="1">
      <x:c r="A7" s="1"/>
      <x:c r="B7" s="1"/>
      <x:c r="C7" s="1" t="str">
        <x:v>Initial funding incl VAT</x:v>
      </x:c>
      <x:c r="D7" s="2" t="n">
        <x:f>'Startup'!E40</x:f>
        <x:v>1091740.25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21" customHeight="1">
      <x:c r="A8" s="1"/>
      <x:c r="B8" s="1"/>
      <x:c r="C8" s="1" t="str">
        <x:v>Founder loan each</x:v>
      </x:c>
      <x:c r="D8" s="2" t="n">
        <x:f>'Startup'!E43</x:f>
        <x:v>545820.125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</x:row>
    <x:row r="9" ht="21" customHeight="1">
      <x:c r="A9" s="1"/>
      <x:c r="B9" s="1"/>
      <x:c r="C9" s="1" t="str">
        <x:v>Capital expenditure incl contingency</x:v>
      </x:c>
      <x:c r="D9" s="2" t="n">
        <x:f>'Startup'!E26</x:f>
        <x:v>733740.25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</x:row>
    <x:row r="10" ht="21" customHeight="1">
      <x:c r="A10" s="1"/>
      <x:c r="B10" s="1"/>
      <x:c r="C10" s="1" t="str">
        <x:v>Monthly fixed opex</x:v>
      </x:c>
      <x:c r="D10" s="2" t="n">
        <x:f>'Operating costs'!F37</x:f>
        <x:v>73514.84782608695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</x:row>
    <x:row r="11" ht="21" customHeight="1">
      <x:c r="A11" s="1"/>
      <x:c r="B11" s="1"/>
      <x:c r="C11" s="1" t="str">
        <x:v>Average customer basket incl VAT</x:v>
      </x:c>
      <x:c r="D11" s="13" t="n">
        <x:f>'Menu economics'!D22</x:f>
        <x:v>53.93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</x:row>
    <x:row r="12" ht="21" customHeight="1">
      <x:c r="A12" s="1"/>
      <x:c r="B12" s="1"/>
      <x:c r="C12" s="1" t="str">
        <x:v>Gross margin</x:v>
      </x:c>
      <x:c r="D12" s="9" t="n">
        <x:f>'Menu economics'!D26</x:f>
        <x:v>0.5772901519513599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</x:row>
    <x:row r="13" ht="21" customHeight="1">
      <x:c r="A13" s="1"/>
      <x:c r="B13" s="1"/>
      <x:c r="C13" s="1" t="str">
        <x:v>Operating break-even transactions/day</x:v>
      </x:c>
      <x:c r="D13" s="2" t="n">
        <x:f>'Operating costs'!F39</x:f>
        <x:v>93.33914888541912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21" customHeight="1">
      <x:c r="A14" s="1"/>
      <x:c r="B14" s="1"/>
      <x:c r="C14" s="1" t="str">
        <x:v>Opening personal bank payment each</x:v>
      </x:c>
      <x:c r="D14" s="2" t="n">
        <x:f>'Funding'!D14</x:f>
        <x:v>16385.43429494311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21" customHeight="1">
      <x:c r="A15" s="1"/>
      <x:c r="B15" s="1"/>
      <x:c r="C15" s="1" t="str">
        <x:v>Loan capacity gap each</x:v>
      </x:c>
      <x:c r="D15" s="2" t="n">
        <x:f>'Funding'!D26</x:f>
        <x:v>195820.125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21" customHeight="1">
      <x:c r="A16" s="1"/>
      <x:c r="B16" s="1"/>
      <x:c r="C16" s="1" t="str">
        <x:v>Peak 36-month personal outlay each</x:v>
      </x:c>
      <x:c r="D16" s="2" t="n">
        <x:f>MAX('Funding'!D18:AM18)</x:f>
        <x:v>101146.35696049928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21" customHeight="1">
      <x:c r="A17" s="1"/>
      <x:c r="B17" s="1"/>
      <x:c r="C17" s="1" t="str">
        <x:v>Additional company funding needed</x:v>
      </x:c>
      <x:c r="D17" s="2" t="n">
        <x:f>'Monthly forecast'!AM55</x:f>
        <x:v>0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21" customHeight="1">
      <x:c r="A18" s="1"/>
      <x:c r="B18" s="1"/>
      <x:c r="C18" s="1" t="str">
        <x:v>Unrecovered project cash at month 36</x:v>
      </x:c>
      <x:c r="D18" s="2" t="n">
        <x:f>MAX(0,-'Monthly forecast'!AM76)</x:f>
        <x:v>0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21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21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21" customHeight="1">
      <x:c r="A21" s="1"/>
      <x:c r="B21" s="1"/>
      <x:c r="C21" s="1" t="str">
        <x:v>Annual results</x:v>
      </x:c>
      <x:c r="D21" s="30" t="n">
        <x:f>'Assumptions'!$D$18+0</x:f>
        <x:v>2027</x:v>
      </x:c>
      <x:c r="E21" s="30" t="n">
        <x:f>'Assumptions'!$D$18+1</x:f>
        <x:v>2028</x:v>
      </x:c>
      <x:c r="F21" s="30" t="n">
        <x:f>'Assumptions'!$D$18+2</x:f>
        <x:v>2029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21" customHeight="1">
      <x:c r="A22" s="1"/>
      <x:c r="B22" s="1"/>
      <x:c r="C22" s="1" t="str">
        <x:v>Net turnover</x:v>
      </x:c>
      <x:c r="D22" s="2" t="n">
        <x:f>SUM('Monthly forecast'!D15:O15)</x:f>
        <x:v>2033968.7776086961</x:v>
      </x:c>
      <x:c r="E22" s="2" t="n">
        <x:f>SUM('Monthly forecast'!P15:AA15)</x:f>
        <x:v>2481870.853833914</x:v>
      </x:c>
      <x:c r="F22" s="2" t="n">
        <x:f>SUM('Monthly forecast'!AB15:AM15)</x:f>
        <x:v>2754166.019944391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21" customHeight="1">
      <x:c r="A23" s="1"/>
      <x:c r="B23" s="1"/>
      <x:c r="C23" s="1" t="str">
        <x:v>Gross profit</x:v>
      </x:c>
      <x:c r="D23" s="2" t="n">
        <x:f>SUM('Monthly forecast'!D17:O17)</x:f>
        <x:v>1174190.1446900459</x:v>
      </x:c>
      <x:c r="E23" s="2" t="n">
        <x:f>SUM('Monthly forecast'!P17:AA17)</x:f>
        <x:v>1432759.6023334311</x:v>
      </x:c>
      <x:c r="F23" s="2" t="n">
        <x:f>SUM('Monthly forecast'!AB17:AM17)</x:f>
        <x:v>1589952.9201529694</x:v>
      </x:c>
      <x:c r="G23" s="2"/>
      <x:c r="H23" s="2" t="str">
        <x:v>Month</x:v>
      </x:c>
      <x:c r="I23" s="2" t="str">
        <x:v>Cash R</x:v>
      </x:c>
      <x:c r="J23" s="2" t="str">
        <x:v>EBITDA R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21" customHeight="1">
      <x:c r="A24" s="1"/>
      <x:c r="B24" s="1"/>
      <x:c r="C24" s="1" t="str">
        <x:v>Operating expenses</x:v>
      </x:c>
      <x:c r="D24" s="2" t="n">
        <x:f>SUM('Monthly forecast'!D23:O23)</x:f>
        <x:v>933286.7243724059</x:v>
      </x:c>
      <x:c r="E24" s="2" t="n">
        <x:f>SUM('Monthly forecast'!P23:AA23)</x:f>
        <x:v>996570.2924884075</x:v>
      </x:c>
      <x:c r="F24" s="2" t="n">
        <x:f>SUM('Monthly forecast'!AB23:AM23)</x:f>
        <x:v>1058676.3434052833</x:v>
      </x:c>
      <x:c r="G24" s="2"/>
      <x:c r="H24" s="11" t="str">
        <x:f>TEXT('Monthly forecast'!D5,"mm/yyyy")</x:f>
        <x:v>01/2027</x:v>
      </x:c>
      <x:c r="I24" s="11" t="n">
        <x:f>'Monthly forecast'!D54</x:f>
        <x:v>173333.27987699726</x:v>
      </x:c>
      <x:c r="J24" s="11" t="n">
        <x:f>'Monthly forecast'!D24</x:f>
        <x:v>-27599.557962819672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21" customHeight="1">
      <x:c r="A25" s="1"/>
      <x:c r="B25" s="1"/>
      <x:c r="C25" s="1" t="str">
        <x:v>EBITDA</x:v>
      </x:c>
      <x:c r="D25" s="2" t="n">
        <x:f>SUM('Monthly forecast'!D24:O24)</x:f>
        <x:v>240903.4203176399</x:v>
      </x:c>
      <x:c r="E25" s="2" t="n">
        <x:f>SUM('Monthly forecast'!P24:AA24)</x:f>
        <x:v>436189.309845024</x:v>
      </x:c>
      <x:c r="F25" s="2" t="n">
        <x:f>SUM('Monthly forecast'!AB24:AM24)</x:f>
        <x:v>531276.5767476865</x:v>
      </x:c>
      <x:c r="G25" s="2"/>
      <x:c r="H25" s="11" t="str">
        <x:f>TEXT('Monthly forecast'!E5,"mm/yyyy")</x:f>
        <x:v>02/2027</x:v>
      </x:c>
      <x:c r="I25" s="11" t="n">
        <x:f>'Monthly forecast'!E54</x:f>
        <x:v>162061.69519002555</x:v>
      </x:c>
      <x:c r="J25" s="11" t="n">
        <x:f>'Monthly forecast'!E24</x:f>
        <x:v>-2258.6267245003255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21" customHeight="1">
      <x:c r="A26" s="1"/>
      <x:c r="B26" s="1"/>
      <x:c r="C26" s="1" t="str">
        <x:v>Company interest accrued</x:v>
      </x:c>
      <x:c r="D26" s="2" t="n">
        <x:f>SUM('Monthly forecast'!D28:O28)</x:f>
        <x:v>83392.94491033409</x:v>
      </x:c>
      <x:c r="E26" s="2" t="n">
        <x:f>SUM('Monthly forecast'!P28:AA28)</x:f>
        <x:v>62267.802778809586</x:v>
      </x:c>
      <x:c r="F26" s="2" t="n">
        <x:f>SUM('Monthly forecast'!AB28:AM28)</x:f>
        <x:v>35364.576615955615</x:v>
      </x:c>
      <x:c r="G26" s="2"/>
      <x:c r="H26" s="11" t="str">
        <x:f>TEXT('Monthly forecast'!F5,"mm/yyyy")</x:f>
        <x:v>03/2027</x:v>
      </x:c>
      <x:c r="I26" s="11" t="n">
        <x:f>'Monthly forecast'!F54</x:f>
        <x:v>268358.24953785155</x:v>
      </x:c>
      <x:c r="J26" s="11" t="n">
        <x:f>'Monthly forecast'!F24</x:f>
        <x:v>20611.49639361094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21" customHeight="1">
      <x:c r="A27" s="1"/>
      <x:c r="B27" s="1"/>
      <x:c r="C27" s="1" t="str">
        <x:v>Tax provision</x:v>
      </x:c>
      <x:c r="D27" s="2" t="n">
        <x:f>SUM('Monthly forecast'!D35:O35)</x:f>
        <x:v>0</x:v>
      </x:c>
      <x:c r="E27" s="2" t="n">
        <x:f>SUM('Monthly forecast'!P35:AA35)</x:f>
        <x:v>49288.04470884425</x:v>
      </x:c>
      <x:c r="F27" s="2" t="n">
        <x:f>SUM('Monthly forecast'!AB35:AM35)</x:f>
        <x:v>98625.99692997732</x:v>
      </x:c>
      <x:c r="G27" s="2"/>
      <x:c r="H27" s="11" t="str">
        <x:f>TEXT('Monthly forecast'!G5,"mm/yyyy")</x:f>
        <x:v>04/2027</x:v>
      </x:c>
      <x:c r="I27" s="11" t="n">
        <x:f>'Monthly forecast'!G54</x:f>
        <x:v>268358.24953785155</x:v>
      </x:c>
      <x:c r="J27" s="11" t="n">
        <x:f>'Monthly forecast'!G24</x:f>
        <x:v>19190.950035671165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21" customHeight="1">
      <x:c r="A28" s="1"/>
      <x:c r="B28" s="1"/>
      <x:c r="C28" s="1" t="str">
        <x:v>Profit after tax</x:v>
      </x:c>
      <x:c r="D28" s="2" t="n">
        <x:f>SUM('Monthly forecast'!D36:O36)</x:f>
        <x:v>31274.075821384475</x:v>
      </x:c>
      <x:c r="E28" s="2" t="n">
        <x:f>SUM('Monthly forecast'!P36:AA36)</x:f>
        <x:v>196253.5845105793</x:v>
      </x:c>
      <x:c r="F28" s="2" t="n">
        <x:f>SUM('Monthly forecast'!AB36:AM36)</x:f>
        <x:v>266655.47318104975</x:v>
      </x:c>
      <x:c r="G28" s="2"/>
      <x:c r="H28" s="11" t="str">
        <x:f>TEXT('Monthly forecast'!H5,"mm/yyyy")</x:f>
        <x:v>05/2027</x:v>
      </x:c>
      <x:c r="I28" s="11" t="n">
        <x:f>'Monthly forecast'!H54</x:f>
        <x:v>268358.24953785155</x:v>
      </x:c>
      <x:c r="J28" s="11" t="n">
        <x:f>'Monthly forecast'!H24</x:f>
        <x:v>30577.20135257012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21" customHeight="1">
      <x:c r="A29" s="1"/>
      <x:c r="B29" s="1"/>
      <x:c r="C29" s="1" t="str">
        <x:v>Closing company cash</x:v>
      </x:c>
      <x:c r="D29" s="2" t="n">
        <x:f>'Monthly forecast'!O54</x:f>
        <x:v>268358.24953785166</x:v>
      </x:c>
      <x:c r="E29" s="2" t="n">
        <x:f>'Monthly forecast'!AA54</x:f>
        <x:v>268358.24953785195</x:v>
      </x:c>
      <x:c r="F29" s="2" t="n">
        <x:f>'Monthly forecast'!AM54</x:f>
        <x:v>268358.249537852</x:v>
      </x:c>
      <x:c r="G29" s="2"/>
      <x:c r="H29" s="11" t="str">
        <x:f>TEXT('Monthly forecast'!I5,"mm/yyyy")</x:f>
        <x:v>06/2027</x:v>
      </x:c>
      <x:c r="I29" s="11" t="n">
        <x:f>'Monthly forecast'!I54</x:f>
        <x:v>268358.24953785155</x:v>
      </x:c>
      <x:c r="J29" s="11" t="n">
        <x:f>'Monthly forecast'!I24</x:f>
        <x:v>20402.790530596132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21" customHeight="1">
      <x:c r="A30" s="1"/>
      <x:c r="B30" s="1"/>
      <x:c r="C30" s="1" t="str">
        <x:v>Founder loan principal outstanding</x:v>
      </x:c>
      <x:c r="D30" s="2" t="n">
        <x:f>'Monthly forecast'!O51</x:f>
        <x:v>915905.0483227655</x:v>
      </x:c>
      <x:c r="E30" s="2" t="n">
        <x:f>'Monthly forecast'!AA51</x:f>
        <x:v>604761.5790360727</x:v>
      </x:c>
      <x:c r="F30" s="2" t="n">
        <x:f>'Monthly forecast'!AM51</x:f>
        <x:v>221799.6772524178</x:v>
      </x:c>
      <x:c r="G30" s="2"/>
      <x:c r="H30" s="11" t="str">
        <x:f>TEXT('Monthly forecast'!J5,"mm/yyyy")</x:f>
        <x:v>07/2027</x:v>
      </x:c>
      <x:c r="I30" s="11" t="n">
        <x:f>'Monthly forecast'!J54</x:f>
        <x:v>268358.2495378516</x:v>
      </x:c>
      <x:c r="J30" s="11" t="n">
        <x:f>'Monthly forecast'!J24</x:f>
        <x:v>15185.14395522482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21" customHeight="1">
      <x:c r="A31" s="1"/>
      <x:c r="B31" s="1"/>
      <x:c r="C31" s="1" t="str">
        <x:v>Accrued interest outstanding</x:v>
      </x:c>
      <x:c r="D31" s="2" t="n">
        <x:f>'Monthly forecast'!O50</x:f>
        <x:v>0</x:v>
      </x:c>
      <x:c r="E31" s="2" t="n">
        <x:f>'Monthly forecast'!AA50</x:f>
        <x:v>0</x:v>
      </x:c>
      <x:c r="F31" s="2" t="n">
        <x:f>'Monthly forecast'!AM50</x:f>
        <x:v>0</x:v>
      </x:c>
      <x:c r="G31" s="2"/>
      <x:c r="H31" s="11" t="str">
        <x:f>TEXT('Monthly forecast'!K5,"mm/yyyy")</x:f>
        <x:v>08/2027</x:v>
      </x:c>
      <x:c r="I31" s="11" t="n">
        <x:f>'Monthly forecast'!K54</x:f>
        <x:v>268358.24953785155</x:v>
      </x:c>
      <x:c r="J31" s="11" t="n">
        <x:f>'Monthly forecast'!K24</x:f>
        <x:v>39186.31820193272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21" customHeight="1">
      <x:c r="A32" s="1"/>
      <x:c r="B32" s="1"/>
      <x:c r="C32" s="1" t="str">
        <x:v>Cash repaid to founders</x:v>
      </x:c>
      <x:c r="D32" s="2" t="n">
        <x:f>SUM('Monthly forecast'!D67:O67)</x:f>
        <x:v>259128.14658756863</x:v>
      </x:c>
      <x:c r="E32" s="2" t="n">
        <x:f>SUM('Monthly forecast'!P67:AA67)</x:f>
        <x:v>373411.2720655024</x:v>
      </x:c>
      <x:c r="F32" s="2" t="n">
        <x:f>SUM('Monthly forecast'!AB67:AM67)</x:f>
        <x:v>418326.4783996106</x:v>
      </x:c>
      <x:c r="G32" s="2"/>
      <x:c r="H32" s="11" t="str">
        <x:f>TEXT('Monthly forecast'!L5,"mm/yyyy")</x:f>
        <x:v>09/2027</x:v>
      </x:c>
      <x:c r="I32" s="11" t="n">
        <x:f>'Monthly forecast'!L54</x:f>
        <x:v>268358.24953785155</x:v>
      </x:c>
      <x:c r="J32" s="11" t="n">
        <x:f>'Monthly forecast'!L24</x:f>
        <x:v>35550.79671715794</x:v>
      </x:c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21" customHeight="1">
      <x:c r="A33" s="1"/>
      <x:c r="B33" s="1"/>
      <x:c r="C33" s="1" t="str">
        <x:v>Personal bank repayments</x:v>
      </x:c>
      <x:c r="D33" s="2" t="n">
        <x:f>SUM('Monthly forecast'!D71:O71)</x:f>
        <x:v>389706.3839338</x:v>
      </x:c>
      <x:c r="E33" s="2" t="n">
        <x:f>SUM('Monthly forecast'!P71:AA71)</x:f>
        <x:v>381023.04578338284</x:v>
      </x:c>
      <x:c r="F33" s="2" t="n">
        <x:f>SUM('Monthly forecast'!AB71:AM71)</x:f>
        <x:v>370641.0889017988</x:v>
      </x:c>
      <x:c r="G33" s="2"/>
      <x:c r="H33" s="11" t="str">
        <x:f>TEXT('Monthly forecast'!M5,"mm/yyyy")</x:f>
        <x:v>10/2027</x:v>
      </x:c>
      <x:c r="I33" s="11" t="n">
        <x:f>'Monthly forecast'!M54</x:f>
        <x:v>268358.2495378516</x:v>
      </x:c>
      <x:c r="J33" s="11" t="n">
        <x:f>'Monthly forecast'!M24</x:f>
        <x:v>41273.37683208127</x:v>
      </x:c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21" customHeight="1">
      <x:c r="A34" s="1"/>
      <x:c r="B34" s="1"/>
      <x:c r="C34" s="1" t="str">
        <x:v>Additional company equity needed</x:v>
      </x:c>
      <x:c r="D34" s="2" t="n">
        <x:f>SUM('Monthly forecast'!D53:O53)</x:f>
        <x:v>0</x:v>
      </x:c>
      <x:c r="E34" s="2" t="n">
        <x:f>SUM('Monthly forecast'!P53:AA53)</x:f>
        <x:v>0</x:v>
      </x:c>
      <x:c r="F34" s="2" t="n">
        <x:f>SUM('Monthly forecast'!AB53:AM53)</x:f>
        <x:v>0</x:v>
      </x:c>
      <x:c r="G34" s="2"/>
      <x:c r="H34" s="11" t="str">
        <x:f>TEXT('Monthly forecast'!N5,"mm/yyyy")</x:f>
        <x:v>11/2027</x:v>
      </x:c>
      <x:c r="I34" s="11" t="n">
        <x:f>'Monthly forecast'!N54</x:f>
        <x:v>268358.24953785166</x:v>
      </x:c>
      <x:c r="J34" s="11" t="n">
        <x:f>'Monthly forecast'!N24</x:f>
        <x:v>31511.328400741433</x:v>
      </x:c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21" customHeight="1">
      <x:c r="A35" s="1"/>
      <x:c r="B35" s="1"/>
      <x:c r="C35" s="1"/>
      <x:c r="D35" s="2"/>
      <x:c r="E35" s="2"/>
      <x:c r="F35" s="2"/>
      <x:c r="G35" s="2"/>
      <x:c r="H35" s="11" t="str">
        <x:f>TEXT('Monthly forecast'!O5,"mm/yyyy")</x:f>
        <x:v>12/2027</x:v>
      </x:c>
      <x:c r="I35" s="11" t="n">
        <x:f>'Monthly forecast'!O54</x:f>
        <x:v>268358.24953785166</x:v>
      </x:c>
      <x:c r="J35" s="11" t="n">
        <x:f>'Monthly forecast'!O24</x:f>
        <x:v>17272.20258537335</x:v>
      </x:c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21" customHeight="1">
      <x:c r="A36" s="1"/>
      <x:c r="B36" s="1"/>
      <x:c r="C36" s="1"/>
      <x:c r="D36" s="2"/>
      <x:c r="E36" s="2"/>
      <x:c r="F36" s="2"/>
      <x:c r="G36" s="2"/>
      <x:c r="H36" s="11" t="str">
        <x:f>TEXT('Monthly forecast'!P5,"mm/yyyy")</x:f>
        <x:v>01/2028</x:v>
      </x:c>
      <x:c r="I36" s="11" t="n">
        <x:f>'Monthly forecast'!P54</x:f>
        <x:v>268358.24953785166</x:v>
      </x:c>
      <x:c r="J36" s="11" t="n">
        <x:f>'Monthly forecast'!P24</x:f>
        <x:v>15065.259996820474</x:v>
      </x:c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21" customHeight="1">
      <x:c r="A37" s="1"/>
      <x:c r="B37" s="1"/>
      <x:c r="C37" s="1" t="str">
        <x:v>Planning assumptions, not supplier quotes or verified café results. Research date 7 September 2026.</x:v>
      </x:c>
      <x:c r="D37" s="2"/>
      <x:c r="E37" s="2"/>
      <x:c r="F37" s="2"/>
      <x:c r="G37" s="2"/>
      <x:c r="H37" s="11" t="str">
        <x:f>TEXT('Monthly forecast'!Q5,"mm/yyyy")</x:f>
        <x:v>02/2028</x:v>
      </x:c>
      <x:c r="I37" s="11" t="n">
        <x:f>'Monthly forecast'!Q54</x:f>
        <x:v>268358.24953785166</x:v>
      </x:c>
      <x:c r="J37" s="11" t="n">
        <x:f>'Monthly forecast'!Q24</x:f>
        <x:v>39493.136746685836</x:v>
      </x:c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21" customHeight="1">
      <x:c r="A38" s="1"/>
      <x:c r="B38" s="1"/>
      <x:c r="C38" s="1"/>
      <x:c r="D38" s="2"/>
      <x:c r="E38" s="2"/>
      <x:c r="F38" s="2"/>
      <x:c r="G38" s="2"/>
      <x:c r="H38" s="11" t="str">
        <x:f>TEXT('Monthly forecast'!R5,"mm/yyyy")</x:f>
        <x:v>03/2028</x:v>
      </x:c>
      <x:c r="I38" s="11" t="n">
        <x:f>'Monthly forecast'!R54</x:f>
        <x:v>268358.24953785166</x:v>
      </x:c>
      <x:c r="J38" s="11" t="n">
        <x:f>'Monthly forecast'!R24</x:f>
        <x:v>49908.70382714993</x:v>
      </x:c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21" customHeight="1">
      <x:c r="A39" s="1"/>
      <x:c r="B39" s="1"/>
      <x:c r="C39" s="1" t="str">
        <x:v>Edit Assumptions D4 to switch cases. The Word plan and PowerPoint are dated snapshots.</x:v>
      </x:c>
      <x:c r="D39" s="2"/>
      <x:c r="E39" s="2"/>
      <x:c r="F39" s="2"/>
      <x:c r="G39" s="2"/>
      <x:c r="H39" s="11" t="str">
        <x:f>TEXT('Monthly forecast'!S5,"mm/yyyy")</x:f>
        <x:v>04/2028</x:v>
      </x:c>
      <x:c r="I39" s="11" t="n">
        <x:f>'Monthly forecast'!S54</x:f>
        <x:v>268358.2495378517</x:v>
      </x:c>
      <x:c r="J39" s="11" t="n">
        <x:f>'Monthly forecast'!S24</x:f>
        <x:v>36795.57980498292</x:v>
      </x:c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21" customHeight="1">
      <x:c r="A40" s="1"/>
      <x:c r="B40" s="1"/>
      <x:c r="C40" s="1"/>
      <x:c r="D40" s="2"/>
      <x:c r="E40" s="2"/>
      <x:c r="F40" s="2"/>
      <x:c r="G40" s="2"/>
      <x:c r="H40" s="11" t="str">
        <x:f>TEXT('Monthly forecast'!T5,"mm/yyyy")</x:f>
        <x:v>05/2028</x:v>
      </x:c>
      <x:c r="I40" s="11" t="n">
        <x:f>'Monthly forecast'!T54</x:f>
        <x:v>268358.2495378518</x:v>
      </x:c>
      <x:c r="J40" s="11" t="n">
        <x:f>'Monthly forecast'!T24</x:f>
        <x:v>44101.463188761656</x:v>
      </x:c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21" customHeight="1">
      <x:c r="A41" s="1"/>
      <x:c r="B41" s="1"/>
      <x:c r="C41" s="1" t="str">
        <x:v>Ordinary tax is the default until the Inge structure receives written eligibility confirmation.</x:v>
      </x:c>
      <x:c r="D41" s="2"/>
      <x:c r="E41" s="2"/>
      <x:c r="F41" s="2"/>
      <x:c r="G41" s="2"/>
      <x:c r="H41" s="11" t="str">
        <x:f>TEXT('Monthly forecast'!U5,"mm/yyyy")</x:f>
        <x:v>06/2028</x:v>
      </x:c>
      <x:c r="I41" s="11" t="n">
        <x:f>'Monthly forecast'!U54</x:f>
        <x:v>268358.2495378518</x:v>
      </x:c>
      <x:c r="J41" s="11" t="n">
        <x:f>'Monthly forecast'!U24</x:f>
        <x:v>26679.74127359697</x:v>
      </x:c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21" customHeight="1">
      <x:c r="A42" s="1"/>
      <x:c r="B42" s="1"/>
      <x:c r="C42" s="1"/>
      <x:c r="D42" s="2"/>
      <x:c r="E42" s="2"/>
      <x:c r="F42" s="2"/>
      <x:c r="G42" s="2"/>
      <x:c r="H42" s="11" t="str">
        <x:f>TEXT('Monthly forecast'!V5,"mm/yyyy")</x:f>
        <x:v>07/2028</x:v>
      </x:c>
      <x:c r="I42" s="11" t="n">
        <x:f>'Monthly forecast'!V54</x:f>
        <x:v>268358.24953785184</x:v>
      </x:c>
      <x:c r="J42" s="11" t="n">
        <x:f>'Monthly forecast'!V24</x:f>
        <x:v>20872.500635208722</x:v>
      </x:c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21" customHeight="1">
      <x:c r="A43" s="1"/>
      <x:c r="B43" s="1"/>
      <x:c r="C43" s="1" t="str">
        <x:v>Cash is after a monthly tax provision. Repayments are voluntary and constrained by operating surplus and reserve.</x:v>
      </x:c>
      <x:c r="D43" s="2"/>
      <x:c r="E43" s="2"/>
      <x:c r="F43" s="2"/>
      <x:c r="G43" s="2"/>
      <x:c r="H43" s="11" t="str">
        <x:f>TEXT('Monthly forecast'!W5,"mm/yyyy")</x:f>
        <x:v>08/2028</x:v>
      </x:c>
      <x:c r="I43" s="11" t="n">
        <x:f>'Monthly forecast'!W54</x:f>
        <x:v>268358.24953785184</x:v>
      </x:c>
      <x:c r="J43" s="11" t="n">
        <x:f>'Monthly forecast'!W24</x:f>
        <x:v>47585.807571794605</x:v>
      </x:c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21" customHeight="1">
      <x:c r="A44" s="1"/>
      <x:c r="B44" s="1"/>
      <x:c r="C44" s="1"/>
      <x:c r="D44" s="2"/>
      <x:c r="E44" s="2"/>
      <x:c r="F44" s="2"/>
      <x:c r="G44" s="2"/>
      <x:c r="H44" s="11" t="str">
        <x:f>TEXT('Monthly forecast'!X5,"mm/yyyy")</x:f>
        <x:v>09/2028</x:v>
      </x:c>
      <x:c r="I44" s="11" t="n">
        <x:f>'Monthly forecast'!X54</x:f>
        <x:v>268358.2495378519</x:v>
      </x:c>
      <x:c r="J44" s="11" t="n">
        <x:f>'Monthly forecast'!X24</x:f>
        <x:v>43539.472159240235</x:v>
      </x:c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21" customHeight="1">
      <x:c r="A45" s="1"/>
      <x:c r="B45" s="1"/>
      <x:c r="C45" s="1"/>
      <x:c r="D45" s="2"/>
      <x:c r="E45" s="2"/>
      <x:c r="F45" s="2"/>
      <x:c r="G45" s="2"/>
      <x:c r="H45" s="11" t="str">
        <x:f>TEXT('Monthly forecast'!Y5,"mm/yyyy")</x:f>
        <x:v>10/2028</x:v>
      </x:c>
      <x:c r="I45" s="11" t="n">
        <x:f>'Monthly forecast'!Y54</x:f>
        <x:v>268358.2495378519</x:v>
      </x:c>
      <x:c r="J45" s="11" t="n">
        <x:f>'Monthly forecast'!Y24</x:f>
        <x:v>49908.70382714993</x:v>
      </x:c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21" customHeight="1">
      <x:c r="A46" s="1"/>
      <x:c r="B46" s="1"/>
      <x:c r="C46" s="1"/>
      <x:c r="D46" s="2"/>
      <x:c r="E46" s="2"/>
      <x:c r="F46" s="2"/>
      <x:c r="G46" s="2"/>
      <x:c r="H46" s="11" t="str">
        <x:f>TEXT('Monthly forecast'!Z5,"mm/yyyy")</x:f>
        <x:v>11/2028</x:v>
      </x:c>
      <x:c r="I46" s="11" t="n">
        <x:f>'Monthly forecast'!Z54</x:f>
        <x:v>268358.24953785195</x:v>
      </x:c>
      <x:c r="J46" s="11" t="n">
        <x:f>'Monthly forecast'!Z24</x:f>
        <x:v>39043.54392306872</x:v>
      </x:c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21" customHeight="1">
      <x:c r="A47" s="1"/>
      <x:c r="B47" s="1"/>
      <x:c r="C47" s="1"/>
      <x:c r="D47" s="2"/>
      <x:c r="E47" s="2"/>
      <x:c r="F47" s="2"/>
      <x:c r="G47" s="2"/>
      <x:c r="H47" s="11" t="str">
        <x:f>TEXT('Monthly forecast'!AA5,"mm/yyyy")</x:f>
        <x:v>12/2028</x:v>
      </x:c>
      <x:c r="I47" s="11" t="n">
        <x:f>'Monthly forecast'!AA54</x:f>
        <x:v>268358.24953785195</x:v>
      </x:c>
      <x:c r="J47" s="11" t="n">
        <x:f>'Monthly forecast'!AA24</x:f>
        <x:v>23195.396890564007</x:v>
      </x:c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21" customHeight="1">
      <x:c r="A48" s="1"/>
      <x:c r="B48" s="1"/>
      <x:c r="C48" s="1"/>
      <x:c r="D48" s="2"/>
      <x:c r="E48" s="2"/>
      <x:c r="F48" s="2"/>
      <x:c r="G48" s="2"/>
      <x:c r="H48" s="11" t="str">
        <x:f>TEXT('Monthly forecast'!AB5,"mm/yyyy")</x:f>
        <x:v>01/2029</x:v>
      </x:c>
      <x:c r="I48" s="11" t="n">
        <x:f>'Monthly forecast'!AB54</x:f>
        <x:v>268358.24953785195</x:v>
      </x:c>
      <x:c r="J48" s="11" t="n">
        <x:f>'Monthly forecast'!AB24</x:f>
        <x:v>20959.421560156858</x:v>
      </x:c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21" customHeight="1">
      <x:c r="A49" s="1"/>
      <x:c r="B49" s="1"/>
      <x:c r="C49" s="1"/>
      <x:c r="D49" s="2"/>
      <x:c r="E49" s="2"/>
      <x:c r="F49" s="2"/>
      <x:c r="G49" s="2"/>
      <x:c r="H49" s="11" t="str">
        <x:f>TEXT('Monthly forecast'!AC5,"mm/yyyy")</x:f>
        <x:v>02/2029</x:v>
      </x:c>
      <x:c r="I49" s="11" t="n">
        <x:f>'Monthly forecast'!AC54</x:f>
        <x:v>268358.24953785195</x:v>
      </x:c>
      <x:c r="J49" s="11" t="n">
        <x:f>'Monthly forecast'!AC24</x:f>
        <x:v>43644.07706858398</x:v>
      </x:c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21" customHeight="1">
      <x:c r="A50" s="1"/>
      <x:c r="B50" s="1"/>
      <x:c r="C50" s="1"/>
      <x:c r="D50" s="2"/>
      <x:c r="E50" s="2"/>
      <x:c r="F50" s="2"/>
      <x:c r="G50" s="2"/>
      <x:c r="H50" s="11" t="str">
        <x:f>TEXT('Monthly forecast'!AD5,"mm/yyyy")</x:f>
        <x:v>03/2029</x:v>
      </x:c>
      <x:c r="I50" s="11" t="n">
        <x:f>'Monthly forecast'!AD54</x:f>
        <x:v>268358.249537852</x:v>
      </x:c>
      <x:c r="J50" s="11" t="n">
        <x:f>'Monthly forecast'!AD24</x:f>
        <x:v>59740.17454331348</x:v>
      </x:c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21" customHeight="1">
      <x:c r="A51" s="1"/>
      <x:c r="B51" s="1"/>
      <x:c r="C51" s="1"/>
      <x:c r="D51" s="2"/>
      <x:c r="E51" s="2"/>
      <x:c r="F51" s="2"/>
      <x:c r="G51" s="2"/>
      <x:c r="H51" s="11" t="str">
        <x:f>TEXT('Monthly forecast'!AE5,"mm/yyyy")</x:f>
        <x:v>04/2029</x:v>
      </x:c>
      <x:c r="I51" s="11" t="n">
        <x:f>'Monthly forecast'!AE54</x:f>
        <x:v>268358.24953785207</x:v>
      </x:c>
      <x:c r="J51" s="11" t="n">
        <x:f>'Monthly forecast'!AE24</x:f>
        <x:v>45145.267506641656</x:v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21" customHeight="1">
      <x:c r="A52" s="1"/>
      <x:c r="B52" s="1"/>
      <x:c r="C52" s="1"/>
      <x:c r="D52" s="2"/>
      <x:c r="E52" s="2"/>
      <x:c r="F52" s="2"/>
      <x:c r="G52" s="2"/>
      <x:c r="H52" s="11" t="str">
        <x:f>TEXT('Monthly forecast'!AF5,"mm/yyyy")</x:f>
        <x:v>05/2029</x:v>
      </x:c>
      <x:c r="I52" s="11" t="n">
        <x:f>'Monthly forecast'!AF54</x:f>
        <x:v>268358.24953785207</x:v>
      </x:c>
      <x:c r="J52" s="11" t="n">
        <x:f>'Monthly forecast'!AF24</x:f>
        <x:v>53276.71571278742</x:v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21" customHeight="1">
      <x:c r="A53" s="1"/>
      <x:c r="B53" s="1"/>
      <x:c r="C53" s="1"/>
      <x:c r="D53" s="2"/>
      <x:c r="E53" s="2"/>
      <x:c r="F53" s="2"/>
      <x:c r="G53" s="2"/>
      <x:c r="H53" s="11" t="str">
        <x:f>TEXT('Monthly forecast'!AG5,"mm/yyyy")</x:f>
        <x:v>06/2029</x:v>
      </x:c>
      <x:c r="I53" s="11" t="n">
        <x:f>'Monthly forecast'!AG54</x:f>
        <x:v>268358.24953785207</x:v>
      </x:c>
      <x:c r="J53" s="11" t="n">
        <x:f>'Monthly forecast'!AG24</x:f>
        <x:v>33886.33922120907</x:v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21" customHeight="1">
      <x:c r="A54" s="1"/>
      <x:c r="B54" s="1"/>
      <x:c r="C54" s="1"/>
      <x:c r="D54" s="2"/>
      <x:c r="E54" s="2"/>
      <x:c r="F54" s="2"/>
      <x:c r="G54" s="2"/>
      <x:c r="H54" s="11" t="str">
        <x:f>TEXT('Monthly forecast'!AH5,"mm/yyyy")</x:f>
        <x:v>07/2029</x:v>
      </x:c>
      <x:c r="I54" s="11" t="n">
        <x:f>'Monthly forecast'!AH54</x:f>
        <x:v>268358.2495378522</x:v>
      </x:c>
      <x:c r="J54" s="11" t="n">
        <x:f>'Monthly forecast'!AH24</x:f>
        <x:v>27422.880390682956</x:v>
      </x:c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21" customHeight="1">
      <x:c r="A55" s="1"/>
      <x:c r="B55" s="1"/>
      <x:c r="C55" s="1"/>
      <x:c r="D55" s="2"/>
      <x:c r="E55" s="2"/>
      <x:c r="F55" s="2"/>
      <x:c r="G55" s="2"/>
      <x:c r="H55" s="11" t="str">
        <x:f>TEXT('Monthly forecast'!AI5,"mm/yyyy")</x:f>
        <x:v>08/2029</x:v>
      </x:c>
      <x:c r="I55" s="11" t="n">
        <x:f>'Monthly forecast'!AI54</x:f>
        <x:v>268358.2495378522</x:v>
      </x:c>
      <x:c r="J55" s="11" t="n">
        <x:f>'Monthly forecast'!AI24</x:f>
        <x:v>57154.791011103065</x:v>
      </x:c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11" t="str">
        <x:f>TEXT('Monthly forecast'!AJ5,"mm/yyyy")</x:f>
        <x:v>09/2029</x:v>
      </x:c>
      <x:c r="I56" s="11" t="n">
        <x:f>'Monthly forecast'!AJ54</x:f>
        <x:v>268358.2495378521</x:v>
      </x:c>
      <x:c r="J56" s="11" t="n">
        <x:f>'Monthly forecast'!AJ24</x:f>
        <x:v>52651.21969693004</x:v>
      </x:c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21" customHeight="1">
      <x:c r="A57" s="1"/>
      <x:c r="B57" s="1"/>
      <x:c r="C57" s="1"/>
      <x:c r="D57" s="2"/>
      <x:c r="E57" s="2"/>
      <x:c r="F57" s="2"/>
      <x:c r="G57" s="2"/>
      <x:c r="H57" s="11" t="str">
        <x:f>TEXT('Monthly forecast'!AK5,"mm/yyyy")</x:f>
        <x:v>10/2029</x:v>
      </x:c>
      <x:c r="I57" s="11" t="n">
        <x:f>'Monthly forecast'!AK54</x:f>
        <x:v>268358.24953785207</x:v>
      </x:c>
      <x:c r="J57" s="11" t="n">
        <x:f>'Monthly forecast'!AK24</x:f>
        <x:v>59740.17454331348</x:v>
      </x:c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21" customHeight="1">
      <x:c r="A58" s="1"/>
      <x:c r="B58" s="1"/>
      <x:c r="C58" s="1"/>
      <x:c r="D58" s="2"/>
      <x:c r="E58" s="2"/>
      <x:c r="F58" s="2"/>
      <x:c r="G58" s="2"/>
      <x:c r="H58" s="11" t="str">
        <x:f>TEXT('Monthly forecast'!AL5,"mm/yyyy")</x:f>
        <x:v>11/2029</x:v>
      </x:c>
      <x:c r="I58" s="11" t="n">
        <x:f>'Monthly forecast'!AL54</x:f>
        <x:v>268358.24953785207</x:v>
      </x:c>
      <x:c r="J58" s="11" t="n">
        <x:f>'Monthly forecast'!AL24</x:f>
        <x:v>47647.25157007115</x:v>
      </x:c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21" customHeight="1">
      <x:c r="A59" s="1"/>
      <x:c r="B59" s="1"/>
      <x:c r="C59" s="1"/>
      <x:c r="D59" s="2"/>
      <x:c r="E59" s="2"/>
      <x:c r="F59" s="2"/>
      <x:c r="G59" s="2"/>
      <x:c r="H59" s="11" t="str">
        <x:f>TEXT('Monthly forecast'!AM5,"mm/yyyy")</x:f>
        <x:v>12/2029</x:v>
      </x:c>
      <x:c r="I59" s="11" t="n">
        <x:f>'Monthly forecast'!AM54</x:f>
        <x:v>268358.249537852</x:v>
      </x:c>
      <x:c r="J59" s="11" t="n">
        <x:f>'Monthly forecast'!AM24</x:f>
        <x:v>30008.2639228934</x:v>
      </x:c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</x:row>
  </x:sheetData>
  <x:pageMargins left="0.7" right="0.7" top="0.75" bottom="0.75" header="0.3" footer="0.3"/>
  <x:drawing xmlns:r="http://schemas.openxmlformats.org/officeDocument/2006/relationships" r:id="R632ae32a1bb54d05"/>
</x:worksheet>
</file>

<file path=xl/worksheets/sheet2.xml><?xml version="1.0" encoding="utf-8"?>
<x:worksheet xmlns:x="http://schemas.openxmlformats.org/spreadsheetml/2006/main">
  <x:sheetPr>
    <x:tabColor rgb="FF78564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90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</x:row>
    <x:row r="2" ht="21" customHeight="1">
      <x:c r="A2" s="1"/>
      <x:c r="B2" s="1"/>
      <x:c r="C2" s="3" t="str">
        <x:v>Assumptions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</x:row>
    <x:row r="3" ht="21" customHeight="1">
      <x:c r="A3" s="1"/>
      <x:c r="B3" s="1"/>
      <x:c r="C3" s="4"/>
      <x:c r="D3" s="23" t="str">
        <x:f>INDEX('Assumptions'!$E$6:$G$6,1,'Assumptions'!$D$4)</x:f>
        <x:v>Expected</x:v>
      </x:c>
      <x:c r="E3" s="4"/>
      <x:c r="F3" s="4"/>
      <x:c r="G3" s="4"/>
      <x:c r="H3" s="4"/>
      <x:c r="I3" s="4"/>
      <x:c r="J3" s="4"/>
      <x:c r="K3" s="4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r="4" ht="21" customHeight="1">
      <x:c r="A4" s="1"/>
      <x:c r="B4" s="1"/>
      <x:c r="C4" s="1" t="str">
        <x:v>Case selector</x:v>
      </x:c>
      <x:c r="D4" s="6" t="n">
        <x:v>2</x:v>
      </x:c>
      <x:c r="E4" s="1"/>
      <x:c r="F4" s="1" t="str">
        <x:v>1 Conservative / 2 Expected / 3 Optimistic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</x:row>
    <x:row r="6" ht="21" customHeight="1">
      <x:c r="A6" s="1"/>
      <x:c r="B6" s="1"/>
      <x:c r="C6" s="1" t="str">
        <x:v>Driver</x:v>
      </x:c>
      <x:c r="D6" s="2" t="str">
        <x:v>Active</x:v>
      </x:c>
      <x:c r="E6" s="2" t="str">
        <x:v>Conservative</x:v>
      </x:c>
      <x:c r="F6" s="2" t="str">
        <x:v>Expected</x:v>
      </x:c>
      <x:c r="G6" s="2" t="str">
        <x:v>Optimistic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21" customHeight="1">
      <x:c r="A7" s="1"/>
      <x:c r="B7" s="1"/>
      <x:c r="C7" s="1" t="str">
        <x:v>Mature transactions per day</x:v>
      </x:c>
      <x:c r="D7" s="2" t="n">
        <x:f>INDEX(E7:G7,1,$D$4)</x:f>
        <x:v>130</x:v>
      </x:c>
      <x:c r="E7" s="6" t="n">
        <x:v>80</x:v>
      </x:c>
      <x:c r="F7" s="6" t="n">
        <x:v>130</x:v>
      </x:c>
      <x:c r="G7" s="6" t="n">
        <x:v>180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21" customHeight="1">
      <x:c r="A8" s="1"/>
      <x:c r="B8" s="1"/>
      <x:c r="C8" s="1" t="str">
        <x:v>Pastries per transaction</x:v>
      </x:c>
      <x:c r="D8" s="9" t="n">
        <x:f>INDEX(E8:G8,1,$D$4)</x:f>
        <x:v>0.25</x:v>
      </x:c>
      <x:c r="E8" s="8" t="n">
        <x:v>0.18</x:v>
      </x:c>
      <x:c r="F8" s="8" t="n">
        <x:v>0.25</x:v>
      </x:c>
      <x:c r="G8" s="8" t="n">
        <x:v>0.32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</x:row>
    <x:row r="9" ht="21" customHeight="1">
      <x:c r="A9" s="1"/>
      <x:c r="B9" s="1"/>
      <x:c r="C9" s="1" t="str">
        <x:v>Month 1 sales ramp</x:v>
      </x:c>
      <x:c r="D9" s="9" t="n">
        <x:f>INDEX(E9:G9,1,$D$4)</x:f>
        <x:v>0.55</x:v>
      </x:c>
      <x:c r="E9" s="8" t="n">
        <x:v>0.45</x:v>
      </x:c>
      <x:c r="F9" s="8" t="n">
        <x:v>0.55</x:v>
      </x:c>
      <x:c r="G9" s="8" t="n">
        <x:v>0.65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</x:row>
    <x:row r="10" ht="21" customHeight="1">
      <x:c r="A10" s="1"/>
      <x:c r="B10" s="1"/>
      <x:c r="C10" s="1" t="str">
        <x:v>Month 2 sales ramp</x:v>
      </x:c>
      <x:c r="D10" s="9" t="n">
        <x:f>INDEX(E10:G10,1,$D$4)</x:f>
        <x:v>0.7</x:v>
      </x:c>
      <x:c r="E10" s="8" t="n">
        <x:v>0.6</x:v>
      </x:c>
      <x:c r="F10" s="8" t="n">
        <x:v>0.7</x:v>
      </x:c>
      <x:c r="G10" s="8" t="n">
        <x:v>0.8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</x:row>
    <x:row r="11" ht="21" customHeight="1">
      <x:c r="A11" s="1"/>
      <x:c r="B11" s="1"/>
      <x:c r="C11" s="1" t="str">
        <x:v>Month 3 sales ramp</x:v>
      </x:c>
      <x:c r="D11" s="9" t="n">
        <x:f>INDEX(E11:G11,1,$D$4)</x:f>
        <x:v>0.82</x:v>
      </x:c>
      <x:c r="E11" s="8" t="n">
        <x:v>0.72</x:v>
      </x:c>
      <x:c r="F11" s="8" t="n">
        <x:v>0.82</x:v>
      </x:c>
      <x:c r="G11" s="8" t="n">
        <x:v>0.92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</x:row>
    <x:row r="12" ht="21" customHeight="1">
      <x:c r="A12" s="1"/>
      <x:c r="B12" s="1"/>
      <x:c r="C12" s="1" t="str">
        <x:v>Month 4 sales ramp</x:v>
      </x:c>
      <x:c r="D12" s="9" t="n">
        <x:f>INDEX(E12:G12,1,$D$4)</x:f>
        <x:v>0.9</x:v>
      </x:c>
      <x:c r="E12" s="8" t="n">
        <x:v>0.82</x:v>
      </x:c>
      <x:c r="F12" s="8" t="n">
        <x:v>0.9</x:v>
      </x:c>
      <x:c r="G12" s="8" t="n">
        <x:v>1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</x:row>
    <x:row r="13" ht="21" customHeight="1">
      <x:c r="A13" s="1"/>
      <x:c r="B13" s="1"/>
      <x:c r="C13" s="1" t="str">
        <x:v>Month 5 sales ramp</x:v>
      </x:c>
      <x:c r="D13" s="9" t="n">
        <x:f>INDEX(E13:G13,1,$D$4)</x:f>
        <x:v>0.95</x:v>
      </x:c>
      <x:c r="E13" s="8" t="n">
        <x:v>0.9</x:v>
      </x:c>
      <x:c r="F13" s="8" t="n">
        <x:v>0.95</x:v>
      </x:c>
      <x:c r="G13" s="8" t="n">
        <x:v>1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21" customHeight="1">
      <x:c r="A14" s="1"/>
      <x:c r="B14" s="1"/>
      <x:c r="C14" s="1" t="str">
        <x:v>Annual transaction growth</x:v>
      </x:c>
      <x:c r="D14" s="9" t="n">
        <x:f>INDEX(E14:G14,1,$D$4)</x:f>
        <x:v>0.06</x:v>
      </x:c>
      <x:c r="E14" s="8" t="n">
        <x:v>0.02</x:v>
      </x:c>
      <x:c r="F14" s="8" t="n">
        <x:v>0.06</x:v>
      </x:c>
      <x:c r="G14" s="8" t="n">
        <x:v>0.1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21" customHeight="1">
      <x:c r="A15" s="1"/>
      <x:c r="B15" s="1"/>
      <x:c r="C15" s="1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21" customHeight="1">
      <x:c r="A16" s="1"/>
      <x:c r="B16" s="1"/>
      <x:c r="C16" s="1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21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21" customHeight="1">
      <x:c r="A18" s="1"/>
      <x:c r="B18" s="1"/>
      <x:c r="C18" s="1" t="str">
        <x:v>Launch year (January placeholder)</x:v>
      </x:c>
      <x:c r="D18" s="6" t="n">
        <x:v>2027</x:v>
      </x:c>
      <x:c r="E18" s="2"/>
      <x:c r="F18" s="2"/>
      <x:c r="G18" s="2"/>
      <x:c r="H18" s="2"/>
      <x:c r="I18" s="2"/>
      <x:c r="J18" s="2" t="str">
        <x:v>Month not confirmed. January creates comparable calendar-year projections.</x:v>
      </x:c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21" customHeight="1">
      <x:c r="A19" s="1"/>
      <x:c r="B19" s="1"/>
      <x:c r="C19" s="1" t="str">
        <x:v>VAT registered from launch (1/0)</x:v>
      </x:c>
      <x:c r="D19" s="6" t="n">
        <x:v>1</x:v>
      </x:c>
      <x:c r="E19" s="2"/>
      <x:c r="F19" s="2"/>
      <x:c r="G19" s="2"/>
      <x:c r="H19" s="2"/>
      <x:c r="I19" s="2"/>
      <x:c r="J19" s="2" t="str">
        <x:v>Planning default 1: preserves comparability and allows input VAT. Test 0 only if lawful.</x:v>
      </x:c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21" customHeight="1">
      <x:c r="A20" s="1"/>
      <x:c r="B20" s="1"/>
      <x:c r="C20" s="1" t="str">
        <x:v>VAT rate</x:v>
      </x:c>
      <x:c r="D20" s="8" t="n">
        <x:v>0.15</x:v>
      </x:c>
      <x:c r="E20" s="2"/>
      <x:c r="F20" s="2"/>
      <x:c r="G20" s="2"/>
      <x:c r="H20" s="2"/>
      <x:c r="I20" s="2"/>
      <x:c r="J20" s="2" t="str">
        <x:v>https://www.sars.gov.za/types-of-tax/value-added-tax/</x:v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21" customHeight="1">
      <x:c r="A21" s="1"/>
      <x:c r="B21" s="1"/>
      <x:c r="C21" s="1" t="str">
        <x:v>Turnover tax eligibility confirmed (1/0)</x:v>
      </x:c>
      <x:c r="D21" s="6" t="n">
        <x:v>0</x:v>
      </x:c>
      <x:c r="E21" s="2"/>
      <x:c r="F21" s="2"/>
      <x:c r="G21" s="2"/>
      <x:c r="H21" s="2"/>
      <x:c r="I21" s="2"/>
      <x:c r="J21" s="2" t="str">
        <x:v>0 until written opinion. 1 is a conditional comparison only, not a registration decision.</x:v>
      </x:c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21" customHeight="1">
      <x:c r="A22" s="1"/>
      <x:c r="B22" s="1"/>
      <x:c r="C22" s="1" t="str">
        <x:v>First ordinary tax year (1–4)</x:v>
      </x:c>
      <x:c r="D22" s="6" t="n">
        <x:v>4</x:v>
      </x:c>
      <x:c r="E22" s="2"/>
      <x:c r="F22" s="2"/>
      <x:c r="G22" s="2"/>
      <x:c r="H22" s="2"/>
      <x:c r="I22" s="2"/>
      <x:c r="J22" s="2" t="str">
        <x:v>4 means no voluntary switch inside 36 months. Threshold exit overrides this.</x:v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21" customHeight="1">
      <x:c r="A23" s="1"/>
      <x:c r="B23" s="1"/>
      <x:c r="C23" s="1" t="str">
        <x:v>Turnover tax ceiling</x:v>
      </x:c>
      <x:c r="D23" s="7" t="n">
        <x:v>2300000</x:v>
      </x:c>
      <x:c r="E23" s="2"/>
      <x:c r="F23" s="2"/>
      <x:c r="G23" s="2"/>
      <x:c r="H23" s="2"/>
      <x:c r="I23" s="2"/>
      <x:c r="J23" s="2" t="str">
        <x:v>https://www.sars.gov.za/types-of-tax/turnover-tax/quick-test-for-individuals-and-companies/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21" customHeight="1">
      <x:c r="A24" s="1"/>
      <x:c r="B24" s="1"/>
      <x:c r="C24" s="1" t="str">
        <x:v>Ordinary company tax rate</x:v>
      </x:c>
      <x:c r="D24" s="8" t="n">
        <x:v>0.27</x:v>
      </x:c>
      <x:c r="E24" s="2"/>
      <x:c r="F24" s="2"/>
      <x:c r="G24" s="2"/>
      <x:c r="H24" s="2"/>
      <x:c r="I24" s="2"/>
      <x:c r="J24" s="2" t="str">
        <x:v>https://www.sars.gov.za/tax-rates/income-tax/companies-trusts-and-small-business-corporations-sbc/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21" customHeight="1">
      <x:c r="A25" s="1"/>
      <x:c r="B25" s="1"/>
      <x:c r="C25" s="1" t="str">
        <x:v>Company loan interest rate</x:v>
      </x:c>
      <x:c r="D25" s="8" t="n">
        <x:v>0.08</x:v>
      </x:c>
      <x:c r="E25" s="2"/>
      <x:c r="F25" s="2"/>
      <x:c r="G25" s="2"/>
      <x:c r="H25" s="2"/>
      <x:c r="I25" s="2"/>
      <x:c r="J25" s="2" t="str">
        <x:v>https://www.sars.gov.za/legal-pub-irt-03-interest-rates-table-3/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21" customHeight="1">
      <x:c r="A26" s="1"/>
      <x:c r="B26" s="1"/>
      <x:c r="C26" s="1" t="str">
        <x:v>Personal loan annual rate</x:v>
      </x:c>
      <x:c r="D26" s="8" t="n">
        <x:v>0.18</x:v>
      </x:c>
      <x:c r="E26" s="2"/>
      <x:c r="F26" s="2"/>
      <x:c r="G26" s="2"/>
      <x:c r="H26" s="2"/>
      <x:c r="I26" s="2"/>
      <x:c r="J26" s="2" t="str">
        <x:v>https://www.absa.co.za/personal/loans/for-myself/personal-loan/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21" customHeight="1">
      <x:c r="A27" s="1"/>
      <x:c r="B27" s="1"/>
      <x:c r="C27" s="1" t="str">
        <x:v>Personal loan term months</x:v>
      </x:c>
      <x:c r="D27" s="6" t="n">
        <x:v>60</x:v>
      </x:c>
      <x:c r="E27" s="2"/>
      <x:c r="F27" s="2"/>
      <x:c r="G27" s="2"/>
      <x:c r="H27" s="2"/>
      <x:c r="I27" s="2"/>
      <x:c r="J27" s="2" t="str">
        <x:v>https://www.absa.co.za/personal/loans/for-myself/personal-loan/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21" customHeight="1">
      <x:c r="A28" s="1"/>
      <x:c r="B28" s="1"/>
      <x:c r="C28" s="1" t="str">
        <x:v>Personal monthly service fee each</x:v>
      </x:c>
      <x:c r="D28" s="7" t="n">
        <x:v>69</x:v>
      </x:c>
      <x:c r="E28" s="2"/>
      <x:c r="F28" s="2"/>
      <x:c r="G28" s="2"/>
      <x:c r="H28" s="2"/>
      <x:c r="I28" s="2"/>
      <x:c r="J28" s="2" t="str">
        <x:v>Estimate. Confirm bank quotation.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21" customHeight="1">
      <x:c r="A29" s="1"/>
      <x:c r="B29" s="1"/>
      <x:c r="C29" s="1" t="str">
        <x:v>Credit life monthly per R1000</x:v>
      </x:c>
      <x:c r="D29" s="10" t="n">
        <x:v>4.5</x:v>
      </x:c>
      <x:c r="E29" s="2"/>
      <x:c r="F29" s="2"/>
      <x:c r="G29" s="2"/>
      <x:c r="H29" s="2"/>
      <x:c r="I29" s="2"/>
      <x:c r="J29" s="2" t="str">
        <x:v>Conservative modelling allowance, not insurer quotation. Charged on opening balance.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21" customHeight="1">
      <x:c r="A30" s="1"/>
      <x:c r="B30" s="1"/>
      <x:c r="C30" s="1" t="str">
        <x:v>Personal loan initiation fee each</x:v>
      </x:c>
      <x:c r="D30" s="7" t="n">
        <x:v>1207.5</x:v>
      </x:c>
      <x:c r="E30" s="2"/>
      <x:c r="F30" s="2"/>
      <x:c r="G30" s="2"/>
      <x:c r="H30" s="2"/>
      <x:c r="I30" s="2"/>
      <x:c r="J30" s="2" t="str">
        <x:v>Estimate, cash paid separately.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21" customHeight="1">
      <x:c r="A31" s="1"/>
      <x:c r="B31" s="1"/>
      <x:c r="C31" s="1" t="str">
        <x:v>Minimum company cash reserve</x:v>
      </x:c>
      <x:c r="D31" s="7" t="n">
        <x:v>120000</x:v>
      </x:c>
      <x:c r="E31" s="2"/>
      <x:c r="F31" s="2"/>
      <x:c r="G31" s="2"/>
      <x:c r="H31" s="2"/>
      <x:c r="I31" s="2"/>
      <x:c r="J31" s="2" t="str">
        <x:v>Planning policy. Cash below this receives no voluntary loan repayment.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21" customHeight="1">
      <x:c r="A32" s="1"/>
      <x:c r="B32" s="1"/>
      <x:c r="C32" s="1" t="str">
        <x:v>Opening company cash reserve</x:v>
      </x:c>
      <x:c r="D32" s="7" t="n">
        <x:v>200000</x:v>
      </x:c>
      <x:c r="E32" s="2"/>
      <x:c r="F32" s="2"/>
      <x:c r="G32" s="2"/>
      <x:c r="H32" s="2"/>
      <x:c r="I32" s="2"/>
      <x:c r="J32" s="2" t="str">
        <x:v>Initial funding allowance; further deficit separately reported.</x:v>
      </x:c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21" customHeight="1">
      <x:c r="A33" s="1"/>
      <x:c r="B33" s="1"/>
      <x:c r="C33" s="1" t="str">
        <x:v>Annual menu price growth</x:v>
      </x:c>
      <x:c r="D33" s="8" t="n">
        <x:v>0.05</x:v>
      </x:c>
      <x:c r="E33" s="2"/>
      <x:c r="F33" s="2"/>
      <x:c r="G33" s="2"/>
      <x:c r="H33" s="2"/>
      <x:c r="I33" s="2"/>
      <x:c r="J33" s="2" t="str">
        <x:v>Assumption for years 2 and 3.</x:v>
      </x:c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21" customHeight="1">
      <x:c r="A34" s="1"/>
      <x:c r="B34" s="1"/>
      <x:c r="C34" s="1" t="str">
        <x:v>Annual input cost growth</x:v>
      </x:c>
      <x:c r="D34" s="8" t="n">
        <x:v>0.05</x:v>
      </x:c>
      <x:c r="E34" s="2"/>
      <x:c r="F34" s="2"/>
      <x:c r="G34" s="2"/>
      <x:c r="H34" s="2"/>
      <x:c r="I34" s="2"/>
      <x:c r="J34" s="2" t="str">
        <x:v>Assumption for years 2 and 3.</x:v>
      </x:c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21" customHeight="1">
      <x:c r="A35" s="1"/>
      <x:c r="B35" s="1"/>
      <x:c r="C35" s="1" t="str">
        <x:v>Annual rent escalation</x:v>
      </x:c>
      <x:c r="D35" s="8" t="n">
        <x:v>0.08</x:v>
      </x:c>
      <x:c r="E35" s="2"/>
      <x:c r="F35" s="2"/>
      <x:c r="G35" s="2"/>
      <x:c r="H35" s="2"/>
      <x:c r="I35" s="2"/>
      <x:c r="J35" s="2" t="str">
        <x:v>Lease assumption.</x:v>
      </x:c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21" customHeight="1">
      <x:c r="A36" s="1"/>
      <x:c r="B36" s="1"/>
      <x:c r="C36" s="1" t="str">
        <x:v>Card share of sales</x:v>
      </x:c>
      <x:c r="D36" s="8" t="n">
        <x:v>0.95</x:v>
      </x:c>
      <x:c r="E36" s="2"/>
      <x:c r="F36" s="2"/>
      <x:c r="G36" s="2"/>
      <x:c r="H36" s="2"/>
      <x:c r="I36" s="2"/>
      <x:c r="J36" s="2" t="str">
        <x:v>Assumption.</x:v>
      </x:c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21" customHeight="1">
      <x:c r="A37" s="1"/>
      <x:c r="B37" s="1"/>
      <x:c r="C37" s="1" t="str">
        <x:v>Card fee excluding VAT</x:v>
      </x:c>
      <x:c r="D37" s="8" t="n">
        <x:v>0.023</x:v>
      </x:c>
      <x:c r="E37" s="2"/>
      <x:c r="F37" s="2"/>
      <x:c r="G37" s="2"/>
      <x:c r="H37" s="2"/>
      <x:c r="I37" s="2"/>
      <x:c r="J37" s="2" t="str">
        <x:v>https://www.yoco.com/za/pricing/</x:v>
      </x:c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21" customHeight="1">
      <x:c r="A38" s="1"/>
      <x:c r="B38" s="1"/>
      <x:c r="C38" s="1" t="str">
        <x:v>Takeaway share of drinks</x:v>
      </x:c>
      <x:c r="D38" s="8" t="n">
        <x:v>0.8</x:v>
      </x:c>
      <x:c r="E38" s="2"/>
      <x:c r="F38" s="2"/>
      <x:c r="G38" s="2"/>
      <x:c r="H38" s="2"/>
      <x:c r="I38" s="2"/>
      <x:c r="J38" s="2" t="str">
        <x:v>Assumption; cups cost only attached to takeaway drinks.</x:v>
      </x:c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21" customHeight="1">
      <x:c r="A39" s="1"/>
      <x:c r="B39" s="1"/>
      <x:c r="C39" s="1" t="str">
        <x:v>Alternative milk share eligible drinks</x:v>
      </x:c>
      <x:c r="D39" s="8" t="n">
        <x:v>0.15</x:v>
      </x:c>
      <x:c r="E39" s="2"/>
      <x:c r="F39" s="2"/>
      <x:c r="G39" s="2"/>
      <x:c r="H39" s="2"/>
      <x:c r="I39" s="2"/>
      <x:c r="J39" s="2" t="str">
        <x:v>Assumption.</x:v>
      </x:c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21" customHeight="1">
      <x:c r="A40" s="1"/>
      <x:c r="B40" s="1"/>
      <x:c r="C40" s="1" t="str">
        <x:v>Alternative milk surcharge</x:v>
      </x:c>
      <x:c r="D40" s="7" t="n">
        <x:v>10</x:v>
      </x:c>
      <x:c r="E40" s="2"/>
      <x:c r="F40" s="2"/>
      <x:c r="G40" s="2"/>
      <x:c r="H40" s="2"/>
      <x:c r="I40" s="2"/>
      <x:c r="J40" s="2" t="str">
        <x:v>Plato June 2026 small alternative milk R11. Cowboy proposed R10.</x:v>
      </x:c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21" customHeight="1">
      <x:c r="A41" s="1"/>
      <x:c r="B41" s="1"/>
      <x:c r="C41" s="1" t="str">
        <x:v>Beverage ingredients wastage</x:v>
      </x:c>
      <x:c r="D41" s="8" t="n">
        <x:v>0.05</x:v>
      </x:c>
      <x:c r="E41" s="2"/>
      <x:c r="F41" s="2"/>
      <x:c r="G41" s="2"/>
      <x:c r="H41" s="2"/>
      <x:c r="I41" s="2"/>
      <x:c r="J41" s="2" t="str">
        <x:v>Dial-in, milk purging and spoilage allowance.</x:v>
      </x:c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21" customHeight="1">
      <x:c r="A42" s="1"/>
      <x:c r="B42" s="1"/>
      <x:c r="C42" s="1" t="str">
        <x:v>Pastry wastage</x:v>
      </x:c>
      <x:c r="D42" s="8" t="n">
        <x:v>0.12</x:v>
      </x:c>
      <x:c r="E42" s="2"/>
      <x:c r="F42" s="2"/>
      <x:c r="G42" s="2"/>
      <x:c r="H42" s="2"/>
      <x:c r="I42" s="2"/>
      <x:c r="J42" s="2" t="str">
        <x:v>Purchased units exceed sold units.</x:v>
      </x:c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21" customHeight="1">
      <x:c r="A43" s="1"/>
      <x:c r="B43" s="1"/>
      <x:c r="C43" s="1" t="str">
        <x:v>Inventory days</x:v>
      </x:c>
      <x:c r="D43" s="6" t="n">
        <x:v>10</x:v>
      </x:c>
      <x:c r="E43" s="2"/>
      <x:c r="F43" s="2"/>
      <x:c r="G43" s="2"/>
      <x:c r="H43" s="2"/>
      <x:c r="I43" s="2"/>
      <x:c r="J43" s="2" t="str">
        <x:v>Aggregate stock incl. beans and packaging; pastries ordered daily.</x:v>
      </x:c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21" customHeight="1">
      <x:c r="A44" s="1"/>
      <x:c r="B44" s="1"/>
      <x:c r="C44" s="1" t="str">
        <x:v>Initial inventory incl VAT</x:v>
      </x:c>
      <x:c r="D44" s="7" t="n">
        <x:v>15000</x:v>
      </x:c>
      <x:c r="E44" s="2"/>
      <x:c r="F44" s="2"/>
      <x:c r="G44" s="2"/>
      <x:c r="H44" s="2"/>
      <x:c r="I44" s="2"/>
      <x:c r="J44" s="2" t="str">
        <x:v>Planning allowance.</x:v>
      </x:c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21" customHeight="1">
      <x:c r="A45" s="1"/>
      <x:c r="B45" s="1"/>
      <x:c r="C45" s="1" t="str">
        <x:v>Maintenance capex monthly incl VAT</x:v>
      </x:c>
      <x:c r="D45" s="7" t="n">
        <x:v>1000</x:v>
      </x:c>
      <x:c r="E45" s="2"/>
      <x:c r="F45" s="2"/>
      <x:c r="G45" s="2"/>
      <x:c r="H45" s="2"/>
      <x:c r="I45" s="2"/>
      <x:c r="J45" s="2" t="str">
        <x:v>Replacement reserve modelled as actual capex spend.</x:v>
      </x:c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21" customHeight="1">
      <x:c r="A46" s="1"/>
      <x:c r="B46" s="1"/>
      <x:c r="C46" s="1" t="str">
        <x:v>Lease deposit months</x:v>
      </x:c>
      <x:c r="D46" s="6" t="n">
        <x:v>2</x:v>
      </x:c>
      <x:c r="E46" s="2"/>
      <x:c r="F46" s="2"/>
      <x:c r="G46" s="2"/>
      <x:c r="H46" s="2"/>
      <x:c r="I46" s="2"/>
      <x:c r="J46" s="2" t="str">
        <x:v>Refundable security deposit, no input VAT assumed.</x:v>
      </x:c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21" customHeight="1">
      <x:c r="A47" s="1"/>
      <x:c r="B47" s="1"/>
      <x:c r="C47" s="1" t="str">
        <x:v>Inge share subscription</x:v>
      </x:c>
      <x:c r="D47" s="7" t="n">
        <x:v>100</x:v>
      </x:c>
      <x:c r="E47" s="2"/>
      <x:c r="F47" s="2"/>
      <x:c r="G47" s="2"/>
      <x:c r="H47" s="2"/>
      <x:c r="I47" s="2"/>
      <x:c r="J47" s="2" t="str">
        <x:v>Provisional equity input, distinct from founder loans.</x:v>
      </x:c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21" customHeight="1">
      <x:c r="A48" s="1"/>
      <x:c r="B48" s="1"/>
      <x:c r="C48" s="1" t="str">
        <x:v>Personal pre-opening interest months</x:v>
      </x:c>
      <x:c r="D48" s="6" t="n">
        <x:v>2</x:v>
      </x:c>
      <x:c r="E48" s="2"/>
      <x:c r="F48" s="2"/>
      <x:c r="G48" s="2"/>
      <x:c r="H48" s="2"/>
      <x:c r="I48" s="2"/>
      <x:c r="J48" s="2" t="str">
        <x:v>Interest-only carry estimate before trading; no principal reduction.</x:v>
      </x:c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21" customHeight="1">
      <x:c r="A49" s="1"/>
      <x:c r="B49" s="1"/>
      <x:c r="C49" s="1" t="str">
        <x:v>Per-person advertised loan ceiling</x:v>
      </x:c>
      <x:c r="D49" s="7" t="n">
        <x:v>350000</x:v>
      </x:c>
      <x:c r="E49" s="2"/>
      <x:c r="F49" s="2"/>
      <x:c r="G49" s="2"/>
      <x:c r="H49" s="2"/>
      <x:c r="I49" s="2"/>
      <x:c r="J49" s="2" t="str">
        <x:v>https://www.absa.co.za/personal/loans/for-myself/personal-loan/</x:v>
      </x:c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21" customHeight="1">
      <x:c r="A50" s="1"/>
      <x:c r="B50" s="1"/>
      <x:c r="C50" s="1" t="str">
        <x:v>Milk dairy per litre incl VAT</x:v>
      </x:c>
      <x:c r="D50" s="10" t="n">
        <x:v>22</x:v>
      </x:c>
      <x:c r="E50" s="2"/>
      <x:c r="F50" s="2"/>
      <x:c r="G50" s="2"/>
      <x:c r="H50" s="2"/>
      <x:c r="I50" s="2"/>
      <x:c r="J50" s="2" t="str">
        <x:v>Estimate; supplier quote required.</x:v>
      </x:c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21" customHeight="1">
      <x:c r="A51" s="1"/>
      <x:c r="B51" s="1"/>
      <x:c r="C51" s="1" t="str">
        <x:v>Alternative milk per litre incl VAT</x:v>
      </x:c>
      <x:c r="D51" s="10" t="n">
        <x:v>42</x:v>
      </x:c>
      <x:c r="E51" s="2"/>
      <x:c r="F51" s="2"/>
      <x:c r="G51" s="2"/>
      <x:c r="H51" s="2"/>
      <x:c r="I51" s="2"/>
      <x:c r="J51" s="2" t="str">
        <x:v>Estimate; supplier quote required.</x:v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21" customHeight="1">
      <x:c r="A52" s="1"/>
      <x:c r="B52" s="1"/>
      <x:c r="C52" s="1" t="str">
        <x:v>Coffee beans per kg incl VAT</x:v>
      </x:c>
      <x:c r="D52" s="10" t="n">
        <x:v>440</x:v>
      </x:c>
      <x:c r="E52" s="2"/>
      <x:c r="F52" s="2"/>
      <x:c r="G52" s="2"/>
      <x:c r="H52" s="2"/>
      <x:c r="I52" s="2"/>
      <x:c r="J52" s="2" t="str">
        <x:v>Legado Journeyman 5kg R2199 reference; rounded planning input. https://capecoffeebeans.co.za/collections/wholesale-coffee-beans</x:v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21" customHeight="1">
      <x:c r="A53" s="1"/>
      <x:c r="B53" s="1"/>
      <x:c r="C53" s="1" t="str">
        <x:v>Matcha per kg incl VAT</x:v>
      </x:c>
      <x:c r="D53" s="10" t="n">
        <x:v>3500</x:v>
      </x:c>
      <x:c r="E53" s="2"/>
      <x:c r="F53" s="2"/>
      <x:c r="G53" s="2"/>
      <x:c r="H53" s="2"/>
      <x:c r="I53" s="2"/>
      <x:c r="J53" s="2" t="str">
        <x:v>Wholesale target assumption, not confirmed. Trade quotes gated. https://www.matchamove.com/pages/wholesale</x:v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21" customHeight="1">
      <x:c r="A54" s="1"/>
      <x:c r="B54" s="1"/>
      <x:c r="C54" s="1" t="str">
        <x:v>Hot branded cup and lid incl VAT</x:v>
      </x:c>
      <x:c r="D54" s="10" t="n">
        <x:v>5.2</x:v>
      </x:c>
      <x:c r="E54" s="2"/>
      <x:c r="F54" s="2"/>
      <x:c r="G54" s="2"/>
      <x:c r="H54" s="2"/>
      <x:c r="I54" s="2"/>
      <x:c r="J54" s="2" t="str">
        <x:v>R5.20 remains a benchmark allowance. Approved denim print and cream cowboy artwork require a supplier quote and print proof. https://www.papercupsa.co.za/product-category/customized-cups/</x:v>
      </x:c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21" customHeight="1">
      <x:c r="A55" s="1"/>
      <x:c r="B55" s="1"/>
      <x:c r="C55" s="1" t="str">
        <x:v>Cold branded cup lid straw incl VAT</x:v>
      </x:c>
      <x:c r="D55" s="10" t="n">
        <x:v>3.5</x:v>
      </x:c>
      <x:c r="E55" s="2"/>
      <x:c r="F55" s="2"/>
      <x:c r="G55" s="2"/>
      <x:c r="H55" s="2"/>
      <x:c r="I55" s="2"/>
      <x:c r="J55" s="2" t="str">
        <x:v>Clear cup+lid reference plus branding/straw allowance. https://www.tevaint.co.za/</x:v>
      </x:c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21" customHeight="1">
      <x:c r="A56" s="1"/>
      <x:c r="B56" s="1"/>
      <x:c r="C56" s="1" t="str">
        <x:v>Pastry cost delivered incl VAT</x:v>
      </x:c>
      <x:c r="D56" s="10" t="n">
        <x:v>22</x:v>
      </x:c>
      <x:c r="E56" s="2"/>
      <x:c r="F56" s="2"/>
      <x:c r="G56" s="2"/>
      <x:c r="H56" s="2"/>
      <x:c r="I56" s="2"/>
      <x:c r="J56" s="2" t="str">
        <x:v>Unquoted target for mixed ready-to-serve range, incl average delivery allocation.</x:v>
      </x:c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21" customHeight="1">
      <x:c r="A57" s="1"/>
      <x:c r="B57" s="1"/>
      <x:c r="C57" s="1" t="str">
        <x:v>Pastry selling price</x:v>
      </x:c>
      <x:c r="D57" s="10" t="n">
        <x:v>40</x:v>
      </x:c>
      <x:c r="E57" s="2"/>
      <x:c r="F57" s="2"/>
      <x:c r="G57" s="2"/>
      <x:c r="H57" s="2"/>
      <x:c r="I57" s="2"/>
      <x:c r="J57" s="2" t="str">
        <x:v>Proposed price, not verified competitor average.</x:v>
      </x:c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21" customHeight="1">
      <x:c r="A58" s="1"/>
      <x:c r="B58" s="1"/>
      <x:c r="C58" s="1" t="str">
        <x:v>Inventory recoverable VAT share</x:v>
      </x:c>
      <x:c r="D58" s="8" t="n">
        <x:v>0.95</x:v>
      </x:c>
      <x:c r="E58" s="2"/>
      <x:c r="F58" s="2"/>
      <x:c r="G58" s="2"/>
      <x:c r="H58" s="2"/>
      <x:c r="I58" s="2"/>
      <x:c r="J58" s="2" t="str">
        <x:v>Supplier VAT status allowance.</x:v>
      </x:c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21" customHeight="1">
      <x:c r="A59" s="1"/>
      <x:c r="B59" s="1"/>
      <x:c r="C59" s="1" t="str">
        <x:v>Pastry recoverable VAT share</x:v>
      </x:c>
      <x:c r="D59" s="8" t="n">
        <x:v>0.8</x:v>
      </x:c>
      <x:c r="E59" s="2"/>
      <x:c r="F59" s="2"/>
      <x:c r="G59" s="2"/>
      <x:c r="H59" s="2"/>
      <x:c r="I59" s="2"/>
      <x:c r="J59" s="2" t="str">
        <x:v>Some bakery suppliers may not be registered.</x:v>
      </x:c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21" customHeight="1">
      <x:c r="A60" s="1"/>
      <x:c r="B60" s="1"/>
      <x:c r="C60" s="1" t="str">
        <x:v>Company loan capitalisation (1/0)</x:v>
      </x:c>
      <x:c r="D60" s="6" t="n">
        <x:v>0</x:v>
      </x:c>
      <x:c r="E60" s="2"/>
      <x:c r="F60" s="2"/>
      <x:c r="G60" s="2"/>
      <x:c r="H60" s="2"/>
      <x:c r="I60" s="2"/>
      <x:c r="J60" s="2" t="str">
        <x:v>0: interest accrues without compounding.</x:v>
      </x:c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21" customHeight="1">
      <x:c r="A61" s="1"/>
      <x:c r="B61" s="1"/>
      <x:c r="C61" s="1" t="str">
        <x:v>Personal contribution cap monthly each</x:v>
      </x:c>
      <x:c r="D61" s="7"/>
      <x:c r="E61" s="2"/>
      <x:c r="F61" s="2"/>
      <x:c r="G61" s="2"/>
      <x:c r="H61" s="2"/>
      <x:c r="I61" s="2"/>
      <x:c r="J61" s="2" t="str">
        <x:v>UNDECIDED. Blank means affordability has not been established.</x:v>
      </x:c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21" customHeight="1">
      <x:c r="A64" s="1"/>
      <x:c r="B64" s="1"/>
      <x:c r="C64" s="1" t="str">
        <x:v>Calendar seasonality (mean = 1.00)</x:v>
      </x:c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21" customHeight="1">
      <x:c r="A65" s="1"/>
      <x:c r="B65" s="1"/>
      <x:c r="C65" s="1" t="str">
        <x:v>Month</x:v>
      </x:c>
      <x:c r="D65" s="2" t="str">
        <x:v>Factor</x:v>
      </x:c>
      <x:c r="E65" s="2"/>
      <x:c r="F65" s="2"/>
      <x:c r="G65" s="2"/>
      <x:c r="H65" s="2"/>
      <x:c r="I65" s="2"/>
      <x:c r="J65" s="2" t="str">
        <x:v>Seasonality is a hypothesis for student exposure, not historical café sales.</x:v>
      </x:c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21" customHeight="1">
      <x:c r="A66" s="1"/>
      <x:c r="B66" s="1"/>
      <x:c r="C66" s="1" t="n">
        <x:v>1</x:v>
      </x:c>
      <x:c r="D66" s="10" t="n">
        <x:v>0.8</x:v>
      </x:c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1" customHeight="1">
      <x:c r="A67" s="1"/>
      <x:c r="B67" s="1"/>
      <x:c r="C67" s="1" t="n">
        <x:v>2</x:v>
      </x:c>
      <x:c r="D67" s="10" t="n">
        <x:v>1.08</x:v>
      </x:c>
      <x:c r="E67" s="2"/>
      <x:c r="F67" s="2"/>
      <x:c r="G67" s="2"/>
      <x:c r="H67" s="2"/>
      <x:c r="I67" s="2"/>
      <x:c r="J67" s="2" t="str">
        <x:v>All sources accessed 7 September 2026. Menu inputs are proposed January 2027 prices.</x:v>
      </x:c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21" customHeight="1">
      <x:c r="A68" s="1"/>
      <x:c r="B68" s="1"/>
      <x:c r="C68" s="1" t="n">
        <x:v>3</x:v>
      </x:c>
      <x:c r="D68" s="10" t="n">
        <x:v>1.1</x:v>
      </x:c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21" customHeight="1">
      <x:c r="A69" s="1"/>
      <x:c r="B69" s="1"/>
      <x:c r="C69" s="1" t="n">
        <x:v>4</x:v>
      </x:c>
      <x:c r="D69" s="10" t="n">
        <x:v>1.02</x:v>
      </x:c>
      <x:c r="E69" s="2"/>
      <x:c r="F69" s="2"/>
      <x:c r="G69" s="2"/>
      <x:c r="H69" s="2"/>
      <x:c r="I69" s="2"/>
      <x:c r="J69" s="2" t="str">
        <x:v>Blue = editable input. Green = linked formula. Black = calculation. No owner salaries initially.</x:v>
      </x:c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21" customHeight="1">
      <x:c r="A70" s="1"/>
      <x:c r="B70" s="1"/>
      <x:c r="C70" s="1" t="n">
        <x:v>5</x:v>
      </x:c>
      <x:c r="D70" s="10" t="n">
        <x:v>1.05</x:v>
      </x:c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21" customHeight="1">
      <x:c r="A71" s="1"/>
      <x:c r="B71" s="1"/>
      <x:c r="C71" s="1" t="n">
        <x:v>6</x:v>
      </x:c>
      <x:c r="D71" s="10" t="n">
        <x:v>0.93</x:v>
      </x:c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21" customHeight="1">
      <x:c r="A72" s="1"/>
      <x:c r="B72" s="1"/>
      <x:c r="C72" s="1" t="n">
        <x:v>7</x:v>
      </x:c>
      <x:c r="D72" s="10" t="n">
        <x:v>0.85</x:v>
      </x:c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21" customHeight="1">
      <x:c r="A73" s="1"/>
      <x:c r="B73" s="1"/>
      <x:c r="C73" s="1" t="n">
        <x:v>8</x:v>
      </x:c>
      <x:c r="D73" s="10" t="n">
        <x:v>1.08</x:v>
      </x:c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21" customHeight="1">
      <x:c r="A74" s="1"/>
      <x:c r="B74" s="1"/>
      <x:c r="C74" s="1" t="n">
        <x:v>9</x:v>
      </x:c>
      <x:c r="D74" s="10" t="n">
        <x:v>1.08</x:v>
      </x:c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21" customHeight="1">
      <x:c r="A75" s="1"/>
      <x:c r="B75" s="1"/>
      <x:c r="C75" s="1" t="n">
        <x:v>10</x:v>
      </x:c>
      <x:c r="D75" s="10" t="n">
        <x:v>1.1</x:v>
      </x:c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21" customHeight="1">
      <x:c r="A76" s="1"/>
      <x:c r="B76" s="1"/>
      <x:c r="C76" s="1" t="n">
        <x:v>11</x:v>
      </x:c>
      <x:c r="D76" s="10" t="n">
        <x:v>1.04</x:v>
      </x:c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21" customHeight="1">
      <x:c r="A77" s="1"/>
      <x:c r="B77" s="1"/>
      <x:c r="C77" s="1" t="n">
        <x:v>12</x:v>
      </x:c>
      <x:c r="D77" s="10" t="n">
        <x:v>0.87</x:v>
      </x:c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</x:row>
  </x:sheetData>
  <x:dataValidations count="1">
    <x:dataValidation type="list" sqref="D4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</x:row>
    <x:row r="2" ht="21" customHeight="1">
      <x:c r="A2" s="1"/>
      <x:c r="B2" s="1"/>
      <x:c r="C2" s="3" t="str">
        <x:v>Menu economics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</x:row>
    <x:row r="3" ht="21" customHeight="1">
      <x:c r="A3" s="1"/>
      <x:c r="B3" s="1"/>
      <x:c r="C3" s="4"/>
      <x:c r="D3" s="23" t="str">
        <x:f>INDEX('Assumptions'!$E$6:$G$6,1,'Assumptions'!$D$4)</x:f>
        <x:v>Expected</x:v>
      </x:c>
      <x:c r="E3" s="4"/>
      <x:c r="F3" s="4"/>
      <x:c r="G3" s="4"/>
      <x:c r="H3" s="4"/>
      <x:c r="I3" s="4"/>
      <x:c r="J3" s="4"/>
      <x:c r="K3" s="4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</x:row>
    <x:row r="5" ht="21" customHeight="1">
      <x:c r="A5" s="1"/>
      <x:c r="B5" s="1"/>
      <x:c r="C5" s="14" t="str">
        <x:v>Drink</x:v>
      </x:c>
      <x:c r="D5" s="14" t="str">
        <x:v>Price</x:v>
      </x:c>
      <x:c r="E5" s="14" t="str">
        <x:v>Mix</x:v>
      </x:c>
      <x:c r="F5" s="14" t="str">
        <x:v>Coffee g</x:v>
      </x:c>
      <x:c r="G5" s="14" t="str">
        <x:v>Dairy ml</x:v>
      </x:c>
      <x:c r="H5" s="14" t="str">
        <x:v>Matcha g</x:v>
      </x:c>
      <x:c r="I5" s="14" t="str">
        <x:v>Other R</x:v>
      </x:c>
      <x:c r="J5" s="14" t="str">
        <x:v>Cold 1/0</x:v>
      </x:c>
      <x:c r="K5" s="14" t="str">
        <x:v>Alt eligible</x:v>
      </x:c>
      <x:c r="L5" s="14" t="str">
        <x:v>Cost incl VAT</x:v>
      </x:c>
      <x:c r="M5" s="14" t="str">
        <x:v>Net price</x:v>
      </x:c>
      <x:c r="N5" s="14" t="str">
        <x:v>Net cost</x:v>
      </x:c>
      <x:c r="O5" s="14" t="str">
        <x:v>GP %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</x:row>
    <x:row r="6" ht="21" customHeight="1">
      <x:c r="A6" s="1"/>
      <x:c r="B6" s="1"/>
      <x:c r="C6" s="1" t="str">
        <x:v>Espresso</x:v>
      </x:c>
      <x:c r="D6" s="10" t="n">
        <x:v>28</x:v>
      </x:c>
      <x:c r="E6" s="8" t="n">
        <x:v>0.06</x:v>
      </x:c>
      <x:c r="F6" s="7" t="n">
        <x:v>18</x:v>
      </x:c>
      <x:c r="G6" s="7" t="n">
        <x:v>0</x:v>
      </x:c>
      <x:c r="H6" s="7" t="n">
        <x:v>0</x:v>
      </x:c>
      <x:c r="I6" s="10" t="n">
        <x:v>0.15</x:v>
      </x:c>
      <x:c r="J6" s="7" t="n">
        <x:v>0</x:v>
      </x:c>
      <x:c r="K6" s="7" t="n">
        <x:v>0</x:v>
      </x:c>
      <x:c r="L6" s="12" t="n">
        <x:f>(F6/1000*'Assumptions'!$D$52+G6/1000*('Assumptions'!$D$50+K6*'Assumptions'!$D$39*('Assumptions'!$D$51-'Assumptions'!$D$50))+H6/1000*'Assumptions'!$D$53+I6)/(1-'Assumptions'!$D$41)+'Assumptions'!$D$38*IF(J6=1,'Assumptions'!$D$55,'Assumptions'!$D$54)</x:f>
        <x:v>12.654736842105262</x:v>
      </x:c>
      <x:c r="M6" s="12" t="n">
        <x:f>(D6+K6*'Assumptions'!$D$39*'Assumptions'!$D$40)/(1+'Assumptions'!$D$19*'Assumptions'!$D$20)</x:f>
        <x:v>24.347826086956523</x:v>
      </x:c>
      <x:c r="N6" s="12" t="n">
        <x:f>L6/(1+'Assumptions'!$D$19*'Assumptions'!$D$20)</x:f>
        <x:v>11.00411899313501</x:v>
      </x:c>
      <x:c r="O6" s="9" t="n">
        <x:f>1-N6/M6</x:f>
        <x:v>0.548045112781955</x:v>
      </x:c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21" customHeight="1">
      <x:c r="A7" s="1"/>
      <x:c r="B7" s="1"/>
      <x:c r="C7" s="1" t="str">
        <x:v>Americano</x:v>
      </x:c>
      <x:c r="D7" s="10" t="n">
        <x:v>35</x:v>
      </x:c>
      <x:c r="E7" s="8" t="n">
        <x:v>0.16</x:v>
      </x:c>
      <x:c r="F7" s="7" t="n">
        <x:v>18</x:v>
      </x:c>
      <x:c r="G7" s="7" t="n">
        <x:v>0</x:v>
      </x:c>
      <x:c r="H7" s="7" t="n">
        <x:v>0</x:v>
      </x:c>
      <x:c r="I7" s="10" t="n">
        <x:v>0.15</x:v>
      </x:c>
      <x:c r="J7" s="7" t="n">
        <x:v>0</x:v>
      </x:c>
      <x:c r="K7" s="7" t="n">
        <x:v>0</x:v>
      </x:c>
      <x:c r="L7" s="12" t="n">
        <x:f>(F7/1000*'Assumptions'!$D$52+G7/1000*('Assumptions'!$D$50+K7*'Assumptions'!$D$39*('Assumptions'!$D$51-'Assumptions'!$D$50))+H7/1000*'Assumptions'!$D$53+I7)/(1-'Assumptions'!$D$41)+'Assumptions'!$D$38*IF(J7=1,'Assumptions'!$D$55,'Assumptions'!$D$54)</x:f>
        <x:v>12.654736842105262</x:v>
      </x:c>
      <x:c r="M7" s="12" t="n">
        <x:f>(D7+K7*'Assumptions'!$D$39*'Assumptions'!$D$40)/(1+'Assumptions'!$D$19*'Assumptions'!$D$20)</x:f>
        <x:v>30.434782608695656</x:v>
      </x:c>
      <x:c r="N7" s="12" t="n">
        <x:f>L7/(1+'Assumptions'!$D$19*'Assumptions'!$D$20)</x:f>
        <x:v>11.00411899313501</x:v>
      </x:c>
      <x:c r="O7" s="9" t="n">
        <x:f>1-N7/M7</x:f>
        <x:v>0.6384360902255639</x:v>
      </x:c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21" customHeight="1">
      <x:c r="A8" s="1"/>
      <x:c r="B8" s="1"/>
      <x:c r="C8" s="1" t="str">
        <x:v>Cappuccino / latte regular</x:v>
      </x:c>
      <x:c r="D8" s="10" t="n">
        <x:v>42</x:v>
      </x:c>
      <x:c r="E8" s="8" t="n">
        <x:v>0.43</x:v>
      </x:c>
      <x:c r="F8" s="7" t="n">
        <x:v>18</x:v>
      </x:c>
      <x:c r="G8" s="7" t="n">
        <x:v>180</x:v>
      </x:c>
      <x:c r="H8" s="7" t="n">
        <x:v>0</x:v>
      </x:c>
      <x:c r="I8" s="10" t="n">
        <x:v>0.25</x:v>
      </x:c>
      <x:c r="J8" s="7" t="n">
        <x:v>0</x:v>
      </x:c>
      <x:c r="K8" s="7" t="n">
        <x:v>1</x:v>
      </x:c>
      <x:c r="L8" s="12" t="n">
        <x:f>(F8/1000*'Assumptions'!$D$52+G8/1000*('Assumptions'!$D$50+K8*'Assumptions'!$D$39*('Assumptions'!$D$51-'Assumptions'!$D$50))+H8/1000*'Assumptions'!$D$53+I8)/(1-'Assumptions'!$D$41)+'Assumptions'!$D$38*IF(J8=1,'Assumptions'!$D$55,'Assumptions'!$D$54)</x:f>
        <x:v>17.496842105263156</x:v>
      </x:c>
      <x:c r="M8" s="12" t="n">
        <x:f>(D8+K8*'Assumptions'!$D$39*'Assumptions'!$D$40)/(1+'Assumptions'!$D$19*'Assumptions'!$D$20)</x:f>
        <x:v>37.82608695652174</x:v>
      </x:c>
      <x:c r="N8" s="12" t="n">
        <x:f>L8/(1+'Assumptions'!$D$19*'Assumptions'!$D$20)</x:f>
        <x:v>15.214645308924485</x:v>
      </x:c>
      <x:c r="O8" s="9" t="n">
        <x:f>1-N8/M8</x:f>
        <x:v>0.5977737447065941</x:v>
      </x:c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</x:row>
    <x:row r="9" ht="21" customHeight="1">
      <x:c r="A9" s="1"/>
      <x:c r="B9" s="1"/>
      <x:c r="C9" s="1" t="str">
        <x:v>Flat white</x:v>
      </x:c>
      <x:c r="D9" s="10" t="n">
        <x:v>44</x:v>
      </x:c>
      <x:c r="E9" s="8" t="n">
        <x:v>0.13</x:v>
      </x:c>
      <x:c r="F9" s="7" t="n">
        <x:v>18</x:v>
      </x:c>
      <x:c r="G9" s="7" t="n">
        <x:v>160</x:v>
      </x:c>
      <x:c r="H9" s="7" t="n">
        <x:v>0</x:v>
      </x:c>
      <x:c r="I9" s="10" t="n">
        <x:v>0.25</x:v>
      </x:c>
      <x:c r="J9" s="7" t="n">
        <x:v>0</x:v>
      </x:c>
      <x:c r="K9" s="7" t="n">
        <x:v>1</x:v>
      </x:c>
      <x:c r="L9" s="12" t="n">
        <x:f>(F9/1000*'Assumptions'!$D$52+G9/1000*('Assumptions'!$D$50+K9*'Assumptions'!$D$39*('Assumptions'!$D$51-'Assumptions'!$D$50))+H9/1000*'Assumptions'!$D$53+I9)/(1-'Assumptions'!$D$41)+'Assumptions'!$D$38*IF(J9=1,'Assumptions'!$D$55,'Assumptions'!$D$54)</x:f>
        <x:v>16.97052631578947</x:v>
      </x:c>
      <x:c r="M9" s="12" t="n">
        <x:f>(D9+K9*'Assumptions'!$D$39*'Assumptions'!$D$40)/(1+'Assumptions'!$D$19*'Assumptions'!$D$20)</x:f>
        <x:v>39.56521739130435</x:v>
      </x:c>
      <x:c r="N9" s="12" t="n">
        <x:f>L9/(1+'Assumptions'!$D$19*'Assumptions'!$D$20)</x:f>
        <x:v>14.756979405034324</x:v>
      </x:c>
      <x:c r="O9" s="9" t="n">
        <x:f>1-N9/M9</x:f>
        <x:v>0.6270213996529787</x:v>
      </x:c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</x:row>
    <x:row r="10" ht="21" customHeight="1">
      <x:c r="A10" s="1"/>
      <x:c r="B10" s="1"/>
      <x:c r="C10" s="1" t="str">
        <x:v>Iced latte</x:v>
      </x:c>
      <x:c r="D10" s="10" t="n">
        <x:v>50</x:v>
      </x:c>
      <x:c r="E10" s="8" t="n">
        <x:v>0.12</x:v>
      </x:c>
      <x:c r="F10" s="7" t="n">
        <x:v>18</x:v>
      </x:c>
      <x:c r="G10" s="7" t="n">
        <x:v>200</x:v>
      </x:c>
      <x:c r="H10" s="7" t="n">
        <x:v>0</x:v>
      </x:c>
      <x:c r="I10" s="10" t="n">
        <x:v>1</x:v>
      </x:c>
      <x:c r="J10" s="7" t="n">
        <x:v>1</x:v>
      </x:c>
      <x:c r="K10" s="7" t="n">
        <x:v>1</x:v>
      </x:c>
      <x:c r="L10" s="12" t="n">
        <x:f>(F10/1000*'Assumptions'!$D$52+G10/1000*('Assumptions'!$D$50+K10*'Assumptions'!$D$39*('Assumptions'!$D$51-'Assumptions'!$D$50))+H10/1000*'Assumptions'!$D$53+I10)/(1-'Assumptions'!$D$41)+'Assumptions'!$D$38*IF(J10=1,'Assumptions'!$D$55,'Assumptions'!$D$54)</x:f>
        <x:v>17.45263157894737</x:v>
      </x:c>
      <x:c r="M10" s="12" t="n">
        <x:f>(D10+K10*'Assumptions'!$D$39*'Assumptions'!$D$40)/(1+'Assumptions'!$D$19*'Assumptions'!$D$20)</x:f>
        <x:v>44.78260869565218</x:v>
      </x:c>
      <x:c r="N10" s="12" t="n">
        <x:f>L10/(1+'Assumptions'!$D$19*'Assumptions'!$D$20)</x:f>
        <x:v>15.176201372997713</x:v>
      </x:c>
      <x:c r="O10" s="9" t="n">
        <x:f>1-N10/M10</x:f>
        <x:v>0.661113949923352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</x:row>
    <x:row r="11" ht="21" customHeight="1">
      <x:c r="A11" s="1"/>
      <x:c r="B11" s="1"/>
      <x:c r="C11" s="1" t="str">
        <x:v>Matcha latte</x:v>
      </x:c>
      <x:c r="D11" s="10" t="n">
        <x:v>55</x:v>
      </x:c>
      <x:c r="E11" s="8" t="n">
        <x:v>0.06</x:v>
      </x:c>
      <x:c r="F11" s="7" t="n">
        <x:v>0</x:v>
      </x:c>
      <x:c r="G11" s="7" t="n">
        <x:v>200</x:v>
      </x:c>
      <x:c r="H11" s="7" t="n">
        <x:v>2</x:v>
      </x:c>
      <x:c r="I11" s="10" t="n">
        <x:v>1</x:v>
      </x:c>
      <x:c r="J11" s="7" t="n">
        <x:v>0</x:v>
      </x:c>
      <x:c r="K11" s="7" t="n">
        <x:v>1</x:v>
      </x:c>
      <x:c r="L11" s="12" t="n">
        <x:f>(F11/1000*'Assumptions'!$D$52+G11/1000*('Assumptions'!$D$50+K11*'Assumptions'!$D$39*('Assumptions'!$D$51-'Assumptions'!$D$50))+H11/1000*'Assumptions'!$D$53+I11)/(1-'Assumptions'!$D$41)+'Assumptions'!$D$38*IF(J11=1,'Assumptions'!$D$55,'Assumptions'!$D$54)</x:f>
        <x:v>17.84421052631579</x:v>
      </x:c>
      <x:c r="M11" s="12" t="n">
        <x:f>(D11+K11*'Assumptions'!$D$39*'Assumptions'!$D$40)/(1+'Assumptions'!$D$19*'Assumptions'!$D$20)</x:f>
        <x:v>49.1304347826087</x:v>
      </x:c>
      <x:c r="N11" s="12" t="n">
        <x:f>L11/(1+'Assumptions'!$D$19*'Assumptions'!$D$20)</x:f>
        <x:v>15.516704805491994</x:v>
      </x:c>
      <x:c r="O11" s="9" t="n">
        <x:f>1-N11/M11</x:f>
        <x:v>0.6841732650209595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</x:row>
    <x:row r="12" ht="21" customHeight="1">
      <x:c r="A12" s="1"/>
      <x:c r="B12" s="1"/>
      <x:c r="C12" s="1" t="str">
        <x:v>Iced matcha</x:v>
      </x:c>
      <x:c r="D12" s="10" t="n">
        <x:v>60</x:v>
      </x:c>
      <x:c r="E12" s="8" t="n">
        <x:v>0.04</x:v>
      </x:c>
      <x:c r="F12" s="7" t="n">
        <x:v>0</x:v>
      </x:c>
      <x:c r="G12" s="7" t="n">
        <x:v>200</x:v>
      </x:c>
      <x:c r="H12" s="7" t="n">
        <x:v>2</x:v>
      </x:c>
      <x:c r="I12" s="10" t="n">
        <x:v>1.5</x:v>
      </x:c>
      <x:c r="J12" s="7" t="n">
        <x:v>1</x:v>
      </x:c>
      <x:c r="K12" s="7" t="n">
        <x:v>1</x:v>
      </x:c>
      <x:c r="L12" s="12" t="n">
        <x:f>(F12/1000*'Assumptions'!$D$52+G12/1000*('Assumptions'!$D$50+K12*'Assumptions'!$D$39*('Assumptions'!$D$51-'Assumptions'!$D$50))+H12/1000*'Assumptions'!$D$53+I12)/(1-'Assumptions'!$D$41)+'Assumptions'!$D$38*IF(J12=1,'Assumptions'!$D$55,'Assumptions'!$D$54)</x:f>
        <x:v>17.010526315789473</x:v>
      </x:c>
      <x:c r="M12" s="12" t="n">
        <x:f>(D12+K12*'Assumptions'!$D$39*'Assumptions'!$D$40)/(1+'Assumptions'!$D$19*'Assumptions'!$D$20)</x:f>
        <x:v>53.47826086956522</x:v>
      </x:c>
      <x:c r="N12" s="12" t="n">
        <x:f>L12/(1+'Assumptions'!$D$19*'Assumptions'!$D$20)</x:f>
        <x:v>14.791762013729977</x:v>
      </x:c>
      <x:c r="O12" s="9" t="n">
        <x:f>1-N12/M12</x:f>
        <x:v>0.7234060761660248</x:v>
      </x:c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</x:row>
    <x:row r="13" ht="21" customHeight="1">
      <x:c r="A13" s="1"/>
      <x:c r="B13" s="1"/>
      <x:c r="C13" s="1"/>
      <x:c r="D13" s="2"/>
      <x:c r="E13" s="2"/>
      <x:c r="F13" s="2"/>
      <x:c r="G13" s="2"/>
      <x:c r="H13" s="2"/>
      <x:c r="I13" s="2"/>
      <x:c r="J13" s="2"/>
      <x:c r="K13" s="2"/>
      <x:c r="L13" s="13"/>
      <x:c r="M13" s="13"/>
      <x:c r="N13" s="13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21" customHeight="1">
      <x:c r="A14" s="1"/>
      <x:c r="B14" s="1"/>
      <x:c r="C14" s="1"/>
      <x:c r="D14" s="2"/>
      <x:c r="E14" s="2"/>
      <x:c r="F14" s="2"/>
      <x:c r="G14" s="2"/>
      <x:c r="H14" s="2"/>
      <x:c r="I14" s="2"/>
      <x:c r="J14" s="2"/>
      <x:c r="K14" s="2"/>
      <x:c r="L14" s="13"/>
      <x:c r="M14" s="13"/>
      <x:c r="N14" s="13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21" customHeight="1">
      <x:c r="A15" s="1"/>
      <x:c r="B15" s="1"/>
      <x:c r="C15" s="1"/>
      <x:c r="D15" s="2"/>
      <x:c r="E15" s="2"/>
      <x:c r="F15" s="2"/>
      <x:c r="G15" s="2"/>
      <x:c r="H15" s="2"/>
      <x:c r="I15" s="2"/>
      <x:c r="J15" s="2"/>
      <x:c r="K15" s="2"/>
      <x:c r="L15" s="13"/>
      <x:c r="M15" s="13"/>
      <x:c r="N15" s="13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21" customHeight="1">
      <x:c r="A16" s="1"/>
      <x:c r="B16" s="1"/>
      <x:c r="C16" s="1" t="str">
        <x:v>Mix total</x:v>
      </x:c>
      <x:c r="D16" s="2" t="n">
        <x:f>SUM(E6:E12)</x:f>
        <x:v>1</x:v>
      </x:c>
      <x:c r="E16" s="2"/>
      <x:c r="F16" s="2"/>
      <x:c r="G16" s="2"/>
      <x:c r="H16" s="2"/>
      <x:c r="I16" s="2"/>
      <x:c r="J16" s="2"/>
      <x:c r="K16" s="2"/>
      <x:c r="L16" s="13"/>
      <x:c r="M16" s="13"/>
      <x:c r="N16" s="13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21" customHeight="1">
      <x:c r="A17" s="1"/>
      <x:c r="B17" s="1"/>
      <x:c r="C17" s="1" t="str">
        <x:v>Drink price incl surcharge</x:v>
      </x:c>
      <x:c r="D17" s="12" t="n">
        <x:f>SUMPRODUCT(E6:E12,M6:M12)*(1+'Assumptions'!$D$19*'Assumptions'!$D$20)</x:f>
        <x:v>43.93</x:v>
      </x:c>
      <x:c r="E17" s="2"/>
      <x:c r="F17" s="2"/>
      <x:c r="G17" s="2"/>
      <x:c r="H17" s="2"/>
      <x:c r="I17" s="2"/>
      <x:c r="J17" s="2"/>
      <x:c r="K17" s="2"/>
      <x:c r="L17" s="13"/>
      <x:c r="M17" s="13"/>
      <x:c r="N17" s="13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21" customHeight="1">
      <x:c r="A18" s="1"/>
      <x:c r="B18" s="1"/>
      <x:c r="C18" s="1" t="str">
        <x:v>Drink net sales</x:v>
      </x:c>
      <x:c r="D18" s="13" t="n">
        <x:f>SUMPRODUCT(E6:E12,M6:M12)</x:f>
        <x:v>38.2</x:v>
      </x:c>
      <x:c r="E18" s="2"/>
      <x:c r="F18" s="2"/>
      <x:c r="G18" s="2"/>
      <x:c r="H18" s="2"/>
      <x:c r="I18" s="2"/>
      <x:c r="J18" s="2"/>
      <x:c r="K18" s="2"/>
      <x:c r="L18" s="13"/>
      <x:c r="M18" s="13"/>
      <x:c r="N18" s="13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21" customHeight="1">
      <x:c r="A19" s="1"/>
      <x:c r="B19" s="1"/>
      <x:c r="C19" s="1" t="str">
        <x:v>Drink net cost</x:v>
      </x:c>
      <x:c r="D19" s="13" t="n">
        <x:f>SUMPRODUCT(E6:E12,N6:N12)</x:f>
        <x:v>14.225427917620138</x:v>
      </x:c>
      <x:c r="E19" s="2"/>
      <x:c r="F19" s="2"/>
      <x:c r="G19" s="2"/>
      <x:c r="H19" s="2"/>
      <x:c r="I19" s="2"/>
      <x:c r="J19" s="2"/>
      <x:c r="K19" s="2"/>
      <x:c r="L19" s="13"/>
      <x:c r="M19" s="13"/>
      <x:c r="N19" s="13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21" customHeight="1">
      <x:c r="A20" s="1"/>
      <x:c r="B20" s="1"/>
      <x:c r="C20" s="1" t="str">
        <x:v>Pastry net sales</x:v>
      </x:c>
      <x:c r="D20" s="12" t="n">
        <x:f>'Assumptions'!$D$57/(1+'Assumptions'!$D$19*'Assumptions'!$D$20)</x:f>
        <x:v>34.78260869565218</x:v>
      </x:c>
      <x:c r="E20" s="2"/>
      <x:c r="F20" s="2"/>
      <x:c r="G20" s="2"/>
      <x:c r="H20" s="2"/>
      <x:c r="I20" s="2"/>
      <x:c r="J20" s="2"/>
      <x:c r="K20" s="2"/>
      <x:c r="L20" s="13"/>
      <x:c r="M20" s="13"/>
      <x:c r="N20" s="13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21" customHeight="1">
      <x:c r="A21" s="1"/>
      <x:c r="B21" s="1"/>
      <x:c r="C21" s="1" t="str">
        <x:v>Pastry net cost incl waste</x:v>
      </x:c>
      <x:c r="D21" s="12" t="n">
        <x:f>'Assumptions'!$D$56/(1-'Assumptions'!$D$42)*(1-'Assumptions'!$D$19*'Assumptions'!$D$59*'Assumptions'!$D$20/(1+'Assumptions'!$D$20))</x:f>
        <x:v>22.391304347826086</x:v>
      </x:c>
      <x:c r="E21" s="2"/>
      <x:c r="F21" s="2"/>
      <x:c r="G21" s="2"/>
      <x:c r="H21" s="2"/>
      <x:c r="I21" s="2"/>
      <x:c r="J21" s="2"/>
      <x:c r="K21" s="2"/>
      <x:c r="L21" s="13"/>
      <x:c r="M21" s="13"/>
      <x:c r="N21" s="13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21" customHeight="1">
      <x:c r="A22" s="1"/>
      <x:c r="B22" s="1"/>
      <x:c r="C22" s="1" t="str">
        <x:v>Average gross basket</x:v>
      </x:c>
      <x:c r="D22" s="12" t="n">
        <x:f>D17+'Assumptions'!D8*'Assumptions'!$D$57</x:f>
        <x:v>53.93</x:v>
      </x:c>
      <x:c r="E22" s="2"/>
      <x:c r="F22" s="2"/>
      <x:c r="G22" s="2"/>
      <x:c r="H22" s="2"/>
      <x:c r="I22" s="2"/>
      <x:c r="J22" s="2"/>
      <x:c r="K22" s="2"/>
      <x:c r="L22" s="13"/>
      <x:c r="M22" s="13"/>
      <x:c r="N22" s="13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21" customHeight="1">
      <x:c r="A23" s="1"/>
      <x:c r="B23" s="1"/>
      <x:c r="C23" s="1" t="str">
        <x:v>Net sales per transaction</x:v>
      </x:c>
      <x:c r="D23" s="12" t="n">
        <x:f>D18+'Assumptions'!D8*D20</x:f>
        <x:v>46.89565217391305</x:v>
      </x:c>
      <x:c r="E23" s="2"/>
      <x:c r="F23" s="2"/>
      <x:c r="G23" s="2"/>
      <x:c r="H23" s="2"/>
      <x:c r="I23" s="2"/>
      <x:c r="J23" s="2"/>
      <x:c r="K23" s="2"/>
      <x:c r="L23" s="13"/>
      <x:c r="M23" s="13"/>
      <x:c r="N23" s="13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21" customHeight="1">
      <x:c r="A24" s="1"/>
      <x:c r="B24" s="1"/>
      <x:c r="C24" s="1" t="str">
        <x:v>Net COGS per transaction</x:v>
      </x:c>
      <x:c r="D24" s="12" t="n">
        <x:f>D19+'Assumptions'!D8*D21</x:f>
        <x:v>19.82325400457666</x:v>
      </x:c>
      <x:c r="E24" s="2"/>
      <x:c r="F24" s="2"/>
      <x:c r="G24" s="2"/>
      <x:c r="H24" s="2"/>
      <x:c r="I24" s="2"/>
      <x:c r="J24" s="2"/>
      <x:c r="K24" s="2"/>
      <x:c r="L24" s="13"/>
      <x:c r="M24" s="13"/>
      <x:c r="N24" s="13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21" customHeight="1">
      <x:c r="A25" s="1"/>
      <x:c r="B25" s="1"/>
      <x:c r="C25" s="1" t="str">
        <x:v>GP per transaction</x:v>
      </x:c>
      <x:c r="D25" s="13" t="n">
        <x:f>D23-D24</x:f>
        <x:v>27.072398169336388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21" customHeight="1">
      <x:c r="A26" s="1"/>
      <x:c r="B26" s="1"/>
      <x:c r="C26" s="1" t="str">
        <x:v>GP margin</x:v>
      </x:c>
      <x:c r="D26" s="9" t="n">
        <x:f>D25/D23</x:f>
        <x:v>0.5772901519513599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21" customHeight="1">
      <x:c r="A27" s="1"/>
      <x:c r="B27" s="1"/>
      <x:c r="C27" s="1" t="str">
        <x:v>Card fee per transaction</x:v>
      </x:c>
      <x:c r="D27" s="12" t="n">
        <x:f>D22*'Assumptions'!$D$36*'Assumptions'!$D$37*(1+'Assumptions'!$D$20*(1-'Assumptions'!$D$19))</x:f>
        <x:v>1.1783705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21" customHeight="1">
      <x:c r="A28" s="1"/>
      <x:c r="B28" s="1"/>
      <x:c r="C28" s="1" t="str">
        <x:v>Contribution per transaction</x:v>
      </x:c>
      <x:c r="D28" s="13" t="n">
        <x:f>D25-D27</x:f>
        <x:v>25.89402766933639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21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21" customHeight="1">
      <x:c r="A31" s="1"/>
      <x:c r="B31" s="1"/>
      <x:c r="C31" s="1" t="str">
        <x:v>One beverage per transaction. Pastries are add-on units; no double-counted customer visits.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21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21" customHeight="1">
      <x:c r="A33" s="1"/>
      <x:c r="B33" s="1"/>
      <x:c r="C33" s="1" t="str">
        <x:v>Prices are proposed. Plato June 2026: small cappuccino R39, flat white R42, medium iced latte R48.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21" customHeight="1">
      <x:c r="A35" s="1"/>
      <x:c r="B35" s="1"/>
      <x:c r="C35" s="1" t="str">
        <x:v>Matcha wholesale assumption is sensitive: obtain a quality-tested supplier quote before setting price.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21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95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</x:row>
    <x:row r="2" ht="21" customHeight="1">
      <x:c r="A2" s="1"/>
      <x:c r="B2" s="1"/>
      <x:c r="C2" s="3" t="str">
        <x:v>Startup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</x:row>
    <x:row r="3" ht="21" customHeight="1">
      <x:c r="A3" s="1"/>
      <x:c r="B3" s="1"/>
      <x:c r="C3" s="4"/>
      <x:c r="D3" s="23" t="str">
        <x:f>INDEX('Assumptions'!$E$6:$G$6,1,'Assumptions'!$D$4)</x:f>
        <x:v>Expected</x:v>
      </x:c>
      <x:c r="E3" s="4"/>
      <x:c r="F3" s="4"/>
      <x:c r="G3" s="4"/>
      <x:c r="H3" s="4"/>
      <x:c r="I3" s="4"/>
      <x:c r="J3" s="4"/>
      <x:c r="K3" s="4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</x:row>
    <x:row r="5" ht="21" customHeight="1">
      <x:c r="A5" s="1"/>
      <x:c r="B5" s="1"/>
      <x:c r="C5" s="14" t="str">
        <x:v>Capital item</x:v>
      </x:c>
      <x:c r="D5" s="14" t="str">
        <x:v>Low R</x:v>
      </x:c>
      <x:c r="E5" s="14" t="str">
        <x:v>Base R</x:v>
      </x:c>
      <x:c r="F5" s="14" t="str">
        <x:v>High R</x:v>
      </x:c>
      <x:c r="G5" s="14" t="str">
        <x:v>VAT share</x:v>
      </x:c>
      <x:c r="H5" s="14" t="str">
        <x:v>Life years</x:v>
      </x:c>
      <x:c r="I5" s="14" t="str">
        <x:v>Net base R</x:v>
      </x:c>
      <x:c r="J5" s="14"/>
      <x:c r="K5" s="14"/>
      <x:c r="L5" s="14"/>
      <x:c r="M5" s="14"/>
      <x:c r="N5" s="14"/>
      <x:c r="O5" s="14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</x:row>
    <x:row r="6" ht="21" customHeight="1">
      <x:c r="A6" s="1"/>
      <x:c r="B6" s="1"/>
      <x:c r="C6" s="1" t="str">
        <x:v>Espresso machine and main grinder</x:v>
      </x:c>
      <x:c r="D6" s="7" t="n">
        <x:v>92015</x:v>
      </x:c>
      <x:c r="E6" s="7" t="n">
        <x:v>109035</x:v>
      </x:c>
      <x:c r="F6" s="7" t="n">
        <x:v>160100</x:v>
      </x:c>
      <x:c r="G6" s="7" t="n">
        <x:v>1</x:v>
      </x:c>
      <x:c r="H6" s="7" t="n">
        <x:v>5</x:v>
      </x:c>
      <x:c r="I6" s="11" t="n">
        <x:f>E6*(1-'Assumptions'!$D$19*G6*'Assumptions'!$D$20/(1+'Assumptions'!$D$20))</x:f>
        <x:v>94813.04347826086</x:v>
      </x:c>
      <x:c r="J6" s="2"/>
      <x:c r="K6" s="2" t="str">
        <x:v>https://www.bunacoffee.co.za/pages/rent-to-own-commercial-coffee-machine-bundles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21" customHeight="1">
      <x:c r="A7" s="1"/>
      <x:c r="B7" s="1"/>
      <x:c r="C7" s="1" t="str">
        <x:v>Decaf grinder</x:v>
      </x:c>
      <x:c r="D7" s="7" t="n">
        <x:v>7000</x:v>
      </x:c>
      <x:c r="E7" s="7" t="n">
        <x:v>10000</x:v>
      </x:c>
      <x:c r="F7" s="7" t="n">
        <x:v>16000</x:v>
      </x:c>
      <x:c r="G7" s="7" t="n">
        <x:v>1</x:v>
      </x:c>
      <x:c r="H7" s="7" t="n">
        <x:v>5</x:v>
      </x:c>
      <x:c r="I7" s="11" t="n">
        <x:f>E7*(1-'Assumptions'!$D$19*G7*'Assumptions'!$D$20/(1+'Assumptions'!$D$20))</x:f>
        <x:v>8695.652173913044</x:v>
      </x:c>
      <x:c r="J7" s="2"/>
      <x:c r="K7" s="2" t="str">
        <x:v>All other capital lines are estimating allowances, not contractor quotes.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21" customHeight="1">
      <x:c r="A8" s="1"/>
      <x:c r="B8" s="1"/>
      <x:c r="C8" s="1" t="str">
        <x:v>Water treatment and installation</x:v>
      </x:c>
      <x:c r="D8" s="7" t="n">
        <x:v>6000</x:v>
      </x:c>
      <x:c r="E8" s="7" t="n">
        <x:v>9000</x:v>
      </x:c>
      <x:c r="F8" s="7" t="n">
        <x:v>14000</x:v>
      </x:c>
      <x:c r="G8" s="7" t="n">
        <x:v>1</x:v>
      </x:c>
      <x:c r="H8" s="7" t="n">
        <x:v>5</x:v>
      </x:c>
      <x:c r="I8" s="11" t="n">
        <x:f>E8*(1-'Assumptions'!$D$19*G8*'Assumptions'!$D$20/(1+'Assumptions'!$D$20))</x:f>
        <x:v>7826.086956521739</x:v>
      </x:c>
      <x:c r="J8" s="2"/>
      <x:c r="K8" s="2" t="str">
        <x:v>2027 cash allowances. No inflation uplift applied to quoted machine package; contingency absorbs uncertainty.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</x:row>
    <x:row r="9" ht="21" customHeight="1">
      <x:c r="A9" s="1"/>
      <x:c r="B9" s="1"/>
      <x:c r="C9" s="1" t="str">
        <x:v>Milk undercounter refrigeration</x:v>
      </x:c>
      <x:c r="D9" s="7" t="n">
        <x:v>12000</x:v>
      </x:c>
      <x:c r="E9" s="7" t="n">
        <x:v>18000</x:v>
      </x:c>
      <x:c r="F9" s="7" t="n">
        <x:v>25000</x:v>
      </x:c>
      <x:c r="G9" s="7" t="n">
        <x:v>1</x:v>
      </x:c>
      <x:c r="H9" s="7" t="n">
        <x:v>5</x:v>
      </x:c>
      <x:c r="I9" s="11" t="n">
        <x:f>E9*(1-'Assumptions'!$D$19*G9*'Assumptions'!$D$20/(1+'Assumptions'!$D$20))</x:f>
        <x:v>15652.173913043478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</x:row>
    <x:row r="10" ht="21" customHeight="1">
      <x:c r="A10" s="1"/>
      <x:c r="B10" s="1"/>
      <x:c r="C10" s="1" t="str">
        <x:v>Ice maker</x:v>
      </x:c>
      <x:c r="D10" s="7" t="n">
        <x:v>14000</x:v>
      </x:c>
      <x:c r="E10" s="7" t="n">
        <x:v>20000</x:v>
      </x:c>
      <x:c r="F10" s="7" t="n">
        <x:v>30000</x:v>
      </x:c>
      <x:c r="G10" s="7" t="n">
        <x:v>1</x:v>
      </x:c>
      <x:c r="H10" s="7" t="n">
        <x:v>5</x:v>
      </x:c>
      <x:c r="I10" s="11" t="n">
        <x:f>E10*(1-'Assumptions'!$D$19*G10*'Assumptions'!$D$20/(1+'Assumptions'!$D$20))</x:f>
        <x:v>17391.304347826088</x:v>
      </x:c>
      <x:c r="J10" s="2"/>
      <x:c r="K10" s="2" t="str">
        <x:v>Backup: 8kW / about 10kWh battery target, no solar panels. Engineer must size loads. https://www.haultron.co.za/products/installed-8kw-sunsynk-solar-system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</x:row>
    <x:row r="11" ht="21" customHeight="1">
      <x:c r="A11" s="1"/>
      <x:c r="B11" s="1"/>
      <x:c r="C11" s="1" t="str">
        <x:v>Pastry warming oven</x:v>
      </x:c>
      <x:c r="D11" s="7" t="n">
        <x:v>6000</x:v>
      </x:c>
      <x:c r="E11" s="7" t="n">
        <x:v>10000</x:v>
      </x:c>
      <x:c r="F11" s="7" t="n">
        <x:v>16000</x:v>
      </x:c>
      <x:c r="G11" s="7" t="n">
        <x:v>1</x:v>
      </x:c>
      <x:c r="H11" s="7" t="n">
        <x:v>5</x:v>
      </x:c>
      <x:c r="I11" s="11" t="n">
        <x:f>E11*(1-'Assumptions'!$D$19*G11*'Assumptions'!$D$20/(1+'Assumptions'!$D$20))</x:f>
        <x:v>8695.652173913044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</x:row>
    <x:row r="12" ht="21" customHeight="1">
      <x:c r="A12" s="1"/>
      <x:c r="B12" s="1"/>
      <x:c r="C12" s="1" t="str">
        <x:v>Pastry display and smallwares</x:v>
      </x:c>
      <x:c r="D12" s="7" t="n">
        <x:v>15000</x:v>
      </x:c>
      <x:c r="E12" s="7" t="n">
        <x:v>22000</x:v>
      </x:c>
      <x:c r="F12" s="7" t="n">
        <x:v>32000</x:v>
      </x:c>
      <x:c r="G12" s="7" t="n">
        <x:v>1</x:v>
      </x:c>
      <x:c r="H12" s="7" t="n">
        <x:v>5</x:v>
      </x:c>
      <x:c r="I12" s="11" t="n">
        <x:f>E12*(1-'Assumptions'!$D$19*G12*'Assumptions'!$D$20/(1+'Assumptions'!$D$20))</x:f>
        <x:v>19130.434782608696</x:v>
      </x:c>
      <x:c r="J12" s="2"/>
      <x:c r="K12" s="2" t="str">
        <x:v>3kW average critical load × 2h / 0.8 / 0.9 = 8.33kWh nominal capacity.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</x:row>
    <x:row r="13" ht="21" customHeight="1">
      <x:c r="A13" s="1"/>
      <x:c r="B13" s="1"/>
      <x:c r="C13" s="1" t="str">
        <x:v>POS hardware and printer</x:v>
      </x:c>
      <x:c r="D13" s="7" t="n">
        <x:v>5000</x:v>
      </x:c>
      <x:c r="E13" s="7" t="n">
        <x:v>7000</x:v>
      </x:c>
      <x:c r="F13" s="7" t="n">
        <x:v>10000</x:v>
      </x:c>
      <x:c r="G13" s="7" t="n">
        <x:v>1</x:v>
      </x:c>
      <x:c r="H13" s="7" t="n">
        <x:v>3</x:v>
      </x:c>
      <x:c r="I13" s="11" t="n">
        <x:f>E13*(1-'Assumptions'!$D$19*G13*'Assumptions'!$D$20/(1+'Assumptions'!$D$20))</x:f>
        <x:v>6086.95652173913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21" customHeight="1">
      <x:c r="A14" s="1"/>
      <x:c r="B14" s="1"/>
      <x:c r="C14" s="1" t="str">
        <x:v>Building finishes 50m2</x:v>
      </x:c>
      <x:c r="D14" s="7" t="n">
        <x:v>65000</x:v>
      </x:c>
      <x:c r="E14" s="7" t="n">
        <x:v>100000</x:v>
      </x:c>
      <x:c r="F14" s="7" t="n">
        <x:v>155000</x:v>
      </x:c>
      <x:c r="G14" s="7" t="n">
        <x:v>1</x:v>
      </x:c>
      <x:c r="H14" s="7" t="n">
        <x:v>5</x:v>
      </x:c>
      <x:c r="I14" s="11" t="n">
        <x:f>E14*(1-'Assumptions'!$D$19*G14*'Assumptions'!$D$20/(1+'Assumptions'!$D$20))</x:f>
        <x:v>86956.52173913043</x:v>
      </x:c>
      <x:c r="J14" s="2"/>
      <x:c r="K14" s="2" t="str">
        <x:v>Oven and cooling shed during outages. Peak loads and battery discharge rating require verification.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21" customHeight="1">
      <x:c r="A15" s="1"/>
      <x:c r="B15" s="1"/>
      <x:c r="C15" s="1" t="str">
        <x:v>Counter and fitted joinery</x:v>
      </x:c>
      <x:c r="D15" s="7" t="n">
        <x:v>55000</x:v>
      </x:c>
      <x:c r="E15" s="7" t="n">
        <x:v>85000</x:v>
      </x:c>
      <x:c r="F15" s="7" t="n">
        <x:v>125000</x:v>
      </x:c>
      <x:c r="G15" s="7" t="n">
        <x:v>1</x:v>
      </x:c>
      <x:c r="H15" s="7" t="n">
        <x:v>5</x:v>
      </x:c>
      <x:c r="I15" s="11" t="n">
        <x:f>E15*(1-'Assumptions'!$D$19*G15*'Assumptions'!$D$20/(1+'Assumptions'!$D$20))</x:f>
        <x:v>73913.04347826086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21" customHeight="1">
      <x:c r="A16" s="1"/>
      <x:c r="B16" s="1"/>
      <x:c r="C16" s="1" t="str">
        <x:v>Plumbing sinks hot water</x:v>
      </x:c>
      <x:c r="D16" s="7" t="n">
        <x:v>20000</x:v>
      </x:c>
      <x:c r="E16" s="7" t="n">
        <x:v>30000</x:v>
      </x:c>
      <x:c r="F16" s="7" t="n">
        <x:v>50000</x:v>
      </x:c>
      <x:c r="G16" s="7" t="n">
        <x:v>1</x:v>
      </x:c>
      <x:c r="H16" s="7" t="n">
        <x:v>5</x:v>
      </x:c>
      <x:c r="I16" s="11" t="n">
        <x:f>E16*(1-'Assumptions'!$D$19*G16*'Assumptions'!$D$20/(1+'Assumptions'!$D$20))</x:f>
        <x:v>26086.95652173913</x:v>
      </x:c>
      <x:c r="J16" s="2"/>
      <x:c r="K16" s="2" t="str">
        <x:v>No customer bathroom fit-out. Written gym access and environmental-health acceptance required.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21" customHeight="1">
      <x:c r="A17" s="1"/>
      <x:c r="B17" s="1"/>
      <x:c r="C17" s="1" t="str">
        <x:v>Electrical and lighting</x:v>
      </x:c>
      <x:c r="D17" s="7" t="n">
        <x:v>20000</x:v>
      </x:c>
      <x:c r="E17" s="7" t="n">
        <x:v>35000</x:v>
      </x:c>
      <x:c r="F17" s="7" t="n">
        <x:v>55000</x:v>
      </x:c>
      <x:c r="G17" s="7" t="n">
        <x:v>1</x:v>
      </x:c>
      <x:c r="H17" s="7" t="n">
        <x:v>5</x:v>
      </x:c>
      <x:c r="I17" s="11" t="n">
        <x:f>E17*(1-'Assumptions'!$D$19*G17*'Assumptions'!$D$20/(1+'Assumptions'!$D$20))</x:f>
        <x:v>30434.782608695652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21" customHeight="1">
      <x:c r="A18" s="1"/>
      <x:c r="B18" s="1"/>
      <x:c r="C18" s="1" t="str">
        <x:v>Furniture 14 seats and tables</x:v>
      </x:c>
      <x:c r="D18" s="7" t="n">
        <x:v>30000</x:v>
      </x:c>
      <x:c r="E18" s="7" t="n">
        <x:v>45000</x:v>
      </x:c>
      <x:c r="F18" s="7" t="n">
        <x:v>70000</x:v>
      </x:c>
      <x:c r="G18" s="7" t="n">
        <x:v>1</x:v>
      </x:c>
      <x:c r="H18" s="7" t="n">
        <x:v>5</x:v>
      </x:c>
      <x:c r="I18" s="11" t="n">
        <x:f>E18*(1-'Assumptions'!$D$19*G18*'Assumptions'!$D$20/(1+'Assumptions'!$D$20))</x:f>
        <x:v>39130.434782608696</x:v>
      </x:c>
      <x:c r="J18" s="2"/>
      <x:c r="K18" s="2" t="str">
        <x:v>Contingency is conservatively assumed spent. No separate contingency cash is double counted.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21" customHeight="1">
      <x:c r="A19" s="1"/>
      <x:c r="B19" s="1"/>
      <x:c r="C19" s="1" t="str">
        <x:v>Signage and menu boards</x:v>
      </x:c>
      <x:c r="D19" s="7" t="n">
        <x:v>10000</x:v>
      </x:c>
      <x:c r="E19" s="7" t="n">
        <x:v>18000</x:v>
      </x:c>
      <x:c r="F19" s="7" t="n">
        <x:v>28000</x:v>
      </x:c>
      <x:c r="G19" s="7" t="n">
        <x:v>1</x:v>
      </x:c>
      <x:c r="H19" s="7" t="n">
        <x:v>5</x:v>
      </x:c>
      <x:c r="I19" s="11" t="n">
        <x:f>E19*(1-'Assumptions'!$D$19*G19*'Assumptions'!$D$20/(1+'Assumptions'!$D$20))</x:f>
        <x:v>15652.173913043478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21" customHeight="1">
      <x:c r="A20" s="1"/>
      <x:c r="B20" s="1"/>
      <x:c r="C20" s="1" t="str">
        <x:v>Ventilation and cooling</x:v>
      </x:c>
      <x:c r="D20" s="7" t="n">
        <x:v>12000</x:v>
      </x:c>
      <x:c r="E20" s="7" t="n">
        <x:v>20000</x:v>
      </x:c>
      <x:c r="F20" s="7" t="n">
        <x:v>32000</x:v>
      </x:c>
      <x:c r="G20" s="7" t="n">
        <x:v>1</x:v>
      </x:c>
      <x:c r="H20" s="7" t="n">
        <x:v>5</x:v>
      </x:c>
      <x:c r="I20" s="11" t="n">
        <x:f>E20*(1-'Assumptions'!$D$19*G20*'Assumptions'!$D$20/(1+'Assumptions'!$D$20))</x:f>
        <x:v>17391.304347826088</x:v>
      </x:c>
      <x:c r="J20" s="2"/>
      <x:c r="K20" s="2" t="str">
        <x:v>https://www.theneighborhoodbarista.com/services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21" customHeight="1">
      <x:c r="A21" s="1"/>
      <x:c r="B21" s="1"/>
      <x:c r="C21" s="1" t="str">
        <x:v>Backup inverter and battery installed</x:v>
      </x:c>
      <x:c r="D21" s="7" t="n">
        <x:v>65000</x:v>
      </x:c>
      <x:c r="E21" s="7" t="n">
        <x:v>90000</x:v>
      </x:c>
      <x:c r="F21" s="7" t="n">
        <x:v>125000</x:v>
      </x:c>
      <x:c r="G21" s="7" t="n">
        <x:v>1</x:v>
      </x:c>
      <x:c r="H21" s="7" t="n">
        <x:v>7</x:v>
      </x:c>
      <x:c r="I21" s="11" t="n">
        <x:f>E21*(1-'Assumptions'!$D$19*G21*'Assumptions'!$D$20/(1+'Assumptions'!$D$20))</x:f>
        <x:v>78260.86956521739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21" customHeight="1">
      <x:c r="A22" s="1"/>
      <x:c r="B22" s="1"/>
      <x:c r="C22" s="1" t="str">
        <x:v>Security Wi-Fi and network</x:v>
      </x:c>
      <x:c r="D22" s="7" t="n">
        <x:v>6000</x:v>
      </x:c>
      <x:c r="E22" s="7" t="n">
        <x:v>10000</x:v>
      </x:c>
      <x:c r="F22" s="7" t="n">
        <x:v>16000</x:v>
      </x:c>
      <x:c r="G22" s="7" t="n">
        <x:v>1</x:v>
      </x:c>
      <x:c r="H22" s="7" t="n">
        <x:v>3</x:v>
      </x:c>
      <x:c r="I22" s="11" t="n">
        <x:f>E22*(1-'Assumptions'!$D$19*G22*'Assumptions'!$D$20/(1+'Assumptions'!$D$20))</x:f>
        <x:v>8695.652173913044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21" customHeight="1">
      <x:c r="A23" s="1"/>
      <x:c r="B23" s="1"/>
      <x:c r="C23" s="1" t="str">
        <x:v>Subtotal</x:v>
      </x:c>
      <x:c r="D23" s="2" t="n">
        <x:f>SUM(D6:D22)</x:f>
        <x:v>440015</x:v>
      </x:c>
      <x:c r="E23" s="2" t="n">
        <x:f>SUM(E6:E22)</x:f>
        <x:v>638035</x:v>
      </x:c>
      <x:c r="F23" s="2" t="n">
        <x:f>SUM(F6:F22)</x:f>
        <x:v>959100</x:v>
      </x:c>
      <x:c r="G23" s="2"/>
      <x:c r="H23" s="2"/>
      <x:c r="I23" s="2" t="n">
        <x:f>SUM(I6:I22)</x:f>
        <x:v>554813.043478261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21" customHeight="1">
      <x:c r="A24" s="1"/>
      <x:c r="B24" s="1"/>
      <x:c r="C24" s="1" t="str">
        <x:v>Contingency rate</x:v>
      </x:c>
      <x:c r="D24" s="2"/>
      <x:c r="E24" s="8" t="n">
        <x:v>0.15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21" customHeight="1">
      <x:c r="A25" s="1"/>
      <x:c r="B25" s="1"/>
      <x:c r="C25" s="1" t="str">
        <x:v>Contingency treated as spent capex</x:v>
      </x:c>
      <x:c r="D25" s="2" t="n">
        <x:f>D23*$E$24</x:f>
        <x:v>66002.25</x:v>
      </x:c>
      <x:c r="E25" s="2" t="n">
        <x:f>E23*$E$24</x:f>
        <x:v>95705.25</x:v>
      </x:c>
      <x:c r="F25" s="2" t="n">
        <x:f>F23*$E$24</x:f>
        <x:v>143865</x:v>
      </x:c>
      <x:c r="G25" s="2"/>
      <x:c r="H25" s="2"/>
      <x:c r="I25" s="2" t="n">
        <x:f>I23*$E$24</x:f>
        <x:v>83221.95652173915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21" customHeight="1">
      <x:c r="A26" s="1"/>
      <x:c r="B26" s="1"/>
      <x:c r="C26" s="1" t="str">
        <x:v>Total capital expenditure</x:v>
      </x:c>
      <x:c r="D26" s="2" t="n">
        <x:f>D23+D25</x:f>
        <x:v>506017.25</x:v>
      </x:c>
      <x:c r="E26" s="2" t="n">
        <x:f>E23+E25</x:f>
        <x:v>733740.25</x:v>
      </x:c>
      <x:c r="F26" s="2" t="n">
        <x:f>F23+F25</x:f>
        <x:v>1102965</x:v>
      </x:c>
      <x:c r="G26" s="2"/>
      <x:c r="H26" s="2"/>
      <x:c r="I26" s="2" t="n">
        <x:f>I23+I25</x:f>
        <x:v>638035.0000000001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21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21" customHeight="1">
      <x:c r="A28" s="1"/>
      <x:c r="B28" s="1"/>
      <x:c r="C28" s="1" t="str">
        <x:v>Monthly depreciation</x:v>
      </x:c>
      <x:c r="D28" s="2"/>
      <x:c r="E28" s="2"/>
      <x:c r="F28" s="2"/>
      <x:c r="G28" s="2"/>
      <x:c r="H28" s="2"/>
      <x:c r="I28" s="2" t="n">
        <x:f>SUMPRODUCT(I6:I22,1/H6:H22)/12+I25/60</x:f>
        <x:v>10425.497066942718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21" customHeight="1">
      <x:c r="A30" s="1"/>
      <x:c r="B30" s="1"/>
      <x:c r="C30" s="16" t="str">
        <x:v>Pre-opening and initial funding</x:v>
      </x:c>
      <x:c r="D30" s="17"/>
      <x:c r="E30" s="17"/>
      <x:c r="F30" s="17"/>
      <x:c r="G30" s="17"/>
      <x:c r="H30" s="17"/>
      <x:c r="I30" s="17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21" customHeight="1">
      <x:c r="A31" s="1"/>
      <x:c r="B31" s="1"/>
      <x:c r="C31" s="1" t="str">
        <x:v>Legal MOI tax opinion and registration</x:v>
      </x:c>
      <x:c r="D31" s="2"/>
      <x:c r="E31" s="7" t="n">
        <x:v>25000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21" customHeight="1">
      <x:c r="A32" s="1"/>
      <x:c r="B32" s="1"/>
      <x:c r="C32" s="1" t="str">
        <x:v>Barista training for three people</x:v>
      </x:c>
      <x:c r="D32" s="2"/>
      <x:c r="E32" s="7" t="n">
        <x:v>12000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21" customHeight="1">
      <x:c r="A33" s="1"/>
      <x:c r="B33" s="1"/>
      <x:c r="C33" s="1" t="str">
        <x:v>Pre-opening payroll and launch</x:v>
      </x:c>
      <x:c r="D33" s="2"/>
      <x:c r="E33" s="7" t="n">
        <x:v>20000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21" customHeight="1">
      <x:c r="A34" s="1"/>
      <x:c r="B34" s="1"/>
      <x:c r="C34" s="1" t="str">
        <x:v>Rent during fit-out incl VAT</x:v>
      </x:c>
      <x:c r="D34" s="2"/>
      <x:c r="E34" s="7" t="n">
        <x:v>46000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21" customHeight="1">
      <x:c r="A35" s="1"/>
      <x:c r="B35" s="1"/>
      <x:c r="C35" s="1" t="str">
        <x:v>Pre-opening expenditure</x:v>
      </x:c>
      <x:c r="D35" s="2"/>
      <x:c r="E35" s="2" t="n">
        <x:f>SUM(E31:E34)</x:f>
        <x:v>103000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21" customHeight="1">
      <x:c r="A36" s="1"/>
      <x:c r="B36" s="1"/>
      <x:c r="C36" s="1" t="str">
        <x:v>Recoverable VAT fraction pre-opening</x:v>
      </x:c>
      <x:c r="D36" s="2"/>
      <x:c r="E36" s="8" t="n">
        <x:v>0.65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21" customHeight="1">
      <x:c r="A37" s="1"/>
      <x:c r="B37" s="1"/>
      <x:c r="C37" s="1" t="str">
        <x:v>Refundable lease deposit</x:v>
      </x:c>
      <x:c r="D37" s="2"/>
      <x:c r="E37" s="11" t="n">
        <x:f>'Operating costs'!D7*'Assumptions'!$D$46</x:f>
        <x:v>40000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21" customHeight="1">
      <x:c r="A38" s="1"/>
      <x:c r="B38" s="1"/>
      <x:c r="C38" s="1" t="str">
        <x:v>Initial stock</x:v>
      </x:c>
      <x:c r="D38" s="2"/>
      <x:c r="E38" s="11" t="n">
        <x:f>'Assumptions'!$D$44</x:f>
        <x:v>15000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21" customHeight="1">
      <x:c r="A39" s="1"/>
      <x:c r="B39" s="1"/>
      <x:c r="C39" s="1" t="str">
        <x:v>Opening cash reserve</x:v>
      </x:c>
      <x:c r="D39" s="2"/>
      <x:c r="E39" s="11" t="n">
        <x:f>'Assumptions'!$D$32</x:f>
        <x:v>200000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21" customHeight="1">
      <x:c r="A40" s="1"/>
      <x:c r="B40" s="1"/>
      <x:c r="C40" s="1" t="str">
        <x:v>Total startup funding incl VAT</x:v>
      </x:c>
      <x:c r="D40" s="2"/>
      <x:c r="E40" s="2" t="n">
        <x:f>E26+E35+SUM(E37:E39)</x:f>
        <x:v>1091740.25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21" customHeight="1">
      <x:c r="A41" s="1"/>
      <x:c r="B41" s="1"/>
      <x:c r="C41" s="1" t="str">
        <x:v>Inge subscription</x:v>
      </x:c>
      <x:c r="D41" s="2"/>
      <x:c r="E41" s="11" t="n">
        <x:f>'Assumptions'!$D$47</x:f>
        <x:v>100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21" customHeight="1">
      <x:c r="A42" s="1"/>
      <x:c r="B42" s="1"/>
      <x:c r="C42" s="1" t="str">
        <x:v>Combined initial founder loans</x:v>
      </x:c>
      <x:c r="D42" s="2"/>
      <x:c r="E42" s="2" t="n">
        <x:f>E40-E41</x:f>
        <x:v>1091640.25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21" customHeight="1">
      <x:c r="A43" s="1"/>
      <x:c r="B43" s="1"/>
      <x:c r="C43" s="1" t="str">
        <x:v>Initial founder loan each</x:v>
      </x:c>
      <x:c r="D43" s="2"/>
      <x:c r="E43" s="2" t="n">
        <x:f>E42/2</x:f>
        <x:v>545820.125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21" customHeight="1">
      <x:c r="A44" s="1"/>
      <x:c r="B44" s="1"/>
      <x:c r="C44" s="1" t="str">
        <x:v>Potential pre-opening VAT refund</x:v>
      </x:c>
      <x:c r="D44" s="2"/>
      <x:c r="E44" s="11" t="n">
        <x:f>E26-I26+'Assumptions'!$D$19*'Assumptions'!$D$20/(1+'Assumptions'!$D$20)*(E35*E36+E38*'Assumptions'!$D$58)</x:f>
        <x:v>106296.55434782596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21" customHeight="1">
      <x:c r="A45" s="1"/>
      <x:c r="B45" s="1"/>
      <x:c r="C45" s="1" t="str">
        <x:v>Initial inventory net</x:v>
      </x:c>
      <x:c r="D45" s="2"/>
      <x:c r="E45" s="11" t="n">
        <x:f>E38*(1-'Assumptions'!$D$19*'Assumptions'!$D$58*'Assumptions'!$D$20/(1+'Assumptions'!$D$20))</x:f>
        <x:v>13141.304347826088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21" customHeight="1">
      <x:c r="A46" s="1"/>
      <x:c r="B46" s="1"/>
      <x:c r="C46" s="1" t="str">
        <x:v>Pre-opening expense net</x:v>
      </x:c>
      <x:c r="D46" s="2"/>
      <x:c r="E46" s="11" t="n">
        <x:f>E35*(1-'Assumptions'!$D$19*E36*'Assumptions'!$D$20/(1+'Assumptions'!$D$20))</x:f>
        <x:v>94267.39130434782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21" customHeight="1">
      <x:c r="A48" s="1"/>
      <x:c r="B48" s="1"/>
      <x:c r="C48" s="1" t="str">
        <x:v>Low total funding envelope</x:v>
      </x:c>
      <x:c r="D48" s="2"/>
      <x:c r="E48" s="2" t="n">
        <x:f>D26+E35+SUM(E37:E39)</x:f>
        <x:v>864017.25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21" customHeight="1">
      <x:c r="A49" s="1"/>
      <x:c r="B49" s="1"/>
      <x:c r="C49" s="1" t="str">
        <x:v>High total funding envelope</x:v>
      </x:c>
      <x:c r="D49" s="2"/>
      <x:c r="E49" s="2" t="n">
        <x:f>F26+E35+SUM(E37:E39)</x:f>
        <x:v>1460965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0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</x:row>
    <x:row r="2" ht="21" customHeight="1">
      <x:c r="A2" s="1"/>
      <x:c r="B2" s="1"/>
      <x:c r="C2" s="3" t="str">
        <x:v>Operating costs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</x:row>
    <x:row r="3" ht="21" customHeight="1">
      <x:c r="A3" s="1"/>
      <x:c r="B3" s="1"/>
      <x:c r="C3" s="4"/>
      <x:c r="D3" s="23" t="str">
        <x:f>INDEX('Assumptions'!$E$6:$G$6,1,'Assumptions'!$D$4)</x:f>
        <x:v>Expected</x:v>
      </x:c>
      <x:c r="E3" s="4"/>
      <x:c r="F3" s="4"/>
      <x:c r="G3" s="4"/>
      <x:c r="H3" s="4"/>
      <x:c r="I3" s="4"/>
      <x:c r="J3" s="4"/>
      <x:c r="K3" s="4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</x:row>
    <x:row r="5" ht="21" customHeight="1">
      <x:c r="A5" s="1"/>
      <x:c r="B5" s="1"/>
      <x:c r="C5" s="14" t="str">
        <x:v>Monthly expense</x:v>
      </x:c>
      <x:c r="D5" s="14" t="str">
        <x:v>Input R</x:v>
      </x:c>
      <x:c r="E5" s="14" t="str">
        <x:v>VAT share</x:v>
      </x:c>
      <x:c r="F5" s="14" t="str">
        <x:v>Net cost R</x:v>
      </x:c>
      <x:c r="G5" s="14"/>
      <x:c r="H5" s="14"/>
      <x:c r="I5" s="14"/>
      <x:c r="J5" s="14"/>
      <x:c r="K5" s="14"/>
      <x:c r="L5" s="14"/>
      <x:c r="M5" s="14"/>
      <x:c r="N5" s="14"/>
      <x:c r="O5" s="14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</x:row>
    <x:row r="6" ht="21" customHeight="1">
      <x:c r="A6" s="1"/>
      <x:c r="B6" s="1"/>
      <x:c r="C6" s="1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21" customHeight="1">
      <x:c r="A7" s="1"/>
      <x:c r="B7" s="1"/>
      <x:c r="C7" s="1" t="str">
        <x:v>Rent excluding VAT</x:v>
      </x:c>
      <x:c r="D7" s="7" t="n">
        <x:v>20000</x:v>
      </x:c>
      <x:c r="E7" s="7" t="n">
        <x:v>1</x:v>
      </x:c>
      <x:c r="F7" s="11" t="n">
        <x:f>D7*(1+'Assumptions'!$D$20*(1-'Assumptions'!$D$19))</x:f>
        <x:v>20000</x:v>
      </x:c>
      <x:c r="G7" s="2"/>
      <x:c r="H7" s="2" t="str">
        <x:v>Rent sensitivity: R16k / R20k / R26k excl VAT. Site unconfirmed. https://www.ahproperty.co.za/results/retail/to-let/stellenbosch/stellenbosch-central/retail/250371/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21" customHeight="1">
      <x:c r="A8" s="1"/>
      <x:c r="B8" s="1"/>
      <x:c r="C8" s="1" t="str">
        <x:v>Rates common charges excl VAT</x:v>
      </x:c>
      <x:c r="D8" s="7" t="n">
        <x:v>2000</x:v>
      </x:c>
      <x:c r="E8" s="7" t="n">
        <x:v>1</x:v>
      </x:c>
      <x:c r="F8" s="11" t="n">
        <x:f>D8*(1+'Assumptions'!$D$20*(1-'Assumptions'!$D$19))</x:f>
        <x:v>2000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</x:row>
    <x:row r="9" ht="21" customHeight="1">
      <x:c r="A9" s="1"/>
      <x:c r="B9" s="1"/>
      <x:c r="C9" s="1" t="str">
        <x:v>Electricity and water incl VAT</x:v>
      </x:c>
      <x:c r="D9" s="7" t="n">
        <x:v>6500</x:v>
      </x:c>
      <x:c r="E9" s="7" t="n">
        <x:v>1</x:v>
      </x:c>
      <x:c r="F9" s="11" t="n">
        <x:f>D9*(1-'Assumptions'!$D$19*E9*'Assumptions'!$D$20/(1+'Assumptions'!$D$20))</x:f>
        <x:v>5652.173913043478</x:v>
      </x:c>
      <x:c r="G9" s="2"/>
      <x:c r="H9" s="2" t="str">
        <x:v>50m2 base; 45–60m2 working allowance. Smaller does not guarantee lower rent.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</x:row>
    <x:row r="10" ht="21" customHeight="1">
      <x:c r="A10" s="1"/>
      <x:c r="B10" s="1"/>
      <x:c r="C10" s="1" t="str">
        <x:v>Insurance incl VAT</x:v>
      </x:c>
      <x:c r="D10" s="7" t="n">
        <x:v>1500</x:v>
      </x:c>
      <x:c r="E10" s="7" t="n">
        <x:v>1</x:v>
      </x:c>
      <x:c r="F10" s="11" t="n">
        <x:f>D10*(1-'Assumptions'!$D$19*E10*'Assumptions'!$D$20/(1+'Assumptions'!$D$20))</x:f>
        <x:v>1304.3478260869565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</x:row>
    <x:row r="11" ht="21" customHeight="1">
      <x:c r="A11" s="1"/>
      <x:c r="B11" s="1"/>
      <x:c r="C11" s="1" t="str">
        <x:v>Internet incl VAT</x:v>
      </x:c>
      <x:c r="D11" s="7" t="n">
        <x:v>900</x:v>
      </x:c>
      <x:c r="E11" s="7" t="n">
        <x:v>1</x:v>
      </x:c>
      <x:c r="F11" s="11" t="n">
        <x:f>D11*(1-'Assumptions'!$D$19*E11*'Assumptions'!$D$20/(1+'Assumptions'!$D$20))</x:f>
        <x:v>782.6086956521739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</x:row>
    <x:row r="12" ht="21" customHeight="1">
      <x:c r="A12" s="1"/>
      <x:c r="B12" s="1"/>
      <x:c r="C12" s="1" t="str">
        <x:v>Xero incl VAT</x:v>
      </x:c>
      <x:c r="D12" s="7" t="n">
        <x:v>900</x:v>
      </x:c>
      <x:c r="E12" s="7" t="n">
        <x:v>1</x:v>
      </x:c>
      <x:c r="F12" s="11" t="n">
        <x:f>D12*(1-'Assumptions'!$D$19*E12*'Assumptions'!$D$20/(1+'Assumptions'!$D$20))</x:f>
        <x:v>782.6086956521739</x:v>
      </x:c>
      <x:c r="G12" s="2"/>
      <x:c r="H12" s="2" t="str">
        <x:v>Xero R900 is an allowance, not a verified 2027 subscription quote. https://www.xero.com/za/pricing-plans/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</x:row>
    <x:row r="13" ht="21" customHeight="1">
      <x:c r="A13" s="1"/>
      <x:c r="B13" s="1"/>
      <x:c r="C13" s="1" t="str">
        <x:v>Payroll software incl VAT</x:v>
      </x:c>
      <x:c r="D13" s="7" t="n">
        <x:v>350</x:v>
      </x:c>
      <x:c r="E13" s="7" t="n">
        <x:v>1</x:v>
      </x:c>
      <x:c r="F13" s="11" t="n">
        <x:f>D13*(1-'Assumptions'!$D$19*E13*'Assumptions'!$D$20/(1+'Assumptions'!$D$20))</x:f>
        <x:v>304.3478260869565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21" customHeight="1">
      <x:c r="A14" s="1"/>
      <x:c r="B14" s="1"/>
      <x:c r="C14" s="1" t="str">
        <x:v>Yoco plan incl VAT allowance</x:v>
      </x:c>
      <x:c r="D14" s="7" t="n">
        <x:v>575</x:v>
      </x:c>
      <x:c r="E14" s="7" t="n">
        <x:v>1</x:v>
      </x:c>
      <x:c r="F14" s="11" t="n">
        <x:f>D14*(1-'Assumptions'!$D$19*E14*'Assumptions'!$D$20/(1+'Assumptions'!$D$20))</x:f>
        <x:v>500</x:v>
      </x:c>
      <x:c r="G14" s="2"/>
      <x:c r="H14" s="2" t="str">
        <x:v>https://www.yoco.com/za/pricing/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21" customHeight="1">
      <x:c r="A15" s="1"/>
      <x:c r="B15" s="1"/>
      <x:c r="C15" s="1" t="str">
        <x:v>Marketing incl VAT</x:v>
      </x:c>
      <x:c r="D15" s="7" t="n">
        <x:v>2500</x:v>
      </x:c>
      <x:c r="E15" s="7" t="n">
        <x:v>1</x:v>
      </x:c>
      <x:c r="F15" s="11" t="n">
        <x:f>D15*(1-'Assumptions'!$D$19*E15*'Assumptions'!$D$20/(1+'Assumptions'!$D$20))</x:f>
        <x:v>2173.913043478261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21" customHeight="1">
      <x:c r="A16" s="1"/>
      <x:c r="B16" s="1"/>
      <x:c r="C16" s="1" t="str">
        <x:v>Cleaning pest control waste incl VAT</x:v>
      </x:c>
      <x:c r="D16" s="7" t="n">
        <x:v>2000</x:v>
      </x:c>
      <x:c r="E16" s="7" t="n">
        <x:v>1</x:v>
      </x:c>
      <x:c r="F16" s="11" t="n">
        <x:f>D16*(1-'Assumptions'!$D$19*E16*'Assumptions'!$D$20/(1+'Assumptions'!$D$20))</x:f>
        <x:v>1739.1304347826087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21" customHeight="1">
      <x:c r="A17" s="1"/>
      <x:c r="B17" s="1"/>
      <x:c r="C17" s="1" t="str">
        <x:v>Repairs service filters incl VAT</x:v>
      </x:c>
      <x:c r="D17" s="7" t="n">
        <x:v>1800</x:v>
      </x:c>
      <x:c r="E17" s="7" t="n">
        <x:v>1</x:v>
      </x:c>
      <x:c r="F17" s="11" t="n">
        <x:f>D17*(1-'Assumptions'!$D$19*E17*'Assumptions'!$D$20/(1+'Assumptions'!$D$20))</x:f>
        <x:v>1565.2173913043478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21" customHeight="1">
      <x:c r="A18" s="1"/>
      <x:c r="B18" s="1"/>
      <x:c r="C18" s="1" t="str">
        <x:v>Banking and admin</x:v>
      </x:c>
      <x:c r="D18" s="7" t="n">
        <x:v>500</x:v>
      </x:c>
      <x:c r="E18" s="7" t="n">
        <x:v>0</x:v>
      </x:c>
      <x:c r="F18" s="11" t="n">
        <x:f>D18*(1-'Assumptions'!$D$19*E18*'Assumptions'!$D$20/(1+'Assumptions'!$D$20))</x:f>
        <x:v>500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21" customHeight="1">
      <x:c r="A19" s="1"/>
      <x:c r="B19" s="1"/>
      <x:c r="C19" s="1" t="str">
        <x:v>Compliance annualised</x:v>
      </x:c>
      <x:c r="D19" s="7" t="n">
        <x:v>750</x:v>
      </x:c>
      <x:c r="E19" s="7" t="n">
        <x:v>0</x:v>
      </x:c>
      <x:c r="F19" s="11" t="n">
        <x:f>D19*(1-'Assumptions'!$D$19*E19*'Assumptions'!$D$20/(1+'Assumptions'!$D$20))</x:f>
        <x:v>750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21" customHeight="1">
      <x:c r="A20" s="1"/>
      <x:c r="B20" s="1"/>
      <x:c r="C20" s="1" t="str">
        <x:v>Miscellaneous operating reserve</x:v>
      </x:c>
      <x:c r="D20" s="7" t="n">
        <x:v>1000</x:v>
      </x:c>
      <x:c r="E20" s="7" t="n">
        <x:v>0</x:v>
      </x:c>
      <x:c r="F20" s="11" t="n">
        <x:f>D20*(1-'Assumptions'!$D$19*E20*'Assumptions'!$D$20/(1+'Assumptions'!$D$20))</x:f>
        <x:v>1000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21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21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21" customHeight="1">
      <x:c r="A23" s="1"/>
      <x:c r="B23" s="1"/>
      <x:c r="C23" s="16" t="str">
        <x:v>Payroll and roster</x:v>
      </x:c>
      <x:c r="D23" s="17"/>
      <x:c r="E23" s="17"/>
      <x:c r="F23" s="17"/>
      <x:c r="G23" s="17"/>
      <x:c r="H23" s="17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21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21" customHeight="1">
      <x:c r="A25" s="1"/>
      <x:c r="B25" s="1"/>
      <x:c r="C25" s="1" t="str">
        <x:v>Lead barista salary</x:v>
      </x:c>
      <x:c r="D25" s="7" t="n">
        <x:v>11500</x:v>
      </x:c>
      <x:c r="E25" s="2"/>
      <x:c r="F25" s="2"/>
      <x:c r="G25" s="2"/>
      <x:c r="H25" s="2" t="str">
        <x:v>Salary estimates above 2026 national minimum; recheck 2027 and applicable council rates. https://www.labour.gov.za/Media-Desk/Media-Statements/Pages/Minister-of-Employment-and-Labour%2C-Meth-increases-the-statutory-National-Minimum-Wage-to-R30%2C23-per-hour.aspx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21" customHeight="1">
      <x:c r="A26" s="1"/>
      <x:c r="B26" s="1"/>
      <x:c r="C26" s="1" t="str">
        <x:v>Second barista salary</x:v>
      </x:c>
      <x:c r="D26" s="7" t="n">
        <x:v>9000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21" customHeight="1">
      <x:c r="A27" s="1"/>
      <x:c r="B27" s="1"/>
      <x:c r="C27" s="1" t="str">
        <x:v>Service all-rounder salary</x:v>
      </x:c>
      <x:c r="D27" s="7" t="n">
        <x:v>8000</x:v>
      </x:c>
      <x:c r="E27" s="2"/>
      <x:c r="F27" s="2"/>
      <x:c r="G27" s="2"/>
      <x:c r="H27" s="2" t="str">
        <x:v>Three staff at 40h/week. Relief is a provision, not a fourth full-time hire.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21" customHeight="1">
      <x:c r="A28" s="1"/>
      <x:c r="B28" s="1"/>
      <x:c r="C28" s="1" t="str">
        <x:v>Sunday premium provision</x:v>
      </x:c>
      <x:c r="D28" s="7" t="n">
        <x:v>1800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21" customHeight="1">
      <x:c r="A29" s="1"/>
      <x:c r="B29" s="1"/>
      <x:c r="C29" s="1" t="str">
        <x:v>Public holiday premium provision</x:v>
      </x:c>
      <x:c r="D29" s="7" t="n">
        <x:v>750</x:v>
      </x:c>
      <x:c r="E29" s="2"/>
      <x:c r="F29" s="2"/>
      <x:c r="G29" s="2"/>
      <x:c r="H29" s="2" t="str">
        <x:v>Rota and break timing must meet daily/weekly rest and Sunday rules. https://www.westerncape.gov.za/basic-conditions-employment-act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21" customHeight="1">
      <x:c r="A30" s="1"/>
      <x:c r="B30" s="1"/>
      <x:c r="C30" s="1" t="str">
        <x:v>Leave and sickness relief provision</x:v>
      </x:c>
      <x:c r="D30" s="7" t="n">
        <x:v>2000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21" customHeight="1">
      <x:c r="A31" s="1"/>
      <x:c r="B31" s="1"/>
      <x:c r="C31" s="1" t="str">
        <x:v>Employer UIF rate</x:v>
      </x:c>
      <x:c r="D31" s="8" t="n">
        <x:v>0.01</x:v>
      </x:c>
      <x:c r="E31" s="2"/>
      <x:c r="F31" s="2"/>
      <x:c r="G31" s="2"/>
      <x:c r="H31" s="2" t="str">
        <x:v>SDL omitted at this pay bill; review if total remuneration exceeds applicable threshold.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21" customHeight="1">
      <x:c r="A32" s="1"/>
      <x:c r="B32" s="1"/>
      <x:c r="C32" s="1" t="str">
        <x:v>COIDA / benefits allowance</x:v>
      </x:c>
      <x:c r="D32" s="7" t="n">
        <x:v>500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21" customHeight="1">
      <x:c r="A33" s="1"/>
      <x:c r="B33" s="1"/>
      <x:c r="C33" s="1" t="str">
        <x:v>Bargaining council allowance</x:v>
      </x:c>
      <x:c r="D33" s="7" t="n">
        <x:v>600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21" customHeight="1">
      <x:c r="A35" s="1"/>
      <x:c r="B35" s="1"/>
      <x:c r="C35" s="1" t="str">
        <x:v>Total payroll</x:v>
      </x:c>
      <x:c r="D35" s="2"/>
      <x:c r="E35" s="2"/>
      <x:c r="F35" s="2" t="n">
        <x:f>SUM(D25:D30)+SUM(D25:D29)*D31+SUM(D32:D33)</x:f>
        <x:v>34460.5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21" customHeight="1">
      <x:c r="A37" s="1"/>
      <x:c r="B37" s="1"/>
      <x:c r="C37" s="1" t="str">
        <x:v>Monthly fixed opex</x:v>
      </x:c>
      <x:c r="D37" s="2"/>
      <x:c r="E37" s="2"/>
      <x:c r="F37" s="2" t="n">
        <x:f>SUM(F7:F20)+F35</x:f>
        <x:v>73514.84782608695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21" customHeight="1">
      <x:c r="A39" s="1"/>
      <x:c r="B39" s="1"/>
      <x:c r="C39" s="1" t="str">
        <x:v>Operating break-even transactions/day</x:v>
      </x:c>
      <x:c r="D39" s="2"/>
      <x:c r="E39" s="2"/>
      <x:c r="F39" s="11" t="n">
        <x:f>F37/('Menu economics'!D28*365/12)</x:f>
        <x:v>93.33914888541912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21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21" customHeight="1">
      <x:c r="A42" s="1"/>
      <x:c r="B42" s="1"/>
      <x:c r="C42" s="1" t="str">
        <x:v>Roster capacity hours/week</x:v>
      </x:c>
      <x:c r="D42" s="6" t="n">
        <x:v>120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21" customHeight="1">
      <x:c r="A43" s="1"/>
      <x:c r="B43" s="1"/>
      <x:c r="C43" s="1" t="str">
        <x:v>One-person trading coverage</x:v>
      </x:c>
      <x:c r="D43" s="6" t="n">
        <x:v>70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21" customHeight="1">
      <x:c r="A44" s="1"/>
      <x:c r="B44" s="1"/>
      <x:c r="C44" s="1" t="str">
        <x:v>Opening/closing additional hours</x:v>
      </x:c>
      <x:c r="D44" s="6" t="n">
        <x:v>7</x:v>
      </x:c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21" customHeight="1">
      <x:c r="A45" s="1"/>
      <x:c r="B45" s="1"/>
      <x:c r="C45" s="1" t="str">
        <x:v>Peak overlap and break cover</x:v>
      </x:c>
      <x:c r="D45" s="2" t="n">
        <x:f>D42-D43-D44</x:f>
        <x:v>43</x:v>
      </x:c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</x:row>
    <x:row r="2" ht="21" customHeight="1">
      <x:c r="A2" s="1"/>
      <x:c r="B2" s="1"/>
      <x:c r="C2" s="3" t="str">
        <x:v>Monthly forecast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</x:row>
    <x:row r="3" ht="21" customHeight="1">
      <x:c r="A3" s="1"/>
      <x:c r="B3" s="1"/>
      <x:c r="C3" s="4"/>
      <x:c r="D3" s="23" t="str">
        <x:f>INDEX('Assumptions'!$E$6:$G$6,1,'Assumptions'!$D$4)</x:f>
        <x:v>Expected</x:v>
      </x:c>
      <x:c r="E3" s="4"/>
      <x:c r="F3" s="4"/>
      <x:c r="G3" s="4"/>
      <x:c r="H3" s="4"/>
      <x:c r="I3" s="4"/>
      <x:c r="J3" s="4"/>
      <x:c r="K3" s="4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</x:row>
    <x:row r="5" ht="21" customHeight="1">
      <x:c r="A5" s="1"/>
      <x:c r="B5" s="1"/>
      <x:c r="C5" s="1"/>
      <x:c r="D5" s="26" t="n">
        <x:f>DATE('Assumptions'!$D$18,1,1)</x:f>
        <x:v>46388</x:v>
      </x:c>
      <x:c r="E5" s="26" t="n">
        <x:f>DATE('Assumptions'!$D$18,2,1)</x:f>
        <x:v>46419</x:v>
      </x:c>
      <x:c r="F5" s="26" t="n">
        <x:f>DATE('Assumptions'!$D$18,3,1)</x:f>
        <x:v>46447</x:v>
      </x:c>
      <x:c r="G5" s="26" t="n">
        <x:f>DATE('Assumptions'!$D$18,4,1)</x:f>
        <x:v>46478</x:v>
      </x:c>
      <x:c r="H5" s="26" t="n">
        <x:f>DATE('Assumptions'!$D$18,5,1)</x:f>
        <x:v>46508</x:v>
      </x:c>
      <x:c r="I5" s="26" t="n">
        <x:f>DATE('Assumptions'!$D$18,6,1)</x:f>
        <x:v>46539</x:v>
      </x:c>
      <x:c r="J5" s="26" t="n">
        <x:f>DATE('Assumptions'!$D$18,7,1)</x:f>
        <x:v>46569</x:v>
      </x:c>
      <x:c r="K5" s="26" t="n">
        <x:f>DATE('Assumptions'!$D$18,8,1)</x:f>
        <x:v>46600</x:v>
      </x:c>
      <x:c r="L5" s="26" t="n">
        <x:f>DATE('Assumptions'!$D$18,9,1)</x:f>
        <x:v>46631</x:v>
      </x:c>
      <x:c r="M5" s="26" t="n">
        <x:f>DATE('Assumptions'!$D$18,10,1)</x:f>
        <x:v>46661</x:v>
      </x:c>
      <x:c r="N5" s="26" t="n">
        <x:f>DATE('Assumptions'!$D$18,11,1)</x:f>
        <x:v>46692</x:v>
      </x:c>
      <x:c r="O5" s="26" t="n">
        <x:f>DATE('Assumptions'!$D$18,12,1)</x:f>
        <x:v>46722</x:v>
      </x:c>
      <x:c r="P5" s="26" t="n">
        <x:f>DATE('Assumptions'!$D$18,13,1)</x:f>
        <x:v>46753</x:v>
      </x:c>
      <x:c r="Q5" s="26" t="n">
        <x:f>DATE('Assumptions'!$D$18,14,1)</x:f>
        <x:v>46784</x:v>
      </x:c>
      <x:c r="R5" s="26" t="n">
        <x:f>DATE('Assumptions'!$D$18,15,1)</x:f>
        <x:v>46813</x:v>
      </x:c>
      <x:c r="S5" s="26" t="n">
        <x:f>DATE('Assumptions'!$D$18,16,1)</x:f>
        <x:v>46844</x:v>
      </x:c>
      <x:c r="T5" s="26" t="n">
        <x:f>DATE('Assumptions'!$D$18,17,1)</x:f>
        <x:v>46874</x:v>
      </x:c>
      <x:c r="U5" s="26" t="n">
        <x:f>DATE('Assumptions'!$D$18,18,1)</x:f>
        <x:v>46905</x:v>
      </x:c>
      <x:c r="V5" s="26" t="n">
        <x:f>DATE('Assumptions'!$D$18,19,1)</x:f>
        <x:v>46935</x:v>
      </x:c>
      <x:c r="W5" s="26" t="n">
        <x:f>DATE('Assumptions'!$D$18,20,1)</x:f>
        <x:v>46966</x:v>
      </x:c>
      <x:c r="X5" s="26" t="n">
        <x:f>DATE('Assumptions'!$D$18,21,1)</x:f>
        <x:v>46997</x:v>
      </x:c>
      <x:c r="Y5" s="26" t="n">
        <x:f>DATE('Assumptions'!$D$18,22,1)</x:f>
        <x:v>47027</x:v>
      </x:c>
      <x:c r="Z5" s="26" t="n">
        <x:f>DATE('Assumptions'!$D$18,23,1)</x:f>
        <x:v>47058</x:v>
      </x:c>
      <x:c r="AA5" s="26" t="n">
        <x:f>DATE('Assumptions'!$D$18,24,1)</x:f>
        <x:v>47088</x:v>
      </x:c>
      <x:c r="AB5" s="26" t="n">
        <x:f>DATE('Assumptions'!$D$18,25,1)</x:f>
        <x:v>47119</x:v>
      </x:c>
      <x:c r="AC5" s="26" t="n">
        <x:f>DATE('Assumptions'!$D$18,26,1)</x:f>
        <x:v>47150</x:v>
      </x:c>
      <x:c r="AD5" s="26" t="n">
        <x:f>DATE('Assumptions'!$D$18,27,1)</x:f>
        <x:v>47178</x:v>
      </x:c>
      <x:c r="AE5" s="26" t="n">
        <x:f>DATE('Assumptions'!$D$18,28,1)</x:f>
        <x:v>47209</x:v>
      </x:c>
      <x:c r="AF5" s="26" t="n">
        <x:f>DATE('Assumptions'!$D$18,29,1)</x:f>
        <x:v>47239</x:v>
      </x:c>
      <x:c r="AG5" s="26" t="n">
        <x:f>DATE('Assumptions'!$D$18,30,1)</x:f>
        <x:v>47270</x:v>
      </x:c>
      <x:c r="AH5" s="26" t="n">
        <x:f>DATE('Assumptions'!$D$18,31,1)</x:f>
        <x:v>47300</x:v>
      </x:c>
      <x:c r="AI5" s="26" t="n">
        <x:f>DATE('Assumptions'!$D$18,32,1)</x:f>
        <x:v>47331</x:v>
      </x:c>
      <x:c r="AJ5" s="26" t="n">
        <x:f>DATE('Assumptions'!$D$18,33,1)</x:f>
        <x:v>47362</x:v>
      </x:c>
      <x:c r="AK5" s="26" t="n">
        <x:f>DATE('Assumptions'!$D$18,34,1)</x:f>
        <x:v>47392</x:v>
      </x:c>
      <x:c r="AL5" s="26" t="n">
        <x:f>DATE('Assumptions'!$D$18,35,1)</x:f>
        <x:v>47423</x:v>
      </x:c>
      <x:c r="AM5" s="26" t="n">
        <x:f>DATE('Assumptions'!$D$18,36,1)</x:f>
        <x:v>47453</x:v>
      </x:c>
      <x:c r="AN5" s="1"/>
    </x:row>
    <x:row r="6" ht="21" customHeight="1">
      <x:c r="A6" s="1"/>
      <x:c r="B6" s="1"/>
      <x:c r="C6" s="1" t="str">
        <x:v>Month number</x:v>
      </x:c>
      <x:c r="D6" s="2" t="n">
        <x:f>1</x:f>
        <x:v>1</x:v>
      </x:c>
      <x:c r="E6" s="2" t="n">
        <x:f>2</x:f>
        <x:v>2</x:v>
      </x:c>
      <x:c r="F6" s="2" t="n">
        <x:f>3</x:f>
        <x:v>3</x:v>
      </x:c>
      <x:c r="G6" s="2" t="n">
        <x:f>4</x:f>
        <x:v>4</x:v>
      </x:c>
      <x:c r="H6" s="2" t="n">
        <x:f>5</x:f>
        <x:v>5</x:v>
      </x:c>
      <x:c r="I6" s="2" t="n">
        <x:f>6</x:f>
        <x:v>6</x:v>
      </x:c>
      <x:c r="J6" s="2" t="n">
        <x:f>7</x:f>
        <x:v>7</x:v>
      </x:c>
      <x:c r="K6" s="2" t="n">
        <x:f>8</x:f>
        <x:v>8</x:v>
      </x:c>
      <x:c r="L6" s="2" t="n">
        <x:f>9</x:f>
        <x:v>9</x:v>
      </x:c>
      <x:c r="M6" s="2" t="n">
        <x:f>10</x:f>
        <x:v>10</x:v>
      </x:c>
      <x:c r="N6" s="2" t="n">
        <x:f>11</x:f>
        <x:v>11</x:v>
      </x:c>
      <x:c r="O6" s="2" t="n">
        <x:f>12</x:f>
        <x:v>12</x:v>
      </x:c>
      <x:c r="P6" s="2" t="n">
        <x:f>13</x:f>
        <x:v>13</x:v>
      </x:c>
      <x:c r="Q6" s="2" t="n">
        <x:f>14</x:f>
        <x:v>14</x:v>
      </x:c>
      <x:c r="R6" s="2" t="n">
        <x:f>15</x:f>
        <x:v>15</x:v>
      </x:c>
      <x:c r="S6" s="2" t="n">
        <x:f>16</x:f>
        <x:v>16</x:v>
      </x:c>
      <x:c r="T6" s="2" t="n">
        <x:f>17</x:f>
        <x:v>17</x:v>
      </x:c>
      <x:c r="U6" s="2" t="n">
        <x:f>18</x:f>
        <x:v>18</x:v>
      </x:c>
      <x:c r="V6" s="2" t="n">
        <x:f>19</x:f>
        <x:v>19</x:v>
      </x:c>
      <x:c r="W6" s="2" t="n">
        <x:f>20</x:f>
        <x:v>20</x:v>
      </x:c>
      <x:c r="X6" s="2" t="n">
        <x:f>21</x:f>
        <x:v>21</x:v>
      </x:c>
      <x:c r="Y6" s="2" t="n">
        <x:f>22</x:f>
        <x:v>22</x:v>
      </x:c>
      <x:c r="Z6" s="2" t="n">
        <x:f>23</x:f>
        <x:v>23</x:v>
      </x:c>
      <x:c r="AA6" s="2" t="n">
        <x:f>24</x:f>
        <x:v>24</x:v>
      </x:c>
      <x:c r="AB6" s="2" t="n">
        <x:f>25</x:f>
        <x:v>25</x:v>
      </x:c>
      <x:c r="AC6" s="2" t="n">
        <x:f>26</x:f>
        <x:v>26</x:v>
      </x:c>
      <x:c r="AD6" s="2" t="n">
        <x:f>27</x:f>
        <x:v>27</x:v>
      </x:c>
      <x:c r="AE6" s="2" t="n">
        <x:f>28</x:f>
        <x:v>28</x:v>
      </x:c>
      <x:c r="AF6" s="2" t="n">
        <x:f>29</x:f>
        <x:v>29</x:v>
      </x:c>
      <x:c r="AG6" s="2" t="n">
        <x:f>30</x:f>
        <x:v>30</x:v>
      </x:c>
      <x:c r="AH6" s="2" t="n">
        <x:f>31</x:f>
        <x:v>31</x:v>
      </x:c>
      <x:c r="AI6" s="2" t="n">
        <x:f>32</x:f>
        <x:v>32</x:v>
      </x:c>
      <x:c r="AJ6" s="2" t="n">
        <x:f>33</x:f>
        <x:v>33</x:v>
      </x:c>
      <x:c r="AK6" s="2" t="n">
        <x:f>34</x:f>
        <x:v>34</x:v>
      </x:c>
      <x:c r="AL6" s="2" t="n">
        <x:f>35</x:f>
        <x:v>35</x:v>
      </x:c>
      <x:c r="AM6" s="2" t="n">
        <x:f>36</x:f>
        <x:v>36</x:v>
      </x:c>
      <x:c r="AN6" s="2"/>
    </x:row>
    <x:row r="7" ht="21" customHeight="1">
      <x:c r="A7" s="1"/>
      <x:c r="B7" s="1"/>
      <x:c r="C7" s="1" t="str">
        <x:v>Year number</x:v>
      </x:c>
      <x:c r="D7" s="2" t="n">
        <x:f>1</x:f>
        <x:v>1</x:v>
      </x:c>
      <x:c r="E7" s="2" t="n">
        <x:f>1</x:f>
        <x:v>1</x:v>
      </x:c>
      <x:c r="F7" s="2" t="n">
        <x:f>1</x:f>
        <x:v>1</x:v>
      </x:c>
      <x:c r="G7" s="2" t="n">
        <x:f>1</x:f>
        <x:v>1</x:v>
      </x:c>
      <x:c r="H7" s="2" t="n">
        <x:f>1</x:f>
        <x:v>1</x:v>
      </x:c>
      <x:c r="I7" s="2" t="n">
        <x:f>1</x:f>
        <x:v>1</x:v>
      </x:c>
      <x:c r="J7" s="2" t="n">
        <x:f>1</x:f>
        <x:v>1</x:v>
      </x:c>
      <x:c r="K7" s="2" t="n">
        <x:f>1</x:f>
        <x:v>1</x:v>
      </x:c>
      <x:c r="L7" s="2" t="n">
        <x:f>1</x:f>
        <x:v>1</x:v>
      </x:c>
      <x:c r="M7" s="2" t="n">
        <x:f>1</x:f>
        <x:v>1</x:v>
      </x:c>
      <x:c r="N7" s="2" t="n">
        <x:f>1</x:f>
        <x:v>1</x:v>
      </x:c>
      <x:c r="O7" s="2" t="n">
        <x:f>1</x:f>
        <x:v>1</x:v>
      </x:c>
      <x:c r="P7" s="2" t="n">
        <x:f>2</x:f>
        <x:v>2</x:v>
      </x:c>
      <x:c r="Q7" s="2" t="n">
        <x:f>2</x:f>
        <x:v>2</x:v>
      </x:c>
      <x:c r="R7" s="2" t="n">
        <x:f>2</x:f>
        <x:v>2</x:v>
      </x:c>
      <x:c r="S7" s="2" t="n">
        <x:f>2</x:f>
        <x:v>2</x:v>
      </x:c>
      <x:c r="T7" s="2" t="n">
        <x:f>2</x:f>
        <x:v>2</x:v>
      </x:c>
      <x:c r="U7" s="2" t="n">
        <x:f>2</x:f>
        <x:v>2</x:v>
      </x:c>
      <x:c r="V7" s="2" t="n">
        <x:f>2</x:f>
        <x:v>2</x:v>
      </x:c>
      <x:c r="W7" s="2" t="n">
        <x:f>2</x:f>
        <x:v>2</x:v>
      </x:c>
      <x:c r="X7" s="2" t="n">
        <x:f>2</x:f>
        <x:v>2</x:v>
      </x:c>
      <x:c r="Y7" s="2" t="n">
        <x:f>2</x:f>
        <x:v>2</x:v>
      </x:c>
      <x:c r="Z7" s="2" t="n">
        <x:f>2</x:f>
        <x:v>2</x:v>
      </x:c>
      <x:c r="AA7" s="2" t="n">
        <x:f>2</x:f>
        <x:v>2</x:v>
      </x:c>
      <x:c r="AB7" s="2" t="n">
        <x:f>3</x:f>
        <x:v>3</x:v>
      </x:c>
      <x:c r="AC7" s="2" t="n">
        <x:f>3</x:f>
        <x:v>3</x:v>
      </x:c>
      <x:c r="AD7" s="2" t="n">
        <x:f>3</x:f>
        <x:v>3</x:v>
      </x:c>
      <x:c r="AE7" s="2" t="n">
        <x:f>3</x:f>
        <x:v>3</x:v>
      </x:c>
      <x:c r="AF7" s="2" t="n">
        <x:f>3</x:f>
        <x:v>3</x:v>
      </x:c>
      <x:c r="AG7" s="2" t="n">
        <x:f>3</x:f>
        <x:v>3</x:v>
      </x:c>
      <x:c r="AH7" s="2" t="n">
        <x:f>3</x:f>
        <x:v>3</x:v>
      </x:c>
      <x:c r="AI7" s="2" t="n">
        <x:f>3</x:f>
        <x:v>3</x:v>
      </x:c>
      <x:c r="AJ7" s="2" t="n">
        <x:f>3</x:f>
        <x:v>3</x:v>
      </x:c>
      <x:c r="AK7" s="2" t="n">
        <x:f>3</x:f>
        <x:v>3</x:v>
      </x:c>
      <x:c r="AL7" s="2" t="n">
        <x:f>3</x:f>
        <x:v>3</x:v>
      </x:c>
      <x:c r="AM7" s="2" t="n">
        <x:f>3</x:f>
        <x:v>3</x:v>
      </x:c>
      <x:c r="AN7" s="2"/>
    </x:row>
    <x:row r="8" ht="21" customHeight="1">
      <x:c r="A8" s="1"/>
      <x:c r="B8" s="1"/>
      <x:c r="C8" s="1" t="str">
        <x:v>Days open</x:v>
      </x:c>
      <x:c r="D8" s="2" t="n">
        <x:f>DAY(EOMONTH(D5,0))</x:f>
        <x:v>31</x:v>
      </x:c>
      <x:c r="E8" s="2" t="n">
        <x:f>DAY(EOMONTH(E5,0))</x:f>
        <x:v>28</x:v>
      </x:c>
      <x:c r="F8" s="2" t="n">
        <x:f>DAY(EOMONTH(F5,0))</x:f>
        <x:v>31</x:v>
      </x:c>
      <x:c r="G8" s="2" t="n">
        <x:f>DAY(EOMONTH(G5,0))</x:f>
        <x:v>30</x:v>
      </x:c>
      <x:c r="H8" s="2" t="n">
        <x:f>DAY(EOMONTH(H5,0))</x:f>
        <x:v>31</x:v>
      </x:c>
      <x:c r="I8" s="2" t="n">
        <x:f>DAY(EOMONTH(I5,0))</x:f>
        <x:v>30</x:v>
      </x:c>
      <x:c r="J8" s="2" t="n">
        <x:f>DAY(EOMONTH(J5,0))</x:f>
        <x:v>31</x:v>
      </x:c>
      <x:c r="K8" s="2" t="n">
        <x:f>DAY(EOMONTH(K5,0))</x:f>
        <x:v>31</x:v>
      </x:c>
      <x:c r="L8" s="2" t="n">
        <x:f>DAY(EOMONTH(L5,0))</x:f>
        <x:v>30</x:v>
      </x:c>
      <x:c r="M8" s="2" t="n">
        <x:f>DAY(EOMONTH(M5,0))</x:f>
        <x:v>31</x:v>
      </x:c>
      <x:c r="N8" s="2" t="n">
        <x:f>DAY(EOMONTH(N5,0))</x:f>
        <x:v>30</x:v>
      </x:c>
      <x:c r="O8" s="2" t="n">
        <x:f>DAY(EOMONTH(O5,0))</x:f>
        <x:v>31</x:v>
      </x:c>
      <x:c r="P8" s="2" t="n">
        <x:f>DAY(EOMONTH(P5,0))</x:f>
        <x:v>31</x:v>
      </x:c>
      <x:c r="Q8" s="2" t="n">
        <x:f>DAY(EOMONTH(Q5,0))</x:f>
        <x:v>29</x:v>
      </x:c>
      <x:c r="R8" s="2" t="n">
        <x:f>DAY(EOMONTH(R5,0))</x:f>
        <x:v>31</x:v>
      </x:c>
      <x:c r="S8" s="2" t="n">
        <x:f>DAY(EOMONTH(S5,0))</x:f>
        <x:v>30</x:v>
      </x:c>
      <x:c r="T8" s="2" t="n">
        <x:f>DAY(EOMONTH(T5,0))</x:f>
        <x:v>31</x:v>
      </x:c>
      <x:c r="U8" s="2" t="n">
        <x:f>DAY(EOMONTH(U5,0))</x:f>
        <x:v>30</x:v>
      </x:c>
      <x:c r="V8" s="2" t="n">
        <x:f>DAY(EOMONTH(V5,0))</x:f>
        <x:v>31</x:v>
      </x:c>
      <x:c r="W8" s="2" t="n">
        <x:f>DAY(EOMONTH(W5,0))</x:f>
        <x:v>31</x:v>
      </x:c>
      <x:c r="X8" s="2" t="n">
        <x:f>DAY(EOMONTH(X5,0))</x:f>
        <x:v>30</x:v>
      </x:c>
      <x:c r="Y8" s="2" t="n">
        <x:f>DAY(EOMONTH(Y5,0))</x:f>
        <x:v>31</x:v>
      </x:c>
      <x:c r="Z8" s="2" t="n">
        <x:f>DAY(EOMONTH(Z5,0))</x:f>
        <x:v>30</x:v>
      </x:c>
      <x:c r="AA8" s="2" t="n">
        <x:f>DAY(EOMONTH(AA5,0))</x:f>
        <x:v>31</x:v>
      </x:c>
      <x:c r="AB8" s="2" t="n">
        <x:f>DAY(EOMONTH(AB5,0))</x:f>
        <x:v>31</x:v>
      </x:c>
      <x:c r="AC8" s="2" t="n">
        <x:f>DAY(EOMONTH(AC5,0))</x:f>
        <x:v>28</x:v>
      </x:c>
      <x:c r="AD8" s="2" t="n">
        <x:f>DAY(EOMONTH(AD5,0))</x:f>
        <x:v>31</x:v>
      </x:c>
      <x:c r="AE8" s="2" t="n">
        <x:f>DAY(EOMONTH(AE5,0))</x:f>
        <x:v>30</x:v>
      </x:c>
      <x:c r="AF8" s="2" t="n">
        <x:f>DAY(EOMONTH(AF5,0))</x:f>
        <x:v>31</x:v>
      </x:c>
      <x:c r="AG8" s="2" t="n">
        <x:f>DAY(EOMONTH(AG5,0))</x:f>
        <x:v>30</x:v>
      </x:c>
      <x:c r="AH8" s="2" t="n">
        <x:f>DAY(EOMONTH(AH5,0))</x:f>
        <x:v>31</x:v>
      </x:c>
      <x:c r="AI8" s="2" t="n">
        <x:f>DAY(EOMONTH(AI5,0))</x:f>
        <x:v>31</x:v>
      </x:c>
      <x:c r="AJ8" s="2" t="n">
        <x:f>DAY(EOMONTH(AJ5,0))</x:f>
        <x:v>30</x:v>
      </x:c>
      <x:c r="AK8" s="2" t="n">
        <x:f>DAY(EOMONTH(AK5,0))</x:f>
        <x:v>31</x:v>
      </x:c>
      <x:c r="AL8" s="2" t="n">
        <x:f>DAY(EOMONTH(AL5,0))</x:f>
        <x:v>30</x:v>
      </x:c>
      <x:c r="AM8" s="2" t="n">
        <x:f>DAY(EOMONTH(AM5,0))</x:f>
        <x:v>31</x:v>
      </x:c>
      <x:c r="AN8" s="2"/>
    </x:row>
    <x:row r="9" ht="21" customHeight="1">
      <x:c r="A9" s="1"/>
      <x:c r="B9" s="1"/>
      <x:c r="C9" s="1" t="str">
        <x:v>Seasonality</x:v>
      </x:c>
      <x:c r="D9" s="20" t="n">
        <x:f>INDEX('Assumptions'!$D$66:$D$77,MOD(D6-1,12)+1)</x:f>
        <x:v>0.8</x:v>
      </x:c>
      <x:c r="E9" s="20" t="n">
        <x:f>INDEX('Assumptions'!$D$66:$D$77,MOD(E6-1,12)+1)</x:f>
        <x:v>1.08</x:v>
      </x:c>
      <x:c r="F9" s="20" t="n">
        <x:f>INDEX('Assumptions'!$D$66:$D$77,MOD(F6-1,12)+1)</x:f>
        <x:v>1.1</x:v>
      </x:c>
      <x:c r="G9" s="20" t="n">
        <x:f>INDEX('Assumptions'!$D$66:$D$77,MOD(G6-1,12)+1)</x:f>
        <x:v>1.02</x:v>
      </x:c>
      <x:c r="H9" s="20" t="n">
        <x:f>INDEX('Assumptions'!$D$66:$D$77,MOD(H6-1,12)+1)</x:f>
        <x:v>1.05</x:v>
      </x:c>
      <x:c r="I9" s="20" t="n">
        <x:f>INDEX('Assumptions'!$D$66:$D$77,MOD(I6-1,12)+1)</x:f>
        <x:v>0.93</x:v>
      </x:c>
      <x:c r="J9" s="20" t="n">
        <x:f>INDEX('Assumptions'!$D$66:$D$77,MOD(J6-1,12)+1)</x:f>
        <x:v>0.85</x:v>
      </x:c>
      <x:c r="K9" s="20" t="n">
        <x:f>INDEX('Assumptions'!$D$66:$D$77,MOD(K6-1,12)+1)</x:f>
        <x:v>1.08</x:v>
      </x:c>
      <x:c r="L9" s="20" t="n">
        <x:f>INDEX('Assumptions'!$D$66:$D$77,MOD(L6-1,12)+1)</x:f>
        <x:v>1.08</x:v>
      </x:c>
      <x:c r="M9" s="20" t="n">
        <x:f>INDEX('Assumptions'!$D$66:$D$77,MOD(M6-1,12)+1)</x:f>
        <x:v>1.1</x:v>
      </x:c>
      <x:c r="N9" s="20" t="n">
        <x:f>INDEX('Assumptions'!$D$66:$D$77,MOD(N6-1,12)+1)</x:f>
        <x:v>1.04</x:v>
      </x:c>
      <x:c r="O9" s="20" t="n">
        <x:f>INDEX('Assumptions'!$D$66:$D$77,MOD(O6-1,12)+1)</x:f>
        <x:v>0.87</x:v>
      </x:c>
      <x:c r="P9" s="20" t="n">
        <x:f>INDEX('Assumptions'!$D$66:$D$77,MOD(P6-1,12)+1)</x:f>
        <x:v>0.8</x:v>
      </x:c>
      <x:c r="Q9" s="20" t="n">
        <x:f>INDEX('Assumptions'!$D$66:$D$77,MOD(Q6-1,12)+1)</x:f>
        <x:v>1.08</x:v>
      </x:c>
      <x:c r="R9" s="20" t="n">
        <x:f>INDEX('Assumptions'!$D$66:$D$77,MOD(R6-1,12)+1)</x:f>
        <x:v>1.1</x:v>
      </x:c>
      <x:c r="S9" s="20" t="n">
        <x:f>INDEX('Assumptions'!$D$66:$D$77,MOD(S6-1,12)+1)</x:f>
        <x:v>1.02</x:v>
      </x:c>
      <x:c r="T9" s="20" t="n">
        <x:f>INDEX('Assumptions'!$D$66:$D$77,MOD(T6-1,12)+1)</x:f>
        <x:v>1.05</x:v>
      </x:c>
      <x:c r="U9" s="20" t="n">
        <x:f>INDEX('Assumptions'!$D$66:$D$77,MOD(U6-1,12)+1)</x:f>
        <x:v>0.93</x:v>
      </x:c>
      <x:c r="V9" s="20" t="n">
        <x:f>INDEX('Assumptions'!$D$66:$D$77,MOD(V6-1,12)+1)</x:f>
        <x:v>0.85</x:v>
      </x:c>
      <x:c r="W9" s="20" t="n">
        <x:f>INDEX('Assumptions'!$D$66:$D$77,MOD(W6-1,12)+1)</x:f>
        <x:v>1.08</x:v>
      </x:c>
      <x:c r="X9" s="20" t="n">
        <x:f>INDEX('Assumptions'!$D$66:$D$77,MOD(X6-1,12)+1)</x:f>
        <x:v>1.08</x:v>
      </x:c>
      <x:c r="Y9" s="20" t="n">
        <x:f>INDEX('Assumptions'!$D$66:$D$77,MOD(Y6-1,12)+1)</x:f>
        <x:v>1.1</x:v>
      </x:c>
      <x:c r="Z9" s="20" t="n">
        <x:f>INDEX('Assumptions'!$D$66:$D$77,MOD(Z6-1,12)+1)</x:f>
        <x:v>1.04</x:v>
      </x:c>
      <x:c r="AA9" s="20" t="n">
        <x:f>INDEX('Assumptions'!$D$66:$D$77,MOD(AA6-1,12)+1)</x:f>
        <x:v>0.87</x:v>
      </x:c>
      <x:c r="AB9" s="20" t="n">
        <x:f>INDEX('Assumptions'!$D$66:$D$77,MOD(AB6-1,12)+1)</x:f>
        <x:v>0.8</x:v>
      </x:c>
      <x:c r="AC9" s="20" t="n">
        <x:f>INDEX('Assumptions'!$D$66:$D$77,MOD(AC6-1,12)+1)</x:f>
        <x:v>1.08</x:v>
      </x:c>
      <x:c r="AD9" s="20" t="n">
        <x:f>INDEX('Assumptions'!$D$66:$D$77,MOD(AD6-1,12)+1)</x:f>
        <x:v>1.1</x:v>
      </x:c>
      <x:c r="AE9" s="20" t="n">
        <x:f>INDEX('Assumptions'!$D$66:$D$77,MOD(AE6-1,12)+1)</x:f>
        <x:v>1.02</x:v>
      </x:c>
      <x:c r="AF9" s="20" t="n">
        <x:f>INDEX('Assumptions'!$D$66:$D$77,MOD(AF6-1,12)+1)</x:f>
        <x:v>1.05</x:v>
      </x:c>
      <x:c r="AG9" s="20" t="n">
        <x:f>INDEX('Assumptions'!$D$66:$D$77,MOD(AG6-1,12)+1)</x:f>
        <x:v>0.93</x:v>
      </x:c>
      <x:c r="AH9" s="20" t="n">
        <x:f>INDEX('Assumptions'!$D$66:$D$77,MOD(AH6-1,12)+1)</x:f>
        <x:v>0.85</x:v>
      </x:c>
      <x:c r="AI9" s="20" t="n">
        <x:f>INDEX('Assumptions'!$D$66:$D$77,MOD(AI6-1,12)+1)</x:f>
        <x:v>1.08</x:v>
      </x:c>
      <x:c r="AJ9" s="20" t="n">
        <x:f>INDEX('Assumptions'!$D$66:$D$77,MOD(AJ6-1,12)+1)</x:f>
        <x:v>1.08</x:v>
      </x:c>
      <x:c r="AK9" s="20" t="n">
        <x:f>INDEX('Assumptions'!$D$66:$D$77,MOD(AK6-1,12)+1)</x:f>
        <x:v>1.1</x:v>
      </x:c>
      <x:c r="AL9" s="20" t="n">
        <x:f>INDEX('Assumptions'!$D$66:$D$77,MOD(AL6-1,12)+1)</x:f>
        <x:v>1.04</x:v>
      </x:c>
      <x:c r="AM9" s="20" t="n">
        <x:f>INDEX('Assumptions'!$D$66:$D$77,MOD(AM6-1,12)+1)</x:f>
        <x:v>0.87</x:v>
      </x:c>
      <x:c r="AN9" s="2"/>
    </x:row>
    <x:row r="10" ht="21" customHeight="1">
      <x:c r="A10" s="1"/>
      <x:c r="B10" s="1"/>
      <x:c r="C10" s="1" t="str">
        <x:v>Ramp factor</x:v>
      </x:c>
      <x:c r="D10" s="20" t="n">
        <x:f>IF(D6&lt;=5,INDEX('Assumptions'!$D$9:$D$13,D6),1)</x:f>
        <x:v>0.55</x:v>
      </x:c>
      <x:c r="E10" s="20" t="n">
        <x:f>IF(E6&lt;=5,INDEX('Assumptions'!$D$9:$D$13,E6),1)</x:f>
        <x:v>0.7</x:v>
      </x:c>
      <x:c r="F10" s="20" t="n">
        <x:f>IF(F6&lt;=5,INDEX('Assumptions'!$D$9:$D$13,F6),1)</x:f>
        <x:v>0.82</x:v>
      </x:c>
      <x:c r="G10" s="20" t="n">
        <x:f>IF(G6&lt;=5,INDEX('Assumptions'!$D$9:$D$13,G6),1)</x:f>
        <x:v>0.9</x:v>
      </x:c>
      <x:c r="H10" s="20" t="n">
        <x:f>IF(H6&lt;=5,INDEX('Assumptions'!$D$9:$D$13,H6),1)</x:f>
        <x:v>0.95</x:v>
      </x:c>
      <x:c r="I10" s="20" t="n">
        <x:f>IF(I6&lt;=5,INDEX('Assumptions'!$D$9:$D$13,I6),1)</x:f>
        <x:v>1</x:v>
      </x:c>
      <x:c r="J10" s="20" t="n">
        <x:f>IF(J6&lt;=5,INDEX('Assumptions'!$D$9:$D$13,J6),1)</x:f>
        <x:v>1</x:v>
      </x:c>
      <x:c r="K10" s="20" t="n">
        <x:f>IF(K6&lt;=5,INDEX('Assumptions'!$D$9:$D$13,K6),1)</x:f>
        <x:v>1</x:v>
      </x:c>
      <x:c r="L10" s="20" t="n">
        <x:f>IF(L6&lt;=5,INDEX('Assumptions'!$D$9:$D$13,L6),1)</x:f>
        <x:v>1</x:v>
      </x:c>
      <x:c r="M10" s="20" t="n">
        <x:f>IF(M6&lt;=5,INDEX('Assumptions'!$D$9:$D$13,M6),1)</x:f>
        <x:v>1</x:v>
      </x:c>
      <x:c r="N10" s="20" t="n">
        <x:f>IF(N6&lt;=5,INDEX('Assumptions'!$D$9:$D$13,N6),1)</x:f>
        <x:v>1</x:v>
      </x:c>
      <x:c r="O10" s="20" t="n">
        <x:f>IF(O6&lt;=5,INDEX('Assumptions'!$D$9:$D$13,O6),1)</x:f>
        <x:v>1</x:v>
      </x:c>
      <x:c r="P10" s="20" t="n">
        <x:f>IF(P6&lt;=5,INDEX('Assumptions'!$D$9:$D$13,P6),1)</x:f>
        <x:v>1</x:v>
      </x:c>
      <x:c r="Q10" s="20" t="n">
        <x:f>IF(Q6&lt;=5,INDEX('Assumptions'!$D$9:$D$13,Q6),1)</x:f>
        <x:v>1</x:v>
      </x:c>
      <x:c r="R10" s="20" t="n">
        <x:f>IF(R6&lt;=5,INDEX('Assumptions'!$D$9:$D$13,R6),1)</x:f>
        <x:v>1</x:v>
      </x:c>
      <x:c r="S10" s="20" t="n">
        <x:f>IF(S6&lt;=5,INDEX('Assumptions'!$D$9:$D$13,S6),1)</x:f>
        <x:v>1</x:v>
      </x:c>
      <x:c r="T10" s="20" t="n">
        <x:f>IF(T6&lt;=5,INDEX('Assumptions'!$D$9:$D$13,T6),1)</x:f>
        <x:v>1</x:v>
      </x:c>
      <x:c r="U10" s="20" t="n">
        <x:f>IF(U6&lt;=5,INDEX('Assumptions'!$D$9:$D$13,U6),1)</x:f>
        <x:v>1</x:v>
      </x:c>
      <x:c r="V10" s="20" t="n">
        <x:f>IF(V6&lt;=5,INDEX('Assumptions'!$D$9:$D$13,V6),1)</x:f>
        <x:v>1</x:v>
      </x:c>
      <x:c r="W10" s="20" t="n">
        <x:f>IF(W6&lt;=5,INDEX('Assumptions'!$D$9:$D$13,W6),1)</x:f>
        <x:v>1</x:v>
      </x:c>
      <x:c r="X10" s="20" t="n">
        <x:f>IF(X6&lt;=5,INDEX('Assumptions'!$D$9:$D$13,X6),1)</x:f>
        <x:v>1</x:v>
      </x:c>
      <x:c r="Y10" s="20" t="n">
        <x:f>IF(Y6&lt;=5,INDEX('Assumptions'!$D$9:$D$13,Y6),1)</x:f>
        <x:v>1</x:v>
      </x:c>
      <x:c r="Z10" s="20" t="n">
        <x:f>IF(Z6&lt;=5,INDEX('Assumptions'!$D$9:$D$13,Z6),1)</x:f>
        <x:v>1</x:v>
      </x:c>
      <x:c r="AA10" s="20" t="n">
        <x:f>IF(AA6&lt;=5,INDEX('Assumptions'!$D$9:$D$13,AA6),1)</x:f>
        <x:v>1</x:v>
      </x:c>
      <x:c r="AB10" s="20" t="n">
        <x:f>IF(AB6&lt;=5,INDEX('Assumptions'!$D$9:$D$13,AB6),1)</x:f>
        <x:v>1</x:v>
      </x:c>
      <x:c r="AC10" s="20" t="n">
        <x:f>IF(AC6&lt;=5,INDEX('Assumptions'!$D$9:$D$13,AC6),1)</x:f>
        <x:v>1</x:v>
      </x:c>
      <x:c r="AD10" s="20" t="n">
        <x:f>IF(AD6&lt;=5,INDEX('Assumptions'!$D$9:$D$13,AD6),1)</x:f>
        <x:v>1</x:v>
      </x:c>
      <x:c r="AE10" s="20" t="n">
        <x:f>IF(AE6&lt;=5,INDEX('Assumptions'!$D$9:$D$13,AE6),1)</x:f>
        <x:v>1</x:v>
      </x:c>
      <x:c r="AF10" s="20" t="n">
        <x:f>IF(AF6&lt;=5,INDEX('Assumptions'!$D$9:$D$13,AF6),1)</x:f>
        <x:v>1</x:v>
      </x:c>
      <x:c r="AG10" s="20" t="n">
        <x:f>IF(AG6&lt;=5,INDEX('Assumptions'!$D$9:$D$13,AG6),1)</x:f>
        <x:v>1</x:v>
      </x:c>
      <x:c r="AH10" s="20" t="n">
        <x:f>IF(AH6&lt;=5,INDEX('Assumptions'!$D$9:$D$13,AH6),1)</x:f>
        <x:v>1</x:v>
      </x:c>
      <x:c r="AI10" s="20" t="n">
        <x:f>IF(AI6&lt;=5,INDEX('Assumptions'!$D$9:$D$13,AI6),1)</x:f>
        <x:v>1</x:v>
      </x:c>
      <x:c r="AJ10" s="20" t="n">
        <x:f>IF(AJ6&lt;=5,INDEX('Assumptions'!$D$9:$D$13,AJ6),1)</x:f>
        <x:v>1</x:v>
      </x:c>
      <x:c r="AK10" s="20" t="n">
        <x:f>IF(AK6&lt;=5,INDEX('Assumptions'!$D$9:$D$13,AK6),1)</x:f>
        <x:v>1</x:v>
      </x:c>
      <x:c r="AL10" s="20" t="n">
        <x:f>IF(AL6&lt;=5,INDEX('Assumptions'!$D$9:$D$13,AL6),1)</x:f>
        <x:v>1</x:v>
      </x:c>
      <x:c r="AM10" s="20" t="n">
        <x:f>IF(AM6&lt;=5,INDEX('Assumptions'!$D$9:$D$13,AM6),1)</x:f>
        <x:v>1</x:v>
      </x:c>
      <x:c r="AN10" s="2"/>
    </x:row>
    <x:row r="11" ht="21" customHeight="1">
      <x:c r="A11" s="1"/>
      <x:c r="B11" s="1"/>
      <x:c r="C11" s="1" t="str">
        <x:v>Mature transactions per day</x:v>
      </x:c>
      <x:c r="D11" s="11" t="n">
        <x:f>'Assumptions'!$D$7*(1+'Assumptions'!$D$14)^(D7-1)</x:f>
        <x:v>130</x:v>
      </x:c>
      <x:c r="E11" s="11" t="n">
        <x:f>'Assumptions'!$D$7*(1+'Assumptions'!$D$14)^(E7-1)</x:f>
        <x:v>130</x:v>
      </x:c>
      <x:c r="F11" s="11" t="n">
        <x:f>'Assumptions'!$D$7*(1+'Assumptions'!$D$14)^(F7-1)</x:f>
        <x:v>130</x:v>
      </x:c>
      <x:c r="G11" s="11" t="n">
        <x:f>'Assumptions'!$D$7*(1+'Assumptions'!$D$14)^(G7-1)</x:f>
        <x:v>130</x:v>
      </x:c>
      <x:c r="H11" s="11" t="n">
        <x:f>'Assumptions'!$D$7*(1+'Assumptions'!$D$14)^(H7-1)</x:f>
        <x:v>130</x:v>
      </x:c>
      <x:c r="I11" s="11" t="n">
        <x:f>'Assumptions'!$D$7*(1+'Assumptions'!$D$14)^(I7-1)</x:f>
        <x:v>130</x:v>
      </x:c>
      <x:c r="J11" s="11" t="n">
        <x:f>'Assumptions'!$D$7*(1+'Assumptions'!$D$14)^(J7-1)</x:f>
        <x:v>130</x:v>
      </x:c>
      <x:c r="K11" s="11" t="n">
        <x:f>'Assumptions'!$D$7*(1+'Assumptions'!$D$14)^(K7-1)</x:f>
        <x:v>130</x:v>
      </x:c>
      <x:c r="L11" s="11" t="n">
        <x:f>'Assumptions'!$D$7*(1+'Assumptions'!$D$14)^(L7-1)</x:f>
        <x:v>130</x:v>
      </x:c>
      <x:c r="M11" s="11" t="n">
        <x:f>'Assumptions'!$D$7*(1+'Assumptions'!$D$14)^(M7-1)</x:f>
        <x:v>130</x:v>
      </x:c>
      <x:c r="N11" s="11" t="n">
        <x:f>'Assumptions'!$D$7*(1+'Assumptions'!$D$14)^(N7-1)</x:f>
        <x:v>130</x:v>
      </x:c>
      <x:c r="O11" s="11" t="n">
        <x:f>'Assumptions'!$D$7*(1+'Assumptions'!$D$14)^(O7-1)</x:f>
        <x:v>130</x:v>
      </x:c>
      <x:c r="P11" s="11" t="n">
        <x:f>'Assumptions'!$D$7*(1+'Assumptions'!$D$14)^(P7-1)</x:f>
        <x:v>137.8</x:v>
      </x:c>
      <x:c r="Q11" s="11" t="n">
        <x:f>'Assumptions'!$D$7*(1+'Assumptions'!$D$14)^(Q7-1)</x:f>
        <x:v>137.8</x:v>
      </x:c>
      <x:c r="R11" s="11" t="n">
        <x:f>'Assumptions'!$D$7*(1+'Assumptions'!$D$14)^(R7-1)</x:f>
        <x:v>137.8</x:v>
      </x:c>
      <x:c r="S11" s="11" t="n">
        <x:f>'Assumptions'!$D$7*(1+'Assumptions'!$D$14)^(S7-1)</x:f>
        <x:v>137.8</x:v>
      </x:c>
      <x:c r="T11" s="11" t="n">
        <x:f>'Assumptions'!$D$7*(1+'Assumptions'!$D$14)^(T7-1)</x:f>
        <x:v>137.8</x:v>
      </x:c>
      <x:c r="U11" s="11" t="n">
        <x:f>'Assumptions'!$D$7*(1+'Assumptions'!$D$14)^(U7-1)</x:f>
        <x:v>137.8</x:v>
      </x:c>
      <x:c r="V11" s="11" t="n">
        <x:f>'Assumptions'!$D$7*(1+'Assumptions'!$D$14)^(V7-1)</x:f>
        <x:v>137.8</x:v>
      </x:c>
      <x:c r="W11" s="11" t="n">
        <x:f>'Assumptions'!$D$7*(1+'Assumptions'!$D$14)^(W7-1)</x:f>
        <x:v>137.8</x:v>
      </x:c>
      <x:c r="X11" s="11" t="n">
        <x:f>'Assumptions'!$D$7*(1+'Assumptions'!$D$14)^(X7-1)</x:f>
        <x:v>137.8</x:v>
      </x:c>
      <x:c r="Y11" s="11" t="n">
        <x:f>'Assumptions'!$D$7*(1+'Assumptions'!$D$14)^(Y7-1)</x:f>
        <x:v>137.8</x:v>
      </x:c>
      <x:c r="Z11" s="11" t="n">
        <x:f>'Assumptions'!$D$7*(1+'Assumptions'!$D$14)^(Z7-1)</x:f>
        <x:v>137.8</x:v>
      </x:c>
      <x:c r="AA11" s="11" t="n">
        <x:f>'Assumptions'!$D$7*(1+'Assumptions'!$D$14)^(AA7-1)</x:f>
        <x:v>137.8</x:v>
      </x:c>
      <x:c r="AB11" s="11" t="n">
        <x:f>'Assumptions'!$D$7*(1+'Assumptions'!$D$14)^(AB7-1)</x:f>
        <x:v>146.068</x:v>
      </x:c>
      <x:c r="AC11" s="11" t="n">
        <x:f>'Assumptions'!$D$7*(1+'Assumptions'!$D$14)^(AC7-1)</x:f>
        <x:v>146.068</x:v>
      </x:c>
      <x:c r="AD11" s="11" t="n">
        <x:f>'Assumptions'!$D$7*(1+'Assumptions'!$D$14)^(AD7-1)</x:f>
        <x:v>146.068</x:v>
      </x:c>
      <x:c r="AE11" s="11" t="n">
        <x:f>'Assumptions'!$D$7*(1+'Assumptions'!$D$14)^(AE7-1)</x:f>
        <x:v>146.068</x:v>
      </x:c>
      <x:c r="AF11" s="11" t="n">
        <x:f>'Assumptions'!$D$7*(1+'Assumptions'!$D$14)^(AF7-1)</x:f>
        <x:v>146.068</x:v>
      </x:c>
      <x:c r="AG11" s="11" t="n">
        <x:f>'Assumptions'!$D$7*(1+'Assumptions'!$D$14)^(AG7-1)</x:f>
        <x:v>146.068</x:v>
      </x:c>
      <x:c r="AH11" s="11" t="n">
        <x:f>'Assumptions'!$D$7*(1+'Assumptions'!$D$14)^(AH7-1)</x:f>
        <x:v>146.068</x:v>
      </x:c>
      <x:c r="AI11" s="11" t="n">
        <x:f>'Assumptions'!$D$7*(1+'Assumptions'!$D$14)^(AI7-1)</x:f>
        <x:v>146.068</x:v>
      </x:c>
      <x:c r="AJ11" s="11" t="n">
        <x:f>'Assumptions'!$D$7*(1+'Assumptions'!$D$14)^(AJ7-1)</x:f>
        <x:v>146.068</x:v>
      </x:c>
      <x:c r="AK11" s="11" t="n">
        <x:f>'Assumptions'!$D$7*(1+'Assumptions'!$D$14)^(AK7-1)</x:f>
        <x:v>146.068</x:v>
      </x:c>
      <x:c r="AL11" s="11" t="n">
        <x:f>'Assumptions'!$D$7*(1+'Assumptions'!$D$14)^(AL7-1)</x:f>
        <x:v>146.068</x:v>
      </x:c>
      <x:c r="AM11" s="11" t="n">
        <x:f>'Assumptions'!$D$7*(1+'Assumptions'!$D$14)^(AM7-1)</x:f>
        <x:v>146.068</x:v>
      </x:c>
      <x:c r="AN11" s="2"/>
    </x:row>
    <x:row r="12" ht="21" customHeight="1">
      <x:c r="A12" s="1"/>
      <x:c r="B12" s="1"/>
      <x:c r="C12" s="1" t="str">
        <x:v>Transactions</x:v>
      </x:c>
      <x:c r="D12" s="2" t="n">
        <x:f>D8*D9*D10*D11</x:f>
        <x:v>1773.2000000000003</x:v>
      </x:c>
      <x:c r="E12" s="2" t="n">
        <x:f>E8*E9*E10*E11</x:f>
        <x:v>2751.8399999999997</x:v>
      </x:c>
      <x:c r="F12" s="2" t="n">
        <x:f>F8*F9*F10*F11</x:f>
        <x:v>3635.06</x:v>
      </x:c>
      <x:c r="G12" s="2" t="n">
        <x:f>G8*G9*G10*G11</x:f>
        <x:v>3580.2000000000003</x:v>
      </x:c>
      <x:c r="H12" s="2" t="n">
        <x:f>H8*H9*H10*H11</x:f>
        <x:v>4019.925</x:v>
      </x:c>
      <x:c r="I12" s="2" t="n">
        <x:f>I8*I9*I10*I11</x:f>
        <x:v>3627.0000000000005</x:v>
      </x:c>
      <x:c r="J12" s="2" t="n">
        <x:f>J8*J9*J10*J11</x:f>
        <x:v>3425.4999999999995</x:v>
      </x:c>
      <x:c r="K12" s="2" t="n">
        <x:f>K8*K9*K10*K11</x:f>
        <x:v>4352.400000000001</x:v>
      </x:c>
      <x:c r="L12" s="2" t="n">
        <x:f>L8*L9*L10*L11</x:f>
        <x:v>4212.000000000001</x:v>
      </x:c>
      <x:c r="M12" s="2" t="n">
        <x:f>M8*M9*M10*M11</x:f>
        <x:v>4433</x:v>
      </x:c>
      <x:c r="N12" s="2" t="n">
        <x:f>N8*N9*N10*N11</x:f>
        <x:v>4056.0000000000005</x:v>
      </x:c>
      <x:c r="O12" s="2" t="n">
        <x:f>O8*O9*O10*O11</x:f>
        <x:v>3506.1</x:v>
      </x:c>
      <x:c r="P12" s="2" t="n">
        <x:f>P8*P9*P10*P11</x:f>
        <x:v>3417.4400000000005</x:v>
      </x:c>
      <x:c r="Q12" s="2" t="n">
        <x:f>Q8*Q9*Q10*Q11</x:f>
        <x:v>4315.896000000001</x:v>
      </x:c>
      <x:c r="R12" s="2" t="n">
        <x:f>R8*R9*R10*R11</x:f>
        <x:v>4698.9800000000005</x:v>
      </x:c>
      <x:c r="S12" s="2" t="n">
        <x:f>S8*S9*S10*S11</x:f>
        <x:v>4216.68</x:v>
      </x:c>
      <x:c r="T12" s="2" t="n">
        <x:f>T8*T9*T10*T11</x:f>
        <x:v>4485.390000000001</x:v>
      </x:c>
      <x:c r="U12" s="2" t="n">
        <x:f>U8*U9*U10*U11</x:f>
        <x:v>3844.620000000001</x:v>
      </x:c>
      <x:c r="V12" s="2" t="n">
        <x:f>V8*V9*V10*V11</x:f>
        <x:v>3631.03</x:v>
      </x:c>
      <x:c r="W12" s="2" t="n">
        <x:f>W8*W9*W10*W11</x:f>
        <x:v>4613.544000000001</x:v>
      </x:c>
      <x:c r="X12" s="2" t="n">
        <x:f>X8*X9*X10*X11</x:f>
        <x:v>4464.720000000001</x:v>
      </x:c>
      <x:c r="Y12" s="2" t="n">
        <x:f>Y8*Y9*Y10*Y11</x:f>
        <x:v>4698.9800000000005</x:v>
      </x:c>
      <x:c r="Z12" s="2" t="n">
        <x:f>Z8*Z9*Z10*Z11</x:f>
        <x:v>4299.360000000001</x:v>
      </x:c>
      <x:c r="AA12" s="2" t="n">
        <x:f>AA8*AA9*AA10*AA11</x:f>
        <x:v>3716.4660000000003</x:v>
      </x:c>
      <x:c r="AB12" s="2" t="n">
        <x:f>AB8*AB9*AB10*AB11</x:f>
        <x:v>3622.4864000000002</x:v>
      </x:c>
      <x:c r="AC12" s="2" t="n">
        <x:f>AC8*AC9*AC10*AC11</x:f>
        <x:v>4417.096320000001</x:v>
      </x:c>
      <x:c r="AD12" s="2" t="n">
        <x:f>AD8*AD9*AD10*AD11</x:f>
        <x:v>4980.9188</x:v>
      </x:c>
      <x:c r="AE12" s="2" t="n">
        <x:f>AE8*AE9*AE10*AE11</x:f>
        <x:v>4469.680800000001</x:v>
      </x:c>
      <x:c r="AF12" s="2" t="n">
        <x:f>AF8*AF9*AF10*AF11</x:f>
        <x:v>4754.513400000001</x:v>
      </x:c>
      <x:c r="AG12" s="2" t="n">
        <x:f>AG8*AG9*AG10*AG11</x:f>
        <x:v>4075.2972000000004</x:v>
      </x:c>
      <x:c r="AH12" s="2" t="n">
        <x:f>AH8*AH9*AH10*AH11</x:f>
        <x:v>3848.8918</x:v>
      </x:c>
      <x:c r="AI12" s="2" t="n">
        <x:f>AI8*AI9*AI10*AI11</x:f>
        <x:v>4890.356640000001</x:v>
      </x:c>
      <x:c r="AJ12" s="2" t="n">
        <x:f>AJ8*AJ9*AJ10*AJ11</x:f>
        <x:v>4732.603200000001</x:v>
      </x:c>
      <x:c r="AK12" s="2" t="n">
        <x:f>AK8*AK9*AK10*AK11</x:f>
        <x:v>4980.9188</x:v>
      </x:c>
      <x:c r="AL12" s="2" t="n">
        <x:f>AL8*AL9*AL10*AL11</x:f>
        <x:v>4557.321600000001</x:v>
      </x:c>
      <x:c r="AM12" s="2" t="n">
        <x:f>AM8*AM9*AM10*AM11</x:f>
        <x:v>3939.4539600000003</x:v>
      </x:c>
      <x:c r="AN12" s="2"/>
    </x:row>
    <x:row r="13" ht="21" customHeight="1">
      <x:c r="A13" s="1"/>
      <x:c r="B13" s="1"/>
      <x:c r="C13" s="1" t="str">
        <x:v>Gross sales per transaction</x:v>
      </x:c>
      <x:c r="D13" s="11" t="n">
        <x:f>'Menu economics'!$D$22*(1+'Assumptions'!$D$33)^(D7-1)</x:f>
        <x:v>53.93</x:v>
      </x:c>
      <x:c r="E13" s="11" t="n">
        <x:f>'Menu economics'!$D$22*(1+'Assumptions'!$D$33)^(E7-1)</x:f>
        <x:v>53.93</x:v>
      </x:c>
      <x:c r="F13" s="11" t="n">
        <x:f>'Menu economics'!$D$22*(1+'Assumptions'!$D$33)^(F7-1)</x:f>
        <x:v>53.93</x:v>
      </x:c>
      <x:c r="G13" s="11" t="n">
        <x:f>'Menu economics'!$D$22*(1+'Assumptions'!$D$33)^(G7-1)</x:f>
        <x:v>53.93</x:v>
      </x:c>
      <x:c r="H13" s="11" t="n">
        <x:f>'Menu economics'!$D$22*(1+'Assumptions'!$D$33)^(H7-1)</x:f>
        <x:v>53.93</x:v>
      </x:c>
      <x:c r="I13" s="11" t="n">
        <x:f>'Menu economics'!$D$22*(1+'Assumptions'!$D$33)^(I7-1)</x:f>
        <x:v>53.93</x:v>
      </x:c>
      <x:c r="J13" s="11" t="n">
        <x:f>'Menu economics'!$D$22*(1+'Assumptions'!$D$33)^(J7-1)</x:f>
        <x:v>53.93</x:v>
      </x:c>
      <x:c r="K13" s="11" t="n">
        <x:f>'Menu economics'!$D$22*(1+'Assumptions'!$D$33)^(K7-1)</x:f>
        <x:v>53.93</x:v>
      </x:c>
      <x:c r="L13" s="11" t="n">
        <x:f>'Menu economics'!$D$22*(1+'Assumptions'!$D$33)^(L7-1)</x:f>
        <x:v>53.93</x:v>
      </x:c>
      <x:c r="M13" s="11" t="n">
        <x:f>'Menu economics'!$D$22*(1+'Assumptions'!$D$33)^(M7-1)</x:f>
        <x:v>53.93</x:v>
      </x:c>
      <x:c r="N13" s="11" t="n">
        <x:f>'Menu economics'!$D$22*(1+'Assumptions'!$D$33)^(N7-1)</x:f>
        <x:v>53.93</x:v>
      </x:c>
      <x:c r="O13" s="11" t="n">
        <x:f>'Menu economics'!$D$22*(1+'Assumptions'!$D$33)^(O7-1)</x:f>
        <x:v>53.93</x:v>
      </x:c>
      <x:c r="P13" s="11" t="n">
        <x:f>'Menu economics'!$D$22*(1+'Assumptions'!$D$33)^(P7-1)</x:f>
        <x:v>56.6265</x:v>
      </x:c>
      <x:c r="Q13" s="11" t="n">
        <x:f>'Menu economics'!$D$22*(1+'Assumptions'!$D$33)^(Q7-1)</x:f>
        <x:v>56.6265</x:v>
      </x:c>
      <x:c r="R13" s="11" t="n">
        <x:f>'Menu economics'!$D$22*(1+'Assumptions'!$D$33)^(R7-1)</x:f>
        <x:v>56.6265</x:v>
      </x:c>
      <x:c r="S13" s="11" t="n">
        <x:f>'Menu economics'!$D$22*(1+'Assumptions'!$D$33)^(S7-1)</x:f>
        <x:v>56.6265</x:v>
      </x:c>
      <x:c r="T13" s="11" t="n">
        <x:f>'Menu economics'!$D$22*(1+'Assumptions'!$D$33)^(T7-1)</x:f>
        <x:v>56.6265</x:v>
      </x:c>
      <x:c r="U13" s="11" t="n">
        <x:f>'Menu economics'!$D$22*(1+'Assumptions'!$D$33)^(U7-1)</x:f>
        <x:v>56.6265</x:v>
      </x:c>
      <x:c r="V13" s="11" t="n">
        <x:f>'Menu economics'!$D$22*(1+'Assumptions'!$D$33)^(V7-1)</x:f>
        <x:v>56.6265</x:v>
      </x:c>
      <x:c r="W13" s="11" t="n">
        <x:f>'Menu economics'!$D$22*(1+'Assumptions'!$D$33)^(W7-1)</x:f>
        <x:v>56.6265</x:v>
      </x:c>
      <x:c r="X13" s="11" t="n">
        <x:f>'Menu economics'!$D$22*(1+'Assumptions'!$D$33)^(X7-1)</x:f>
        <x:v>56.6265</x:v>
      </x:c>
      <x:c r="Y13" s="11" t="n">
        <x:f>'Menu economics'!$D$22*(1+'Assumptions'!$D$33)^(Y7-1)</x:f>
        <x:v>56.6265</x:v>
      </x:c>
      <x:c r="Z13" s="11" t="n">
        <x:f>'Menu economics'!$D$22*(1+'Assumptions'!$D$33)^(Z7-1)</x:f>
        <x:v>56.6265</x:v>
      </x:c>
      <x:c r="AA13" s="11" t="n">
        <x:f>'Menu economics'!$D$22*(1+'Assumptions'!$D$33)^(AA7-1)</x:f>
        <x:v>56.6265</x:v>
      </x:c>
      <x:c r="AB13" s="11" t="n">
        <x:f>'Menu economics'!$D$22*(1+'Assumptions'!$D$33)^(AB7-1)</x:f>
        <x:v>59.457825</x:v>
      </x:c>
      <x:c r="AC13" s="11" t="n">
        <x:f>'Menu economics'!$D$22*(1+'Assumptions'!$D$33)^(AC7-1)</x:f>
        <x:v>59.457825</x:v>
      </x:c>
      <x:c r="AD13" s="11" t="n">
        <x:f>'Menu economics'!$D$22*(1+'Assumptions'!$D$33)^(AD7-1)</x:f>
        <x:v>59.457825</x:v>
      </x:c>
      <x:c r="AE13" s="11" t="n">
        <x:f>'Menu economics'!$D$22*(1+'Assumptions'!$D$33)^(AE7-1)</x:f>
        <x:v>59.457825</x:v>
      </x:c>
      <x:c r="AF13" s="11" t="n">
        <x:f>'Menu economics'!$D$22*(1+'Assumptions'!$D$33)^(AF7-1)</x:f>
        <x:v>59.457825</x:v>
      </x:c>
      <x:c r="AG13" s="11" t="n">
        <x:f>'Menu economics'!$D$22*(1+'Assumptions'!$D$33)^(AG7-1)</x:f>
        <x:v>59.457825</x:v>
      </x:c>
      <x:c r="AH13" s="11" t="n">
        <x:f>'Menu economics'!$D$22*(1+'Assumptions'!$D$33)^(AH7-1)</x:f>
        <x:v>59.457825</x:v>
      </x:c>
      <x:c r="AI13" s="11" t="n">
        <x:f>'Menu economics'!$D$22*(1+'Assumptions'!$D$33)^(AI7-1)</x:f>
        <x:v>59.457825</x:v>
      </x:c>
      <x:c r="AJ13" s="11" t="n">
        <x:f>'Menu economics'!$D$22*(1+'Assumptions'!$D$33)^(AJ7-1)</x:f>
        <x:v>59.457825</x:v>
      </x:c>
      <x:c r="AK13" s="11" t="n">
        <x:f>'Menu economics'!$D$22*(1+'Assumptions'!$D$33)^(AK7-1)</x:f>
        <x:v>59.457825</x:v>
      </x:c>
      <x:c r="AL13" s="11" t="n">
        <x:f>'Menu economics'!$D$22*(1+'Assumptions'!$D$33)^(AL7-1)</x:f>
        <x:v>59.457825</x:v>
      </x:c>
      <x:c r="AM13" s="11" t="n">
        <x:f>'Menu economics'!$D$22*(1+'Assumptions'!$D$33)^(AM7-1)</x:f>
        <x:v>59.457825</x:v>
      </x:c>
      <x:c r="AN13" s="2"/>
    </x:row>
    <x:row r="14" ht="21" customHeight="1">
      <x:c r="A14" s="1"/>
      <x:c r="B14" s="1"/>
      <x:c r="C14" s="1" t="str">
        <x:v>Gross till receipts</x:v>
      </x:c>
      <x:c r="D14" s="2" t="n">
        <x:f>D12*D13</x:f>
        <x:v>95628.67600000002</x:v>
      </x:c>
      <x:c r="E14" s="2" t="n">
        <x:f>E12*E13</x:f>
        <x:v>148406.73119999998</x:v>
      </x:c>
      <x:c r="F14" s="2" t="n">
        <x:f>F12*F13</x:f>
        <x:v>196038.78579999998</x:v>
      </x:c>
      <x:c r="G14" s="2" t="n">
        <x:f>G12*G13</x:f>
        <x:v>193080.18600000002</x:v>
      </x:c>
      <x:c r="H14" s="2" t="n">
        <x:f>H12*H13</x:f>
        <x:v>216794.55525</x:v>
      </x:c>
      <x:c r="I14" s="2" t="n">
        <x:f>I12*I13</x:f>
        <x:v>195604.11000000002</x:v>
      </x:c>
      <x:c r="J14" s="2" t="n">
        <x:f>J12*J13</x:f>
        <x:v>184737.21499999997</x:v>
      </x:c>
      <x:c r="K14" s="2" t="n">
        <x:f>K12*K13</x:f>
        <x:v>234724.93200000003</x:v>
      </x:c>
      <x:c r="L14" s="2" t="n">
        <x:f>L12*L13</x:f>
        <x:v>227153.16000000006</x:v>
      </x:c>
      <x:c r="M14" s="2" t="n">
        <x:f>M12*M13</x:f>
        <x:v>239071.69</x:v>
      </x:c>
      <x:c r="N14" s="2" t="n">
        <x:f>N12*N13</x:f>
        <x:v>218740.08000000002</x:v>
      </x:c>
      <x:c r="O14" s="2" t="n">
        <x:f>O12*O13</x:f>
        <x:v>189083.973</x:v>
      </x:c>
      <x:c r="P14" s="2" t="n">
        <x:f>P12*P13</x:f>
        <x:v>193517.66616000002</x:v>
      </x:c>
      <x:c r="Q14" s="2" t="n">
        <x:f>Q12*Q13</x:f>
        <x:v>244394.08484400003</x:v>
      </x:c>
      <x:c r="R14" s="2" t="n">
        <x:f>R12*R13</x:f>
        <x:v>266086.79097000003</x:v>
      </x:c>
      <x:c r="S14" s="2" t="n">
        <x:f>S12*S13</x:f>
        <x:v>238775.83002000002</x:v>
      </x:c>
      <x:c r="T14" s="2" t="n">
        <x:f>T12*T13</x:f>
        <x:v>253991.93683500006</x:v>
      </x:c>
      <x:c r="U14" s="2" t="n">
        <x:f>U12*U13</x:f>
        <x:v>217707.37443000005</x:v>
      </x:c>
      <x:c r="V14" s="2" t="n">
        <x:f>V12*V13</x:f>
        <x:v>205612.52029500002</x:v>
      </x:c>
      <x:c r="W14" s="2" t="n">
        <x:f>W12*W13</x:f>
        <x:v>261248.84931600004</x:v>
      </x:c>
      <x:c r="X14" s="2" t="n">
        <x:f>X12*X13</x:f>
        <x:v>252821.46708000006</x:v>
      </x:c>
      <x:c r="Y14" s="2" t="n">
        <x:f>Y12*Y13</x:f>
        <x:v>266086.79097000003</x:v>
      </x:c>
      <x:c r="Z14" s="2" t="n">
        <x:f>Z12*Z13</x:f>
        <x:v>243457.70904000005</x:v>
      </x:c>
      <x:c r="AA14" s="2" t="n">
        <x:f>AA12*AA13</x:f>
        <x:v>210450.46194900002</x:v>
      </x:c>
      <x:c r="AB14" s="2" t="n">
        <x:f>AB12*AB13</x:f>
        <x:v>215385.16243608002</x:v>
      </x:c>
      <x:c r="AC14" s="2" t="n">
        <x:f>AC12*AC13</x:f>
        <x:v>262630.94000270404</x:v>
      </x:c>
      <x:c r="AD14" s="2" t="n">
        <x:f>AD12*AD13</x:f>
        <x:v>296154.59834961</x:v>
      </x:c>
      <x:c r="AE14" s="2" t="n">
        <x:f>AE12*AE13</x:f>
        <x:v>265757.49881226005</x:v>
      </x:c>
      <x:c r="AF14" s="2" t="n">
        <x:f>AF12*AF13</x:f>
        <x:v>282693.02569735504</x:v>
      </x:c>
      <x:c r="AG14" s="2" t="n">
        <x:f>AG12*AG13</x:f>
        <x:v>242308.30774059</x:v>
      </x:c>
      <x:c r="AH14" s="2" t="n">
        <x:f>AH12*AH13</x:f>
        <x:v>228846.735088335</x:v>
      </x:c>
      <x:c r="AI14" s="2" t="n">
        <x:f>AI12*AI13</x:f>
        <x:v>290769.96928870806</x:v>
      </x:c>
      <x:c r="AJ14" s="2" t="n">
        <x:f>AJ12*AJ13</x:f>
        <x:v>281390.2928600401</x:v>
      </x:c>
      <x:c r="AK14" s="2" t="n">
        <x:f>AK12*AK13</x:f>
        <x:v>296154.59834961</x:v>
      </x:c>
      <x:c r="AL14" s="2" t="n">
        <x:f>AL12*AL13</x:f>
        <x:v>270968.4301615201</x:v>
      </x:c>
      <x:c r="AM14" s="2" t="n">
        <x:f>AM12*AM13</x:f>
        <x:v>234231.36414923702</x:v>
      </x:c>
      <x:c r="AN14" s="2"/>
    </x:row>
    <x:row r="15" ht="21" customHeight="1">
      <x:c r="A15" s="1"/>
      <x:c r="B15" s="1"/>
      <x:c r="C15" s="1" t="str">
        <x:v>Net revenue</x:v>
      </x:c>
      <x:c r="D15" s="11" t="n">
        <x:f>D14/(1+'Assumptions'!$D$19*'Assumptions'!$D$20)</x:f>
        <x:v>83155.37043478263</x:v>
      </x:c>
      <x:c r="E15" s="11" t="n">
        <x:f>E14/(1+'Assumptions'!$D$19*'Assumptions'!$D$20)</x:f>
        <x:v>129049.33147826086</x:v>
      </x:c>
      <x:c r="F15" s="11" t="n">
        <x:f>F14/(1+'Assumptions'!$D$19*'Assumptions'!$D$20)</x:f>
        <x:v>170468.50939130434</x:v>
      </x:c>
      <x:c r="G15" s="11" t="n">
        <x:f>G14/(1+'Assumptions'!$D$19*'Assumptions'!$D$20)</x:f>
        <x:v>167895.8139130435</x:v>
      </x:c>
      <x:c r="H15" s="11" t="n">
        <x:f>H14/(1+'Assumptions'!$D$19*'Assumptions'!$D$20)</x:f>
        <x:v>188517.00456521742</x:v>
      </x:c>
      <x:c r="I15" s="11" t="n">
        <x:f>I14/(1+'Assumptions'!$D$19*'Assumptions'!$D$20)</x:f>
        <x:v>170090.53043478265</x:v>
      </x:c>
      <x:c r="J15" s="11" t="n">
        <x:f>J14/(1+'Assumptions'!$D$19*'Assumptions'!$D$20)</x:f>
        <x:v>160641.0565217391</x:v>
      </x:c>
      <x:c r="K15" s="11" t="n">
        <x:f>K14/(1+'Assumptions'!$D$19*'Assumptions'!$D$20)</x:f>
        <x:v>204108.63652173916</x:v>
      </x:c>
      <x:c r="L15" s="11" t="n">
        <x:f>L14/(1+'Assumptions'!$D$19*'Assumptions'!$D$20)</x:f>
        <x:v>197524.4869565218</x:v>
      </x:c>
      <x:c r="M15" s="11" t="n">
        <x:f>M14/(1+'Assumptions'!$D$19*'Assumptions'!$D$20)</x:f>
        <x:v>207888.42608695655</x:v>
      </x:c>
      <x:c r="N15" s="11" t="n">
        <x:f>N14/(1+'Assumptions'!$D$19*'Assumptions'!$D$20)</x:f>
        <x:v>190208.76521739134</x:v>
      </x:c>
      <x:c r="O15" s="11" t="n">
        <x:f>O14/(1+'Assumptions'!$D$19*'Assumptions'!$D$20)</x:f>
        <x:v>164420.84608695653</x:v>
      </x:c>
      <x:c r="P15" s="11" t="n">
        <x:f>P14/(1+'Assumptions'!$D$19*'Assumptions'!$D$20)</x:f>
        <x:v>168276.2314434783</x:v>
      </x:c>
      <x:c r="Q15" s="11" t="n">
        <x:f>Q14/(1+'Assumptions'!$D$19*'Assumptions'!$D$20)</x:f>
        <x:v>212516.59551652177</x:v>
      </x:c>
      <x:c r="R15" s="11" t="n">
        <x:f>R14/(1+'Assumptions'!$D$19*'Assumptions'!$D$20)</x:f>
        <x:v>231379.81823478267</x:v>
      </x:c>
      <x:c r="S15" s="11" t="n">
        <x:f>S14/(1+'Assumptions'!$D$19*'Assumptions'!$D$20)</x:f>
        <x:v>207631.15653913046</x:v>
      </x:c>
      <x:c r="T15" s="11" t="n">
        <x:f>T14/(1+'Assumptions'!$D$19*'Assumptions'!$D$20)</x:f>
        <x:v>220862.55376956527</x:v>
      </x:c>
      <x:c r="U15" s="11" t="n">
        <x:f>U14/(1+'Assumptions'!$D$19*'Assumptions'!$D$20)</x:f>
        <x:v>189310.7603739131</x:v>
      </x:c>
      <x:c r="V15" s="11" t="n">
        <x:f>V14/(1+'Assumptions'!$D$19*'Assumptions'!$D$20)</x:f>
        <x:v>178793.49590869568</x:v>
      </x:c>
      <x:c r="W15" s="11" t="n">
        <x:f>W14/(1+'Assumptions'!$D$19*'Assumptions'!$D$20)</x:f>
        <x:v>227172.91244869572</x:v>
      </x:c>
      <x:c r="X15" s="11" t="n">
        <x:f>X14/(1+'Assumptions'!$D$19*'Assumptions'!$D$20)</x:f>
        <x:v>219844.75398260876</x:v>
      </x:c>
      <x:c r="Y15" s="11" t="n">
        <x:f>Y14/(1+'Assumptions'!$D$19*'Assumptions'!$D$20)</x:f>
        <x:v>231379.81823478267</x:v>
      </x:c>
      <x:c r="Z15" s="11" t="n">
        <x:f>Z14/(1+'Assumptions'!$D$19*'Assumptions'!$D$20)</x:f>
        <x:v>211702.35568695658</x:v>
      </x:c>
      <x:c r="AA15" s="11" t="n">
        <x:f>AA14/(1+'Assumptions'!$D$19*'Assumptions'!$D$20)</x:f>
        <x:v>183000.40169478263</x:v>
      </x:c>
      <x:c r="AB15" s="11" t="n">
        <x:f>AB14/(1+'Assumptions'!$D$19*'Assumptions'!$D$20)</x:f>
        <x:v>187291.44559659134</x:v>
      </x:c>
      <x:c r="AC15" s="11" t="n">
        <x:f>AC14/(1+'Assumptions'!$D$19*'Assumptions'!$D$20)</x:f>
        <x:v>228374.73043713396</x:v>
      </x:c>
      <x:c r="AD15" s="11" t="n">
        <x:f>AD14/(1+'Assumptions'!$D$19*'Assumptions'!$D$20)</x:f>
        <x:v>257525.73769531306</x:v>
      </x:c>
      <x:c r="AE15" s="11" t="n">
        <x:f>AE14/(1+'Assumptions'!$D$19*'Assumptions'!$D$20)</x:f>
        <x:v>231093.47722805224</x:v>
      </x:c>
      <x:c r="AF15" s="11" t="n">
        <x:f>AF14/(1+'Assumptions'!$D$19*'Assumptions'!$D$20)</x:f>
        <x:v>245820.02234552614</x:v>
      </x:c>
      <x:c r="AG15" s="11" t="n">
        <x:f>AG14/(1+'Assumptions'!$D$19*'Assumptions'!$D$20)</x:f>
        <x:v>210702.87629616525</x:v>
      </x:c>
      <x:c r="AH15" s="11" t="n">
        <x:f>AH14/(1+'Assumptions'!$D$19*'Assumptions'!$D$20)</x:f>
        <x:v>198997.16094637828</x:v>
      </x:c>
      <x:c r="AI15" s="11" t="n">
        <x:f>AI14/(1+'Assumptions'!$D$19*'Assumptions'!$D$20)</x:f>
        <x:v>252843.45155539832</x:v>
      </x:c>
      <x:c r="AJ15" s="11" t="n">
        <x:f>AJ14/(1+'Assumptions'!$D$19*'Assumptions'!$D$20)</x:f>
        <x:v>244687.21118264357</x:v>
      </x:c>
      <x:c r="AK15" s="11" t="n">
        <x:f>AK14/(1+'Assumptions'!$D$19*'Assumptions'!$D$20)</x:f>
        <x:v>257525.73769531306</x:v>
      </x:c>
      <x:c r="AL15" s="11" t="n">
        <x:f>AL14/(1+'Assumptions'!$D$19*'Assumptions'!$D$20)</x:f>
        <x:v>235624.7218795827</x:v>
      </x:c>
      <x:c r="AM15" s="11" t="n">
        <x:f>AM14/(1+'Assumptions'!$D$19*'Assumptions'!$D$20)</x:f>
        <x:v>203679.44708629308</x:v>
      </x:c>
      <x:c r="AN15" s="2"/>
    </x:row>
    <x:row r="16" ht="21" customHeight="1">
      <x:c r="A16" s="1"/>
      <x:c r="B16" s="1"/>
      <x:c r="C16" s="1" t="str">
        <x:v>Cost of goods sold</x:v>
      </x:c>
      <x:c r="D16" s="11" t="n">
        <x:f>D12*'Menu economics'!$D$24*(1+'Assumptions'!$D$34)^(D7-1)</x:f>
        <x:v>35150.59400091534</x:v>
      </x:c>
      <x:c r="E16" s="11" t="n">
        <x:f>E12*'Menu economics'!$D$24*(1+'Assumptions'!$D$34)^(E7-1)</x:f>
        <x:v>54550.42329995424</x:v>
      </x:c>
      <x:c r="F16" s="11" t="n">
        <x:f>F12*'Menu economics'!$D$24*(1+'Assumptions'!$D$34)^(F7-1)</x:f>
        <x:v>72058.71770187643</x:v>
      </x:c>
      <x:c r="G16" s="11" t="n">
        <x:f>G12*'Menu economics'!$D$24*(1+'Assumptions'!$D$34)^(G7-1)</x:f>
        <x:v>70971.21398718537</x:v>
      </x:c>
      <x:c r="H16" s="11" t="n">
        <x:f>H12*'Menu economics'!$D$24*(1+'Assumptions'!$D$34)^(H7-1)</x:f>
        <x:v>79687.99435434784</x:v>
      </x:c>
      <x:c r="I16" s="11" t="n">
        <x:f>I12*'Menu economics'!$D$24*(1+'Assumptions'!$D$34)^(I7-1)</x:f>
        <x:v>71898.94227459955</x:v>
      </x:c>
      <x:c r="J16" s="11" t="n">
        <x:f>J12*'Menu economics'!$D$24*(1+'Assumptions'!$D$34)^(J7-1)</x:f>
        <x:v>67904.55659267734</x:v>
      </x:c>
      <x:c r="K16" s="11" t="n">
        <x:f>K12*'Menu economics'!$D$24*(1+'Assumptions'!$D$34)^(K7-1)</x:f>
        <x:v>86278.73072951948</x:v>
      </x:c>
      <x:c r="L16" s="11" t="n">
        <x:f>L12*'Menu economics'!$D$24*(1+'Assumptions'!$D$34)^(L7-1)</x:f>
        <x:v>83495.54586727692</x:v>
      </x:c>
      <x:c r="M16" s="11" t="n">
        <x:f>M12*'Menu economics'!$D$24*(1+'Assumptions'!$D$34)^(M7-1)</x:f>
        <x:v>87876.48500228833</x:v>
      </x:c>
      <x:c r="N16" s="11" t="n">
        <x:f>N12*'Menu economics'!$D$24*(1+'Assumptions'!$D$34)^(N7-1)</x:f>
        <x:v>80403.11824256295</x:v>
      </x:c>
      <x:c r="O16" s="11" t="n">
        <x:f>O12*'Menu economics'!$D$24*(1+'Assumptions'!$D$34)^(O7-1)</x:f>
        <x:v>69502.31086544623</x:v>
      </x:c>
      <x:c r="P16" s="11" t="n">
        <x:f>P12*'Menu economics'!$D$24*(1+'Assumptions'!$D$34)^(P7-1)</x:f>
        <x:v>71132.02022367051</x:v>
      </x:c>
      <x:c r="Q16" s="11" t="n">
        <x:f>Q12*'Menu economics'!$D$24*(1+'Assumptions'!$D$34)^(Q7-1)</x:f>
        <x:v>89832.85779860323</x:v>
      </x:c>
      <x:c r="R16" s="11" t="n">
        <x:f>R12*'Menu economics'!$D$24*(1+'Assumptions'!$D$34)^(R7-1)</x:f>
        <x:v>97806.52780754693</x:v>
      </x:c>
      <x:c r="S16" s="11" t="n">
        <x:f>S12*'Menu economics'!$D$24*(1+'Assumptions'!$D$34)^(S7-1)</x:f>
        <x:v>87767.73463081925</x:v>
      </x:c>
      <x:c r="T16" s="11" t="n">
        <x:f>T12*'Menu economics'!$D$24*(1+'Assumptions'!$D$34)^(T7-1)</x:f>
        <x:v>93360.77654356755</x:v>
      </x:c>
      <x:c r="U16" s="11" t="n">
        <x:f>U12*'Menu economics'!$D$24*(1+'Assumptions'!$D$34)^(U7-1)</x:f>
        <x:v>80023.52275162932</x:v>
      </x:c>
      <x:c r="V16" s="11" t="n">
        <x:f>V12*'Menu economics'!$D$24*(1+'Assumptions'!$D$34)^(V7-1)</x:f>
        <x:v>75577.7714876499</x:v>
      </x:c>
      <x:c r="W16" s="11" t="n">
        <x:f>W12*'Menu economics'!$D$24*(1+'Assumptions'!$D$34)^(W7-1)</x:f>
        <x:v>96028.22730195518</x:v>
      </x:c>
      <x:c r="X16" s="11" t="n">
        <x:f>X12*'Menu economics'!$D$24*(1+'Assumptions'!$D$34)^(X7-1)</x:f>
        <x:v>92930.54255027922</x:v>
      </x:c>
      <x:c r="Y16" s="11" t="n">
        <x:f>Y12*'Menu economics'!$D$24*(1+'Assumptions'!$D$34)^(Y7-1)</x:f>
        <x:v>97806.52780754693</x:v>
      </x:c>
      <x:c r="Z16" s="11" t="n">
        <x:f>Z12*'Menu economics'!$D$24*(1+'Assumptions'!$D$34)^(Z7-1)</x:f>
        <x:v>89488.67060397255</x:v>
      </x:c>
      <x:c r="AA16" s="11" t="n">
        <x:f>AA12*'Menu economics'!$D$24*(1+'Assumptions'!$D$34)^(AA7-1)</x:f>
        <x:v>77356.07199324167</x:v>
      </x:c>
      <x:c r="AB16" s="11" t="n">
        <x:f>AB12*'Menu economics'!$D$24*(1+'Assumptions'!$D$34)^(AB7-1)</x:f>
        <x:v>79169.93850894526</x:v>
      </x:c>
      <x:c r="AC16" s="11" t="n">
        <x:f>AC12*'Menu economics'!$D$24*(1+'Assumptions'!$D$34)^(AC7-1)</x:f>
        <x:v>96536.24760123003</x:v>
      </x:c>
      <x:c r="AD16" s="11" t="n">
        <x:f>AD12*'Menu economics'!$D$24*(1+'Assumptions'!$D$34)^(AD7-1)</x:f>
        <x:v>108858.66544979974</x:v>
      </x:c>
      <x:c r="AE16" s="11" t="n">
        <x:f>AE12*'Menu economics'!$D$24*(1+'Assumptions'!$D$34)^(AE7-1)</x:f>
        <x:v>97685.48864410183</x:v>
      </x:c>
      <x:c r="AF16" s="11" t="n">
        <x:f>AF12*'Menu economics'!$D$24*(1+'Assumptions'!$D$34)^(AF7-1)</x:f>
        <x:v>103910.54429299066</x:v>
      </x:c>
      <x:c r="AG16" s="11" t="n">
        <x:f>AG12*'Menu economics'!$D$24*(1+'Assumptions'!$D$34)^(AG7-1)</x:f>
        <x:v>89066.18082256343</x:v>
      </x:c>
      <x:c r="AH16" s="11" t="n">
        <x:f>AH12*'Menu economics'!$D$24*(1+'Assumptions'!$D$34)^(AH7-1)</x:f>
        <x:v>84118.05966575434</x:v>
      </x:c>
      <x:c r="AI16" s="11" t="n">
        <x:f>AI12*'Menu economics'!$D$24*(1+'Assumptions'!$D$34)^(AI7-1)</x:f>
        <x:v>106879.41698707611</x:v>
      </x:c>
      <x:c r="AJ16" s="11" t="n">
        <x:f>AJ12*'Menu economics'!$D$24*(1+'Assumptions'!$D$34)^(AJ7-1)</x:f>
        <x:v>103431.69385846077</x:v>
      </x:c>
      <x:c r="AK16" s="11" t="n">
        <x:f>AK12*'Menu economics'!$D$24*(1+'Assumptions'!$D$34)^(AK7-1)</x:f>
        <x:v>108858.66544979974</x:v>
      </x:c>
      <x:c r="AL16" s="11" t="n">
        <x:f>AL12*'Menu economics'!$D$24*(1+'Assumptions'!$D$34)^(AL7-1)</x:f>
        <x:v>99600.89038222148</x:v>
      </x:c>
      <x:c r="AM16" s="11" t="n">
        <x:f>AM12*'Menu economics'!$D$24*(1+'Assumptions'!$D$34)^(AM7-1)</x:f>
        <x:v>86097.30812847798</x:v>
      </x:c>
      <x:c r="AN16" s="2"/>
    </x:row>
    <x:row r="17" ht="21" customHeight="1">
      <x:c r="A17" s="1"/>
      <x:c r="B17" s="1"/>
      <x:c r="C17" s="27" t="str">
        <x:v>Gross profit</x:v>
      </x:c>
      <x:c r="D17" s="28" t="n">
        <x:f>D15-D16</x:f>
        <x:v>48004.776433867286</x:v>
      </x:c>
      <x:c r="E17" s="28" t="n">
        <x:f>E15-E16</x:f>
        <x:v>74498.90817830662</x:v>
      </x:c>
      <x:c r="F17" s="28" t="n">
        <x:f>F15-F16</x:f>
        <x:v>98409.7916894279</x:v>
      </x:c>
      <x:c r="G17" s="28" t="n">
        <x:f>G15-G16</x:f>
        <x:v>96924.59992585813</x:v>
      </x:c>
      <x:c r="H17" s="28" t="n">
        <x:f>H15-H16</x:f>
        <x:v>108829.01021086957</x:v>
      </x:c>
      <x:c r="I17" s="28" t="n">
        <x:f>I15-I16</x:f>
        <x:v>98191.58816018309</x:v>
      </x:c>
      <x:c r="J17" s="28" t="n">
        <x:f>J15-J16</x:f>
        <x:v>92736.49992906177</x:v>
      </x:c>
      <x:c r="K17" s="28" t="n">
        <x:f>K15-K16</x:f>
        <x:v>117829.90579221968</x:v>
      </x:c>
      <x:c r="L17" s="28" t="n">
        <x:f>L15-L16</x:f>
        <x:v>114028.9410892449</x:v>
      </x:c>
      <x:c r="M17" s="28" t="n">
        <x:f>M15-M16</x:f>
        <x:v>120011.94108466821</x:v>
      </x:c>
      <x:c r="N17" s="28" t="n">
        <x:f>N15-N16</x:f>
        <x:v>109805.64697482839</x:v>
      </x:c>
      <x:c r="O17" s="28" t="n">
        <x:f>O15-O16</x:f>
        <x:v>94918.5352215103</x:v>
      </x:c>
      <x:c r="P17" s="28" t="n">
        <x:f>P15-P16</x:f>
        <x:v>97144.21121980778</x:v>
      </x:c>
      <x:c r="Q17" s="28" t="n">
        <x:f>Q15-Q16</x:f>
        <x:v>122683.73771791854</x:v>
      </x:c>
      <x:c r="R17" s="28" t="n">
        <x:f>R15-R16</x:f>
        <x:v>133573.29042723574</x:v>
      </x:c>
      <x:c r="S17" s="28" t="n">
        <x:f>S15-S16</x:f>
        <x:v>119863.42190831121</x:v>
      </x:c>
      <x:c r="T17" s="28" t="n">
        <x:f>T15-T16</x:f>
        <x:v>127501.77722599772</x:v>
      </x:c>
      <x:c r="U17" s="28" t="n">
        <x:f>U15-U16</x:f>
        <x:v>109287.23762228378</x:v>
      </x:c>
      <x:c r="V17" s="28" t="n">
        <x:f>V15-V16</x:f>
        <x:v>103215.72442104579</x:v>
      </x:c>
      <x:c r="W17" s="28" t="n">
        <x:f>W15-W16</x:f>
        <x:v>131144.68514674052</x:v>
      </x:c>
      <x:c r="X17" s="28" t="n">
        <x:f>X15-X16</x:f>
        <x:v>126914.21143232954</x:v>
      </x:c>
      <x:c r="Y17" s="28" t="n">
        <x:f>Y15-Y16</x:f>
        <x:v>133573.29042723574</x:v>
      </x:c>
      <x:c r="Z17" s="28" t="n">
        <x:f>Z15-Z16</x:f>
        <x:v>122213.68508298403</x:v>
      </x:c>
      <x:c r="AA17" s="28" t="n">
        <x:f>AA15-AA16</x:f>
        <x:v>105644.32970154096</x:v>
      </x:c>
      <x:c r="AB17" s="28" t="n">
        <x:f>AB15-AB16</x:f>
        <x:v>108121.50708764608</x:v>
      </x:c>
      <x:c r="AC17" s="28" t="n">
        <x:f>AC15-AC16</x:f>
        <x:v>131838.48283590394</x:v>
      </x:c>
      <x:c r="AD17" s="28" t="n">
        <x:f>AD15-AD16</x:f>
        <x:v>148667.07224551332</x:v>
      </x:c>
      <x:c r="AE17" s="28" t="n">
        <x:f>AE15-AE16</x:f>
        <x:v>133407.9885839504</x:v>
      </x:c>
      <x:c r="AF17" s="28" t="n">
        <x:f>AF15-AF16</x:f>
        <x:v>141909.4780525355</x:v>
      </x:c>
      <x:c r="AG17" s="28" t="n">
        <x:f>AG15-AG16</x:f>
        <x:v>121636.69547360182</x:v>
      </x:c>
      <x:c r="AH17" s="28" t="n">
        <x:f>AH15-AH16</x:f>
        <x:v>114879.10128062395</x:v>
      </x:c>
      <x:c r="AI17" s="28" t="n">
        <x:f>AI15-AI16</x:f>
        <x:v>145964.0345683222</x:v>
      </x:c>
      <x:c r="AJ17" s="28" t="n">
        <x:f>AJ15-AJ16</x:f>
        <x:v>141255.5173241828</x:v>
      </x:c>
      <x:c r="AK17" s="28" t="n">
        <x:f>AK15-AK16</x:f>
        <x:v>148667.07224551332</x:v>
      </x:c>
      <x:c r="AL17" s="28" t="n">
        <x:f>AL15-AL16</x:f>
        <x:v>136023.83149736124</x:v>
      </x:c>
      <x:c r="AM17" s="28" t="n">
        <x:f>AM15-AM16</x:f>
        <x:v>117582.1389578151</x:v>
      </x:c>
      <x:c r="AN17" s="2"/>
    </x:row>
    <x:row r="18" ht="21" customHeight="1">
      <x:c r="A18" s="1"/>
      <x:c r="B18" s="1"/>
      <x:c r="C18" s="1" t="str">
        <x:v>GP margin</x:v>
      </x:c>
      <x:c r="D18" s="9" t="n">
        <x:f>D17/D15</x:f>
        <x:v>0.5772901519513599</x:v>
      </x:c>
      <x:c r="E18" s="9" t="n">
        <x:f>E17/E15</x:f>
        <x:v>0.5772901519513599</x:v>
      </x:c>
      <x:c r="F18" s="9" t="n">
        <x:f>F17/F15</x:f>
        <x:v>0.5772901519513599</x:v>
      </x:c>
      <x:c r="G18" s="9" t="n">
        <x:f>G17/G15</x:f>
        <x:v>0.5772901519513599</x:v>
      </x:c>
      <x:c r="H18" s="9" t="n">
        <x:f>H17/H15</x:f>
        <x:v>0.5772901519513599</x:v>
      </x:c>
      <x:c r="I18" s="9" t="n">
        <x:f>I17/I15</x:f>
        <x:v>0.57729015195136</x:v>
      </x:c>
      <x:c r="J18" s="9" t="n">
        <x:f>J17/J15</x:f>
        <x:v>0.5772901519513599</x:v>
      </x:c>
      <x:c r="K18" s="9" t="n">
        <x:f>K17/K15</x:f>
        <x:v>0.5772901519513599</x:v>
      </x:c>
      <x:c r="L18" s="9" t="n">
        <x:f>L17/L15</x:f>
        <x:v>0.5772901519513599</x:v>
      </x:c>
      <x:c r="M18" s="9" t="n">
        <x:f>M17/M15</x:f>
        <x:v>0.57729015195136</x:v>
      </x:c>
      <x:c r="N18" s="9" t="n">
        <x:f>N17/N15</x:f>
        <x:v>0.5772901519513599</x:v>
      </x:c>
      <x:c r="O18" s="9" t="n">
        <x:f>O17/O15</x:f>
        <x:v>0.5772901519513599</x:v>
      </x:c>
      <x:c r="P18" s="9" t="n">
        <x:f>P17/P15</x:f>
        <x:v>0.5772901519513599</x:v>
      </x:c>
      <x:c r="Q18" s="9" t="n">
        <x:f>Q17/Q15</x:f>
        <x:v>0.5772901519513599</x:v>
      </x:c>
      <x:c r="R18" s="9" t="n">
        <x:f>R17/R15</x:f>
        <x:v>0.57729015195136</x:v>
      </x:c>
      <x:c r="S18" s="9" t="n">
        <x:f>S17/S15</x:f>
        <x:v>0.5772901519513599</x:v>
      </x:c>
      <x:c r="T18" s="9" t="n">
        <x:f>T17/T15</x:f>
        <x:v>0.5772901519513598</x:v>
      </x:c>
      <x:c r="U18" s="9" t="n">
        <x:f>U17/U15</x:f>
        <x:v>0.5772901519513599</x:v>
      </x:c>
      <x:c r="V18" s="9" t="n">
        <x:f>V17/V15</x:f>
        <x:v>0.57729015195136</x:v>
      </x:c>
      <x:c r="W18" s="9" t="n">
        <x:f>W17/W15</x:f>
        <x:v>0.5772901519513599</x:v>
      </x:c>
      <x:c r="X18" s="9" t="n">
        <x:f>X17/X15</x:f>
        <x:v>0.5772901519513599</x:v>
      </x:c>
      <x:c r="Y18" s="9" t="n">
        <x:f>Y17/Y15</x:f>
        <x:v>0.57729015195136</x:v>
      </x:c>
      <x:c r="Z18" s="9" t="n">
        <x:f>Z17/Z15</x:f>
        <x:v>0.57729015195136</x:v>
      </x:c>
      <x:c r="AA18" s="9" t="n">
        <x:f>AA17/AA15</x:f>
        <x:v>0.5772901519513599</x:v>
      </x:c>
      <x:c r="AB18" s="9" t="n">
        <x:f>AB17/AB15</x:f>
        <x:v>0.57729015195136</x:v>
      </x:c>
      <x:c r="AC18" s="9" t="n">
        <x:f>AC17/AC15</x:f>
        <x:v>0.57729015195136</x:v>
      </x:c>
      <x:c r="AD18" s="9" t="n">
        <x:f>AD17/AD15</x:f>
        <x:v>0.5772901519513599</x:v>
      </x:c>
      <x:c r="AE18" s="9" t="n">
        <x:f>AE17/AE15</x:f>
        <x:v>0.5772901519513599</x:v>
      </x:c>
      <x:c r="AF18" s="9" t="n">
        <x:f>AF17/AF15</x:f>
        <x:v>0.57729015195136</x:v>
      </x:c>
      <x:c r="AG18" s="9" t="n">
        <x:f>AG17/AG15</x:f>
        <x:v>0.5772901519513599</x:v>
      </x:c>
      <x:c r="AH18" s="9" t="n">
        <x:f>AH17/AH15</x:f>
        <x:v>0.5772901519513599</x:v>
      </x:c>
      <x:c r="AI18" s="9" t="n">
        <x:f>AI17/AI15</x:f>
        <x:v>0.5772901519513599</x:v>
      </x:c>
      <x:c r="AJ18" s="9" t="n">
        <x:f>AJ17/AJ15</x:f>
        <x:v>0.5772901519513599</x:v>
      </x:c>
      <x:c r="AK18" s="9" t="n">
        <x:f>AK17/AK15</x:f>
        <x:v>0.5772901519513599</x:v>
      </x:c>
      <x:c r="AL18" s="9" t="n">
        <x:f>AL17/AL15</x:f>
        <x:v>0.57729015195136</x:v>
      </x:c>
      <x:c r="AM18" s="9" t="n">
        <x:f>AM17/AM15</x:f>
        <x:v>0.5772901519513599</x:v>
      </x:c>
      <x:c r="AN18" s="2"/>
    </x:row>
    <x:row r="19" ht="21" customHeight="1">
      <x:c r="A19" s="1"/>
      <x:c r="B19" s="1"/>
      <x:c r="C19" s="1" t="str">
        <x:v>Card transaction fees</x:v>
      </x:c>
      <x:c r="D19" s="11" t="n">
        <x:f>D14*'Assumptions'!$D$36*'Assumptions'!$D$37*(1+'Assumptions'!$D$20*(1-'Assumptions'!$D$19))</x:f>
        <x:v>2089.4865706000005</x:v>
      </x:c>
      <x:c r="E19" s="11" t="n">
        <x:f>E14*'Assumptions'!$D$36*'Assumptions'!$D$37*(1+'Assumptions'!$D$20*(1-'Assumptions'!$D$19))</x:f>
        <x:v>3242.6870767199994</x:v>
      </x:c>
      <x:c r="F19" s="11" t="n">
        <x:f>F14*'Assumptions'!$D$36*'Assumptions'!$D$37*(1+'Assumptions'!$D$20*(1-'Assumptions'!$D$19))</x:f>
        <x:v>4283.447469729999</x:v>
      </x:c>
      <x:c r="G19" s="11" t="n">
        <x:f>G14*'Assumptions'!$D$36*'Assumptions'!$D$37*(1+'Assumptions'!$D$20*(1-'Assumptions'!$D$19))</x:f>
        <x:v>4218.8020641</x:v>
      </x:c>
      <x:c r="H19" s="11" t="n">
        <x:f>H14*'Assumptions'!$D$36*'Assumptions'!$D$37*(1+'Assumptions'!$D$20*(1-'Assumptions'!$D$19))</x:f>
        <x:v>4736.9610322125</x:v>
      </x:c>
      <x:c r="I19" s="11" t="n">
        <x:f>I14*'Assumptions'!$D$36*'Assumptions'!$D$37*(1+'Assumptions'!$D$20*(1-'Assumptions'!$D$19))</x:f>
        <x:v>4273.9498035</x:v>
      </x:c>
      <x:c r="J19" s="11" t="n">
        <x:f>J14*'Assumptions'!$D$36*'Assumptions'!$D$37*(1+'Assumptions'!$D$20*(1-'Assumptions'!$D$19))</x:f>
        <x:v>4036.5081477499994</x:v>
      </x:c>
      <x:c r="K19" s="11" t="n">
        <x:f>K14*'Assumptions'!$D$36*'Assumptions'!$D$37*(1+'Assumptions'!$D$20*(1-'Assumptions'!$D$19))</x:f>
        <x:v>5128.7397642000005</x:v>
      </x:c>
      <x:c r="L19" s="11" t="n">
        <x:f>L14*'Assumptions'!$D$36*'Assumptions'!$D$37*(1+'Assumptions'!$D$20*(1-'Assumptions'!$D$19))</x:f>
        <x:v>4963.2965460000005</x:v>
      </x:c>
      <x:c r="M19" s="11" t="n">
        <x:f>M14*'Assumptions'!$D$36*'Assumptions'!$D$37*(1+'Assumptions'!$D$20*(1-'Assumptions'!$D$19))</x:f>
        <x:v>5223.7164265</x:v>
      </x:c>
      <x:c r="N19" s="11" t="n">
        <x:f>N14*'Assumptions'!$D$36*'Assumptions'!$D$37*(1+'Assumptions'!$D$20*(1-'Assumptions'!$D$19))</x:f>
        <x:v>4779.470748</x:v>
      </x:c>
      <x:c r="O19" s="11" t="n">
        <x:f>O14*'Assumptions'!$D$36*'Assumptions'!$D$37*(1+'Assumptions'!$D$20*(1-'Assumptions'!$D$19))</x:f>
        <x:v>4131.484810049999</x:v>
      </x:c>
      <x:c r="P19" s="11" t="n">
        <x:f>P14*'Assumptions'!$D$36*'Assumptions'!$D$37*(1+'Assumptions'!$D$20*(1-'Assumptions'!$D$19))</x:f>
        <x:v>4228.361005596</x:v>
      </x:c>
      <x:c r="Q19" s="11" t="n">
        <x:f>Q14*'Assumptions'!$D$36*'Assumptions'!$D$37*(1+'Assumptions'!$D$20*(1-'Assumptions'!$D$19))</x:f>
        <x:v>5340.0107538414</x:v>
      </x:c>
      <x:c r="R19" s="11" t="n">
        <x:f>R14*'Assumptions'!$D$36*'Assumptions'!$D$37*(1+'Assumptions'!$D$20*(1-'Assumptions'!$D$19))</x:f>
        <x:v>5813.9963826945</x:v>
      </x:c>
      <x:c r="S19" s="11" t="n">
        <x:f>S14*'Assumptions'!$D$36*'Assumptions'!$D$37*(1+'Assumptions'!$D$20*(1-'Assumptions'!$D$19))</x:f>
        <x:v>5217.251885937</x:v>
      </x:c>
      <x:c r="T19" s="11" t="n">
        <x:f>T14*'Assumptions'!$D$36*'Assumptions'!$D$37*(1+'Assumptions'!$D$20*(1-'Assumptions'!$D$19))</x:f>
        <x:v>5549.72381984475</x:v>
      </x:c>
      <x:c r="U19" s="11" t="n">
        <x:f>U14*'Assumptions'!$D$36*'Assumptions'!$D$37*(1+'Assumptions'!$D$20*(1-'Assumptions'!$D$19))</x:f>
        <x:v>4756.906131295501</x:v>
      </x:c>
      <x:c r="V19" s="11" t="n">
        <x:f>V14*'Assumptions'!$D$36*'Assumptions'!$D$37*(1+'Assumptions'!$D$20*(1-'Assumptions'!$D$19))</x:f>
        <x:v>4492.63356844575</x:v>
      </x:c>
      <x:c r="W19" s="11" t="n">
        <x:f>W14*'Assumptions'!$D$36*'Assumptions'!$D$37*(1+'Assumptions'!$D$20*(1-'Assumptions'!$D$19))</x:f>
        <x:v>5708.287357554601</x:v>
      </x:c>
      <x:c r="X19" s="11" t="n">
        <x:f>X14*'Assumptions'!$D$36*'Assumptions'!$D$37*(1+'Assumptions'!$D$20*(1-'Assumptions'!$D$19))</x:f>
        <x:v>5524.149055698001</x:v>
      </x:c>
      <x:c r="Y19" s="11" t="n">
        <x:f>Y14*'Assumptions'!$D$36*'Assumptions'!$D$37*(1+'Assumptions'!$D$20*(1-'Assumptions'!$D$19))</x:f>
        <x:v>5813.9963826945</x:v>
      </x:c>
      <x:c r="Z19" s="11" t="n">
        <x:f>Z14*'Assumptions'!$D$36*'Assumptions'!$D$37*(1+'Assumptions'!$D$20*(1-'Assumptions'!$D$19))</x:f>
        <x:v>5319.550942524001</x:v>
      </x:c>
      <x:c r="AA19" s="11" t="n">
        <x:f>AA14*'Assumptions'!$D$36*'Assumptions'!$D$37*(1+'Assumptions'!$D$20*(1-'Assumptions'!$D$19))</x:f>
        <x:v>4598.34259358565</x:v>
      </x:c>
      <x:c r="AB19" s="11" t="n">
        <x:f>AB14*'Assumptions'!$D$36*'Assumptions'!$D$37*(1+'Assumptions'!$D$20*(1-'Assumptions'!$D$19))</x:f>
        <x:v>4706.165799228348</x:v>
      </x:c>
      <x:c r="AC19" s="11" t="n">
        <x:f>AC14*'Assumptions'!$D$36*'Assumptions'!$D$37*(1+'Assumptions'!$D$20*(1-'Assumptions'!$D$19))</x:f>
        <x:v>5738.486039059083</x:v>
      </x:c>
      <x:c r="AD19" s="11" t="n">
        <x:f>AD14*'Assumptions'!$D$36*'Assumptions'!$D$37*(1+'Assumptions'!$D$20*(1-'Assumptions'!$D$19))</x:f>
        <x:v>6470.977973938979</x:v>
      </x:c>
      <x:c r="AE19" s="11" t="n">
        <x:f>AE14*'Assumptions'!$D$36*'Assumptions'!$D$37*(1+'Assumptions'!$D$20*(1-'Assumptions'!$D$19))</x:f>
        <x:v>5806.801349047882</x:v>
      </x:c>
      <x:c r="AF19" s="11" t="n">
        <x:f>AF14*'Assumptions'!$D$36*'Assumptions'!$D$37*(1+'Assumptions'!$D$20*(1-'Assumptions'!$D$19))</x:f>
        <x:v>6176.842611487207</x:v>
      </x:c>
      <x:c r="AG19" s="11" t="n">
        <x:f>AG14*'Assumptions'!$D$36*'Assumptions'!$D$37*(1+'Assumptions'!$D$20*(1-'Assumptions'!$D$19))</x:f>
        <x:v>5294.436524131892</x:v>
      </x:c>
      <x:c r="AH19" s="11" t="n">
        <x:f>AH14*'Assumptions'!$D$36*'Assumptions'!$D$37*(1+'Assumptions'!$D$20*(1-'Assumptions'!$D$19))</x:f>
        <x:v>5000.30116168012</x:v>
      </x:c>
      <x:c r="AI19" s="11" t="n">
        <x:f>AI14*'Assumptions'!$D$36*'Assumptions'!$D$37*(1+'Assumptions'!$D$20*(1-'Assumptions'!$D$19))</x:f>
        <x:v>6353.323828958271</x:v>
      </x:c>
      <x:c r="AJ19" s="11" t="n">
        <x:f>AJ14*'Assumptions'!$D$36*'Assumptions'!$D$37*(1+'Assumptions'!$D$20*(1-'Assumptions'!$D$19))</x:f>
        <x:v>6148.377898991876</x:v>
      </x:c>
      <x:c r="AK19" s="11" t="n">
        <x:f>AK14*'Assumptions'!$D$36*'Assumptions'!$D$37*(1+'Assumptions'!$D$20*(1-'Assumptions'!$D$19))</x:f>
        <x:v>6470.977973938979</x:v>
      </x:c>
      <x:c r="AL19" s="11" t="n">
        <x:f>AL14*'Assumptions'!$D$36*'Assumptions'!$D$37*(1+'Assumptions'!$D$20*(1-'Assumptions'!$D$19))</x:f>
        <x:v>5920.660199029214</x:v>
      </x:c>
      <x:c r="AM19" s="11" t="n">
        <x:f>AM14*'Assumptions'!$D$36*'Assumptions'!$D$37*(1+'Assumptions'!$D$20*(1-'Assumptions'!$D$19))</x:f>
        <x:v>5117.955306660829</x:v>
      </x:c>
      <x:c r="AN19" s="2"/>
    </x:row>
    <x:row r="20" ht="21" customHeight="1">
      <x:c r="A20" s="1"/>
      <x:c r="B20" s="1"/>
      <x:c r="C20" s="1" t="str">
        <x:v>Rent and occupancy</x:v>
      </x:c>
      <x:c r="D20" s="11" t="n">
        <x:f>SUM('Operating costs'!$F$7:$F$8)*(1+'Assumptions'!$D$35)^(D7-1)</x:f>
        <x:v>22000</x:v>
      </x:c>
      <x:c r="E20" s="11" t="n">
        <x:f>SUM('Operating costs'!$F$7:$F$8)*(1+'Assumptions'!$D$35)^(E7-1)</x:f>
        <x:v>22000</x:v>
      </x:c>
      <x:c r="F20" s="11" t="n">
        <x:f>SUM('Operating costs'!$F$7:$F$8)*(1+'Assumptions'!$D$35)^(F7-1)</x:f>
        <x:v>22000</x:v>
      </x:c>
      <x:c r="G20" s="11" t="n">
        <x:f>SUM('Operating costs'!$F$7:$F$8)*(1+'Assumptions'!$D$35)^(G7-1)</x:f>
        <x:v>22000</x:v>
      </x:c>
      <x:c r="H20" s="11" t="n">
        <x:f>SUM('Operating costs'!$F$7:$F$8)*(1+'Assumptions'!$D$35)^(H7-1)</x:f>
        <x:v>22000</x:v>
      </x:c>
      <x:c r="I20" s="11" t="n">
        <x:f>SUM('Operating costs'!$F$7:$F$8)*(1+'Assumptions'!$D$35)^(I7-1)</x:f>
        <x:v>22000</x:v>
      </x:c>
      <x:c r="J20" s="11" t="n">
        <x:f>SUM('Operating costs'!$F$7:$F$8)*(1+'Assumptions'!$D$35)^(J7-1)</x:f>
        <x:v>22000</x:v>
      </x:c>
      <x:c r="K20" s="11" t="n">
        <x:f>SUM('Operating costs'!$F$7:$F$8)*(1+'Assumptions'!$D$35)^(K7-1)</x:f>
        <x:v>22000</x:v>
      </x:c>
      <x:c r="L20" s="11" t="n">
        <x:f>SUM('Operating costs'!$F$7:$F$8)*(1+'Assumptions'!$D$35)^(L7-1)</x:f>
        <x:v>22000</x:v>
      </x:c>
      <x:c r="M20" s="11" t="n">
        <x:f>SUM('Operating costs'!$F$7:$F$8)*(1+'Assumptions'!$D$35)^(M7-1)</x:f>
        <x:v>22000</x:v>
      </x:c>
      <x:c r="N20" s="11" t="n">
        <x:f>SUM('Operating costs'!$F$7:$F$8)*(1+'Assumptions'!$D$35)^(N7-1)</x:f>
        <x:v>22000</x:v>
      </x:c>
      <x:c r="O20" s="11" t="n">
        <x:f>SUM('Operating costs'!$F$7:$F$8)*(1+'Assumptions'!$D$35)^(O7-1)</x:f>
        <x:v>22000</x:v>
      </x:c>
      <x:c r="P20" s="11" t="n">
        <x:f>SUM('Operating costs'!$F$7:$F$8)*(1+'Assumptions'!$D$35)^(P7-1)</x:f>
        <x:v>23760</x:v>
      </x:c>
      <x:c r="Q20" s="11" t="n">
        <x:f>SUM('Operating costs'!$F$7:$F$8)*(1+'Assumptions'!$D$35)^(Q7-1)</x:f>
        <x:v>23760</x:v>
      </x:c>
      <x:c r="R20" s="11" t="n">
        <x:f>SUM('Operating costs'!$F$7:$F$8)*(1+'Assumptions'!$D$35)^(R7-1)</x:f>
        <x:v>23760</x:v>
      </x:c>
      <x:c r="S20" s="11" t="n">
        <x:f>SUM('Operating costs'!$F$7:$F$8)*(1+'Assumptions'!$D$35)^(S7-1)</x:f>
        <x:v>23760</x:v>
      </x:c>
      <x:c r="T20" s="11" t="n">
        <x:f>SUM('Operating costs'!$F$7:$F$8)*(1+'Assumptions'!$D$35)^(T7-1)</x:f>
        <x:v>23760</x:v>
      </x:c>
      <x:c r="U20" s="11" t="n">
        <x:f>SUM('Operating costs'!$F$7:$F$8)*(1+'Assumptions'!$D$35)^(U7-1)</x:f>
        <x:v>23760</x:v>
      </x:c>
      <x:c r="V20" s="11" t="n">
        <x:f>SUM('Operating costs'!$F$7:$F$8)*(1+'Assumptions'!$D$35)^(V7-1)</x:f>
        <x:v>23760</x:v>
      </x:c>
      <x:c r="W20" s="11" t="n">
        <x:f>SUM('Operating costs'!$F$7:$F$8)*(1+'Assumptions'!$D$35)^(W7-1)</x:f>
        <x:v>23760</x:v>
      </x:c>
      <x:c r="X20" s="11" t="n">
        <x:f>SUM('Operating costs'!$F$7:$F$8)*(1+'Assumptions'!$D$35)^(X7-1)</x:f>
        <x:v>23760</x:v>
      </x:c>
      <x:c r="Y20" s="11" t="n">
        <x:f>SUM('Operating costs'!$F$7:$F$8)*(1+'Assumptions'!$D$35)^(Y7-1)</x:f>
        <x:v>23760</x:v>
      </x:c>
      <x:c r="Z20" s="11" t="n">
        <x:f>SUM('Operating costs'!$F$7:$F$8)*(1+'Assumptions'!$D$35)^(Z7-1)</x:f>
        <x:v>23760</x:v>
      </x:c>
      <x:c r="AA20" s="11" t="n">
        <x:f>SUM('Operating costs'!$F$7:$F$8)*(1+'Assumptions'!$D$35)^(AA7-1)</x:f>
        <x:v>23760</x:v>
      </x:c>
      <x:c r="AB20" s="11" t="n">
        <x:f>SUM('Operating costs'!$F$7:$F$8)*(1+'Assumptions'!$D$35)^(AB7-1)</x:f>
        <x:v>25660.800000000003</x:v>
      </x:c>
      <x:c r="AC20" s="11" t="n">
        <x:f>SUM('Operating costs'!$F$7:$F$8)*(1+'Assumptions'!$D$35)^(AC7-1)</x:f>
        <x:v>25660.800000000003</x:v>
      </x:c>
      <x:c r="AD20" s="11" t="n">
        <x:f>SUM('Operating costs'!$F$7:$F$8)*(1+'Assumptions'!$D$35)^(AD7-1)</x:f>
        <x:v>25660.800000000003</x:v>
      </x:c>
      <x:c r="AE20" s="11" t="n">
        <x:f>SUM('Operating costs'!$F$7:$F$8)*(1+'Assumptions'!$D$35)^(AE7-1)</x:f>
        <x:v>25660.800000000003</x:v>
      </x:c>
      <x:c r="AF20" s="11" t="n">
        <x:f>SUM('Operating costs'!$F$7:$F$8)*(1+'Assumptions'!$D$35)^(AF7-1)</x:f>
        <x:v>25660.800000000003</x:v>
      </x:c>
      <x:c r="AG20" s="11" t="n">
        <x:f>SUM('Operating costs'!$F$7:$F$8)*(1+'Assumptions'!$D$35)^(AG7-1)</x:f>
        <x:v>25660.800000000003</x:v>
      </x:c>
      <x:c r="AH20" s="11" t="n">
        <x:f>SUM('Operating costs'!$F$7:$F$8)*(1+'Assumptions'!$D$35)^(AH7-1)</x:f>
        <x:v>25660.800000000003</x:v>
      </x:c>
      <x:c r="AI20" s="11" t="n">
        <x:f>SUM('Operating costs'!$F$7:$F$8)*(1+'Assumptions'!$D$35)^(AI7-1)</x:f>
        <x:v>25660.800000000003</x:v>
      </x:c>
      <x:c r="AJ20" s="11" t="n">
        <x:f>SUM('Operating costs'!$F$7:$F$8)*(1+'Assumptions'!$D$35)^(AJ7-1)</x:f>
        <x:v>25660.800000000003</x:v>
      </x:c>
      <x:c r="AK20" s="11" t="n">
        <x:f>SUM('Operating costs'!$F$7:$F$8)*(1+'Assumptions'!$D$35)^(AK7-1)</x:f>
        <x:v>25660.800000000003</x:v>
      </x:c>
      <x:c r="AL20" s="11" t="n">
        <x:f>SUM('Operating costs'!$F$7:$F$8)*(1+'Assumptions'!$D$35)^(AL7-1)</x:f>
        <x:v>25660.800000000003</x:v>
      </x:c>
      <x:c r="AM20" s="11" t="n">
        <x:f>SUM('Operating costs'!$F$7:$F$8)*(1+'Assumptions'!$D$35)^(AM7-1)</x:f>
        <x:v>25660.800000000003</x:v>
      </x:c>
      <x:c r="AN20" s="2"/>
    </x:row>
    <x:row r="21" ht="21" customHeight="1">
      <x:c r="A21" s="1"/>
      <x:c r="B21" s="1"/>
      <x:c r="C21" s="1" t="str">
        <x:v>Other fixed costs</x:v>
      </x:c>
      <x:c r="D21" s="11" t="n">
        <x:f>SUM('Operating costs'!$F$9:$F$20)*(1+'Assumptions'!$D$34)^(D7-1)</x:f>
        <x:v>17054.347826086956</x:v>
      </x:c>
      <x:c r="E21" s="11" t="n">
        <x:f>SUM('Operating costs'!$F$9:$F$20)*(1+'Assumptions'!$D$34)^(E7-1)</x:f>
        <x:v>17054.347826086956</x:v>
      </x:c>
      <x:c r="F21" s="11" t="n">
        <x:f>SUM('Operating costs'!$F$9:$F$20)*(1+'Assumptions'!$D$34)^(F7-1)</x:f>
        <x:v>17054.347826086956</x:v>
      </x:c>
      <x:c r="G21" s="11" t="n">
        <x:f>SUM('Operating costs'!$F$9:$F$20)*(1+'Assumptions'!$D$34)^(G7-1)</x:f>
        <x:v>17054.347826086956</x:v>
      </x:c>
      <x:c r="H21" s="11" t="n">
        <x:f>SUM('Operating costs'!$F$9:$F$20)*(1+'Assumptions'!$D$34)^(H7-1)</x:f>
        <x:v>17054.347826086956</x:v>
      </x:c>
      <x:c r="I21" s="11" t="n">
        <x:f>SUM('Operating costs'!$F$9:$F$20)*(1+'Assumptions'!$D$34)^(I7-1)</x:f>
        <x:v>17054.347826086956</x:v>
      </x:c>
      <x:c r="J21" s="11" t="n">
        <x:f>SUM('Operating costs'!$F$9:$F$20)*(1+'Assumptions'!$D$34)^(J7-1)</x:f>
        <x:v>17054.347826086956</x:v>
      </x:c>
      <x:c r="K21" s="11" t="n">
        <x:f>SUM('Operating costs'!$F$9:$F$20)*(1+'Assumptions'!$D$34)^(K7-1)</x:f>
        <x:v>17054.347826086956</x:v>
      </x:c>
      <x:c r="L21" s="11" t="n">
        <x:f>SUM('Operating costs'!$F$9:$F$20)*(1+'Assumptions'!$D$34)^(L7-1)</x:f>
        <x:v>17054.347826086956</x:v>
      </x:c>
      <x:c r="M21" s="11" t="n">
        <x:f>SUM('Operating costs'!$F$9:$F$20)*(1+'Assumptions'!$D$34)^(M7-1)</x:f>
        <x:v>17054.347826086956</x:v>
      </x:c>
      <x:c r="N21" s="11" t="n">
        <x:f>SUM('Operating costs'!$F$9:$F$20)*(1+'Assumptions'!$D$34)^(N7-1)</x:f>
        <x:v>17054.347826086956</x:v>
      </x:c>
      <x:c r="O21" s="11" t="n">
        <x:f>SUM('Operating costs'!$F$9:$F$20)*(1+'Assumptions'!$D$34)^(O7-1)</x:f>
        <x:v>17054.347826086956</x:v>
      </x:c>
      <x:c r="P21" s="11" t="n">
        <x:f>SUM('Operating costs'!$F$9:$F$20)*(1+'Assumptions'!$D$34)^(P7-1)</x:f>
        <x:v>17907.065217391304</x:v>
      </x:c>
      <x:c r="Q21" s="11" t="n">
        <x:f>SUM('Operating costs'!$F$9:$F$20)*(1+'Assumptions'!$D$34)^(Q7-1)</x:f>
        <x:v>17907.065217391304</x:v>
      </x:c>
      <x:c r="R21" s="11" t="n">
        <x:f>SUM('Operating costs'!$F$9:$F$20)*(1+'Assumptions'!$D$34)^(R7-1)</x:f>
        <x:v>17907.065217391304</x:v>
      </x:c>
      <x:c r="S21" s="11" t="n">
        <x:f>SUM('Operating costs'!$F$9:$F$20)*(1+'Assumptions'!$D$34)^(S7-1)</x:f>
        <x:v>17907.065217391304</x:v>
      </x:c>
      <x:c r="T21" s="11" t="n">
        <x:f>SUM('Operating costs'!$F$9:$F$20)*(1+'Assumptions'!$D$34)^(T7-1)</x:f>
        <x:v>17907.065217391304</x:v>
      </x:c>
      <x:c r="U21" s="11" t="n">
        <x:f>SUM('Operating costs'!$F$9:$F$20)*(1+'Assumptions'!$D$34)^(U7-1)</x:f>
        <x:v>17907.065217391304</x:v>
      </x:c>
      <x:c r="V21" s="11" t="n">
        <x:f>SUM('Operating costs'!$F$9:$F$20)*(1+'Assumptions'!$D$34)^(V7-1)</x:f>
        <x:v>17907.065217391304</x:v>
      </x:c>
      <x:c r="W21" s="11" t="n">
        <x:f>SUM('Operating costs'!$F$9:$F$20)*(1+'Assumptions'!$D$34)^(W7-1)</x:f>
        <x:v>17907.065217391304</x:v>
      </x:c>
      <x:c r="X21" s="11" t="n">
        <x:f>SUM('Operating costs'!$F$9:$F$20)*(1+'Assumptions'!$D$34)^(X7-1)</x:f>
        <x:v>17907.065217391304</x:v>
      </x:c>
      <x:c r="Y21" s="11" t="n">
        <x:f>SUM('Operating costs'!$F$9:$F$20)*(1+'Assumptions'!$D$34)^(Y7-1)</x:f>
        <x:v>17907.065217391304</x:v>
      </x:c>
      <x:c r="Z21" s="11" t="n">
        <x:f>SUM('Operating costs'!$F$9:$F$20)*(1+'Assumptions'!$D$34)^(Z7-1)</x:f>
        <x:v>17907.065217391304</x:v>
      </x:c>
      <x:c r="AA21" s="11" t="n">
        <x:f>SUM('Operating costs'!$F$9:$F$20)*(1+'Assumptions'!$D$34)^(AA7-1)</x:f>
        <x:v>17907.065217391304</x:v>
      </x:c>
      <x:c r="AB21" s="11" t="n">
        <x:f>SUM('Operating costs'!$F$9:$F$20)*(1+'Assumptions'!$D$34)^(AB7-1)</x:f>
        <x:v>18802.418478260868</x:v>
      </x:c>
      <x:c r="AC21" s="11" t="n">
        <x:f>SUM('Operating costs'!$F$9:$F$20)*(1+'Assumptions'!$D$34)^(AC7-1)</x:f>
        <x:v>18802.418478260868</x:v>
      </x:c>
      <x:c r="AD21" s="11" t="n">
        <x:f>SUM('Operating costs'!$F$9:$F$20)*(1+'Assumptions'!$D$34)^(AD7-1)</x:f>
        <x:v>18802.418478260868</x:v>
      </x:c>
      <x:c r="AE21" s="11" t="n">
        <x:f>SUM('Operating costs'!$F$9:$F$20)*(1+'Assumptions'!$D$34)^(AE7-1)</x:f>
        <x:v>18802.418478260868</x:v>
      </x:c>
      <x:c r="AF21" s="11" t="n">
        <x:f>SUM('Operating costs'!$F$9:$F$20)*(1+'Assumptions'!$D$34)^(AF7-1)</x:f>
        <x:v>18802.418478260868</x:v>
      </x:c>
      <x:c r="AG21" s="11" t="n">
        <x:f>SUM('Operating costs'!$F$9:$F$20)*(1+'Assumptions'!$D$34)^(AG7-1)</x:f>
        <x:v>18802.418478260868</x:v>
      </x:c>
      <x:c r="AH21" s="11" t="n">
        <x:f>SUM('Operating costs'!$F$9:$F$20)*(1+'Assumptions'!$D$34)^(AH7-1)</x:f>
        <x:v>18802.418478260868</x:v>
      </x:c>
      <x:c r="AI21" s="11" t="n">
        <x:f>SUM('Operating costs'!$F$9:$F$20)*(1+'Assumptions'!$D$34)^(AI7-1)</x:f>
        <x:v>18802.418478260868</x:v>
      </x:c>
      <x:c r="AJ21" s="11" t="n">
        <x:f>SUM('Operating costs'!$F$9:$F$20)*(1+'Assumptions'!$D$34)^(AJ7-1)</x:f>
        <x:v>18802.418478260868</x:v>
      </x:c>
      <x:c r="AK21" s="11" t="n">
        <x:f>SUM('Operating costs'!$F$9:$F$20)*(1+'Assumptions'!$D$34)^(AK7-1)</x:f>
        <x:v>18802.418478260868</x:v>
      </x:c>
      <x:c r="AL21" s="11" t="n">
        <x:f>SUM('Operating costs'!$F$9:$F$20)*(1+'Assumptions'!$D$34)^(AL7-1)</x:f>
        <x:v>18802.418478260868</x:v>
      </x:c>
      <x:c r="AM21" s="11" t="n">
        <x:f>SUM('Operating costs'!$F$9:$F$20)*(1+'Assumptions'!$D$34)^(AM7-1)</x:f>
        <x:v>18802.418478260868</x:v>
      </x:c>
      <x:c r="AN21" s="2"/>
    </x:row>
    <x:row r="22" ht="21" customHeight="1">
      <x:c r="A22" s="1"/>
      <x:c r="B22" s="1"/>
      <x:c r="C22" s="1" t="str">
        <x:v>Payroll incl premiums and relief</x:v>
      </x:c>
      <x:c r="D22" s="11" t="n">
        <x:f>'Operating costs'!$F$35*(1+'Assumptions'!$D$34)^(D7-1)</x:f>
        <x:v>34460.5</x:v>
      </x:c>
      <x:c r="E22" s="11" t="n">
        <x:f>'Operating costs'!$F$35*(1+'Assumptions'!$D$34)^(E7-1)</x:f>
        <x:v>34460.5</x:v>
      </x:c>
      <x:c r="F22" s="11" t="n">
        <x:f>'Operating costs'!$F$35*(1+'Assumptions'!$D$34)^(F7-1)</x:f>
        <x:v>34460.5</x:v>
      </x:c>
      <x:c r="G22" s="11" t="n">
        <x:f>'Operating costs'!$F$35*(1+'Assumptions'!$D$34)^(G7-1)</x:f>
        <x:v>34460.5</x:v>
      </x:c>
      <x:c r="H22" s="11" t="n">
        <x:f>'Operating costs'!$F$35*(1+'Assumptions'!$D$34)^(H7-1)</x:f>
        <x:v>34460.5</x:v>
      </x:c>
      <x:c r="I22" s="11" t="n">
        <x:f>'Operating costs'!$F$35*(1+'Assumptions'!$D$34)^(I7-1)</x:f>
        <x:v>34460.5</x:v>
      </x:c>
      <x:c r="J22" s="11" t="n">
        <x:f>'Operating costs'!$F$35*(1+'Assumptions'!$D$34)^(J7-1)</x:f>
        <x:v>34460.5</x:v>
      </x:c>
      <x:c r="K22" s="11" t="n">
        <x:f>'Operating costs'!$F$35*(1+'Assumptions'!$D$34)^(K7-1)</x:f>
        <x:v>34460.5</x:v>
      </x:c>
      <x:c r="L22" s="11" t="n">
        <x:f>'Operating costs'!$F$35*(1+'Assumptions'!$D$34)^(L7-1)</x:f>
        <x:v>34460.5</x:v>
      </x:c>
      <x:c r="M22" s="11" t="n">
        <x:f>'Operating costs'!$F$35*(1+'Assumptions'!$D$34)^(M7-1)</x:f>
        <x:v>34460.5</x:v>
      </x:c>
      <x:c r="N22" s="11" t="n">
        <x:f>'Operating costs'!$F$35*(1+'Assumptions'!$D$34)^(N7-1)</x:f>
        <x:v>34460.5</x:v>
      </x:c>
      <x:c r="O22" s="11" t="n">
        <x:f>'Operating costs'!$F$35*(1+'Assumptions'!$D$34)^(O7-1)</x:f>
        <x:v>34460.5</x:v>
      </x:c>
      <x:c r="P22" s="11" t="n">
        <x:f>'Operating costs'!$F$35*(1+'Assumptions'!$D$34)^(P7-1)</x:f>
        <x:v>36183.525</x:v>
      </x:c>
      <x:c r="Q22" s="11" t="n">
        <x:f>'Operating costs'!$F$35*(1+'Assumptions'!$D$34)^(Q7-1)</x:f>
        <x:v>36183.525</x:v>
      </x:c>
      <x:c r="R22" s="11" t="n">
        <x:f>'Operating costs'!$F$35*(1+'Assumptions'!$D$34)^(R7-1)</x:f>
        <x:v>36183.525</x:v>
      </x:c>
      <x:c r="S22" s="11" t="n">
        <x:f>'Operating costs'!$F$35*(1+'Assumptions'!$D$34)^(S7-1)</x:f>
        <x:v>36183.525</x:v>
      </x:c>
      <x:c r="T22" s="11" t="n">
        <x:f>'Operating costs'!$F$35*(1+'Assumptions'!$D$34)^(T7-1)</x:f>
        <x:v>36183.525</x:v>
      </x:c>
      <x:c r="U22" s="11" t="n">
        <x:f>'Operating costs'!$F$35*(1+'Assumptions'!$D$34)^(U7-1)</x:f>
        <x:v>36183.525</x:v>
      </x:c>
      <x:c r="V22" s="11" t="n">
        <x:f>'Operating costs'!$F$35*(1+'Assumptions'!$D$34)^(V7-1)</x:f>
        <x:v>36183.525</x:v>
      </x:c>
      <x:c r="W22" s="11" t="n">
        <x:f>'Operating costs'!$F$35*(1+'Assumptions'!$D$34)^(W7-1)</x:f>
        <x:v>36183.525</x:v>
      </x:c>
      <x:c r="X22" s="11" t="n">
        <x:f>'Operating costs'!$F$35*(1+'Assumptions'!$D$34)^(X7-1)</x:f>
        <x:v>36183.525</x:v>
      </x:c>
      <x:c r="Y22" s="11" t="n">
        <x:f>'Operating costs'!$F$35*(1+'Assumptions'!$D$34)^(Y7-1)</x:f>
        <x:v>36183.525</x:v>
      </x:c>
      <x:c r="Z22" s="11" t="n">
        <x:f>'Operating costs'!$F$35*(1+'Assumptions'!$D$34)^(Z7-1)</x:f>
        <x:v>36183.525</x:v>
      </x:c>
      <x:c r="AA22" s="11" t="n">
        <x:f>'Operating costs'!$F$35*(1+'Assumptions'!$D$34)^(AA7-1)</x:f>
        <x:v>36183.525</x:v>
      </x:c>
      <x:c r="AB22" s="11" t="n">
        <x:f>'Operating costs'!$F$35*(1+'Assumptions'!$D$34)^(AB7-1)</x:f>
        <x:v>37992.70125</x:v>
      </x:c>
      <x:c r="AC22" s="11" t="n">
        <x:f>'Operating costs'!$F$35*(1+'Assumptions'!$D$34)^(AC7-1)</x:f>
        <x:v>37992.70125</x:v>
      </x:c>
      <x:c r="AD22" s="11" t="n">
        <x:f>'Operating costs'!$F$35*(1+'Assumptions'!$D$34)^(AD7-1)</x:f>
        <x:v>37992.70125</x:v>
      </x:c>
      <x:c r="AE22" s="11" t="n">
        <x:f>'Operating costs'!$F$35*(1+'Assumptions'!$D$34)^(AE7-1)</x:f>
        <x:v>37992.70125</x:v>
      </x:c>
      <x:c r="AF22" s="11" t="n">
        <x:f>'Operating costs'!$F$35*(1+'Assumptions'!$D$34)^(AF7-1)</x:f>
        <x:v>37992.70125</x:v>
      </x:c>
      <x:c r="AG22" s="11" t="n">
        <x:f>'Operating costs'!$F$35*(1+'Assumptions'!$D$34)^(AG7-1)</x:f>
        <x:v>37992.70125</x:v>
      </x:c>
      <x:c r="AH22" s="11" t="n">
        <x:f>'Operating costs'!$F$35*(1+'Assumptions'!$D$34)^(AH7-1)</x:f>
        <x:v>37992.70125</x:v>
      </x:c>
      <x:c r="AI22" s="11" t="n">
        <x:f>'Operating costs'!$F$35*(1+'Assumptions'!$D$34)^(AI7-1)</x:f>
        <x:v>37992.70125</x:v>
      </x:c>
      <x:c r="AJ22" s="11" t="n">
        <x:f>'Operating costs'!$F$35*(1+'Assumptions'!$D$34)^(AJ7-1)</x:f>
        <x:v>37992.70125</x:v>
      </x:c>
      <x:c r="AK22" s="11" t="n">
        <x:f>'Operating costs'!$F$35*(1+'Assumptions'!$D$34)^(AK7-1)</x:f>
        <x:v>37992.70125</x:v>
      </x:c>
      <x:c r="AL22" s="11" t="n">
        <x:f>'Operating costs'!$F$35*(1+'Assumptions'!$D$34)^(AL7-1)</x:f>
        <x:v>37992.70125</x:v>
      </x:c>
      <x:c r="AM22" s="11" t="n">
        <x:f>'Operating costs'!$F$35*(1+'Assumptions'!$D$34)^(AM7-1)</x:f>
        <x:v>37992.70125</x:v>
      </x:c>
      <x:c r="AN22" s="2"/>
    </x:row>
    <x:row r="23" ht="21" customHeight="1">
      <x:c r="A23" s="1"/>
      <x:c r="B23" s="1"/>
      <x:c r="C23" s="1" t="str">
        <x:v>Total operating expenses</x:v>
      </x:c>
      <x:c r="D23" s="2" t="n">
        <x:f>SUM(D19:D22)</x:f>
        <x:v>75604.33439668696</x:v>
      </x:c>
      <x:c r="E23" s="2" t="n">
        <x:f>SUM(E19:E22)</x:f>
        <x:v>76757.53490280695</x:v>
      </x:c>
      <x:c r="F23" s="2" t="n">
        <x:f>SUM(F19:F22)</x:f>
        <x:v>77798.29529581696</x:v>
      </x:c>
      <x:c r="G23" s="2" t="n">
        <x:f>SUM(G19:G22)</x:f>
        <x:v>77733.64989018696</x:v>
      </x:c>
      <x:c r="H23" s="2" t="n">
        <x:f>SUM(H19:H22)</x:f>
        <x:v>78251.80885829945</x:v>
      </x:c>
      <x:c r="I23" s="2" t="n">
        <x:f>SUM(I19:I22)</x:f>
        <x:v>77788.79762958696</x:v>
      </x:c>
      <x:c r="J23" s="2" t="n">
        <x:f>SUM(J19:J22)</x:f>
        <x:v>77551.35597383695</x:v>
      </x:c>
      <x:c r="K23" s="2" t="n">
        <x:f>SUM(K19:K22)</x:f>
        <x:v>78643.58759028696</x:v>
      </x:c>
      <x:c r="L23" s="2" t="n">
        <x:f>SUM(L19:L22)</x:f>
        <x:v>78478.14437208696</x:v>
      </x:c>
      <x:c r="M23" s="2" t="n">
        <x:f>SUM(M19:M22)</x:f>
        <x:v>78738.56425258695</x:v>
      </x:c>
      <x:c r="N23" s="2" t="n">
        <x:f>SUM(N19:N22)</x:f>
        <x:v>78294.31857408695</x:v>
      </x:c>
      <x:c r="O23" s="2" t="n">
        <x:f>SUM(O19:O22)</x:f>
        <x:v>77646.33263613695</x:v>
      </x:c>
      <x:c r="P23" s="2" t="n">
        <x:f>SUM(P19:P22)</x:f>
        <x:v>82078.9512229873</x:v>
      </x:c>
      <x:c r="Q23" s="2" t="n">
        <x:f>SUM(Q19:Q22)</x:f>
        <x:v>83190.6009712327</x:v>
      </x:c>
      <x:c r="R23" s="2" t="n">
        <x:f>SUM(R19:R22)</x:f>
        <x:v>83664.58660008581</x:v>
      </x:c>
      <x:c r="S23" s="2" t="n">
        <x:f>SUM(S19:S22)</x:f>
        <x:v>83067.8421033283</x:v>
      </x:c>
      <x:c r="T23" s="2" t="n">
        <x:f>SUM(T19:T22)</x:f>
        <x:v>83400.31403723606</x:v>
      </x:c>
      <x:c r="U23" s="2" t="n">
        <x:f>SUM(U19:U22)</x:f>
        <x:v>82607.49634868681</x:v>
      </x:c>
      <x:c r="V23" s="2" t="n">
        <x:f>SUM(V19:V22)</x:f>
        <x:v>82343.22378583706</x:v>
      </x:c>
      <x:c r="W23" s="2" t="n">
        <x:f>SUM(W19:W22)</x:f>
        <x:v>83558.87757494592</x:v>
      </x:c>
      <x:c r="X23" s="2" t="n">
        <x:f>SUM(X19:X22)</x:f>
        <x:v>83374.7392730893</x:v>
      </x:c>
      <x:c r="Y23" s="2" t="n">
        <x:f>SUM(Y19:Y22)</x:f>
        <x:v>83664.58660008581</x:v>
      </x:c>
      <x:c r="Z23" s="2" t="n">
        <x:f>SUM(Z19:Z22)</x:f>
        <x:v>83170.1411599153</x:v>
      </x:c>
      <x:c r="AA23" s="2" t="n">
        <x:f>SUM(AA19:AA22)</x:f>
        <x:v>82448.93281097696</x:v>
      </x:c>
      <x:c r="AB23" s="2" t="n">
        <x:f>SUM(AB19:AB22)</x:f>
        <x:v>87162.08552748922</x:v>
      </x:c>
      <x:c r="AC23" s="2" t="n">
        <x:f>SUM(AC19:AC22)</x:f>
        <x:v>88194.40576731996</x:v>
      </x:c>
      <x:c r="AD23" s="2" t="n">
        <x:f>SUM(AD19:AD22)</x:f>
        <x:v>88926.89770219984</x:v>
      </x:c>
      <x:c r="AE23" s="2" t="n">
        <x:f>SUM(AE19:AE22)</x:f>
        <x:v>88262.72107730876</x:v>
      </x:c>
      <x:c r="AF23" s="2" t="n">
        <x:f>SUM(AF19:AF22)</x:f>
        <x:v>88632.76233974808</x:v>
      </x:c>
      <x:c r="AG23" s="2" t="n">
        <x:f>SUM(AG19:AG22)</x:f>
        <x:v>87750.35625239275</x:v>
      </x:c>
      <x:c r="AH23" s="2" t="n">
        <x:f>SUM(AH19:AH22)</x:f>
        <x:v>87456.22088994099</x:v>
      </x:c>
      <x:c r="AI23" s="2" t="n">
        <x:f>SUM(AI19:AI22)</x:f>
        <x:v>88809.24355721915</x:v>
      </x:c>
      <x:c r="AJ23" s="2" t="n">
        <x:f>SUM(AJ19:AJ22)</x:f>
        <x:v>88604.29762725274</x:v>
      </x:c>
      <x:c r="AK23" s="2" t="n">
        <x:f>SUM(AK19:AK22)</x:f>
        <x:v>88926.89770219984</x:v>
      </x:c>
      <x:c r="AL23" s="2" t="n">
        <x:f>SUM(AL19:AL22)</x:f>
        <x:v>88376.57992729009</x:v>
      </x:c>
      <x:c r="AM23" s="2" t="n">
        <x:f>SUM(AM19:AM22)</x:f>
        <x:v>87573.8750349217</x:v>
      </x:c>
      <x:c r="AN23" s="2"/>
    </x:row>
    <x:row r="24" ht="21" customHeight="1">
      <x:c r="A24" s="1"/>
      <x:c r="B24" s="1"/>
      <x:c r="C24" s="27" t="str">
        <x:v>EBITDA</x:v>
      </x:c>
      <x:c r="D24" s="28" t="n">
        <x:f>D17-D23</x:f>
        <x:v>-27599.557962819672</x:v>
      </x:c>
      <x:c r="E24" s="28" t="n">
        <x:f>E17-E23</x:f>
        <x:v>-2258.6267245003255</x:v>
      </x:c>
      <x:c r="F24" s="28" t="n">
        <x:f>F17-F23</x:f>
        <x:v>20611.49639361094</x:v>
      </x:c>
      <x:c r="G24" s="28" t="n">
        <x:f>G17-G23</x:f>
        <x:v>19190.950035671165</x:v>
      </x:c>
      <x:c r="H24" s="28" t="n">
        <x:f>H17-H23</x:f>
        <x:v>30577.20135257012</x:v>
      </x:c>
      <x:c r="I24" s="28" t="n">
        <x:f>I17-I23</x:f>
        <x:v>20402.790530596132</x:v>
      </x:c>
      <x:c r="J24" s="28" t="n">
        <x:f>J17-J23</x:f>
        <x:v>15185.14395522482</x:v>
      </x:c>
      <x:c r="K24" s="28" t="n">
        <x:f>K17-K23</x:f>
        <x:v>39186.31820193272</x:v>
      </x:c>
      <x:c r="L24" s="28" t="n">
        <x:f>L17-L23</x:f>
        <x:v>35550.79671715794</x:v>
      </x:c>
      <x:c r="M24" s="28" t="n">
        <x:f>M17-M23</x:f>
        <x:v>41273.37683208127</x:v>
      </x:c>
      <x:c r="N24" s="28" t="n">
        <x:f>N17-N23</x:f>
        <x:v>31511.328400741433</x:v>
      </x:c>
      <x:c r="O24" s="28" t="n">
        <x:f>O17-O23</x:f>
        <x:v>17272.20258537335</x:v>
      </x:c>
      <x:c r="P24" s="28" t="n">
        <x:f>P17-P23</x:f>
        <x:v>15065.259996820474</x:v>
      </x:c>
      <x:c r="Q24" s="28" t="n">
        <x:f>Q17-Q23</x:f>
        <x:v>39493.136746685836</x:v>
      </x:c>
      <x:c r="R24" s="28" t="n">
        <x:f>R17-R23</x:f>
        <x:v>49908.70382714993</x:v>
      </x:c>
      <x:c r="S24" s="28" t="n">
        <x:f>S17-S23</x:f>
        <x:v>36795.57980498292</x:v>
      </x:c>
      <x:c r="T24" s="28" t="n">
        <x:f>T17-T23</x:f>
        <x:v>44101.463188761656</x:v>
      </x:c>
      <x:c r="U24" s="28" t="n">
        <x:f>U17-U23</x:f>
        <x:v>26679.74127359697</x:v>
      </x:c>
      <x:c r="V24" s="28" t="n">
        <x:f>V17-V23</x:f>
        <x:v>20872.500635208722</x:v>
      </x:c>
      <x:c r="W24" s="28" t="n">
        <x:f>W17-W23</x:f>
        <x:v>47585.807571794605</x:v>
      </x:c>
      <x:c r="X24" s="28" t="n">
        <x:f>X17-X23</x:f>
        <x:v>43539.472159240235</x:v>
      </x:c>
      <x:c r="Y24" s="28" t="n">
        <x:f>Y17-Y23</x:f>
        <x:v>49908.70382714993</x:v>
      </x:c>
      <x:c r="Z24" s="28" t="n">
        <x:f>Z17-Z23</x:f>
        <x:v>39043.54392306872</x:v>
      </x:c>
      <x:c r="AA24" s="28" t="n">
        <x:f>AA17-AA23</x:f>
        <x:v>23195.396890564007</x:v>
      </x:c>
      <x:c r="AB24" s="28" t="n">
        <x:f>AB17-AB23</x:f>
        <x:v>20959.421560156858</x:v>
      </x:c>
      <x:c r="AC24" s="28" t="n">
        <x:f>AC17-AC23</x:f>
        <x:v>43644.07706858398</x:v>
      </x:c>
      <x:c r="AD24" s="28" t="n">
        <x:f>AD17-AD23</x:f>
        <x:v>59740.17454331348</x:v>
      </x:c>
      <x:c r="AE24" s="28" t="n">
        <x:f>AE17-AE23</x:f>
        <x:v>45145.267506641656</x:v>
      </x:c>
      <x:c r="AF24" s="28" t="n">
        <x:f>AF17-AF23</x:f>
        <x:v>53276.71571278742</x:v>
      </x:c>
      <x:c r="AG24" s="28" t="n">
        <x:f>AG17-AG23</x:f>
        <x:v>33886.33922120907</x:v>
      </x:c>
      <x:c r="AH24" s="28" t="n">
        <x:f>AH17-AH23</x:f>
        <x:v>27422.880390682956</x:v>
      </x:c>
      <x:c r="AI24" s="28" t="n">
        <x:f>AI17-AI23</x:f>
        <x:v>57154.791011103065</x:v>
      </x:c>
      <x:c r="AJ24" s="28" t="n">
        <x:f>AJ17-AJ23</x:f>
        <x:v>52651.21969693004</x:v>
      </x:c>
      <x:c r="AK24" s="28" t="n">
        <x:f>AK17-AK23</x:f>
        <x:v>59740.17454331348</x:v>
      </x:c>
      <x:c r="AL24" s="28" t="n">
        <x:f>AL17-AL23</x:f>
        <x:v>47647.25157007115</x:v>
      </x:c>
      <x:c r="AM24" s="28" t="n">
        <x:f>AM17-AM23</x:f>
        <x:v>30008.2639228934</x:v>
      </x:c>
      <x:c r="AN24" s="2"/>
    </x:row>
    <x:row r="25" ht="21" customHeight="1">
      <x:c r="A25" s="1"/>
      <x:c r="B25" s="1"/>
      <x:c r="C25" s="1" t="str">
        <x:v>Depreciation</x:v>
      </x:c>
      <x:c r="D25" s="11" t="n">
        <x:f>'Startup'!$I$28+SUM($D43:D43)/60</x:f>
        <x:v>10439.989820565906</x:v>
      </x:c>
      <x:c r="E25" s="11" t="n">
        <x:f>'Startup'!$I$28+SUM($D43:E43)/60</x:f>
        <x:v>10454.482574189095</x:v>
      </x:c>
      <x:c r="F25" s="11" t="n">
        <x:f>'Startup'!$I$28+SUM($D43:F43)/60</x:f>
        <x:v>10468.975327812284</x:v>
      </x:c>
      <x:c r="G25" s="11" t="n">
        <x:f>'Startup'!$I$28+SUM($D43:G43)/60</x:f>
        <x:v>10483.468081435472</x:v>
      </x:c>
      <x:c r="H25" s="11" t="n">
        <x:f>'Startup'!$I$28+SUM($D43:H43)/60</x:f>
        <x:v>10497.96083505866</x:v>
      </x:c>
      <x:c r="I25" s="11" t="n">
        <x:f>'Startup'!$I$28+SUM($D43:I43)/60</x:f>
        <x:v>10512.453588681848</x:v>
      </x:c>
      <x:c r="J25" s="11" t="n">
        <x:f>'Startup'!$I$28+SUM($D43:J43)/60</x:f>
        <x:v>10526.946342305037</x:v>
      </x:c>
      <x:c r="K25" s="11" t="n">
        <x:f>'Startup'!$I$28+SUM($D43:K43)/60</x:f>
        <x:v>10541.439095928226</x:v>
      </x:c>
      <x:c r="L25" s="11" t="n">
        <x:f>'Startup'!$I$28+SUM($D43:L43)/60</x:f>
        <x:v>10555.931849551414</x:v>
      </x:c>
      <x:c r="M25" s="11" t="n">
        <x:f>'Startup'!$I$28+SUM($D43:M43)/60</x:f>
        <x:v>10570.424603174602</x:v>
      </x:c>
      <x:c r="N25" s="11" t="n">
        <x:f>'Startup'!$I$28+SUM($D43:N43)/60</x:f>
        <x:v>10584.91735679779</x:v>
      </x:c>
      <x:c r="O25" s="11" t="n">
        <x:f>'Startup'!$I$28+SUM($D43:O43)/60</x:f>
        <x:v>10599.410110420979</x:v>
      </x:c>
      <x:c r="P25" s="11" t="n">
        <x:f>'Startup'!$I$28+SUM($D43:P43)/60</x:f>
        <x:v>10614.627501725327</x:v>
      </x:c>
      <x:c r="Q25" s="11" t="n">
        <x:f>'Startup'!$I$28+SUM($D43:Q43)/60</x:f>
        <x:v>10629.844893029674</x:v>
      </x:c>
      <x:c r="R25" s="11" t="n">
        <x:f>'Startup'!$I$28+SUM($D43:R43)/60</x:f>
        <x:v>10645.062284334022</x:v>
      </x:c>
      <x:c r="S25" s="11" t="n">
        <x:f>'Startup'!$I$28+SUM($D43:S43)/60</x:f>
        <x:v>10660.27967563837</x:v>
      </x:c>
      <x:c r="T25" s="11" t="n">
        <x:f>'Startup'!$I$28+SUM($D43:T43)/60</x:f>
        <x:v>10675.497066942718</x:v>
      </x:c>
      <x:c r="U25" s="11" t="n">
        <x:f>'Startup'!$I$28+SUM($D43:U43)/60</x:f>
        <x:v>10690.714458247066</x:v>
      </x:c>
      <x:c r="V25" s="11" t="n">
        <x:f>'Startup'!$I$28+SUM($D43:V43)/60</x:f>
        <x:v>10705.931849551414</x:v>
      </x:c>
      <x:c r="W25" s="11" t="n">
        <x:f>'Startup'!$I$28+SUM($D43:W43)/60</x:f>
        <x:v>10721.149240855762</x:v>
      </x:c>
      <x:c r="X25" s="11" t="n">
        <x:f>'Startup'!$I$28+SUM($D43:X43)/60</x:f>
        <x:v>10736.36663216011</x:v>
      </x:c>
      <x:c r="Y25" s="11" t="n">
        <x:f>'Startup'!$I$28+SUM($D43:Y43)/60</x:f>
        <x:v>10751.584023464458</x:v>
      </x:c>
      <x:c r="Z25" s="11" t="n">
        <x:f>'Startup'!$I$28+SUM($D43:Z43)/60</x:f>
        <x:v>10766.801414768805</x:v>
      </x:c>
      <x:c r="AA25" s="11" t="n">
        <x:f>'Startup'!$I$28+SUM($D43:AA43)/60</x:f>
        <x:v>10782.018806073153</x:v>
      </x:c>
      <x:c r="AB25" s="11" t="n">
        <x:f>'Startup'!$I$28+SUM($D43:AB43)/60</x:f>
        <x:v>10797.997066942718</x:v>
      </x:c>
      <x:c r="AC25" s="11" t="n">
        <x:f>'Startup'!$I$28+SUM($D43:AC43)/60</x:f>
        <x:v>10813.975327812284</x:v>
      </x:c>
      <x:c r="AD25" s="11" t="n">
        <x:f>'Startup'!$I$28+SUM($D43:AD43)/60</x:f>
        <x:v>10829.953588681848</x:v>
      </x:c>
      <x:c r="AE25" s="11" t="n">
        <x:f>'Startup'!$I$28+SUM($D43:AE43)/60</x:f>
        <x:v>10845.931849551414</x:v>
      </x:c>
      <x:c r="AF25" s="11" t="n">
        <x:f>'Startup'!$I$28+SUM($D43:AF43)/60</x:f>
        <x:v>10861.910110420979</x:v>
      </x:c>
      <x:c r="AG25" s="11" t="n">
        <x:f>'Startup'!$I$28+SUM($D43:AG43)/60</x:f>
        <x:v>10877.888371290544</x:v>
      </x:c>
      <x:c r="AH25" s="11" t="n">
        <x:f>'Startup'!$I$28+SUM($D43:AH43)/60</x:f>
        <x:v>10893.86663216011</x:v>
      </x:c>
      <x:c r="AI25" s="11" t="n">
        <x:f>'Startup'!$I$28+SUM($D43:AI43)/60</x:f>
        <x:v>10909.844893029674</x:v>
      </x:c>
      <x:c r="AJ25" s="11" t="n">
        <x:f>'Startup'!$I$28+SUM($D43:AJ43)/60</x:f>
        <x:v>10925.82315389924</x:v>
      </x:c>
      <x:c r="AK25" s="11" t="n">
        <x:f>'Startup'!$I$28+SUM($D43:AK43)/60</x:f>
        <x:v>10941.801414768805</x:v>
      </x:c>
      <x:c r="AL25" s="11" t="n">
        <x:f>'Startup'!$I$28+SUM($D43:AL43)/60</x:f>
        <x:v>10957.77967563837</x:v>
      </x:c>
      <x:c r="AM25" s="11" t="n">
        <x:f>'Startup'!$I$28+SUM($D43:AM43)/60</x:f>
        <x:v>10973.757936507936</x:v>
      </x:c>
      <x:c r="AN25" s="2"/>
    </x:row>
    <x:row r="26" ht="21" customHeight="1">
      <x:c r="A26" s="1"/>
      <x:c r="B26" s="1"/>
      <x:c r="C26" s="27" t="str">
        <x:v>Operating profit</x:v>
      </x:c>
      <x:c r="D26" s="28" t="n">
        <x:f>D24-D25</x:f>
        <x:v>-38039.54778338558</x:v>
      </x:c>
      <x:c r="E26" s="28" t="n">
        <x:f>E24-E25</x:f>
        <x:v>-12713.10929868942</x:v>
      </x:c>
      <x:c r="F26" s="28" t="n">
        <x:f>F24-F25</x:f>
        <x:v>10142.521065798657</x:v>
      </x:c>
      <x:c r="G26" s="28" t="n">
        <x:f>G24-G25</x:f>
        <x:v>8707.481954235693</x:v>
      </x:c>
      <x:c r="H26" s="28" t="n">
        <x:f>H24-H25</x:f>
        <x:v>20079.240517511458</x:v>
      </x:c>
      <x:c r="I26" s="28" t="n">
        <x:f>I24-I25</x:f>
        <x:v>9890.336941914284</x:v>
      </x:c>
      <x:c r="J26" s="28" t="n">
        <x:f>J24-J25</x:f>
        <x:v>4658.197612919783</x:v>
      </x:c>
      <x:c r="K26" s="28" t="n">
        <x:f>K24-K25</x:f>
        <x:v>28644.879106004497</x:v>
      </x:c>
      <x:c r="L26" s="28" t="n">
        <x:f>L24-L25</x:f>
        <x:v>24994.86486760652</x:v>
      </x:c>
      <x:c r="M26" s="28" t="n">
        <x:f>M24-M25</x:f>
        <x:v>30702.952228906666</x:v>
      </x:c>
      <x:c r="N26" s="28" t="n">
        <x:f>N24-N25</x:f>
        <x:v>20926.41104394364</x:v>
      </x:c>
      <x:c r="O26" s="28" t="n">
        <x:f>O24-O25</x:f>
        <x:v>6672.792474952372</x:v>
      </x:c>
      <x:c r="P26" s="28" t="n">
        <x:f>P24-P25</x:f>
        <x:v>4450.6324950951475</x:v>
      </x:c>
      <x:c r="Q26" s="28" t="n">
        <x:f>Q24-Q25</x:f>
        <x:v>28863.291853656163</x:v>
      </x:c>
      <x:c r="R26" s="28" t="n">
        <x:f>R24-R25</x:f>
        <x:v>39263.64154281591</x:v>
      </x:c>
      <x:c r="S26" s="28" t="n">
        <x:f>S24-S25</x:f>
        <x:v>26135.30012934455</x:v>
      </x:c>
      <x:c r="T26" s="28" t="n">
        <x:f>T24-T25</x:f>
        <x:v>33425.966121818936</x:v>
      </x:c>
      <x:c r="U26" s="28" t="n">
        <x:f>U24-U25</x:f>
        <x:v>15989.026815349904</x:v>
      </x:c>
      <x:c r="V26" s="28" t="n">
        <x:f>V24-V25</x:f>
        <x:v>10166.568785657308</x:v>
      </x:c>
      <x:c r="W26" s="28" t="n">
        <x:f>W24-W25</x:f>
        <x:v>36864.658330938844</x:v>
      </x:c>
      <x:c r="X26" s="28" t="n">
        <x:f>X24-X25</x:f>
        <x:v>32803.10552708012</x:v>
      </x:c>
      <x:c r="Y26" s="28" t="n">
        <x:f>Y24-Y25</x:f>
        <x:v>39157.11980368548</x:v>
      </x:c>
      <x:c r="Z26" s="28" t="n">
        <x:f>Z24-Z25</x:f>
        <x:v>28276.742508299914</x:v>
      </x:c>
      <x:c r="AA26" s="28" t="n">
        <x:f>AA24-AA25</x:f>
        <x:v>12413.378084490854</x:v>
      </x:c>
      <x:c r="AB26" s="28" t="n">
        <x:f>AB24-AB25</x:f>
        <x:v>10161.42449321414</x:v>
      </x:c>
      <x:c r="AC26" s="28" t="n">
        <x:f>AC24-AC25</x:f>
        <x:v>32830.1017407717</x:v>
      </x:c>
      <x:c r="AD26" s="28" t="n">
        <x:f>AD24-AD25</x:f>
        <x:v>48910.22095463163</x:v>
      </x:c>
      <x:c r="AE26" s="28" t="n">
        <x:f>AE24-AE25</x:f>
        <x:v>34299.33565709024</x:v>
      </x:c>
      <x:c r="AF26" s="28" t="n">
        <x:f>AF24-AF25</x:f>
        <x:v>42414.80560236645</x:v>
      </x:c>
      <x:c r="AG26" s="28" t="n">
        <x:f>AG24-AG25</x:f>
        <x:v>23008.450849918525</x:v>
      </x:c>
      <x:c r="AH26" s="28" t="n">
        <x:f>AH24-AH25</x:f>
        <x:v>16529.013758522844</x:v>
      </x:c>
      <x:c r="AI26" s="28" t="n">
        <x:f>AI24-AI25</x:f>
        <x:v>46244.94611807339</x:v>
      </x:c>
      <x:c r="AJ26" s="28" t="n">
        <x:f>AJ24-AJ25</x:f>
        <x:v>41725.3965430308</x:v>
      </x:c>
      <x:c r="AK26" s="28" t="n">
        <x:f>AK24-AK25</x:f>
        <x:v>48798.37312854467</x:v>
      </x:c>
      <x:c r="AL26" s="28" t="n">
        <x:f>AL24-AL25</x:f>
        <x:v>36689.47189443278</x:v>
      </x:c>
      <x:c r="AM26" s="28" t="n">
        <x:f>AM24-AM25</x:f>
        <x:v>19034.505986385462</x:v>
      </x:c>
      <x:c r="AN26" s="2"/>
    </x:row>
    <x:row r="27" ht="21" customHeight="1">
      <x:c r="A27" s="1"/>
      <x:c r="B27" s="1"/>
      <x:c r="C27" s="1" t="str">
        <x:v>Opening founder loan principal</x:v>
      </x:c>
      <x:c r="D27" s="11" t="n">
        <x:f>'Startup'!$E$42</x:f>
        <x:v>1091640.25</x:v>
      </x:c>
      <x:c r="E27" s="2" t="n">
        <x:f>D51</x:f>
        <x:v>1091640.25</x:v>
      </x:c>
      <x:c r="F27" s="2" t="n">
        <x:f>E51</x:f>
        <x:v>1091640.25</x:v>
      </x:c>
      <x:c r="G27" s="2" t="n">
        <x:f>F51</x:f>
        <x:v>1091640.25</x:v>
      </x:c>
      <x:c r="H27" s="2" t="n">
        <x:f>G51</x:f>
        <x:v>1086862.117965531</x:v>
      </x:c>
      <x:c r="I27" s="2" t="n">
        <x:f>H51</x:f>
        <x:v>1066448.9625848287</x:v>
      </x:c>
      <x:c r="J27" s="2" t="n">
        <x:f>I51</x:f>
        <x:v>1052285.906483288</x:v>
      </x:c>
      <x:c r="K27" s="2" t="n">
        <x:f>J51</x:f>
        <x:v>1042923.9487055336</x:v>
      </x:c>
      <x:c r="L27" s="2" t="n">
        <x:f>K51</x:f>
        <x:v>1017487.1749930643</x:v>
      </x:c>
      <x:c r="M27" s="2" t="n">
        <x:f>L51</x:f>
        <x:v>989589.1913265847</x:v>
      </x:c>
      <x:c r="N27" s="2" t="n">
        <x:f>M51</x:f>
        <x:v>956298.0455915242</x:v>
      </x:c>
      <x:c r="O27" s="2" t="n">
        <x:f>N51</x:f>
        <x:v>930485.3888997606</x:v>
      </x:c>
      <x:c r="P27" s="2" t="n">
        <x:f>O51</x:f>
        <x:v>915905.0483227655</x:v>
      </x:c>
      <x:c r="Q27" s="2" t="n">
        <x:f>P51</x:f>
        <x:v>908384.5781558924</x:v>
      </x:c>
      <x:c r="R27" s="2" t="n">
        <x:f>Q51</x:f>
        <x:v>883891.4166165555</x:v>
      </x:c>
      <x:c r="S27" s="2" t="n">
        <x:f>R51</x:f>
        <x:v>841362.0110361613</x:v>
      </x:c>
      <x:c r="T27" s="2" t="n">
        <x:f>S51</x:f>
        <x:v>812049.0746332855</x:v>
      </x:c>
      <x:c r="U27" s="2" t="n">
        <x:f>T51</x:f>
        <x:v>782698.1059254678</x:v>
      </x:c>
      <x:c r="V27" s="2" t="n">
        <x:f>U51</x:f>
        <x:v>761615.7042061401</x:v>
      </x:c>
      <x:c r="W27" s="2" t="n">
        <x:f>V51</x:f>
        <x:v>745813.1690842519</x:v>
      </x:c>
      <x:c r="X27" s="2" t="n">
        <x:f>W51</x:f>
        <x:v>719320.408060036</x:v>
      </x:c>
      <x:c r="Y27" s="2" t="n">
        <x:f>X51</x:f>
        <x:v>689051.5105239272</x:v>
      </x:c>
      <x:c r="Z27" s="2" t="n">
        <x:f>Y51</x:f>
        <x:v>654555.3018643007</x:v>
      </x:c>
      <x:c r="AA27" s="2" t="n">
        <x:f>Z51</x:f>
        <x:v>625524.0883926535</x:v>
      </x:c>
      <x:c r="AB27" s="2" t="n">
        <x:f>AA51</x:f>
        <x:v>604761.5790360727</x:v>
      </x:c>
      <x:c r="AC27" s="2" t="n">
        <x:f>AB51</x:f>
        <x:v>591032.7289901052</x:v>
      </x:c>
      <x:c r="AD27" s="2" t="n">
        <x:f>AC51</x:f>
        <x:v>569026.3757693471</x:v>
      </x:c>
      <x:c r="AE27" s="2" t="n">
        <x:f>AD51</x:f>
        <x:v>526858.3854774088</x:v>
      </x:c>
      <x:c r="AF27" s="2" t="n">
        <x:f>AE51</x:f>
        <x:v>491942.8094088526</x:v>
      </x:c>
      <x:c r="AG27" s="2" t="n">
        <x:f>AF51</x:f>
        <x:v>454428.6094023943</x:v>
      </x:c>
      <x:c r="AH27" s="2" t="n">
        <x:f>AG51</x:f>
        <x:v>426093.9966523562</x:v>
      </x:c>
      <x:c r="AI27" s="2" t="n">
        <x:f>AH51</x:f>
        <x:v>403612.4340948636</x:v>
      </x:c>
      <x:c r="AJ27" s="2" t="n">
        <x:f>AI51</x:f>
        <x:v>369209.09469653456</x:v>
      </x:c>
      <x:c r="AK27" s="2" t="n">
        <x:f>AJ51</x:f>
        <x:v>330579.24531258654</x:v>
      </x:c>
      <x:c r="AL27" s="2" t="n">
        <x:f>AK51</x:f>
        <x:v>287220.6134060485</x:v>
      </x:c>
      <x:c r="AM27" s="2" t="n">
        <x:f>AL51</x:f>
        <x:v>249920.62014677125</x:v>
      </x:c>
      <x:c r="AN27" s="2"/>
    </x:row>
    <x:row r="28" ht="21" customHeight="1">
      <x:c r="A28" s="1"/>
      <x:c r="B28" s="1"/>
      <x:c r="C28" s="1" t="str">
        <x:v>Company interest expense</x:v>
      </x:c>
      <x:c r="D28" s="11" t="n">
        <x:f>(D27+'Assumptions'!$D$60*D47)*'Assumptions'!$D$25/12</x:f>
        <x:v>7277.6016666666665</x:v>
      </x:c>
      <x:c r="E28" s="11" t="n">
        <x:f>(E27+'Assumptions'!$D$60*E47)*'Assumptions'!$D$25/12</x:f>
        <x:v>7277.6016666666665</x:v>
      </x:c>
      <x:c r="F28" s="11" t="n">
        <x:f>(F27+'Assumptions'!$D$60*F47)*'Assumptions'!$D$25/12</x:f>
        <x:v>7277.6016666666665</x:v>
      </x:c>
      <x:c r="G28" s="11" t="n">
        <x:f>(G27+'Assumptions'!$D$60*G47)*'Assumptions'!$D$25/12</x:f>
        <x:v>7277.6016666666665</x:v>
      </x:c>
      <x:c r="H28" s="11" t="n">
        <x:f>(H27+'Assumptions'!$D$60*H47)*'Assumptions'!$D$25/12</x:f>
        <x:v>7245.7474531035405</x:v>
      </x:c>
      <x:c r="I28" s="11" t="n">
        <x:f>(I27+'Assumptions'!$D$60*I47)*'Assumptions'!$D$25/12</x:f>
        <x:v>7109.659750565525</x:v>
      </x:c>
      <x:c r="J28" s="11" t="n">
        <x:f>(J27+'Assumptions'!$D$60*J47)*'Assumptions'!$D$25/12</x:f>
        <x:v>7015.239376555252</x:v>
      </x:c>
      <x:c r="K28" s="11" t="n">
        <x:f>(K27+'Assumptions'!$D$60*K47)*'Assumptions'!$D$25/12</x:f>
        <x:v>6952.8263247035575</x:v>
      </x:c>
      <x:c r="L28" s="11" t="n">
        <x:f>(L27+'Assumptions'!$D$60*L47)*'Assumptions'!$D$25/12</x:f>
        <x:v>6783.247833287095</x:v>
      </x:c>
      <x:c r="M28" s="11" t="n">
        <x:f>(M27+'Assumptions'!$D$60*M47)*'Assumptions'!$D$25/12</x:f>
        <x:v>6597.261275510565</x:v>
      </x:c>
      <x:c r="N28" s="11" t="n">
        <x:f>(N27+'Assumptions'!$D$60*N47)*'Assumptions'!$D$25/12</x:f>
        <x:v>6375.320303943495</x:v>
      </x:c>
      <x:c r="O28" s="11" t="n">
        <x:f>(O27+'Assumptions'!$D$60*O47)*'Assumptions'!$D$25/12</x:f>
        <x:v>6203.235925998404</x:v>
      </x:c>
      <x:c r="P28" s="11" t="n">
        <x:f>(P27+'Assumptions'!$D$60*P47)*'Assumptions'!$D$25/12</x:f>
        <x:v>6106.033655485103</x:v>
      </x:c>
      <x:c r="Q28" s="11" t="n">
        <x:f>(Q27+'Assumptions'!$D$60*Q47)*'Assumptions'!$D$25/12</x:f>
        <x:v>6055.897187705949</x:v>
      </x:c>
      <x:c r="R28" s="11" t="n">
        <x:f>(R27+'Assumptions'!$D$60*R47)*'Assumptions'!$D$25/12</x:f>
        <x:v>5892.6094441103705</x:v>
      </x:c>
      <x:c r="S28" s="11" t="n">
        <x:f>(S27+'Assumptions'!$D$60*S47)*'Assumptions'!$D$25/12</x:f>
        <x:v>5609.080073574409</x:v>
      </x:c>
      <x:c r="T28" s="11" t="n">
        <x:f>(T27+'Assumptions'!$D$60*T47)*'Assumptions'!$D$25/12</x:f>
        <x:v>5413.660497555237</x:v>
      </x:c>
      <x:c r="U28" s="11" t="n">
        <x:f>(U27+'Assumptions'!$D$60*U47)*'Assumptions'!$D$25/12</x:f>
        <x:v>5217.987372836452</x:v>
      </x:c>
      <x:c r="V28" s="11" t="n">
        <x:f>(V27+'Assumptions'!$D$60*V47)*'Assumptions'!$D$25/12</x:f>
        <x:v>5077.438028040934</x:v>
      </x:c>
      <x:c r="W28" s="11" t="n">
        <x:f>(W27+'Assumptions'!$D$60*W47)*'Assumptions'!$D$25/12</x:f>
        <x:v>4972.0877938950125</x:v>
      </x:c>
      <x:c r="X28" s="11" t="n">
        <x:f>(X27+'Assumptions'!$D$60*X47)*'Assumptions'!$D$25/12</x:f>
        <x:v>4795.469387066907</x:v>
      </x:c>
      <x:c r="Y28" s="11" t="n">
        <x:f>(Y27+'Assumptions'!$D$60*Y47)*'Assumptions'!$D$25/12</x:f>
        <x:v>4593.676736826182</x:v>
      </x:c>
      <x:c r="Z28" s="11" t="n">
        <x:f>(Z27+'Assumptions'!$D$60*Z47)*'Assumptions'!$D$25/12</x:f>
        <x:v>4363.702012428672</x:v>
      </x:c>
      <x:c r="AA28" s="11" t="n">
        <x:f>(AA27+'Assumptions'!$D$60*AA47)*'Assumptions'!$D$25/12</x:f>
        <x:v>4170.160589284357</x:v>
      </x:c>
      <x:c r="AB28" s="11" t="n">
        <x:f>(AB27+'Assumptions'!$D$60*AB47)*'Assumptions'!$D$25/12</x:f>
        <x:v>4031.743860240485</x:v>
      </x:c>
      <x:c r="AC28" s="11" t="n">
        <x:f>(AC27+'Assumptions'!$D$60*AC47)*'Assumptions'!$D$25/12</x:f>
        <x:v>3940.2181932673684</x:v>
      </x:c>
      <x:c r="AD28" s="11" t="n">
        <x:f>(AD27+'Assumptions'!$D$60*AD47)*'Assumptions'!$D$25/12</x:f>
        <x:v>3793.5091717956475</x:v>
      </x:c>
      <x:c r="AE28" s="11" t="n">
        <x:f>(AE27+'Assumptions'!$D$60*AE47)*'Assumptions'!$D$25/12</x:f>
        <x:v>3512.3892365160586</x:v>
      </x:c>
      <x:c r="AF28" s="11" t="n">
        <x:f>(AF27+'Assumptions'!$D$60*AF47)*'Assumptions'!$D$25/12</x:f>
        <x:v>3279.618729392351</x:v>
      </x:c>
      <x:c r="AG28" s="11" t="n">
        <x:f>(AG27+'Assumptions'!$D$60*AG47)*'Assumptions'!$D$25/12</x:f>
        <x:v>3029.5240626826285</x:v>
      </x:c>
      <x:c r="AH28" s="11" t="n">
        <x:f>(AH27+'Assumptions'!$D$60*AH47)*'Assumptions'!$D$25/12</x:f>
        <x:v>2840.626644349041</x:v>
      </x:c>
      <x:c r="AI28" s="11" t="n">
        <x:f>(AI27+'Assumptions'!$D$60*AI47)*'Assumptions'!$D$25/12</x:f>
        <x:v>2690.749560632424</x:v>
      </x:c>
      <x:c r="AJ28" s="11" t="n">
        <x:f>(AJ27+'Assumptions'!$D$60*AJ47)*'Assumptions'!$D$25/12</x:f>
        <x:v>2461.393964643564</x:v>
      </x:c>
      <x:c r="AK28" s="11" t="n">
        <x:f>(AK27+'Assumptions'!$D$60*AK47)*'Assumptions'!$D$25/12</x:f>
        <x:v>2203.8616354172436</x:v>
      </x:c>
      <x:c r="AL28" s="11" t="n">
        <x:f>(AL27+'Assumptions'!$D$60*AL47)*'Assumptions'!$D$25/12</x:f>
        <x:v>1914.8040893736568</x:v>
      </x:c>
      <x:c r="AM28" s="11" t="n">
        <x:f>(AM27+'Assumptions'!$D$60*AM47)*'Assumptions'!$D$25/12</x:f>
        <x:v>1666.1374676451417</x:v>
      </x:c>
      <x:c r="AN28" s="2"/>
    </x:row>
    <x:row r="29" ht="21" customHeight="1">
      <x:c r="A29" s="1"/>
      <x:c r="B29" s="1"/>
      <x:c r="C29" s="1" t="str">
        <x:v>Profit before tax</x:v>
      </x:c>
      <x:c r="D29" s="2" t="n">
        <x:f>D26-D28</x:f>
        <x:v>-45317.149450052246</x:v>
      </x:c>
      <x:c r="E29" s="2" t="n">
        <x:f>E26-E28</x:f>
        <x:v>-19990.710965356087</x:v>
      </x:c>
      <x:c r="F29" s="2" t="n">
        <x:f>F26-F28</x:f>
        <x:v>2864.9193991319908</x:v>
      </x:c>
      <x:c r="G29" s="2" t="n">
        <x:f>G26-G28</x:f>
        <x:v>1429.8802875690262</x:v>
      </x:c>
      <x:c r="H29" s="2" t="n">
        <x:f>H26-H28</x:f>
        <x:v>12833.493064407918</x:v>
      </x:c>
      <x:c r="I29" s="2" t="n">
        <x:f>I26-I28</x:f>
        <x:v>2780.6771913487582</x:v>
      </x:c>
      <x:c r="J29" s="2" t="n">
        <x:f>J26-J28</x:f>
        <x:v>-2357.0417636354696</x:v>
      </x:c>
      <x:c r="K29" s="2" t="n">
        <x:f>K26-K28</x:f>
        <x:v>21692.05278130094</x:v>
      </x:c>
      <x:c r="L29" s="2" t="n">
        <x:f>L26-L28</x:f>
        <x:v>18211.617034319424</x:v>
      </x:c>
      <x:c r="M29" s="2" t="n">
        <x:f>M26-M28</x:f>
        <x:v>24105.6909533961</x:v>
      </x:c>
      <x:c r="N29" s="2" t="n">
        <x:f>N26-N28</x:f>
        <x:v>14551.090740000145</x:v>
      </x:c>
      <x:c r="O29" s="2" t="n">
        <x:f>O26-O28</x:f>
        <x:v>469.55654895396765</x:v>
      </x:c>
      <x:c r="P29" s="2" t="n">
        <x:f>P26-P28</x:f>
        <x:v>-1655.4011603899553</x:v>
      </x:c>
      <x:c r="Q29" s="2" t="n">
        <x:f>Q26-Q28</x:f>
        <x:v>22807.394665950214</x:v>
      </x:c>
      <x:c r="R29" s="2" t="n">
        <x:f>R26-R28</x:f>
        <x:v>33371.03209870554</x:v>
      </x:c>
      <x:c r="S29" s="2" t="n">
        <x:f>S26-S28</x:f>
        <x:v>20526.22005577014</x:v>
      </x:c>
      <x:c r="T29" s="2" t="n">
        <x:f>T26-T28</x:f>
        <x:v>28012.3056242637</x:v>
      </x:c>
      <x:c r="U29" s="2" t="n">
        <x:f>U26-U28</x:f>
        <x:v>10771.039442513451</x:v>
      </x:c>
      <x:c r="V29" s="2" t="n">
        <x:f>V26-V28</x:f>
        <x:v>5089.130757616374</x:v>
      </x:c>
      <x:c r="W29" s="2" t="n">
        <x:f>W26-W28</x:f>
        <x:v>31892.57053704383</x:v>
      </x:c>
      <x:c r="X29" s="2" t="n">
        <x:f>X26-X28</x:f>
        <x:v>28007.636140013215</x:v>
      </x:c>
      <x:c r="Y29" s="2" t="n">
        <x:f>Y26-Y28</x:f>
        <x:v>34563.4430668593</x:v>
      </x:c>
      <x:c r="Z29" s="2" t="n">
        <x:f>Z26-Z28</x:f>
        <x:v>23913.040495871242</x:v>
      </x:c>
      <x:c r="AA29" s="2" t="n">
        <x:f>AA26-AA28</x:f>
        <x:v>8243.217495206496</x:v>
      </x:c>
      <x:c r="AB29" s="2" t="n">
        <x:f>AB26-AB28</x:f>
        <x:v>6129.680632973654</x:v>
      </x:c>
      <x:c r="AC29" s="2" t="n">
        <x:f>AC26-AC28</x:f>
        <x:v>28889.88354750433</x:v>
      </x:c>
      <x:c r="AD29" s="2" t="n">
        <x:f>AD26-AD28</x:f>
        <x:v>45116.711782835984</x:v>
      </x:c>
      <x:c r="AE29" s="2" t="n">
        <x:f>AE26-AE28</x:f>
        <x:v>30786.946420574182</x:v>
      </x:c>
      <x:c r="AF29" s="2" t="n">
        <x:f>AF26-AF28</x:f>
        <x:v>39135.186872974096</x:v>
      </x:c>
      <x:c r="AG29" s="2" t="n">
        <x:f>AG26-AG28</x:f>
        <x:v>19978.926787235898</x:v>
      </x:c>
      <x:c r="AH29" s="2" t="n">
        <x:f>AH26-AH28</x:f>
        <x:v>13688.387114173804</x:v>
      </x:c>
      <x:c r="AI29" s="2" t="n">
        <x:f>AI26-AI28</x:f>
        <x:v>43554.19655744097</x:v>
      </x:c>
      <x:c r="AJ29" s="2" t="n">
        <x:f>AJ26-AJ28</x:f>
        <x:v>39264.00257838724</x:v>
      </x:c>
      <x:c r="AK29" s="2" t="n">
        <x:f>AK26-AK28</x:f>
        <x:v>46594.51149312743</x:v>
      </x:c>
      <x:c r="AL29" s="2" t="n">
        <x:f>AL26-AL28</x:f>
        <x:v>34774.66780505913</x:v>
      </x:c>
      <x:c r="AM29" s="2" t="n">
        <x:f>AM26-AM28</x:f>
        <x:v>17368.36851874032</x:v>
      </x:c>
      <x:c r="AN29" s="2"/>
    </x:row>
    <x:row r="30" ht="21" customHeight="1">
      <x:c r="A30" s="1"/>
      <x:c r="B30" s="1"/>
      <x:c r="C30" s="1" t="str">
        <x:v>Opening tax loss allowance</x:v>
      </x:c>
      <x:c r="D30" s="11" t="n">
        <x:f>'Startup'!$E$46</x:f>
        <x:v>94267.39130434782</x:v>
      </x:c>
      <x:c r="E30" s="2" t="n">
        <x:f>D32</x:f>
        <x:v>139584.54075440008</x:v>
      </x:c>
      <x:c r="F30" s="2" t="n">
        <x:f>E32</x:f>
        <x:v>159575.25171975617</x:v>
      </x:c>
      <x:c r="G30" s="2" t="n">
        <x:f>F32</x:f>
        <x:v>156710.33232062418</x:v>
      </x:c>
      <x:c r="H30" s="2" t="n">
        <x:f>G32</x:f>
        <x:v>155280.45203305516</x:v>
      </x:c>
      <x:c r="I30" s="2" t="n">
        <x:f>H32</x:f>
        <x:v>142446.95896864723</x:v>
      </x:c>
      <x:c r="J30" s="2" t="n">
        <x:f>I32</x:f>
        <x:v>139666.28177729849</x:v>
      </x:c>
      <x:c r="K30" s="2" t="n">
        <x:f>J32</x:f>
        <x:v>142023.32354093395</x:v>
      </x:c>
      <x:c r="L30" s="2" t="n">
        <x:f>K32</x:f>
        <x:v>120331.27075963301</x:v>
      </x:c>
      <x:c r="M30" s="2" t="n">
        <x:f>L32</x:f>
        <x:v>102119.65372531359</x:v>
      </x:c>
      <x:c r="N30" s="2" t="n">
        <x:f>M32</x:f>
        <x:v>78013.96277191749</x:v>
      </x:c>
      <x:c r="O30" s="2" t="n">
        <x:f>N32</x:f>
        <x:v>63462.872031917344</x:v>
      </x:c>
      <x:c r="P30" s="2" t="n">
        <x:f>O32</x:f>
        <x:v>62993.31548296338</x:v>
      </x:c>
      <x:c r="Q30" s="2" t="n">
        <x:f>P32</x:f>
        <x:v>64648.716643353335</x:v>
      </x:c>
      <x:c r="R30" s="2" t="n">
        <x:f>Q32</x:f>
        <x:v>41841.32197740312</x:v>
      </x:c>
      <x:c r="S30" s="2" t="n">
        <x:f>R32</x:f>
        <x:v>8470.289878697578</x:v>
      </x:c>
      <x:c r="T30" s="2" t="n">
        <x:f>S32</x:f>
        <x:v>0</x:v>
      </x:c>
      <x:c r="U30" s="2" t="n">
        <x:f>T32</x:f>
        <x:v>0</x:v>
      </x:c>
      <x:c r="V30" s="2" t="n">
        <x:f>U32</x:f>
        <x:v>0</x:v>
      </x:c>
      <x:c r="W30" s="2" t="n">
        <x:f>V32</x:f>
        <x:v>0</x:v>
      </x:c>
      <x:c r="X30" s="2" t="n">
        <x:f>W32</x:f>
        <x:v>0</x:v>
      </x:c>
      <x:c r="Y30" s="2" t="n">
        <x:f>X32</x:f>
        <x:v>0</x:v>
      </x:c>
      <x:c r="Z30" s="2" t="n">
        <x:f>Y32</x:f>
        <x:v>0</x:v>
      </x:c>
      <x:c r="AA30" s="2" t="n">
        <x:f>Z32</x:f>
        <x:v>0</x:v>
      </x:c>
      <x:c r="AB30" s="2" t="n">
        <x:f>AA32</x:f>
        <x:v>0</x:v>
      </x:c>
      <x:c r="AC30" s="2" t="n">
        <x:f>AB32</x:f>
        <x:v>0</x:v>
      </x:c>
      <x:c r="AD30" s="2" t="n">
        <x:f>AC32</x:f>
        <x:v>0</x:v>
      </x:c>
      <x:c r="AE30" s="2" t="n">
        <x:f>AD32</x:f>
        <x:v>0</x:v>
      </x:c>
      <x:c r="AF30" s="2" t="n">
        <x:f>AE32</x:f>
        <x:v>0</x:v>
      </x:c>
      <x:c r="AG30" s="2" t="n">
        <x:f>AF32</x:f>
        <x:v>0</x:v>
      </x:c>
      <x:c r="AH30" s="2" t="n">
        <x:f>AG32</x:f>
        <x:v>0</x:v>
      </x:c>
      <x:c r="AI30" s="2" t="n">
        <x:f>AH32</x:f>
        <x:v>0</x:v>
      </x:c>
      <x:c r="AJ30" s="2" t="n">
        <x:f>AI32</x:f>
        <x:v>0</x:v>
      </x:c>
      <x:c r="AK30" s="2" t="n">
        <x:f>AJ32</x:f>
        <x:v>0</x:v>
      </x:c>
      <x:c r="AL30" s="2" t="n">
        <x:f>AK32</x:f>
        <x:v>0</x:v>
      </x:c>
      <x:c r="AM30" s="2" t="n">
        <x:f>AL32</x:f>
        <x:v>0</x:v>
      </x:c>
      <x:c r="AN30" s="2"/>
    </x:row>
    <x:row r="31" ht="21" customHeight="1">
      <x:c r="A31" s="1"/>
      <x:c r="B31" s="1"/>
      <x:c r="C31" s="1" t="str">
        <x:v>Ordinary tax provision</x:v>
      </x:c>
      <x:c r="D31" s="11" t="n">
        <x:f>MAX(0,D29-D30)*'Assumptions'!$D$24</x:f>
        <x:v>0</x:v>
      </x:c>
      <x:c r="E31" s="11" t="n">
        <x:f>MAX(0,E29-E30)*'Assumptions'!$D$24</x:f>
        <x:v>0</x:v>
      </x:c>
      <x:c r="F31" s="11" t="n">
        <x:f>MAX(0,F29-F30)*'Assumptions'!$D$24</x:f>
        <x:v>0</x:v>
      </x:c>
      <x:c r="G31" s="11" t="n">
        <x:f>MAX(0,G29-G30)*'Assumptions'!$D$24</x:f>
        <x:v>0</x:v>
      </x:c>
      <x:c r="H31" s="11" t="n">
        <x:f>MAX(0,H29-H30)*'Assumptions'!$D$24</x:f>
        <x:v>0</x:v>
      </x:c>
      <x:c r="I31" s="11" t="n">
        <x:f>MAX(0,I29-I30)*'Assumptions'!$D$24</x:f>
        <x:v>0</x:v>
      </x:c>
      <x:c r="J31" s="11" t="n">
        <x:f>MAX(0,J29-J30)*'Assumptions'!$D$24</x:f>
        <x:v>0</x:v>
      </x:c>
      <x:c r="K31" s="11" t="n">
        <x:f>MAX(0,K29-K30)*'Assumptions'!$D$24</x:f>
        <x:v>0</x:v>
      </x:c>
      <x:c r="L31" s="11" t="n">
        <x:f>MAX(0,L29-L30)*'Assumptions'!$D$24</x:f>
        <x:v>0</x:v>
      </x:c>
      <x:c r="M31" s="11" t="n">
        <x:f>MAX(0,M29-M30)*'Assumptions'!$D$24</x:f>
        <x:v>0</x:v>
      </x:c>
      <x:c r="N31" s="11" t="n">
        <x:f>MAX(0,N29-N30)*'Assumptions'!$D$24</x:f>
        <x:v>0</x:v>
      </x:c>
      <x:c r="O31" s="11" t="n">
        <x:f>MAX(0,O29-O30)*'Assumptions'!$D$24</x:f>
        <x:v>0</x:v>
      </x:c>
      <x:c r="P31" s="11" t="n">
        <x:f>MAX(0,P29-P30)*'Assumptions'!$D$24</x:f>
        <x:v>0</x:v>
      </x:c>
      <x:c r="Q31" s="11" t="n">
        <x:f>MAX(0,Q29-Q30)*'Assumptions'!$D$24</x:f>
        <x:v>0</x:v>
      </x:c>
      <x:c r="R31" s="11" t="n">
        <x:f>MAX(0,R29-R30)*'Assumptions'!$D$24</x:f>
        <x:v>0</x:v>
      </x:c>
      <x:c r="S31" s="11" t="n">
        <x:f>MAX(0,S29-S30)*'Assumptions'!$D$24</x:f>
        <x:v>3255.101147809592</x:v>
      </x:c>
      <x:c r="T31" s="11" t="n">
        <x:f>MAX(0,T29-T30)*'Assumptions'!$D$24</x:f>
        <x:v>7563.322518551199</x:v>
      </x:c>
      <x:c r="U31" s="11" t="n">
        <x:f>MAX(0,U29-U30)*'Assumptions'!$D$24</x:f>
        <x:v>2908.180649478632</x:v>
      </x:c>
      <x:c r="V31" s="11" t="n">
        <x:f>MAX(0,V29-V30)*'Assumptions'!$D$24</x:f>
        <x:v>1374.0653045564209</x:v>
      </x:c>
      <x:c r="W31" s="11" t="n">
        <x:f>MAX(0,W29-W30)*'Assumptions'!$D$24</x:f>
        <x:v>8610.994045001835</x:v>
      </x:c>
      <x:c r="X31" s="11" t="n">
        <x:f>MAX(0,X29-X30)*'Assumptions'!$D$24</x:f>
        <x:v>7562.061757803569</x:v>
      </x:c>
      <x:c r="Y31" s="11" t="n">
        <x:f>MAX(0,Y29-Y30)*'Assumptions'!$D$24</x:f>
        <x:v>9332.129628052011</x:v>
      </x:c>
      <x:c r="Z31" s="11" t="n">
        <x:f>MAX(0,Z29-Z30)*'Assumptions'!$D$24</x:f>
        <x:v>6456.5209338852355</x:v>
      </x:c>
      <x:c r="AA31" s="11" t="n">
        <x:f>MAX(0,AA29-AA30)*'Assumptions'!$D$24</x:f>
        <x:v>2225.668723705754</x:v>
      </x:c>
      <x:c r="AB31" s="11" t="n">
        <x:f>MAX(0,AB29-AB30)*'Assumptions'!$D$24</x:f>
        <x:v>1655.0137709028866</x:v>
      </x:c>
      <x:c r="AC31" s="11" t="n">
        <x:f>MAX(0,AC29-AC30)*'Assumptions'!$D$24</x:f>
        <x:v>7800.26855782617</x:v>
      </x:c>
      <x:c r="AD31" s="11" t="n">
        <x:f>MAX(0,AD29-AD30)*'Assumptions'!$D$24</x:f>
        <x:v>12181.512181365717</x:v>
      </x:c>
      <x:c r="AE31" s="11" t="n">
        <x:f>MAX(0,AE29-AE30)*'Assumptions'!$D$24</x:f>
        <x:v>8312.475533555029</x:v>
      </x:c>
      <x:c r="AF31" s="11" t="n">
        <x:f>MAX(0,AF29-AF30)*'Assumptions'!$D$24</x:f>
        <x:v>10566.500455703006</x:v>
      </x:c>
      <x:c r="AG31" s="11" t="n">
        <x:f>MAX(0,AG29-AG30)*'Assumptions'!$D$24</x:f>
        <x:v>5394.310232553693</x:v>
      </x:c>
      <x:c r="AH31" s="11" t="n">
        <x:f>MAX(0,AH29-AH30)*'Assumptions'!$D$24</x:f>
        <x:v>3695.864520826927</x:v>
      </x:c>
      <x:c r="AI31" s="11" t="n">
        <x:f>MAX(0,AI29-AI30)*'Assumptions'!$D$24</x:f>
        <x:v>11759.633070509062</x:v>
      </x:c>
      <x:c r="AJ31" s="11" t="n">
        <x:f>MAX(0,AJ29-AJ30)*'Assumptions'!$D$24</x:f>
        <x:v>10601.280696164557</x:v>
      </x:c>
      <x:c r="AK31" s="11" t="n">
        <x:f>MAX(0,AK29-AK30)*'Assumptions'!$D$24</x:f>
        <x:v>12580.518103144406</x:v>
      </x:c>
      <x:c r="AL31" s="11" t="n">
        <x:f>MAX(0,AL29-AL30)*'Assumptions'!$D$24</x:f>
        <x:v>9389.160307365966</x:v>
      </x:c>
      <x:c r="AM31" s="11" t="n">
        <x:f>MAX(0,AM29-AM30)*'Assumptions'!$D$24</x:f>
        <x:v>4689.4595000598865</x:v>
      </x:c>
      <x:c r="AN31" s="2"/>
    </x:row>
    <x:row r="32" ht="21" customHeight="1">
      <x:c r="A32" s="1"/>
      <x:c r="B32" s="1"/>
      <x:c r="C32" s="1" t="str">
        <x:v>Closing tax loss allowance</x:v>
      </x:c>
      <x:c r="D32" s="2" t="n">
        <x:f>IF(D33=1,0,MAX(0,D30-D29))</x:f>
        <x:v>139584.54075440008</x:v>
      </x:c>
      <x:c r="E32" s="2" t="n">
        <x:f>IF(E33=1,0,MAX(0,E30-E29))</x:f>
        <x:v>159575.25171975617</x:v>
      </x:c>
      <x:c r="F32" s="2" t="n">
        <x:f>IF(F33=1,0,MAX(0,F30-F29))</x:f>
        <x:v>156710.33232062418</x:v>
      </x:c>
      <x:c r="G32" s="2" t="n">
        <x:f>IF(G33=1,0,MAX(0,G30-G29))</x:f>
        <x:v>155280.45203305516</x:v>
      </x:c>
      <x:c r="H32" s="2" t="n">
        <x:f>IF(H33=1,0,MAX(0,H30-H29))</x:f>
        <x:v>142446.95896864723</x:v>
      </x:c>
      <x:c r="I32" s="2" t="n">
        <x:f>IF(I33=1,0,MAX(0,I30-I29))</x:f>
        <x:v>139666.28177729849</x:v>
      </x:c>
      <x:c r="J32" s="2" t="n">
        <x:f>IF(J33=1,0,MAX(0,J30-J29))</x:f>
        <x:v>142023.32354093395</x:v>
      </x:c>
      <x:c r="K32" s="2" t="n">
        <x:f>IF(K33=1,0,MAX(0,K30-K29))</x:f>
        <x:v>120331.27075963301</x:v>
      </x:c>
      <x:c r="L32" s="2" t="n">
        <x:f>IF(L33=1,0,MAX(0,L30-L29))</x:f>
        <x:v>102119.65372531359</x:v>
      </x:c>
      <x:c r="M32" s="2" t="n">
        <x:f>IF(M33=1,0,MAX(0,M30-M29))</x:f>
        <x:v>78013.96277191749</x:v>
      </x:c>
      <x:c r="N32" s="2" t="n">
        <x:f>IF(N33=1,0,MAX(0,N30-N29))</x:f>
        <x:v>63462.872031917344</x:v>
      </x:c>
      <x:c r="O32" s="2" t="n">
        <x:f>IF(O33=1,0,MAX(0,O30-O29))</x:f>
        <x:v>62993.31548296338</x:v>
      </x:c>
      <x:c r="P32" s="2" t="n">
        <x:f>IF(P33=1,0,MAX(0,P30-P29))</x:f>
        <x:v>64648.716643353335</x:v>
      </x:c>
      <x:c r="Q32" s="2" t="n">
        <x:f>IF(Q33=1,0,MAX(0,Q30-Q29))</x:f>
        <x:v>41841.32197740312</x:v>
      </x:c>
      <x:c r="R32" s="2" t="n">
        <x:f>IF(R33=1,0,MAX(0,R30-R29))</x:f>
        <x:v>8470.289878697578</x:v>
      </x:c>
      <x:c r="S32" s="2" t="n">
        <x:f>IF(S33=1,0,MAX(0,S30-S29))</x:f>
        <x:v>0</x:v>
      </x:c>
      <x:c r="T32" s="2" t="n">
        <x:f>IF(T33=1,0,MAX(0,T30-T29))</x:f>
        <x:v>0</x:v>
      </x:c>
      <x:c r="U32" s="2" t="n">
        <x:f>IF(U33=1,0,MAX(0,U30-U29))</x:f>
        <x:v>0</x:v>
      </x:c>
      <x:c r="V32" s="2" t="n">
        <x:f>IF(V33=1,0,MAX(0,V30-V29))</x:f>
        <x:v>0</x:v>
      </x:c>
      <x:c r="W32" s="2" t="n">
        <x:f>IF(W33=1,0,MAX(0,W30-W29))</x:f>
        <x:v>0</x:v>
      </x:c>
      <x:c r="X32" s="2" t="n">
        <x:f>IF(X33=1,0,MAX(0,X30-X29))</x:f>
        <x:v>0</x:v>
      </x:c>
      <x:c r="Y32" s="2" t="n">
        <x:f>IF(Y33=1,0,MAX(0,Y30-Y29))</x:f>
        <x:v>0</x:v>
      </x:c>
      <x:c r="Z32" s="2" t="n">
        <x:f>IF(Z33=1,0,MAX(0,Z30-Z29))</x:f>
        <x:v>0</x:v>
      </x:c>
      <x:c r="AA32" s="2" t="n">
        <x:f>IF(AA33=1,0,MAX(0,AA30-AA29))</x:f>
        <x:v>0</x:v>
      </x:c>
      <x:c r="AB32" s="2" t="n">
        <x:f>IF(AB33=1,0,MAX(0,AB30-AB29))</x:f>
        <x:v>0</x:v>
      </x:c>
      <x:c r="AC32" s="2" t="n">
        <x:f>IF(AC33=1,0,MAX(0,AC30-AC29))</x:f>
        <x:v>0</x:v>
      </x:c>
      <x:c r="AD32" s="2" t="n">
        <x:f>IF(AD33=1,0,MAX(0,AD30-AD29))</x:f>
        <x:v>0</x:v>
      </x:c>
      <x:c r="AE32" s="2" t="n">
        <x:f>IF(AE33=1,0,MAX(0,AE30-AE29))</x:f>
        <x:v>0</x:v>
      </x:c>
      <x:c r="AF32" s="2" t="n">
        <x:f>IF(AF33=1,0,MAX(0,AF30-AF29))</x:f>
        <x:v>0</x:v>
      </x:c>
      <x:c r="AG32" s="2" t="n">
        <x:f>IF(AG33=1,0,MAX(0,AG30-AG29))</x:f>
        <x:v>0</x:v>
      </x:c>
      <x:c r="AH32" s="2" t="n">
        <x:f>IF(AH33=1,0,MAX(0,AH30-AH29))</x:f>
        <x:v>0</x:v>
      </x:c>
      <x:c r="AI32" s="2" t="n">
        <x:f>IF(AI33=1,0,MAX(0,AI30-AI29))</x:f>
        <x:v>0</x:v>
      </x:c>
      <x:c r="AJ32" s="2" t="n">
        <x:f>IF(AJ33=1,0,MAX(0,AJ30-AJ29))</x:f>
        <x:v>0</x:v>
      </x:c>
      <x:c r="AK32" s="2" t="n">
        <x:f>IF(AK33=1,0,MAX(0,AK30-AK29))</x:f>
        <x:v>0</x:v>
      </x:c>
      <x:c r="AL32" s="2" t="n">
        <x:f>IF(AL33=1,0,MAX(0,AL30-AL29))</x:f>
        <x:v>0</x:v>
      </x:c>
      <x:c r="AM32" s="2" t="n">
        <x:f>IF(AM33=1,0,MAX(0,AM30-AM29))</x:f>
        <x:v>0</x:v>
      </x:c>
      <x:c r="AN32" s="2"/>
    </x:row>
    <x:row r="33" ht="21" customHeight="1">
      <x:c r="A33" s="1"/>
      <x:c r="B33" s="1"/>
      <x:c r="C33" s="1" t="str">
        <x:v>Tax regime 1 TT 0 ordinary</x:v>
      </x:c>
      <x:c r="D33" s="11" t="n">
        <x:f>INDEX('Annual tax'!$D$9:$F$9,1,D7)</x:f>
        <x:v>0</x:v>
      </x:c>
      <x:c r="E33" s="11" t="n">
        <x:f>INDEX('Annual tax'!$D$9:$F$9,1,E7)</x:f>
        <x:v>0</x:v>
      </x:c>
      <x:c r="F33" s="11" t="n">
        <x:f>INDEX('Annual tax'!$D$9:$F$9,1,F7)</x:f>
        <x:v>0</x:v>
      </x:c>
      <x:c r="G33" s="11" t="n">
        <x:f>INDEX('Annual tax'!$D$9:$F$9,1,G7)</x:f>
        <x:v>0</x:v>
      </x:c>
      <x:c r="H33" s="11" t="n">
        <x:f>INDEX('Annual tax'!$D$9:$F$9,1,H7)</x:f>
        <x:v>0</x:v>
      </x:c>
      <x:c r="I33" s="11" t="n">
        <x:f>INDEX('Annual tax'!$D$9:$F$9,1,I7)</x:f>
        <x:v>0</x:v>
      </x:c>
      <x:c r="J33" s="11" t="n">
        <x:f>INDEX('Annual tax'!$D$9:$F$9,1,J7)</x:f>
        <x:v>0</x:v>
      </x:c>
      <x:c r="K33" s="11" t="n">
        <x:f>INDEX('Annual tax'!$D$9:$F$9,1,K7)</x:f>
        <x:v>0</x:v>
      </x:c>
      <x:c r="L33" s="11" t="n">
        <x:f>INDEX('Annual tax'!$D$9:$F$9,1,L7)</x:f>
        <x:v>0</x:v>
      </x:c>
      <x:c r="M33" s="11" t="n">
        <x:f>INDEX('Annual tax'!$D$9:$F$9,1,M7)</x:f>
        <x:v>0</x:v>
      </x:c>
      <x:c r="N33" s="11" t="n">
        <x:f>INDEX('Annual tax'!$D$9:$F$9,1,N7)</x:f>
        <x:v>0</x:v>
      </x:c>
      <x:c r="O33" s="11" t="n">
        <x:f>INDEX('Annual tax'!$D$9:$F$9,1,O7)</x:f>
        <x:v>0</x:v>
      </x:c>
      <x:c r="P33" s="11" t="n">
        <x:f>INDEX('Annual tax'!$D$9:$F$9,1,P7)</x:f>
        <x:v>0</x:v>
      </x:c>
      <x:c r="Q33" s="11" t="n">
        <x:f>INDEX('Annual tax'!$D$9:$F$9,1,Q7)</x:f>
        <x:v>0</x:v>
      </x:c>
      <x:c r="R33" s="11" t="n">
        <x:f>INDEX('Annual tax'!$D$9:$F$9,1,R7)</x:f>
        <x:v>0</x:v>
      </x:c>
      <x:c r="S33" s="11" t="n">
        <x:f>INDEX('Annual tax'!$D$9:$F$9,1,S7)</x:f>
        <x:v>0</x:v>
      </x:c>
      <x:c r="T33" s="11" t="n">
        <x:f>INDEX('Annual tax'!$D$9:$F$9,1,T7)</x:f>
        <x:v>0</x:v>
      </x:c>
      <x:c r="U33" s="11" t="n">
        <x:f>INDEX('Annual tax'!$D$9:$F$9,1,U7)</x:f>
        <x:v>0</x:v>
      </x:c>
      <x:c r="V33" s="11" t="n">
        <x:f>INDEX('Annual tax'!$D$9:$F$9,1,V7)</x:f>
        <x:v>0</x:v>
      </x:c>
      <x:c r="W33" s="11" t="n">
        <x:f>INDEX('Annual tax'!$D$9:$F$9,1,W7)</x:f>
        <x:v>0</x:v>
      </x:c>
      <x:c r="X33" s="11" t="n">
        <x:f>INDEX('Annual tax'!$D$9:$F$9,1,X7)</x:f>
        <x:v>0</x:v>
      </x:c>
      <x:c r="Y33" s="11" t="n">
        <x:f>INDEX('Annual tax'!$D$9:$F$9,1,Y7)</x:f>
        <x:v>0</x:v>
      </x:c>
      <x:c r="Z33" s="11" t="n">
        <x:f>INDEX('Annual tax'!$D$9:$F$9,1,Z7)</x:f>
        <x:v>0</x:v>
      </x:c>
      <x:c r="AA33" s="11" t="n">
        <x:f>INDEX('Annual tax'!$D$9:$F$9,1,AA7)</x:f>
        <x:v>0</x:v>
      </x:c>
      <x:c r="AB33" s="11" t="n">
        <x:f>INDEX('Annual tax'!$D$9:$F$9,1,AB7)</x:f>
        <x:v>0</x:v>
      </x:c>
      <x:c r="AC33" s="11" t="n">
        <x:f>INDEX('Annual tax'!$D$9:$F$9,1,AC7)</x:f>
        <x:v>0</x:v>
      </x:c>
      <x:c r="AD33" s="11" t="n">
        <x:f>INDEX('Annual tax'!$D$9:$F$9,1,AD7)</x:f>
        <x:v>0</x:v>
      </x:c>
      <x:c r="AE33" s="11" t="n">
        <x:f>INDEX('Annual tax'!$D$9:$F$9,1,AE7)</x:f>
        <x:v>0</x:v>
      </x:c>
      <x:c r="AF33" s="11" t="n">
        <x:f>INDEX('Annual tax'!$D$9:$F$9,1,AF7)</x:f>
        <x:v>0</x:v>
      </x:c>
      <x:c r="AG33" s="11" t="n">
        <x:f>INDEX('Annual tax'!$D$9:$F$9,1,AG7)</x:f>
        <x:v>0</x:v>
      </x:c>
      <x:c r="AH33" s="11" t="n">
        <x:f>INDEX('Annual tax'!$D$9:$F$9,1,AH7)</x:f>
        <x:v>0</x:v>
      </x:c>
      <x:c r="AI33" s="11" t="n">
        <x:f>INDEX('Annual tax'!$D$9:$F$9,1,AI7)</x:f>
        <x:v>0</x:v>
      </x:c>
      <x:c r="AJ33" s="11" t="n">
        <x:f>INDEX('Annual tax'!$D$9:$F$9,1,AJ7)</x:f>
        <x:v>0</x:v>
      </x:c>
      <x:c r="AK33" s="11" t="n">
        <x:f>INDEX('Annual tax'!$D$9:$F$9,1,AK7)</x:f>
        <x:v>0</x:v>
      </x:c>
      <x:c r="AL33" s="11" t="n">
        <x:f>INDEX('Annual tax'!$D$9:$F$9,1,AL7)</x:f>
        <x:v>0</x:v>
      </x:c>
      <x:c r="AM33" s="11" t="n">
        <x:f>INDEX('Annual tax'!$D$9:$F$9,1,AM7)</x:f>
        <x:v>0</x:v>
      </x:c>
      <x:c r="AN33" s="2"/>
    </x:row>
    <x:row r="34" ht="21" customHeight="1">
      <x:c r="A34" s="1"/>
      <x:c r="B34" s="1"/>
      <x:c r="C34" s="1" t="str">
        <x:v>Conditional turnover tax</x:v>
      </x:c>
      <x:c r="D34" s="11" t="n">
        <x:f>INDEX('Annual tax'!$D$8:$F$8,1,D7)*D15/INDEX('Annual tax'!$D$6:$F$6,1,D7)</x:f>
        <x:v>1288.6035497065736</x:v>
      </x:c>
      <x:c r="E34" s="11" t="n">
        <x:f>INDEX('Annual tax'!$D$8:$F$8,1,E7)*E15/INDEX('Annual tax'!$D$6:$F$6,1,E7)</x:f>
        <x:v>1999.7917844713156</x:v>
      </x:c>
      <x:c r="F34" s="11" t="n">
        <x:f>INDEX('Annual tax'!$D$8:$F$8,1,F7)*F15/INDEX('Annual tax'!$D$6:$F$6,1,F7)</x:f>
        <x:v>2641.6372768984756</x:v>
      </x:c>
      <x:c r="G34" s="11" t="n">
        <x:f>INDEX('Annual tax'!$D$8:$F$8,1,G7)*G15/INDEX('Annual tax'!$D$6:$F$6,1,G7)</x:f>
        <x:v>2601.769923674416</x:v>
      </x:c>
      <x:c r="H34" s="11" t="n">
        <x:f>INDEX('Annual tax'!$D$8:$F$8,1,H7)*H15/INDEX('Annual tax'!$D$6:$F$6,1,H7)</x:f>
        <x:v>2921.322820073425</x:v>
      </x:c>
      <x:c r="I34" s="11" t="n">
        <x:f>INDEX('Annual tax'!$D$8:$F$8,1,I7)*I15/INDEX('Annual tax'!$D$6:$F$6,1,I7)</x:f>
        <x:v>2635.7799880361736</x:v>
      </x:c>
      <x:c r="J34" s="11" t="n">
        <x:f>INDEX('Annual tax'!$D$8:$F$8,1,J7)*J15/INDEX('Annual tax'!$D$6:$F$6,1,J7)</x:f>
        <x:v>2489.3477664786074</x:v>
      </x:c>
      <x:c r="K34" s="11" t="n">
        <x:f>INDEX('Annual tax'!$D$8:$F$8,1,K7)*K15/INDEX('Annual tax'!$D$6:$F$6,1,K7)</x:f>
        <x:v>3162.935985643408</x:v>
      </x:c>
      <x:c r="L34" s="11" t="n">
        <x:f>INDEX('Annual tax'!$D$8:$F$8,1,L7)*L15/INDEX('Annual tax'!$D$6:$F$6,1,L7)</x:f>
        <x:v>3060.9057925581374</x:v>
      </x:c>
      <x:c r="M34" s="11" t="n">
        <x:f>INDEX('Annual tax'!$D$8:$F$8,1,M7)*M15/INDEX('Annual tax'!$D$6:$F$6,1,M7)</x:f>
        <x:v>3221.508874266434</x:v>
      </x:c>
      <x:c r="N34" s="11" t="n">
        <x:f>INDEX('Annual tax'!$D$8:$F$8,1,N7)*N15/INDEX('Annual tax'!$D$6:$F$6,1,N7)</x:f>
        <x:v>2947.5389113522797</x:v>
      </x:c>
      <x:c r="O34" s="11" t="n">
        <x:f>INDEX('Annual tax'!$D$8:$F$8,1,O7)*O15/INDEX('Annual tax'!$D$6:$F$6,1,O7)</x:f>
        <x:v>2547.920655101634</x:v>
      </x:c>
      <x:c r="P34" s="11" t="n">
        <x:f>INDEX('Annual tax'!$D$8:$F$8,1,P7)*P15/INDEX('Annual tax'!$D$6:$F$6,1,P7)</x:f>
        <x:v>3048.1229057944383</x:v>
      </x:c>
      <x:c r="Q34" s="11" t="n">
        <x:f>INDEX('Annual tax'!$D$8:$F$8,1,Q7)*Q15/INDEX('Annual tax'!$D$6:$F$6,1,Q7)</x:f>
        <x:v>3849.4842503823315</x:v>
      </x:c>
      <x:c r="R34" s="11" t="n">
        <x:f>INDEX('Annual tax'!$D$8:$F$8,1,R7)*R15/INDEX('Annual tax'!$D$6:$F$6,1,R7)</x:f>
        <x:v>4191.168995467353</x:v>
      </x:c>
      <x:c r="S34" s="11" t="n">
        <x:f>INDEX('Annual tax'!$D$8:$F$8,1,S7)*S15/INDEX('Annual tax'!$D$6:$F$6,1,S7)</x:f>
        <x:v>3760.990359568944</x:v>
      </x:c>
      <x:c r="T34" s="11" t="n">
        <x:f>INDEX('Annual tax'!$D$8:$F$8,1,T7)*T15/INDEX('Annual tax'!$D$6:$F$6,1,T7)</x:f>
        <x:v>4000.661313855201</x:v>
      </x:c>
      <x:c r="U34" s="11" t="n">
        <x:f>INDEX('Annual tax'!$D$8:$F$8,1,U7)*U15/INDEX('Annual tax'!$D$6:$F$6,1,U7)</x:f>
        <x:v>3429.1382690187434</x:v>
      </x:c>
      <x:c r="V34" s="11" t="n">
        <x:f>INDEX('Annual tax'!$D$8:$F$8,1,V7)*V15/INDEX('Annual tax'!$D$6:$F$6,1,V7)</x:f>
        <x:v>3238.6305874065906</x:v>
      </x:c>
      <x:c r="W34" s="11" t="n">
        <x:f>INDEX('Annual tax'!$D$8:$F$8,1,W7)*W15/INDEX('Annual tax'!$D$6:$F$6,1,W7)</x:f>
        <x:v>4114.965922822493</x:v>
      </x:c>
      <x:c r="X34" s="11" t="n">
        <x:f>INDEX('Annual tax'!$D$8:$F$8,1,X7)*X15/INDEX('Annual tax'!$D$6:$F$6,1,X7)</x:f>
        <x:v>3982.225086602412</x:v>
      </x:c>
      <x:c r="Y34" s="11" t="n">
        <x:f>INDEX('Annual tax'!$D$8:$F$8,1,Y7)*Y15/INDEX('Annual tax'!$D$6:$F$6,1,Y7)</x:f>
        <x:v>4191.168995467353</x:v>
      </x:c>
      <x:c r="Z34" s="11" t="n">
        <x:f>INDEX('Annual tax'!$D$8:$F$8,1,Z7)*Z15/INDEX('Annual tax'!$D$6:$F$6,1,Z7)</x:f>
        <x:v>3834.7352685801006</x:v>
      </x:c>
      <x:c r="AA34" s="11" t="n">
        <x:f>INDEX('Annual tax'!$D$8:$F$8,1,AA7)*AA15/INDEX('Annual tax'!$D$6:$F$6,1,AA7)</x:f>
        <x:v>3314.8336600514517</x:v>
      </x:c>
      <x:c r="AB34" s="11" t="n">
        <x:f>INDEX('Annual tax'!$D$8:$F$8,1,AB7)*AB15/INDEX('Annual tax'!$D$6:$F$6,1,AB7)</x:f>
        <x:v>3612.656006028755</x:v>
      </x:c>
      <x:c r="AC34" s="11" t="n">
        <x:f>INDEX('Annual tax'!$D$8:$F$8,1,AC7)*AC15/INDEX('Annual tax'!$D$6:$F$6,1,AC7)</x:f>
        <x:v>4405.109581544741</x:v>
      </x:c>
      <x:c r="AD34" s="11" t="n">
        <x:f>INDEX('Annual tax'!$D$8:$F$8,1,AD7)*AD15/INDEX('Annual tax'!$D$6:$F$6,1,AD7)</x:f>
        <x:v>4967.402008289538</x:v>
      </x:c>
      <x:c r="AE34" s="11" t="n">
        <x:f>INDEX('Annual tax'!$D$8:$F$8,1,AE7)*AE15/INDEX('Annual tax'!$D$6:$F$6,1,AE7)</x:f>
        <x:v>4457.551362277417</x:v>
      </x:c>
      <x:c r="AF34" s="11" t="n">
        <x:f>INDEX('Annual tax'!$D$8:$F$8,1,AF7)*AF15/INDEX('Annual tax'!$D$6:$F$6,1,AF7)</x:f>
        <x:v>4741.611007912742</x:v>
      </x:c>
      <x:c r="AG34" s="11" t="n">
        <x:f>INDEX('Annual tax'!$D$8:$F$8,1,AG7)*AG15/INDEX('Annual tax'!$D$6:$F$6,1,AG7)</x:f>
        <x:v>4064.23800678235</x:v>
      </x:c>
      <x:c r="AH34" s="11" t="n">
        <x:f>INDEX('Annual tax'!$D$8:$F$8,1,AH7)*AH15/INDEX('Annual tax'!$D$6:$F$6,1,AH7)</x:f>
        <x:v>3838.4470064055527</x:v>
      </x:c>
      <x:c r="AI34" s="11" t="n">
        <x:f>INDEX('Annual tax'!$D$8:$F$8,1,AI7)*AI15/INDEX('Annual tax'!$D$6:$F$6,1,AI7)</x:f>
        <x:v>4877.08560813882</x:v>
      </x:c>
      <x:c r="AJ34" s="11" t="n">
        <x:f>INDEX('Annual tax'!$D$8:$F$8,1,AJ7)*AJ15/INDEX('Annual tax'!$D$6:$F$6,1,AJ7)</x:f>
        <x:v>4719.760265940794</x:v>
      </x:c>
      <x:c r="AK34" s="11" t="n">
        <x:f>INDEX('Annual tax'!$D$8:$F$8,1,AK7)*AK15/INDEX('Annual tax'!$D$6:$F$6,1,AK7)</x:f>
        <x:v>4967.402008289538</x:v>
      </x:c>
      <x:c r="AL34" s="11" t="n">
        <x:f>INDEX('Annual tax'!$D$8:$F$8,1,AL7)*AL15/INDEX('Annual tax'!$D$6:$F$6,1,AL7)</x:f>
        <x:v>4544.95433016521</x:v>
      </x:c>
      <x:c r="AM34" s="11" t="n">
        <x:f>INDEX('Annual tax'!$D$8:$F$8,1,AM7)*AM15/INDEX('Annual tax'!$D$6:$F$6,1,AM7)</x:f>
        <x:v>3928.7634065562715</x:v>
      </x:c>
      <x:c r="AN34" s="2"/>
    </x:row>
    <x:row r="35" ht="21" customHeight="1">
      <x:c r="A35" s="1"/>
      <x:c r="B35" s="1"/>
      <x:c r="C35" s="1" t="str">
        <x:v>Selected tax provision</x:v>
      </x:c>
      <x:c r="D35" s="2" t="n">
        <x:f>IF(D33=1,D34,D31)</x:f>
        <x:v>0</x:v>
      </x:c>
      <x:c r="E35" s="2" t="n">
        <x:f>IF(E33=1,E34,E31)</x:f>
        <x:v>0</x:v>
      </x:c>
      <x:c r="F35" s="2" t="n">
        <x:f>IF(F33=1,F34,F31)</x:f>
        <x:v>0</x:v>
      </x:c>
      <x:c r="G35" s="2" t="n">
        <x:f>IF(G33=1,G34,G31)</x:f>
        <x:v>0</x:v>
      </x:c>
      <x:c r="H35" s="2" t="n">
        <x:f>IF(H33=1,H34,H31)</x:f>
        <x:v>0</x:v>
      </x:c>
      <x:c r="I35" s="2" t="n">
        <x:f>IF(I33=1,I34,I31)</x:f>
        <x:v>0</x:v>
      </x:c>
      <x:c r="J35" s="2" t="n">
        <x:f>IF(J33=1,J34,J31)</x:f>
        <x:v>0</x:v>
      </x:c>
      <x:c r="K35" s="2" t="n">
        <x:f>IF(K33=1,K34,K31)</x:f>
        <x:v>0</x:v>
      </x:c>
      <x:c r="L35" s="2" t="n">
        <x:f>IF(L33=1,L34,L31)</x:f>
        <x:v>0</x:v>
      </x:c>
      <x:c r="M35" s="2" t="n">
        <x:f>IF(M33=1,M34,M31)</x:f>
        <x:v>0</x:v>
      </x:c>
      <x:c r="N35" s="2" t="n">
        <x:f>IF(N33=1,N34,N31)</x:f>
        <x:v>0</x:v>
      </x:c>
      <x:c r="O35" s="2" t="n">
        <x:f>IF(O33=1,O34,O31)</x:f>
        <x:v>0</x:v>
      </x:c>
      <x:c r="P35" s="2" t="n">
        <x:f>IF(P33=1,P34,P31)</x:f>
        <x:v>0</x:v>
      </x:c>
      <x:c r="Q35" s="2" t="n">
        <x:f>IF(Q33=1,Q34,Q31)</x:f>
        <x:v>0</x:v>
      </x:c>
      <x:c r="R35" s="2" t="n">
        <x:f>IF(R33=1,R34,R31)</x:f>
        <x:v>0</x:v>
      </x:c>
      <x:c r="S35" s="2" t="n">
        <x:f>IF(S33=1,S34,S31)</x:f>
        <x:v>3255.101147809592</x:v>
      </x:c>
      <x:c r="T35" s="2" t="n">
        <x:f>IF(T33=1,T34,T31)</x:f>
        <x:v>7563.322518551199</x:v>
      </x:c>
      <x:c r="U35" s="2" t="n">
        <x:f>IF(U33=1,U34,U31)</x:f>
        <x:v>2908.180649478632</x:v>
      </x:c>
      <x:c r="V35" s="2" t="n">
        <x:f>IF(V33=1,V34,V31)</x:f>
        <x:v>1374.0653045564209</x:v>
      </x:c>
      <x:c r="W35" s="2" t="n">
        <x:f>IF(W33=1,W34,W31)</x:f>
        <x:v>8610.994045001835</x:v>
      </x:c>
      <x:c r="X35" s="2" t="n">
        <x:f>IF(X33=1,X34,X31)</x:f>
        <x:v>7562.061757803569</x:v>
      </x:c>
      <x:c r="Y35" s="2" t="n">
        <x:f>IF(Y33=1,Y34,Y31)</x:f>
        <x:v>9332.129628052011</x:v>
      </x:c>
      <x:c r="Z35" s="2" t="n">
        <x:f>IF(Z33=1,Z34,Z31)</x:f>
        <x:v>6456.5209338852355</x:v>
      </x:c>
      <x:c r="AA35" s="2" t="n">
        <x:f>IF(AA33=1,AA34,AA31)</x:f>
        <x:v>2225.668723705754</x:v>
      </x:c>
      <x:c r="AB35" s="2" t="n">
        <x:f>IF(AB33=1,AB34,AB31)</x:f>
        <x:v>1655.0137709028866</x:v>
      </x:c>
      <x:c r="AC35" s="2" t="n">
        <x:f>IF(AC33=1,AC34,AC31)</x:f>
        <x:v>7800.26855782617</x:v>
      </x:c>
      <x:c r="AD35" s="2" t="n">
        <x:f>IF(AD33=1,AD34,AD31)</x:f>
        <x:v>12181.512181365717</x:v>
      </x:c>
      <x:c r="AE35" s="2" t="n">
        <x:f>IF(AE33=1,AE34,AE31)</x:f>
        <x:v>8312.475533555029</x:v>
      </x:c>
      <x:c r="AF35" s="2" t="n">
        <x:f>IF(AF33=1,AF34,AF31)</x:f>
        <x:v>10566.500455703006</x:v>
      </x:c>
      <x:c r="AG35" s="2" t="n">
        <x:f>IF(AG33=1,AG34,AG31)</x:f>
        <x:v>5394.310232553693</x:v>
      </x:c>
      <x:c r="AH35" s="2" t="n">
        <x:f>IF(AH33=1,AH34,AH31)</x:f>
        <x:v>3695.864520826927</x:v>
      </x:c>
      <x:c r="AI35" s="2" t="n">
        <x:f>IF(AI33=1,AI34,AI31)</x:f>
        <x:v>11759.633070509062</x:v>
      </x:c>
      <x:c r="AJ35" s="2" t="n">
        <x:f>IF(AJ33=1,AJ34,AJ31)</x:f>
        <x:v>10601.280696164557</x:v>
      </x:c>
      <x:c r="AK35" s="2" t="n">
        <x:f>IF(AK33=1,AK34,AK31)</x:f>
        <x:v>12580.518103144406</x:v>
      </x:c>
      <x:c r="AL35" s="2" t="n">
        <x:f>IF(AL33=1,AL34,AL31)</x:f>
        <x:v>9389.160307365966</x:v>
      </x:c>
      <x:c r="AM35" s="2" t="n">
        <x:f>IF(AM33=1,AM34,AM31)</x:f>
        <x:v>4689.4595000598865</x:v>
      </x:c>
      <x:c r="AN35" s="2"/>
    </x:row>
    <x:row r="36" ht="21" customHeight="1">
      <x:c r="A36" s="1"/>
      <x:c r="B36" s="1"/>
      <x:c r="C36" s="27" t="str">
        <x:v>Profit after tax</x:v>
      </x:c>
      <x:c r="D36" s="28" t="n">
        <x:f>D29-D35</x:f>
        <x:v>-45317.149450052246</x:v>
      </x:c>
      <x:c r="E36" s="28" t="n">
        <x:f>E29-E35</x:f>
        <x:v>-19990.710965356087</x:v>
      </x:c>
      <x:c r="F36" s="28" t="n">
        <x:f>F29-F35</x:f>
        <x:v>2864.9193991319908</x:v>
      </x:c>
      <x:c r="G36" s="28" t="n">
        <x:f>G29-G35</x:f>
        <x:v>1429.8802875690262</x:v>
      </x:c>
      <x:c r="H36" s="28" t="n">
        <x:f>H29-H35</x:f>
        <x:v>12833.493064407918</x:v>
      </x:c>
      <x:c r="I36" s="28" t="n">
        <x:f>I29-I35</x:f>
        <x:v>2780.6771913487582</x:v>
      </x:c>
      <x:c r="J36" s="28" t="n">
        <x:f>J29-J35</x:f>
        <x:v>-2357.0417636354696</x:v>
      </x:c>
      <x:c r="K36" s="28" t="n">
        <x:f>K29-K35</x:f>
        <x:v>21692.05278130094</x:v>
      </x:c>
      <x:c r="L36" s="28" t="n">
        <x:f>L29-L35</x:f>
        <x:v>18211.617034319424</x:v>
      </x:c>
      <x:c r="M36" s="28" t="n">
        <x:f>M29-M35</x:f>
        <x:v>24105.6909533961</x:v>
      </x:c>
      <x:c r="N36" s="28" t="n">
        <x:f>N29-N35</x:f>
        <x:v>14551.090740000145</x:v>
      </x:c>
      <x:c r="O36" s="28" t="n">
        <x:f>O29-O35</x:f>
        <x:v>469.55654895396765</x:v>
      </x:c>
      <x:c r="P36" s="28" t="n">
        <x:f>P29-P35</x:f>
        <x:v>-1655.4011603899553</x:v>
      </x:c>
      <x:c r="Q36" s="28" t="n">
        <x:f>Q29-Q35</x:f>
        <x:v>22807.394665950214</x:v>
      </x:c>
      <x:c r="R36" s="28" t="n">
        <x:f>R29-R35</x:f>
        <x:v>33371.03209870554</x:v>
      </x:c>
      <x:c r="S36" s="28" t="n">
        <x:f>S29-S35</x:f>
        <x:v>17271.118907960546</x:v>
      </x:c>
      <x:c r="T36" s="28" t="n">
        <x:f>T29-T35</x:f>
        <x:v>20448.9831057125</x:v>
      </x:c>
      <x:c r="U36" s="28" t="n">
        <x:f>U29-U35</x:f>
        <x:v>7862.8587930348185</x:v>
      </x:c>
      <x:c r="V36" s="28" t="n">
        <x:f>V29-V35</x:f>
        <x:v>3715.0654530599527</x:v>
      </x:c>
      <x:c r="W36" s="28" t="n">
        <x:f>W29-W35</x:f>
        <x:v>23281.576492041997</x:v>
      </x:c>
      <x:c r="X36" s="28" t="n">
        <x:f>X29-X35</x:f>
        <x:v>20445.57438220965</x:v>
      </x:c>
      <x:c r="Y36" s="28" t="n">
        <x:f>Y29-Y35</x:f>
        <x:v>25231.313438807287</x:v>
      </x:c>
      <x:c r="Z36" s="28" t="n">
        <x:f>Z29-Z35</x:f>
        <x:v>17456.519561986006</x:v>
      </x:c>
      <x:c r="AA36" s="28" t="n">
        <x:f>AA29-AA35</x:f>
        <x:v>6017.548771500742</x:v>
      </x:c>
      <x:c r="AB36" s="28" t="n">
        <x:f>AB29-AB35</x:f>
        <x:v>4474.666862070767</x:v>
      </x:c>
      <x:c r="AC36" s="28" t="n">
        <x:f>AC29-AC35</x:f>
        <x:v>21089.61498967816</x:v>
      </x:c>
      <x:c r="AD36" s="28" t="n">
        <x:f>AD29-AD35</x:f>
        <x:v>32935.19960147027</x:v>
      </x:c>
      <x:c r="AE36" s="28" t="n">
        <x:f>AE29-AE35</x:f>
        <x:v>22474.470887019153</x:v>
      </x:c>
      <x:c r="AF36" s="28" t="n">
        <x:f>AF29-AF35</x:f>
        <x:v>28568.686417271092</x:v>
      </x:c>
      <x:c r="AG36" s="28" t="n">
        <x:f>AG29-AG35</x:f>
        <x:v>14584.616554682205</x:v>
      </x:c>
      <x:c r="AH36" s="28" t="n">
        <x:f>AH29-AH35</x:f>
        <x:v>9992.522593346876</x:v>
      </x:c>
      <x:c r="AI36" s="28" t="n">
        <x:f>AI29-AI35</x:f>
        <x:v>31794.563486931907</x:v>
      </x:c>
      <x:c r="AJ36" s="28" t="n">
        <x:f>AJ29-AJ35</x:f>
        <x:v>28662.721882222686</x:v>
      </x:c>
      <x:c r="AK36" s="28" t="n">
        <x:f>AK29-AK35</x:f>
        <x:v>34013.99338998302</x:v>
      </x:c>
      <x:c r="AL36" s="28" t="n">
        <x:f>AL29-AL35</x:f>
        <x:v>25385.507497693165</x:v>
      </x:c>
      <x:c r="AM36" s="28" t="n">
        <x:f>AM29-AM35</x:f>
        <x:v>12678.909018680435</x:v>
      </x:c>
      <x:c r="AN36" s="2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21" customHeight="1">
      <x:c r="A38" s="1"/>
      <x:c r="B38" s="1"/>
      <x:c r="C38" s="1" t="str">
        <x:v>Opening cash</x:v>
      </x:c>
      <x:c r="D38" s="11" t="n">
        <x:f>'Startup'!$E$39</x:f>
        <x:v>200000</x:v>
      </x:c>
      <x:c r="E38" s="2" t="n">
        <x:f>D54</x:f>
        <x:v>173333.27987699726</x:v>
      </x:c>
      <x:c r="F38" s="2" t="n">
        <x:f>E54</x:f>
        <x:v>162061.69519002555</x:v>
      </x:c>
      <x:c r="G38" s="2" t="n">
        <x:f>F54</x:f>
        <x:v>268358.24953785155</x:v>
      </x:c>
      <x:c r="H38" s="2" t="n">
        <x:f>G54</x:f>
        <x:v>268358.24953785155</x:v>
      </x:c>
      <x:c r="I38" s="2" t="n">
        <x:f>H54</x:f>
        <x:v>268358.24953785155</x:v>
      </x:c>
      <x:c r="J38" s="2" t="n">
        <x:f>I54</x:f>
        <x:v>268358.24953785155</x:v>
      </x:c>
      <x:c r="K38" s="2" t="n">
        <x:f>J54</x:f>
        <x:v>268358.2495378516</x:v>
      </x:c>
      <x:c r="L38" s="2" t="n">
        <x:f>K54</x:f>
        <x:v>268358.24953785155</x:v>
      </x:c>
      <x:c r="M38" s="2" t="n">
        <x:f>L54</x:f>
        <x:v>268358.24953785155</x:v>
      </x:c>
      <x:c r="N38" s="2" t="n">
        <x:f>M54</x:f>
        <x:v>268358.2495378516</x:v>
      </x:c>
      <x:c r="O38" s="2" t="n">
        <x:f>N54</x:f>
        <x:v>268358.24953785166</x:v>
      </x:c>
      <x:c r="P38" s="2" t="n">
        <x:f>O54</x:f>
        <x:v>268358.24953785166</x:v>
      </x:c>
      <x:c r="Q38" s="2" t="n">
        <x:f>P54</x:f>
        <x:v>268358.24953785166</x:v>
      </x:c>
      <x:c r="R38" s="2" t="n">
        <x:f>Q54</x:f>
        <x:v>268358.24953785166</x:v>
      </x:c>
      <x:c r="S38" s="2" t="n">
        <x:f>R54</x:f>
        <x:v>268358.24953785166</x:v>
      </x:c>
      <x:c r="T38" s="2" t="n">
        <x:f>S54</x:f>
        <x:v>268358.2495378517</x:v>
      </x:c>
      <x:c r="U38" s="2" t="n">
        <x:f>T54</x:f>
        <x:v>268358.2495378518</x:v>
      </x:c>
      <x:c r="V38" s="2" t="n">
        <x:f>U54</x:f>
        <x:v>268358.2495378518</x:v>
      </x:c>
      <x:c r="W38" s="2" t="n">
        <x:f>V54</x:f>
        <x:v>268358.24953785184</x:v>
      </x:c>
      <x:c r="X38" s="2" t="n">
        <x:f>W54</x:f>
        <x:v>268358.24953785184</x:v>
      </x:c>
      <x:c r="Y38" s="2" t="n">
        <x:f>X54</x:f>
        <x:v>268358.2495378519</x:v>
      </x:c>
      <x:c r="Z38" s="2" t="n">
        <x:f>Y54</x:f>
        <x:v>268358.2495378519</x:v>
      </x:c>
      <x:c r="AA38" s="2" t="n">
        <x:f>Z54</x:f>
        <x:v>268358.24953785195</x:v>
      </x:c>
      <x:c r="AB38" s="2" t="n">
        <x:f>AA54</x:f>
        <x:v>268358.24953785195</x:v>
      </x:c>
      <x:c r="AC38" s="2" t="n">
        <x:f>AB54</x:f>
        <x:v>268358.24953785195</x:v>
      </x:c>
      <x:c r="AD38" s="2" t="n">
        <x:f>AC54</x:f>
        <x:v>268358.24953785195</x:v>
      </x:c>
      <x:c r="AE38" s="2" t="n">
        <x:f>AD54</x:f>
        <x:v>268358.249537852</x:v>
      </x:c>
      <x:c r="AF38" s="2" t="n">
        <x:f>AE54</x:f>
        <x:v>268358.24953785207</x:v>
      </x:c>
      <x:c r="AG38" s="2" t="n">
        <x:f>AF54</x:f>
        <x:v>268358.24953785207</x:v>
      </x:c>
      <x:c r="AH38" s="2" t="n">
        <x:f>AG54</x:f>
        <x:v>268358.24953785207</x:v>
      </x:c>
      <x:c r="AI38" s="2" t="n">
        <x:f>AH54</x:f>
        <x:v>268358.2495378522</x:v>
      </x:c>
      <x:c r="AJ38" s="2" t="n">
        <x:f>AI54</x:f>
        <x:v>268358.2495378522</x:v>
      </x:c>
      <x:c r="AK38" s="2" t="n">
        <x:f>AJ54</x:f>
        <x:v>268358.2495378521</x:v>
      </x:c>
      <x:c r="AL38" s="2" t="n">
        <x:f>AK54</x:f>
        <x:v>268358.24953785207</x:v>
      </x:c>
      <x:c r="AM38" s="2" t="n">
        <x:f>AL54</x:f>
        <x:v>268358.24953785207</x:v>
      </x:c>
      <x:c r="AN38" s="2"/>
    </x:row>
    <x:row r="39" ht="21" customHeight="1">
      <x:c r="A39" s="1"/>
      <x:c r="B39" s="1"/>
      <x:c r="C39" s="1" t="str">
        <x:v>Opening inventory</x:v>
      </x:c>
      <x:c r="D39" s="11" t="n">
        <x:f>'Startup'!$E$45</x:f>
        <x:v>13141.304347826088</x:v>
      </x:c>
      <x:c r="E39" s="2" t="n">
        <x:f>D40</x:f>
        <x:v>11338.901290617852</x:v>
      </x:c>
      <x:c r="F39" s="2" t="n">
        <x:f>E40</x:f>
        <x:v>19482.29403569794</x:v>
      </x:c>
      <x:c r="G39" s="2" t="n">
        <x:f>F40</x:f>
        <x:v>23244.74764576659</x:v>
      </x:c>
      <x:c r="H39" s="2" t="n">
        <x:f>G40</x:f>
        <x:v>23657.071329061793</x:v>
      </x:c>
      <x:c r="I39" s="2" t="n">
        <x:f>H40</x:f>
        <x:v>25705.804630434788</x:v>
      </x:c>
      <x:c r="J39" s="2" t="n">
        <x:f>I40</x:f>
        <x:v>23966.314091533186</x:v>
      </x:c>
      <x:c r="K39" s="2" t="n">
        <x:f>J40</x:f>
        <x:v>21904.695675057206</x:v>
      </x:c>
      <x:c r="L39" s="2" t="n">
        <x:f>K40</x:f>
        <x:v>27831.848622425638</x:v>
      </x:c>
      <x:c r="M39" s="2" t="n">
        <x:f>L40</x:f>
        <x:v>27831.848622425638</x:v>
      </x:c>
      <x:c r="N39" s="2" t="n">
        <x:f>M40</x:f>
        <x:v>28347.25322654462</x:v>
      </x:c>
      <x:c r="O39" s="2" t="n">
        <x:f>N40</x:f>
        <x:v>26801.03941418765</x:v>
      </x:c>
      <x:c r="P39" s="2" t="n">
        <x:f>O40</x:f>
        <x:v>22420.100279176204</x:v>
      </x:c>
      <x:c r="Q39" s="2" t="n">
        <x:f>P40</x:f>
        <x:v>22945.812975377587</x:v>
      </x:c>
      <x:c r="R39" s="2" t="n">
        <x:f>Q40</x:f>
        <x:v>30976.847516759735</x:v>
      </x:c>
      <x:c r="S39" s="2" t="n">
        <x:f>R40</x:f>
        <x:v>31550.49284114417</x:v>
      </x:c>
      <x:c r="T39" s="2" t="n">
        <x:f>S40</x:f>
        <x:v>29255.911543606417</x:v>
      </x:c>
      <x:c r="U39" s="2" t="n">
        <x:f>T40</x:f>
        <x:v>30116.37953018308</x:v>
      </x:c>
      <x:c r="V39" s="2" t="n">
        <x:f>U40</x:f>
        <x:v>26674.507583876442</x:v>
      </x:c>
      <x:c r="W39" s="2" t="n">
        <x:f>V40</x:f>
        <x:v>24379.926286338676</x:v>
      </x:c>
      <x:c r="X39" s="2" t="n">
        <x:f>W40</x:f>
        <x:v>30976.847516759735</x:v>
      </x:c>
      <x:c r="Y39" s="2" t="n">
        <x:f>X40</x:f>
        <x:v>30976.84751675974</x:v>
      </x:c>
      <x:c r="Z39" s="2" t="n">
        <x:f>Y40</x:f>
        <x:v>31550.49284114417</x:v>
      </x:c>
      <x:c r="AA39" s="2" t="n">
        <x:f>Z40</x:f>
        <x:v>29829.55686799085</x:v>
      </x:c>
      <x:c r="AB39" s="2" t="n">
        <x:f>AA40</x:f>
        <x:v>24953.57161072312</x:v>
      </x:c>
      <x:c r="AC39" s="2" t="n">
        <x:f>AB40</x:f>
        <x:v>25538.689841595242</x:v>
      </x:c>
      <x:c r="AD39" s="2" t="n">
        <x:f>AC40</x:f>
        <x:v>34477.23128615358</x:v>
      </x:c>
      <x:c r="AE39" s="2" t="n">
        <x:f>AD40</x:f>
        <x:v>35115.69853219346</x:v>
      </x:c>
      <x:c r="AF39" s="2" t="n">
        <x:f>AE40</x:f>
        <x:v>32561.829548033944</x:v>
      </x:c>
      <x:c r="AG39" s="2" t="n">
        <x:f>AF40</x:f>
        <x:v>33519.53041709376</x:v>
      </x:c>
      <x:c r="AH39" s="2" t="n">
        <x:f>AG40</x:f>
        <x:v>29688.726940854474</x:v>
      </x:c>
      <x:c r="AI39" s="2" t="n">
        <x:f>AH40</x:f>
        <x:v>27134.857956694945</x:v>
      </x:c>
      <x:c r="AJ39" s="2" t="n">
        <x:f>AI40</x:f>
        <x:v>34477.23128615358</x:v>
      </x:c>
      <x:c r="AK39" s="2" t="n">
        <x:f>AJ40</x:f>
        <x:v>34477.23128615359</x:v>
      </x:c>
      <x:c r="AL39" s="2" t="n">
        <x:f>AK40</x:f>
        <x:v>35115.69853219346</x:v>
      </x:c>
      <x:c r="AM39" s="2" t="n">
        <x:f>AL40</x:f>
        <x:v>33200.29679407382</x:v>
      </x:c>
      <x:c r="AN39" s="2"/>
    </x:row>
    <x:row r="40" ht="21" customHeight="1">
      <x:c r="A40" s="1"/>
      <x:c r="B40" s="1"/>
      <x:c r="C40" s="1" t="str">
        <x:v>Closing inventory</x:v>
      </x:c>
      <x:c r="D40" s="11" t="n">
        <x:f>D16/D8*'Assumptions'!$D$43</x:f>
        <x:v>11338.901290617852</x:v>
      </x:c>
      <x:c r="E40" s="11" t="n">
        <x:f>E16/E8*'Assumptions'!$D$43</x:f>
        <x:v>19482.29403569794</x:v>
      </x:c>
      <x:c r="F40" s="11" t="n">
        <x:f>F16/F8*'Assumptions'!$D$43</x:f>
        <x:v>23244.74764576659</x:v>
      </x:c>
      <x:c r="G40" s="11" t="n">
        <x:f>G16/G8*'Assumptions'!$D$43</x:f>
        <x:v>23657.071329061793</x:v>
      </x:c>
      <x:c r="H40" s="11" t="n">
        <x:f>H16/H8*'Assumptions'!$D$43</x:f>
        <x:v>25705.804630434788</x:v>
      </x:c>
      <x:c r="I40" s="11" t="n">
        <x:f>I16/I8*'Assumptions'!$D$43</x:f>
        <x:v>23966.314091533186</x:v>
      </x:c>
      <x:c r="J40" s="11" t="n">
        <x:f>J16/J8*'Assumptions'!$D$43</x:f>
        <x:v>21904.695675057206</x:v>
      </x:c>
      <x:c r="K40" s="11" t="n">
        <x:f>K16/K8*'Assumptions'!$D$43</x:f>
        <x:v>27831.848622425638</x:v>
      </x:c>
      <x:c r="L40" s="11" t="n">
        <x:f>L16/L8*'Assumptions'!$D$43</x:f>
        <x:v>27831.848622425638</x:v>
      </x:c>
      <x:c r="M40" s="11" t="n">
        <x:f>M16/M8*'Assumptions'!$D$43</x:f>
        <x:v>28347.25322654462</x:v>
      </x:c>
      <x:c r="N40" s="11" t="n">
        <x:f>N16/N8*'Assumptions'!$D$43</x:f>
        <x:v>26801.03941418765</x:v>
      </x:c>
      <x:c r="O40" s="11" t="n">
        <x:f>O16/O8*'Assumptions'!$D$43</x:f>
        <x:v>22420.100279176204</x:v>
      </x:c>
      <x:c r="P40" s="11" t="n">
        <x:f>P16/P8*'Assumptions'!$D$43</x:f>
        <x:v>22945.812975377587</x:v>
      </x:c>
      <x:c r="Q40" s="11" t="n">
        <x:f>Q16/Q8*'Assumptions'!$D$43</x:f>
        <x:v>30976.847516759735</x:v>
      </x:c>
      <x:c r="R40" s="11" t="n">
        <x:f>R16/R8*'Assumptions'!$D$43</x:f>
        <x:v>31550.49284114417</x:v>
      </x:c>
      <x:c r="S40" s="11" t="n">
        <x:f>S16/S8*'Assumptions'!$D$43</x:f>
        <x:v>29255.911543606417</x:v>
      </x:c>
      <x:c r="T40" s="11" t="n">
        <x:f>T16/T8*'Assumptions'!$D$43</x:f>
        <x:v>30116.37953018308</x:v>
      </x:c>
      <x:c r="U40" s="11" t="n">
        <x:f>U16/U8*'Assumptions'!$D$43</x:f>
        <x:v>26674.507583876442</x:v>
      </x:c>
      <x:c r="V40" s="11" t="n">
        <x:f>V16/V8*'Assumptions'!$D$43</x:f>
        <x:v>24379.926286338676</x:v>
      </x:c>
      <x:c r="W40" s="11" t="n">
        <x:f>W16/W8*'Assumptions'!$D$43</x:f>
        <x:v>30976.847516759735</x:v>
      </x:c>
      <x:c r="X40" s="11" t="n">
        <x:f>X16/X8*'Assumptions'!$D$43</x:f>
        <x:v>30976.84751675974</x:v>
      </x:c>
      <x:c r="Y40" s="11" t="n">
        <x:f>Y16/Y8*'Assumptions'!$D$43</x:f>
        <x:v>31550.49284114417</x:v>
      </x:c>
      <x:c r="Z40" s="11" t="n">
        <x:f>Z16/Z8*'Assumptions'!$D$43</x:f>
        <x:v>29829.55686799085</x:v>
      </x:c>
      <x:c r="AA40" s="11" t="n">
        <x:f>AA16/AA8*'Assumptions'!$D$43</x:f>
        <x:v>24953.57161072312</x:v>
      </x:c>
      <x:c r="AB40" s="11" t="n">
        <x:f>AB16/AB8*'Assumptions'!$D$43</x:f>
        <x:v>25538.689841595242</x:v>
      </x:c>
      <x:c r="AC40" s="11" t="n">
        <x:f>AC16/AC8*'Assumptions'!$D$43</x:f>
        <x:v>34477.23128615358</x:v>
      </x:c>
      <x:c r="AD40" s="11" t="n">
        <x:f>AD16/AD8*'Assumptions'!$D$43</x:f>
        <x:v>35115.69853219346</x:v>
      </x:c>
      <x:c r="AE40" s="11" t="n">
        <x:f>AE16/AE8*'Assumptions'!$D$43</x:f>
        <x:v>32561.829548033944</x:v>
      </x:c>
      <x:c r="AF40" s="11" t="n">
        <x:f>AF16/AF8*'Assumptions'!$D$43</x:f>
        <x:v>33519.53041709376</x:v>
      </x:c>
      <x:c r="AG40" s="11" t="n">
        <x:f>AG16/AG8*'Assumptions'!$D$43</x:f>
        <x:v>29688.726940854474</x:v>
      </x:c>
      <x:c r="AH40" s="11" t="n">
        <x:f>AH16/AH8*'Assumptions'!$D$43</x:f>
        <x:v>27134.857956694945</x:v>
      </x:c>
      <x:c r="AI40" s="11" t="n">
        <x:f>AI16/AI8*'Assumptions'!$D$43</x:f>
        <x:v>34477.23128615358</x:v>
      </x:c>
      <x:c r="AJ40" s="11" t="n">
        <x:f>AJ16/AJ8*'Assumptions'!$D$43</x:f>
        <x:v>34477.23128615359</x:v>
      </x:c>
      <x:c r="AK40" s="11" t="n">
        <x:f>AK16/AK8*'Assumptions'!$D$43</x:f>
        <x:v>35115.69853219346</x:v>
      </x:c>
      <x:c r="AL40" s="11" t="n">
        <x:f>AL16/AL8*'Assumptions'!$D$43</x:f>
        <x:v>33200.29679407382</x:v>
      </x:c>
      <x:c r="AM40" s="11" t="n">
        <x:f>AM16/AM8*'Assumptions'!$D$43</x:f>
        <x:v>27773.32520273483</x:v>
      </x:c>
      <x:c r="AN40" s="2"/>
    </x:row>
    <x:row r="41" ht="21" customHeight="1">
      <x:c r="A41" s="1"/>
      <x:c r="B41" s="1"/>
      <x:c r="C41" s="1" t="str">
        <x:v>Inventory investment</x:v>
      </x:c>
      <x:c r="D41" s="2" t="n">
        <x:f>D40-D39</x:f>
        <x:v>-1802.4030572082356</x:v>
      </x:c>
      <x:c r="E41" s="2" t="n">
        <x:f>E40-E39</x:f>
        <x:v>8143.392745080089</x:v>
      </x:c>
      <x:c r="F41" s="2" t="n">
        <x:f>F40-F39</x:f>
        <x:v>3762.453610068649</x:v>
      </x:c>
      <x:c r="G41" s="2" t="n">
        <x:f>G40-G39</x:f>
        <x:v>412.3236832952025</x:v>
      </x:c>
      <x:c r="H41" s="2" t="n">
        <x:f>H40-H39</x:f>
        <x:v>2048.733301372995</x:v>
      </x:c>
      <x:c r="I41" s="2" t="n">
        <x:f>I40-I39</x:f>
        <x:v>-1739.4905389016021</x:v>
      </x:c>
      <x:c r="J41" s="2" t="n">
        <x:f>J40-J39</x:f>
        <x:v>-2061.6184164759798</x:v>
      </x:c>
      <x:c r="K41" s="2" t="n">
        <x:f>K40-K39</x:f>
        <x:v>5927.152947368431</x:v>
      </x:c>
      <x:c r="L41" s="2" t="n">
        <x:f>L40-L39</x:f>
        <x:v>0</x:v>
      </x:c>
      <x:c r="M41" s="2" t="n">
        <x:f>M40-M39</x:f>
        <x:v>515.4046041189831</x:v>
      </x:c>
      <x:c r="N41" s="2" t="n">
        <x:f>N40-N39</x:f>
        <x:v>-1546.2138123569712</x:v>
      </x:c>
      <x:c r="O41" s="2" t="n">
        <x:f>O40-O39</x:f>
        <x:v>-4380.939135011446</x:v>
      </x:c>
      <x:c r="P41" s="2" t="n">
        <x:f>P40-P39</x:f>
        <x:v>525.7126962013826</x:v>
      </x:c>
      <x:c r="Q41" s="2" t="n">
        <x:f>Q40-Q39</x:f>
        <x:v>8031.034541382149</x:v>
      </x:c>
      <x:c r="R41" s="2" t="n">
        <x:f>R40-R39</x:f>
        <x:v>573.6453243844335</x:v>
      </x:c>
      <x:c r="S41" s="2" t="n">
        <x:f>S40-S39</x:f>
        <x:v>-2294.581297537752</x:v>
      </x:c>
      <x:c r="T41" s="2" t="n">
        <x:f>T40-T39</x:f>
        <x:v>860.467986576663</x:v>
      </x:c>
      <x:c r="U41" s="2" t="n">
        <x:f>U40-U39</x:f>
        <x:v>-3441.8719463066373</x:v>
      </x:c>
      <x:c r="V41" s="2" t="n">
        <x:f>V40-V39</x:f>
        <x:v>-2294.5812975377667</x:v>
      </x:c>
      <x:c r="W41" s="2" t="n">
        <x:f>W40-W39</x:f>
        <x:v>6596.92123042106</x:v>
      </x:c>
      <x:c r="X41" s="2" t="n">
        <x:f>X40-X39</x:f>
        <x:v>3.637978807091713e-12</x:v>
      </x:c>
      <x:c r="Y41" s="2" t="n">
        <x:f>Y40-Y39</x:f>
        <x:v>573.6453243844298</x:v>
      </x:c>
      <x:c r="Z41" s="2" t="n">
        <x:f>Z40-Z39</x:f>
        <x:v>-1720.9359731533186</x:v>
      </x:c>
      <x:c r="AA41" s="2" t="n">
        <x:f>AA40-AA39</x:f>
        <x:v>-4875.98525726773</x:v>
      </x:c>
      <x:c r="AB41" s="2" t="n">
        <x:f>AB40-AB39</x:f>
        <x:v>585.1182308721218</x:v>
      </x:c>
      <x:c r="AC41" s="2" t="n">
        <x:f>AC40-AC39</x:f>
        <x:v>8938.541444558341</x:v>
      </x:c>
      <x:c r="AD41" s="2" t="n">
        <x:f>AD40-AD39</x:f>
        <x:v>638.4672460398797</x:v>
      </x:c>
      <x:c r="AE41" s="2" t="n">
        <x:f>AE40-AE39</x:f>
        <x:v>-2553.8689841595187</x:v>
      </x:c>
      <x:c r="AF41" s="2" t="n">
        <x:f>AF40-AF39</x:f>
        <x:v>957.7008690598159</x:v>
      </x:c>
      <x:c r="AG41" s="2" t="n">
        <x:f>AG40-AG39</x:f>
        <x:v>-3830.8034762392854</x:v>
      </x:c>
      <x:c r="AH41" s="2" t="n">
        <x:f>AH40-AH39</x:f>
        <x:v>-2553.8689841595296</x:v>
      </x:c>
      <x:c r="AI41" s="2" t="n">
        <x:f>AI40-AI39</x:f>
        <x:v>7342.373329458638</x:v>
      </x:c>
      <x:c r="AJ41" s="2" t="n">
        <x:f>AJ40-AJ39</x:f>
        <x:v>7.275957614183426e-12</x:v>
      </x:c>
      <x:c r="AK41" s="2" t="n">
        <x:f>AK40-AK39</x:f>
        <x:v>638.4672460398724</x:v>
      </x:c>
      <x:c r="AL41" s="2" t="n">
        <x:f>AL40-AL39</x:f>
        <x:v>-1915.401738119639</x:v>
      </x:c>
      <x:c r="AM41" s="2" t="n">
        <x:f>AM40-AM39</x:f>
        <x:v>-5426.971591338992</x:v>
      </x:c>
      <x:c r="AN41" s="2"/>
    </x:row>
    <x:row r="42" ht="21" customHeight="1">
      <x:c r="A42" s="1"/>
      <x:c r="B42" s="1"/>
      <x:c r="C42" s="1" t="str">
        <x:v>Pre-opening VAT refund</x:v>
      </x:c>
      <x:c r="D42" s="11" t="n">
        <x:f>IF(D6=3,'Startup'!$E$44,0)</x:f>
        <x:v>0</x:v>
      </x:c>
      <x:c r="E42" s="11" t="n">
        <x:f>IF(E6=3,'Startup'!$E$44,0)</x:f>
        <x:v>0</x:v>
      </x:c>
      <x:c r="F42" s="11" t="n">
        <x:f>IF(F6=3,'Startup'!$E$44,0)</x:f>
        <x:v>106296.55434782596</x:v>
      </x:c>
      <x:c r="G42" s="11" t="n">
        <x:f>IF(G6=3,'Startup'!$E$44,0)</x:f>
        <x:v>0</x:v>
      </x:c>
      <x:c r="H42" s="11" t="n">
        <x:f>IF(H6=3,'Startup'!$E$44,0)</x:f>
        <x:v>0</x:v>
      </x:c>
      <x:c r="I42" s="11" t="n">
        <x:f>IF(I6=3,'Startup'!$E$44,0)</x:f>
        <x:v>0</x:v>
      </x:c>
      <x:c r="J42" s="11" t="n">
        <x:f>IF(J6=3,'Startup'!$E$44,0)</x:f>
        <x:v>0</x:v>
      </x:c>
      <x:c r="K42" s="11" t="n">
        <x:f>IF(K6=3,'Startup'!$E$44,0)</x:f>
        <x:v>0</x:v>
      </x:c>
      <x:c r="L42" s="11" t="n">
        <x:f>IF(L6=3,'Startup'!$E$44,0)</x:f>
        <x:v>0</x:v>
      </x:c>
      <x:c r="M42" s="11" t="n">
        <x:f>IF(M6=3,'Startup'!$E$44,0)</x:f>
        <x:v>0</x:v>
      </x:c>
      <x:c r="N42" s="11" t="n">
        <x:f>IF(N6=3,'Startup'!$E$44,0)</x:f>
        <x:v>0</x:v>
      </x:c>
      <x:c r="O42" s="11" t="n">
        <x:f>IF(O6=3,'Startup'!$E$44,0)</x:f>
        <x:v>0</x:v>
      </x:c>
      <x:c r="P42" s="11" t="n">
        <x:f>IF(P6=3,'Startup'!$E$44,0)</x:f>
        <x:v>0</x:v>
      </x:c>
      <x:c r="Q42" s="11" t="n">
        <x:f>IF(Q6=3,'Startup'!$E$44,0)</x:f>
        <x:v>0</x:v>
      </x:c>
      <x:c r="R42" s="11" t="n">
        <x:f>IF(R6=3,'Startup'!$E$44,0)</x:f>
        <x:v>0</x:v>
      </x:c>
      <x:c r="S42" s="11" t="n">
        <x:f>IF(S6=3,'Startup'!$E$44,0)</x:f>
        <x:v>0</x:v>
      </x:c>
      <x:c r="T42" s="11" t="n">
        <x:f>IF(T6=3,'Startup'!$E$44,0)</x:f>
        <x:v>0</x:v>
      </x:c>
      <x:c r="U42" s="11" t="n">
        <x:f>IF(U6=3,'Startup'!$E$44,0)</x:f>
        <x:v>0</x:v>
      </x:c>
      <x:c r="V42" s="11" t="n">
        <x:f>IF(V6=3,'Startup'!$E$44,0)</x:f>
        <x:v>0</x:v>
      </x:c>
      <x:c r="W42" s="11" t="n">
        <x:f>IF(W6=3,'Startup'!$E$44,0)</x:f>
        <x:v>0</x:v>
      </x:c>
      <x:c r="X42" s="11" t="n">
        <x:f>IF(X6=3,'Startup'!$E$44,0)</x:f>
        <x:v>0</x:v>
      </x:c>
      <x:c r="Y42" s="11" t="n">
        <x:f>IF(Y6=3,'Startup'!$E$44,0)</x:f>
        <x:v>0</x:v>
      </x:c>
      <x:c r="Z42" s="11" t="n">
        <x:f>IF(Z6=3,'Startup'!$E$44,0)</x:f>
        <x:v>0</x:v>
      </x:c>
      <x:c r="AA42" s="11" t="n">
        <x:f>IF(AA6=3,'Startup'!$E$44,0)</x:f>
        <x:v>0</x:v>
      </x:c>
      <x:c r="AB42" s="11" t="n">
        <x:f>IF(AB6=3,'Startup'!$E$44,0)</x:f>
        <x:v>0</x:v>
      </x:c>
      <x:c r="AC42" s="11" t="n">
        <x:f>IF(AC6=3,'Startup'!$E$44,0)</x:f>
        <x:v>0</x:v>
      </x:c>
      <x:c r="AD42" s="11" t="n">
        <x:f>IF(AD6=3,'Startup'!$E$44,0)</x:f>
        <x:v>0</x:v>
      </x:c>
      <x:c r="AE42" s="11" t="n">
        <x:f>IF(AE6=3,'Startup'!$E$44,0)</x:f>
        <x:v>0</x:v>
      </x:c>
      <x:c r="AF42" s="11" t="n">
        <x:f>IF(AF6=3,'Startup'!$E$44,0)</x:f>
        <x:v>0</x:v>
      </x:c>
      <x:c r="AG42" s="11" t="n">
        <x:f>IF(AG6=3,'Startup'!$E$44,0)</x:f>
        <x:v>0</x:v>
      </x:c>
      <x:c r="AH42" s="11" t="n">
        <x:f>IF(AH6=3,'Startup'!$E$44,0)</x:f>
        <x:v>0</x:v>
      </x:c>
      <x:c r="AI42" s="11" t="n">
        <x:f>IF(AI6=3,'Startup'!$E$44,0)</x:f>
        <x:v>0</x:v>
      </x:c>
      <x:c r="AJ42" s="11" t="n">
        <x:f>IF(AJ6=3,'Startup'!$E$44,0)</x:f>
        <x:v>0</x:v>
      </x:c>
      <x:c r="AK42" s="11" t="n">
        <x:f>IF(AK6=3,'Startup'!$E$44,0)</x:f>
        <x:v>0</x:v>
      </x:c>
      <x:c r="AL42" s="11" t="n">
        <x:f>IF(AL6=3,'Startup'!$E$44,0)</x:f>
        <x:v>0</x:v>
      </x:c>
      <x:c r="AM42" s="11" t="n">
        <x:f>IF(AM6=3,'Startup'!$E$44,0)</x:f>
        <x:v>0</x:v>
      </x:c>
      <x:c r="AN42" s="2"/>
    </x:row>
    <x:row r="43" ht="21" customHeight="1">
      <x:c r="A43" s="1"/>
      <x:c r="B43" s="1"/>
      <x:c r="C43" s="1" t="str">
        <x:v>Maintenance capex net</x:v>
      </x:c>
      <x:c r="D43" s="11" t="n">
        <x:f>'Assumptions'!$D$45/(1+'Assumptions'!$D$19*'Assumptions'!$D$20)*(1+'Assumptions'!$D$34)^(D7-1)</x:f>
        <x:v>869.5652173913044</x:v>
      </x:c>
      <x:c r="E43" s="11" t="n">
        <x:f>'Assumptions'!$D$45/(1+'Assumptions'!$D$19*'Assumptions'!$D$20)*(1+'Assumptions'!$D$34)^(E7-1)</x:f>
        <x:v>869.5652173913044</x:v>
      </x:c>
      <x:c r="F43" s="11" t="n">
        <x:f>'Assumptions'!$D$45/(1+'Assumptions'!$D$19*'Assumptions'!$D$20)*(1+'Assumptions'!$D$34)^(F7-1)</x:f>
        <x:v>869.5652173913044</x:v>
      </x:c>
      <x:c r="G43" s="11" t="n">
        <x:f>'Assumptions'!$D$45/(1+'Assumptions'!$D$19*'Assumptions'!$D$20)*(1+'Assumptions'!$D$34)^(G7-1)</x:f>
        <x:v>869.5652173913044</x:v>
      </x:c>
      <x:c r="H43" s="11" t="n">
        <x:f>'Assumptions'!$D$45/(1+'Assumptions'!$D$19*'Assumptions'!$D$20)*(1+'Assumptions'!$D$34)^(H7-1)</x:f>
        <x:v>869.5652173913044</x:v>
      </x:c>
      <x:c r="I43" s="11" t="n">
        <x:f>'Assumptions'!$D$45/(1+'Assumptions'!$D$19*'Assumptions'!$D$20)*(1+'Assumptions'!$D$34)^(I7-1)</x:f>
        <x:v>869.5652173913044</x:v>
      </x:c>
      <x:c r="J43" s="11" t="n">
        <x:f>'Assumptions'!$D$45/(1+'Assumptions'!$D$19*'Assumptions'!$D$20)*(1+'Assumptions'!$D$34)^(J7-1)</x:f>
        <x:v>869.5652173913044</x:v>
      </x:c>
      <x:c r="K43" s="11" t="n">
        <x:f>'Assumptions'!$D$45/(1+'Assumptions'!$D$19*'Assumptions'!$D$20)*(1+'Assumptions'!$D$34)^(K7-1)</x:f>
        <x:v>869.5652173913044</x:v>
      </x:c>
      <x:c r="L43" s="11" t="n">
        <x:f>'Assumptions'!$D$45/(1+'Assumptions'!$D$19*'Assumptions'!$D$20)*(1+'Assumptions'!$D$34)^(L7-1)</x:f>
        <x:v>869.5652173913044</x:v>
      </x:c>
      <x:c r="M43" s="11" t="n">
        <x:f>'Assumptions'!$D$45/(1+'Assumptions'!$D$19*'Assumptions'!$D$20)*(1+'Assumptions'!$D$34)^(M7-1)</x:f>
        <x:v>869.5652173913044</x:v>
      </x:c>
      <x:c r="N43" s="11" t="n">
        <x:f>'Assumptions'!$D$45/(1+'Assumptions'!$D$19*'Assumptions'!$D$20)*(1+'Assumptions'!$D$34)^(N7-1)</x:f>
        <x:v>869.5652173913044</x:v>
      </x:c>
      <x:c r="O43" s="11" t="n">
        <x:f>'Assumptions'!$D$45/(1+'Assumptions'!$D$19*'Assumptions'!$D$20)*(1+'Assumptions'!$D$34)^(O7-1)</x:f>
        <x:v>869.5652173913044</x:v>
      </x:c>
      <x:c r="P43" s="11" t="n">
        <x:f>'Assumptions'!$D$45/(1+'Assumptions'!$D$19*'Assumptions'!$D$20)*(1+'Assumptions'!$D$34)^(P7-1)</x:f>
        <x:v>913.0434782608696</x:v>
      </x:c>
      <x:c r="Q43" s="11" t="n">
        <x:f>'Assumptions'!$D$45/(1+'Assumptions'!$D$19*'Assumptions'!$D$20)*(1+'Assumptions'!$D$34)^(Q7-1)</x:f>
        <x:v>913.0434782608696</x:v>
      </x:c>
      <x:c r="R43" s="11" t="n">
        <x:f>'Assumptions'!$D$45/(1+'Assumptions'!$D$19*'Assumptions'!$D$20)*(1+'Assumptions'!$D$34)^(R7-1)</x:f>
        <x:v>913.0434782608696</x:v>
      </x:c>
      <x:c r="S43" s="11" t="n">
        <x:f>'Assumptions'!$D$45/(1+'Assumptions'!$D$19*'Assumptions'!$D$20)*(1+'Assumptions'!$D$34)^(S7-1)</x:f>
        <x:v>913.0434782608696</x:v>
      </x:c>
      <x:c r="T43" s="11" t="n">
        <x:f>'Assumptions'!$D$45/(1+'Assumptions'!$D$19*'Assumptions'!$D$20)*(1+'Assumptions'!$D$34)^(T7-1)</x:f>
        <x:v>913.0434782608696</x:v>
      </x:c>
      <x:c r="U43" s="11" t="n">
        <x:f>'Assumptions'!$D$45/(1+'Assumptions'!$D$19*'Assumptions'!$D$20)*(1+'Assumptions'!$D$34)^(U7-1)</x:f>
        <x:v>913.0434782608696</x:v>
      </x:c>
      <x:c r="V43" s="11" t="n">
        <x:f>'Assumptions'!$D$45/(1+'Assumptions'!$D$19*'Assumptions'!$D$20)*(1+'Assumptions'!$D$34)^(V7-1)</x:f>
        <x:v>913.0434782608696</x:v>
      </x:c>
      <x:c r="W43" s="11" t="n">
        <x:f>'Assumptions'!$D$45/(1+'Assumptions'!$D$19*'Assumptions'!$D$20)*(1+'Assumptions'!$D$34)^(W7-1)</x:f>
        <x:v>913.0434782608696</x:v>
      </x:c>
      <x:c r="X43" s="11" t="n">
        <x:f>'Assumptions'!$D$45/(1+'Assumptions'!$D$19*'Assumptions'!$D$20)*(1+'Assumptions'!$D$34)^(X7-1)</x:f>
        <x:v>913.0434782608696</x:v>
      </x:c>
      <x:c r="Y43" s="11" t="n">
        <x:f>'Assumptions'!$D$45/(1+'Assumptions'!$D$19*'Assumptions'!$D$20)*(1+'Assumptions'!$D$34)^(Y7-1)</x:f>
        <x:v>913.0434782608696</x:v>
      </x:c>
      <x:c r="Z43" s="11" t="n">
        <x:f>'Assumptions'!$D$45/(1+'Assumptions'!$D$19*'Assumptions'!$D$20)*(1+'Assumptions'!$D$34)^(Z7-1)</x:f>
        <x:v>913.0434782608696</x:v>
      </x:c>
      <x:c r="AA43" s="11" t="n">
        <x:f>'Assumptions'!$D$45/(1+'Assumptions'!$D$19*'Assumptions'!$D$20)*(1+'Assumptions'!$D$34)^(AA7-1)</x:f>
        <x:v>913.0434782608696</x:v>
      </x:c>
      <x:c r="AB43" s="11" t="n">
        <x:f>'Assumptions'!$D$45/(1+'Assumptions'!$D$19*'Assumptions'!$D$20)*(1+'Assumptions'!$D$34)^(AB7-1)</x:f>
        <x:v>958.6956521739131</x:v>
      </x:c>
      <x:c r="AC43" s="11" t="n">
        <x:f>'Assumptions'!$D$45/(1+'Assumptions'!$D$19*'Assumptions'!$D$20)*(1+'Assumptions'!$D$34)^(AC7-1)</x:f>
        <x:v>958.6956521739131</x:v>
      </x:c>
      <x:c r="AD43" s="11" t="n">
        <x:f>'Assumptions'!$D$45/(1+'Assumptions'!$D$19*'Assumptions'!$D$20)*(1+'Assumptions'!$D$34)^(AD7-1)</x:f>
        <x:v>958.6956521739131</x:v>
      </x:c>
      <x:c r="AE43" s="11" t="n">
        <x:f>'Assumptions'!$D$45/(1+'Assumptions'!$D$19*'Assumptions'!$D$20)*(1+'Assumptions'!$D$34)^(AE7-1)</x:f>
        <x:v>958.6956521739131</x:v>
      </x:c>
      <x:c r="AF43" s="11" t="n">
        <x:f>'Assumptions'!$D$45/(1+'Assumptions'!$D$19*'Assumptions'!$D$20)*(1+'Assumptions'!$D$34)^(AF7-1)</x:f>
        <x:v>958.6956521739131</x:v>
      </x:c>
      <x:c r="AG43" s="11" t="n">
        <x:f>'Assumptions'!$D$45/(1+'Assumptions'!$D$19*'Assumptions'!$D$20)*(1+'Assumptions'!$D$34)^(AG7-1)</x:f>
        <x:v>958.6956521739131</x:v>
      </x:c>
      <x:c r="AH43" s="11" t="n">
        <x:f>'Assumptions'!$D$45/(1+'Assumptions'!$D$19*'Assumptions'!$D$20)*(1+'Assumptions'!$D$34)^(AH7-1)</x:f>
        <x:v>958.6956521739131</x:v>
      </x:c>
      <x:c r="AI43" s="11" t="n">
        <x:f>'Assumptions'!$D$45/(1+'Assumptions'!$D$19*'Assumptions'!$D$20)*(1+'Assumptions'!$D$34)^(AI7-1)</x:f>
        <x:v>958.6956521739131</x:v>
      </x:c>
      <x:c r="AJ43" s="11" t="n">
        <x:f>'Assumptions'!$D$45/(1+'Assumptions'!$D$19*'Assumptions'!$D$20)*(1+'Assumptions'!$D$34)^(AJ7-1)</x:f>
        <x:v>958.6956521739131</x:v>
      </x:c>
      <x:c r="AK43" s="11" t="n">
        <x:f>'Assumptions'!$D$45/(1+'Assumptions'!$D$19*'Assumptions'!$D$20)*(1+'Assumptions'!$D$34)^(AK7-1)</x:f>
        <x:v>958.6956521739131</x:v>
      </x:c>
      <x:c r="AL43" s="11" t="n">
        <x:f>'Assumptions'!$D$45/(1+'Assumptions'!$D$19*'Assumptions'!$D$20)*(1+'Assumptions'!$D$34)^(AL7-1)</x:f>
        <x:v>958.6956521739131</x:v>
      </x:c>
      <x:c r="AM43" s="11" t="n">
        <x:f>'Assumptions'!$D$45/(1+'Assumptions'!$D$19*'Assumptions'!$D$20)*(1+'Assumptions'!$D$34)^(AM7-1)</x:f>
        <x:v>958.6956521739131</x:v>
      </x:c>
      <x:c r="AN43" s="2"/>
    </x:row>
    <x:row r="44" ht="21" customHeight="1">
      <x:c r="A44" s="1"/>
      <x:c r="B44" s="1"/>
      <x:c r="C44" s="1" t="str">
        <x:v>Cash before founder repayment</x:v>
      </x:c>
      <x:c r="D44" s="2" t="n">
        <x:f>D38+D24-D35-D41+D42-D43</x:f>
        <x:v>173333.27987699726</x:v>
      </x:c>
      <x:c r="E44" s="2" t="n">
        <x:f>E38+E24-E35-E41+E42-E43</x:f>
        <x:v>162061.69519002555</x:v>
      </x:c>
      <x:c r="F44" s="2" t="n">
        <x:f>F38+F24-F35-F41+F42-F43</x:f>
        <x:v>284337.72710400255</x:v>
      </x:c>
      <x:c r="G44" s="2" t="n">
        <x:f>G38+G24-G35-G41+G42-G43</x:f>
        <x:v>286267.3106728362</x:v>
      </x:c>
      <x:c r="H44" s="2" t="n">
        <x:f>H38+H24-H35-H41+H42-H43</x:f>
        <x:v>296017.1523716574</x:v>
      </x:c>
      <x:c r="I44" s="2" t="n">
        <x:f>I38+I24-I35-I41+I42-I43</x:f>
        <x:v>289630.965389958</x:v>
      </x:c>
      <x:c r="J44" s="2" t="n">
        <x:f>J38+J24-J35-J41+J42-J43</x:f>
        <x:v>284735.4466921611</x:v>
      </x:c>
      <x:c r="K44" s="2" t="n">
        <x:f>K38+K24-K35-K41+K42-K43</x:f>
        <x:v>300747.84957502456</x:v>
      </x:c>
      <x:c r="L44" s="2" t="n">
        <x:f>L38+L24-L35-L41+L42-L43</x:f>
        <x:v>303039.4810376182</x:v>
      </x:c>
      <x:c r="M44" s="2" t="n">
        <x:f>M38+M24-M35-M41+M42-M43</x:f>
        <x:v>308246.6565484225</x:v>
      </x:c>
      <x:c r="N44" s="2" t="n">
        <x:f>N38+N24-N35-N41+N42-N43</x:f>
        <x:v>300546.22653355874</x:v>
      </x:c>
      <x:c r="O44" s="2" t="n">
        <x:f>O38+O24-O35-O41+O42-O43</x:f>
        <x:v>289141.8260408452</x:v>
      </x:c>
      <x:c r="P44" s="2" t="n">
        <x:f>P38+P24-P35-P41+P42-P43</x:f>
        <x:v>281984.75336020987</x:v>
      </x:c>
      <x:c r="Q44" s="2" t="n">
        <x:f>Q38+Q24-Q35-Q41+Q42-Q43</x:f>
        <x:v>298907.30826489447</x:v>
      </x:c>
      <x:c r="R44" s="2" t="n">
        <x:f>R38+R24-R35-R41+R42-R43</x:f>
        <x:v>316780.2645623563</x:v>
      </x:c>
      <x:c r="S44" s="2" t="n">
        <x:f>S38+S24-S35-S41+S42-S43</x:f>
        <x:v>303280.2660143019</x:v>
      </x:c>
      <x:c r="T44" s="2" t="n">
        <x:f>T38+T24-T35-T41+T42-T43</x:f>
        <x:v>303122.87874322466</x:v>
      </x:c>
      <x:c r="U44" s="2" t="n">
        <x:f>U38+U24-U35-U41+U42-U43</x:f>
        <x:v>294658.6386300159</x:v>
      </x:c>
      <x:c r="V44" s="2" t="n">
        <x:f>V38+V24-V35-V41+V42-V43</x:f>
        <x:v>289238.22268778103</x:v>
      </x:c>
      <x:c r="W44" s="2" t="n">
        <x:f>W38+W24-W35-W41+W42-W43</x:f>
        <x:v>299823.09835596266</x:v>
      </x:c>
      <x:c r="X44" s="2" t="n">
        <x:f>X38+X24-X35-X41+X42-X43</x:f>
        <x:v>303422.61646102765</x:v>
      </x:c>
      <x:c r="Y44" s="2" t="n">
        <x:f>Y38+Y24-Y35-Y41+Y42-Y43</x:f>
        <x:v>307448.1349343045</x:v>
      </x:c>
      <x:c r="Z44" s="2" t="n">
        <x:f>Z38+Z24-Z35-Z41+Z42-Z43</x:f>
        <x:v>301753.16502192785</x:v>
      </x:c>
      <x:c r="AA44" s="2" t="n">
        <x:f>AA38+AA24-AA35-AA41+AA42-AA43</x:f>
        <x:v>293290.91948371707</x:v>
      </x:c>
      <x:c r="AB44" s="2" t="n">
        <x:f>AB38+AB24-AB35-AB41+AB42-AB43</x:f>
        <x:v>286118.8434440599</x:v>
      </x:c>
      <x:c r="AC44" s="2" t="n">
        <x:f>AC38+AC24-AC35-AC41+AC42-AC43</x:f>
        <x:v>294304.8209518775</x:v>
      </x:c>
      <x:c r="AD44" s="2" t="n">
        <x:f>AD38+AD24-AD35-AD41+AD42-AD43</x:f>
        <x:v>314319.74900158594</x:v>
      </x:c>
      <x:c r="AE44" s="2" t="n">
        <x:f>AE38+AE24-AE35-AE41+AE42-AE43</x:f>
        <x:v>306786.2148429243</x:v>
      </x:c>
      <x:c r="AF44" s="2" t="n">
        <x:f>AF38+AF24-AF35-AF41+AF42-AF43</x:f>
        <x:v>309152.06827370275</x:v>
      </x:c>
      <x:c r="AG44" s="2" t="n">
        <x:f>AG38+AG24-AG35-AG41+AG42-AG43</x:f>
        <x:v>299722.3863505728</x:v>
      </x:c>
      <x:c r="AH44" s="2" t="n">
        <x:f>AH38+AH24-AH35-AH41+AH42-AH43</x:f>
        <x:v>293680.4387396938</x:v>
      </x:c>
      <x:c r="AI44" s="2" t="n">
        <x:f>AI38+AI24-AI35-AI41+AI42-AI43</x:f>
        <x:v>305452.33849681367</x:v>
      </x:c>
      <x:c r="AJ44" s="2" t="n">
        <x:f>AJ38+AJ24-AJ35-AJ41+AJ42-AJ43</x:f>
        <x:v>309449.49288644374</x:v>
      </x:c>
      <x:c r="AK44" s="2" t="n">
        <x:f>AK38+AK24-AK35-AK41+AK42-AK43</x:f>
        <x:v>313920.7430798074</x:v>
      </x:c>
      <x:c r="AL44" s="2" t="n">
        <x:f>AL38+AL24-AL35-AL41+AL42-AL43</x:f>
        <x:v>307573.046886503</x:v>
      </x:c>
      <x:c r="AM44" s="2" t="n">
        <x:f>AM38+AM24-AM35-AM41+AM42-AM43</x:f>
        <x:v>298145.32989985065</x:v>
      </x:c>
      <x:c r="AN44" s="2"/>
    </x:row>
    <x:row r="45" ht="21" customHeight="1">
      <x:c r="A45" s="1"/>
      <x:c r="B45" s="1"/>
      <x:c r="C45" s="1" t="str">
        <x:v>Minimum cash reserve</x:v>
      </x:c>
      <x:c r="D45" s="11" t="n">
        <x:f>'Assumptions'!$D$31*(1+'Assumptions'!$D$34)^(D7-1)</x:f>
        <x:v>120000</x:v>
      </x:c>
      <x:c r="E45" s="11" t="n">
        <x:f>'Assumptions'!$D$31*(1+'Assumptions'!$D$34)^(E7-1)</x:f>
        <x:v>120000</x:v>
      </x:c>
      <x:c r="F45" s="11" t="n">
        <x:f>'Assumptions'!$D$31*(1+'Assumptions'!$D$34)^(F7-1)</x:f>
        <x:v>120000</x:v>
      </x:c>
      <x:c r="G45" s="11" t="n">
        <x:f>'Assumptions'!$D$31*(1+'Assumptions'!$D$34)^(G7-1)</x:f>
        <x:v>120000</x:v>
      </x:c>
      <x:c r="H45" s="11" t="n">
        <x:f>'Assumptions'!$D$31*(1+'Assumptions'!$D$34)^(H7-1)</x:f>
        <x:v>120000</x:v>
      </x:c>
      <x:c r="I45" s="11" t="n">
        <x:f>'Assumptions'!$D$31*(1+'Assumptions'!$D$34)^(I7-1)</x:f>
        <x:v>120000</x:v>
      </x:c>
      <x:c r="J45" s="11" t="n">
        <x:f>'Assumptions'!$D$31*(1+'Assumptions'!$D$34)^(J7-1)</x:f>
        <x:v>120000</x:v>
      </x:c>
      <x:c r="K45" s="11" t="n">
        <x:f>'Assumptions'!$D$31*(1+'Assumptions'!$D$34)^(K7-1)</x:f>
        <x:v>120000</x:v>
      </x:c>
      <x:c r="L45" s="11" t="n">
        <x:f>'Assumptions'!$D$31*(1+'Assumptions'!$D$34)^(L7-1)</x:f>
        <x:v>120000</x:v>
      </x:c>
      <x:c r="M45" s="11" t="n">
        <x:f>'Assumptions'!$D$31*(1+'Assumptions'!$D$34)^(M7-1)</x:f>
        <x:v>120000</x:v>
      </x:c>
      <x:c r="N45" s="11" t="n">
        <x:f>'Assumptions'!$D$31*(1+'Assumptions'!$D$34)^(N7-1)</x:f>
        <x:v>120000</x:v>
      </x:c>
      <x:c r="O45" s="11" t="n">
        <x:f>'Assumptions'!$D$31*(1+'Assumptions'!$D$34)^(O7-1)</x:f>
        <x:v>120000</x:v>
      </x:c>
      <x:c r="P45" s="11" t="n">
        <x:f>'Assumptions'!$D$31*(1+'Assumptions'!$D$34)^(P7-1)</x:f>
        <x:v>126000</x:v>
      </x:c>
      <x:c r="Q45" s="11" t="n">
        <x:f>'Assumptions'!$D$31*(1+'Assumptions'!$D$34)^(Q7-1)</x:f>
        <x:v>126000</x:v>
      </x:c>
      <x:c r="R45" s="11" t="n">
        <x:f>'Assumptions'!$D$31*(1+'Assumptions'!$D$34)^(R7-1)</x:f>
        <x:v>126000</x:v>
      </x:c>
      <x:c r="S45" s="11" t="n">
        <x:f>'Assumptions'!$D$31*(1+'Assumptions'!$D$34)^(S7-1)</x:f>
        <x:v>126000</x:v>
      </x:c>
      <x:c r="T45" s="11" t="n">
        <x:f>'Assumptions'!$D$31*(1+'Assumptions'!$D$34)^(T7-1)</x:f>
        <x:v>126000</x:v>
      </x:c>
      <x:c r="U45" s="11" t="n">
        <x:f>'Assumptions'!$D$31*(1+'Assumptions'!$D$34)^(U7-1)</x:f>
        <x:v>126000</x:v>
      </x:c>
      <x:c r="V45" s="11" t="n">
        <x:f>'Assumptions'!$D$31*(1+'Assumptions'!$D$34)^(V7-1)</x:f>
        <x:v>126000</x:v>
      </x:c>
      <x:c r="W45" s="11" t="n">
        <x:f>'Assumptions'!$D$31*(1+'Assumptions'!$D$34)^(W7-1)</x:f>
        <x:v>126000</x:v>
      </x:c>
      <x:c r="X45" s="11" t="n">
        <x:f>'Assumptions'!$D$31*(1+'Assumptions'!$D$34)^(X7-1)</x:f>
        <x:v>126000</x:v>
      </x:c>
      <x:c r="Y45" s="11" t="n">
        <x:f>'Assumptions'!$D$31*(1+'Assumptions'!$D$34)^(Y7-1)</x:f>
        <x:v>126000</x:v>
      </x:c>
      <x:c r="Z45" s="11" t="n">
        <x:f>'Assumptions'!$D$31*(1+'Assumptions'!$D$34)^(Z7-1)</x:f>
        <x:v>126000</x:v>
      </x:c>
      <x:c r="AA45" s="11" t="n">
        <x:f>'Assumptions'!$D$31*(1+'Assumptions'!$D$34)^(AA7-1)</x:f>
        <x:v>126000</x:v>
      </x:c>
      <x:c r="AB45" s="11" t="n">
        <x:f>'Assumptions'!$D$31*(1+'Assumptions'!$D$34)^(AB7-1)</x:f>
        <x:v>132300</x:v>
      </x:c>
      <x:c r="AC45" s="11" t="n">
        <x:f>'Assumptions'!$D$31*(1+'Assumptions'!$D$34)^(AC7-1)</x:f>
        <x:v>132300</x:v>
      </x:c>
      <x:c r="AD45" s="11" t="n">
        <x:f>'Assumptions'!$D$31*(1+'Assumptions'!$D$34)^(AD7-1)</x:f>
        <x:v>132300</x:v>
      </x:c>
      <x:c r="AE45" s="11" t="n">
        <x:f>'Assumptions'!$D$31*(1+'Assumptions'!$D$34)^(AE7-1)</x:f>
        <x:v>132300</x:v>
      </x:c>
      <x:c r="AF45" s="11" t="n">
        <x:f>'Assumptions'!$D$31*(1+'Assumptions'!$D$34)^(AF7-1)</x:f>
        <x:v>132300</x:v>
      </x:c>
      <x:c r="AG45" s="11" t="n">
        <x:f>'Assumptions'!$D$31*(1+'Assumptions'!$D$34)^(AG7-1)</x:f>
        <x:v>132300</x:v>
      </x:c>
      <x:c r="AH45" s="11" t="n">
        <x:f>'Assumptions'!$D$31*(1+'Assumptions'!$D$34)^(AH7-1)</x:f>
        <x:v>132300</x:v>
      </x:c>
      <x:c r="AI45" s="11" t="n">
        <x:f>'Assumptions'!$D$31*(1+'Assumptions'!$D$34)^(AI7-1)</x:f>
        <x:v>132300</x:v>
      </x:c>
      <x:c r="AJ45" s="11" t="n">
        <x:f>'Assumptions'!$D$31*(1+'Assumptions'!$D$34)^(AJ7-1)</x:f>
        <x:v>132300</x:v>
      </x:c>
      <x:c r="AK45" s="11" t="n">
        <x:f>'Assumptions'!$D$31*(1+'Assumptions'!$D$34)^(AK7-1)</x:f>
        <x:v>132300</x:v>
      </x:c>
      <x:c r="AL45" s="11" t="n">
        <x:f>'Assumptions'!$D$31*(1+'Assumptions'!$D$34)^(AL7-1)</x:f>
        <x:v>132300</x:v>
      </x:c>
      <x:c r="AM45" s="11" t="n">
        <x:f>'Assumptions'!$D$31*(1+'Assumptions'!$D$34)^(AM7-1)</x:f>
        <x:v>132300</x:v>
      </x:c>
      <x:c r="AN45" s="2"/>
    </x:row>
    <x:row r="46" ht="21" customHeight="1">
      <x:c r="A46" s="1"/>
      <x:c r="B46" s="1"/>
      <x:c r="C46" s="1" t="str">
        <x:v>Available voluntary debt payment</x:v>
      </x:c>
      <x:c r="D46" s="2" t="n">
        <x:f>MAX(0,MIN(D24-D35-D41-D43,D44-D45))</x:f>
        <x:v>0</x:v>
      </x:c>
      <x:c r="E46" s="2" t="n">
        <x:f>MAX(0,MIN(E24-E35-E41-E43,E44-E45))</x:f>
        <x:v>0</x:v>
      </x:c>
      <x:c r="F46" s="2" t="n">
        <x:f>MAX(0,MIN(F24-F35-F41-F43,F44-F45))</x:f>
        <x:v>15979.477566150988</x:v>
      </x:c>
      <x:c r="G46" s="2" t="n">
        <x:f>MAX(0,MIN(G24-G35-G41-G43,G44-G45))</x:f>
        <x:v>17909.06113498466</x:v>
      </x:c>
      <x:c r="H46" s="2" t="n">
        <x:f>MAX(0,MIN(H24-H35-H41-H43,H44-H45))</x:f>
        <x:v>27658.90283380582</x:v>
      </x:c>
      <x:c r="I46" s="2" t="n">
        <x:f>MAX(0,MIN(I24-I35-I41-I43,I44-I45))</x:f>
        <x:v>21272.71585210643</x:v>
      </x:c>
      <x:c r="J46" s="2" t="n">
        <x:f>MAX(0,MIN(J24-J35-J41-J43,J44-J45))</x:f>
        <x:v>16377.197154309495</x:v>
      </x:c>
      <x:c r="K46" s="2" t="n">
        <x:f>MAX(0,MIN(K24-K35-K41-K43,K44-K45))</x:f>
        <x:v>32389.600037172982</x:v>
      </x:c>
      <x:c r="L46" s="2" t="n">
        <x:f>MAX(0,MIN(L24-L35-L41-L43,L44-L45))</x:f>
        <x:v>34681.23149976663</x:v>
      </x:c>
      <x:c r="M46" s="2" t="n">
        <x:f>MAX(0,MIN(M24-M35-M41-M43,M44-M45))</x:f>
        <x:v>39888.407010570976</x:v>
      </x:c>
      <x:c r="N46" s="2" t="n">
        <x:f>MAX(0,MIN(N24-N35-N41-N43,N44-N45))</x:f>
        <x:v>32187.976995707104</x:v>
      </x:c>
      <x:c r="O46" s="2" t="n">
        <x:f>MAX(0,MIN(O24-O35-O41-O43,O44-O45))</x:f>
        <x:v>20783.576502993492</x:v>
      </x:c>
      <x:c r="P46" s="2" t="n">
        <x:f>MAX(0,MIN(P24-P35-P41-P43,P44-P45))</x:f>
        <x:v>13626.503822358221</x:v>
      </x:c>
      <x:c r="Q46" s="2" t="n">
        <x:f>MAX(0,MIN(Q24-Q35-Q41-Q43,Q44-Q45))</x:f>
        <x:v>30549.05872704282</x:v>
      </x:c>
      <x:c r="R46" s="2" t="n">
        <x:f>MAX(0,MIN(R24-R35-R41-R43,R44-R45))</x:f>
        <x:v>48422.01502450463</x:v>
      </x:c>
      <x:c r="S46" s="2" t="n">
        <x:f>MAX(0,MIN(S24-S35-S41-S43,S44-S45))</x:f>
        <x:v>34922.016476450204</x:v>
      </x:c>
      <x:c r="T46" s="2" t="n">
        <x:f>MAX(0,MIN(T24-T35-T41-T43,T44-T45))</x:f>
        <x:v>34764.62920537292</x:v>
      </x:c>
      <x:c r="U46" s="2" t="n">
        <x:f>MAX(0,MIN(U24-U35-U41-U43,U44-U45))</x:f>
        <x:v>26300.389092164107</x:v>
      </x:c>
      <x:c r="V46" s="2" t="n">
        <x:f>MAX(0,MIN(V24-V35-V41-V43,V44-V45))</x:f>
        <x:v>20879.9731499292</x:v>
      </x:c>
      <x:c r="W46" s="2" t="n">
        <x:f>MAX(0,MIN(W24-W35-W41-W43,W44-W45))</x:f>
        <x:v>31464.848818110844</x:v>
      </x:c>
      <x:c r="X46" s="2" t="n">
        <x:f>MAX(0,MIN(X24-X35-X41-X43,X44-X45))</x:f>
        <x:v>35064.36692317579</x:v>
      </x:c>
      <x:c r="Y46" s="2" t="n">
        <x:f>MAX(0,MIN(Y24-Y35-Y41-Y43,Y44-Y45))</x:f>
        <x:v>39089.88539645262</x:v>
      </x:c>
      <x:c r="Z46" s="2" t="n">
        <x:f>MAX(0,MIN(Z24-Z35-Z41-Z43,Z44-Z45))</x:f>
        <x:v>33394.91548407593</x:v>
      </x:c>
      <x:c r="AA46" s="2" t="n">
        <x:f>MAX(0,MIN(AA24-AA35-AA41-AA43,AA44-AA45))</x:f>
        <x:v>24932.669945865113</x:v>
      </x:c>
      <x:c r="AB46" s="2" t="n">
        <x:f>MAX(0,MIN(AB24-AB35-AB41-AB43,AB44-AB45))</x:f>
        <x:v>17760.593906207938</x:v>
      </x:c>
      <x:c r="AC46" s="2" t="n">
        <x:f>MAX(0,MIN(AC24-AC35-AC41-AC43,AC44-AC45))</x:f>
        <x:v>25946.571414025555</x:v>
      </x:c>
      <x:c r="AD46" s="2" t="n">
        <x:f>MAX(0,MIN(AD24-AD35-AD41-AD43,AD44-AD45))</x:f>
        <x:v>45961.49946373397</x:v>
      </x:c>
      <x:c r="AE46" s="2" t="n">
        <x:f>MAX(0,MIN(AE24-AE35-AE41-AE43,AE44-AE45))</x:f>
        <x:v>38427.96530507223</x:v>
      </x:c>
      <x:c r="AF46" s="2" t="n">
        <x:f>MAX(0,MIN(AF24-AF35-AF41-AF43,AF44-AF45))</x:f>
        <x:v>40793.81873585069</x:v>
      </x:c>
      <x:c r="AG46" s="2" t="n">
        <x:f>MAX(0,MIN(AG24-AG35-AG41-AG43,AG44-AG45))</x:f>
        <x:v>31364.13681272075</x:v>
      </x:c>
      <x:c r="AH46" s="2" t="n">
        <x:f>MAX(0,MIN(AH24-AH35-AH41-AH43,AH44-AH45))</x:f>
        <x:v>25322.189201841647</x:v>
      </x:c>
      <x:c r="AI46" s="2" t="n">
        <x:f>MAX(0,MIN(AI24-AI35-AI41-AI43,AI44-AI45))</x:f>
        <x:v>37094.088958961445</x:v>
      </x:c>
      <x:c r="AJ46" s="2" t="n">
        <x:f>MAX(0,MIN(AJ24-AJ35-AJ41-AJ43,AJ44-AJ45))</x:f>
        <x:v>41091.24334859157</x:v>
      </x:c>
      <x:c r="AK46" s="2" t="n">
        <x:f>MAX(0,MIN(AK24-AK35-AK41-AK43,AK44-AK45))</x:f>
        <x:v>45562.493541955286</x:v>
      </x:c>
      <x:c r="AL46" s="2" t="n">
        <x:f>MAX(0,MIN(AL24-AL35-AL41-AL43,AL44-AL45))</x:f>
        <x:v>39214.797348650915</x:v>
      </x:c>
      <x:c r="AM46" s="2" t="n">
        <x:f>MAX(0,MIN(AM24-AM35-AM41-AM43,AM44-AM45))</x:f>
        <x:v>29787.080361998593</x:v>
      </x:c>
      <x:c r="AN46" s="2"/>
    </x:row>
    <x:row r="47" ht="21" customHeight="1">
      <x:c r="A47" s="1"/>
      <x:c r="B47" s="1"/>
      <x:c r="C47" s="1" t="str">
        <x:v>Opening accrued interest</x:v>
      </x:c>
      <x:c r="D47" s="2" t="n">
        <x:f>0</x:f>
        <x:v>0</x:v>
      </x:c>
      <x:c r="E47" s="2" t="n">
        <x:f>D50</x:f>
        <x:v>7277.6016666666665</x:v>
      </x:c>
      <x:c r="F47" s="2" t="n">
        <x:f>E50</x:f>
        <x:v>14555.203333333333</x:v>
      </x:c>
      <x:c r="G47" s="2" t="n">
        <x:f>F50</x:f>
        <x:v>5853.327433849012</x:v>
      </x:c>
      <x:c r="H47" s="2" t="n">
        <x:f>G50</x:f>
        <x:v>0</x:v>
      </x:c>
      <x:c r="I47" s="2" t="n">
        <x:f>H50</x:f>
        <x:v>0</x:v>
      </x:c>
      <x:c r="J47" s="2" t="n">
        <x:f>I50</x:f>
        <x:v>0</x:v>
      </x:c>
      <x:c r="K47" s="2" t="n">
        <x:f>J50</x:f>
        <x:v>0</x:v>
      </x:c>
      <x:c r="L47" s="2" t="n">
        <x:f>K50</x:f>
        <x:v>0</x:v>
      </x:c>
      <x:c r="M47" s="2" t="n">
        <x:f>L50</x:f>
        <x:v>0</x:v>
      </x:c>
      <x:c r="N47" s="2" t="n">
        <x:f>M50</x:f>
        <x:v>0</x:v>
      </x:c>
      <x:c r="O47" s="2" t="n">
        <x:f>N50</x:f>
        <x:v>0</x:v>
      </x:c>
      <x:c r="P47" s="2" t="n">
        <x:f>O50</x:f>
        <x:v>0</x:v>
      </x:c>
      <x:c r="Q47" s="2" t="n">
        <x:f>P50</x:f>
        <x:v>0</x:v>
      </x:c>
      <x:c r="R47" s="2" t="n">
        <x:f>Q50</x:f>
        <x:v>0</x:v>
      </x:c>
      <x:c r="S47" s="2" t="n">
        <x:f>R50</x:f>
        <x:v>0</x:v>
      </x:c>
      <x:c r="T47" s="2" t="n">
        <x:f>S50</x:f>
        <x:v>0</x:v>
      </x:c>
      <x:c r="U47" s="2" t="n">
        <x:f>T50</x:f>
        <x:v>0</x:v>
      </x:c>
      <x:c r="V47" s="2" t="n">
        <x:f>U50</x:f>
        <x:v>0</x:v>
      </x:c>
      <x:c r="W47" s="2" t="n">
        <x:f>V50</x:f>
        <x:v>0</x:v>
      </x:c>
      <x:c r="X47" s="2" t="n">
        <x:f>W50</x:f>
        <x:v>0</x:v>
      </x:c>
      <x:c r="Y47" s="2" t="n">
        <x:f>X50</x:f>
        <x:v>0</x:v>
      </x:c>
      <x:c r="Z47" s="2" t="n">
        <x:f>Y50</x:f>
        <x:v>0</x:v>
      </x:c>
      <x:c r="AA47" s="2" t="n">
        <x:f>Z50</x:f>
        <x:v>0</x:v>
      </x:c>
      <x:c r="AB47" s="2" t="n">
        <x:f>AA50</x:f>
        <x:v>0</x:v>
      </x:c>
      <x:c r="AC47" s="2" t="n">
        <x:f>AB50</x:f>
        <x:v>0</x:v>
      </x:c>
      <x:c r="AD47" s="2" t="n">
        <x:f>AC50</x:f>
        <x:v>0</x:v>
      </x:c>
      <x:c r="AE47" s="2" t="n">
        <x:f>AD50</x:f>
        <x:v>0</x:v>
      </x:c>
      <x:c r="AF47" s="2" t="n">
        <x:f>AE50</x:f>
        <x:v>0</x:v>
      </x:c>
      <x:c r="AG47" s="2" t="n">
        <x:f>AF50</x:f>
        <x:v>0</x:v>
      </x:c>
      <x:c r="AH47" s="2" t="n">
        <x:f>AG50</x:f>
        <x:v>0</x:v>
      </x:c>
      <x:c r="AI47" s="2" t="n">
        <x:f>AH50</x:f>
        <x:v>0</x:v>
      </x:c>
      <x:c r="AJ47" s="2" t="n">
        <x:f>AI50</x:f>
        <x:v>0</x:v>
      </x:c>
      <x:c r="AK47" s="2" t="n">
        <x:f>AJ50</x:f>
        <x:v>0</x:v>
      </x:c>
      <x:c r="AL47" s="2" t="n">
        <x:f>AK50</x:f>
        <x:v>0</x:v>
      </x:c>
      <x:c r="AM47" s="2" t="n">
        <x:f>AL50</x:f>
        <x:v>0</x:v>
      </x:c>
      <x:c r="AN47" s="2"/>
    </x:row>
    <x:row r="48" ht="21" customHeight="1">
      <x:c r="A48" s="1"/>
      <x:c r="B48" s="1"/>
      <x:c r="C48" s="1" t="str">
        <x:v>Interest paid to founders</x:v>
      </x:c>
      <x:c r="D48" s="2" t="n">
        <x:f>MIN(D46,D47+D28)</x:f>
        <x:v>0</x:v>
      </x:c>
      <x:c r="E48" s="2" t="n">
        <x:f>MIN(E46,E47+E28)</x:f>
        <x:v>0</x:v>
      </x:c>
      <x:c r="F48" s="2" t="n">
        <x:f>MIN(F46,F47+F28)</x:f>
        <x:v>15979.477566150988</x:v>
      </x:c>
      <x:c r="G48" s="2" t="n">
        <x:f>MIN(G46,G47+G28)</x:f>
        <x:v>13130.929100515677</x:v>
      </x:c>
      <x:c r="H48" s="2" t="n">
        <x:f>MIN(H46,H47+H28)</x:f>
        <x:v>7245.7474531035405</x:v>
      </x:c>
      <x:c r="I48" s="2" t="n">
        <x:f>MIN(I46,I47+I28)</x:f>
        <x:v>7109.659750565525</x:v>
      </x:c>
      <x:c r="J48" s="2" t="n">
        <x:f>MIN(J46,J47+J28)</x:f>
        <x:v>7015.239376555252</x:v>
      </x:c>
      <x:c r="K48" s="2" t="n">
        <x:f>MIN(K46,K47+K28)</x:f>
        <x:v>6952.8263247035575</x:v>
      </x:c>
      <x:c r="L48" s="2" t="n">
        <x:f>MIN(L46,L47+L28)</x:f>
        <x:v>6783.247833287095</x:v>
      </x:c>
      <x:c r="M48" s="2" t="n">
        <x:f>MIN(M46,M47+M28)</x:f>
        <x:v>6597.261275510565</x:v>
      </x:c>
      <x:c r="N48" s="2" t="n">
        <x:f>MIN(N46,N47+N28)</x:f>
        <x:v>6375.320303943495</x:v>
      </x:c>
      <x:c r="O48" s="2" t="n">
        <x:f>MIN(O46,O47+O28)</x:f>
        <x:v>6203.235925998404</x:v>
      </x:c>
      <x:c r="P48" s="2" t="n">
        <x:f>MIN(P46,P47+P28)</x:f>
        <x:v>6106.033655485103</x:v>
      </x:c>
      <x:c r="Q48" s="2" t="n">
        <x:f>MIN(Q46,Q47+Q28)</x:f>
        <x:v>6055.897187705949</x:v>
      </x:c>
      <x:c r="R48" s="2" t="n">
        <x:f>MIN(R46,R47+R28)</x:f>
        <x:v>5892.6094441103705</x:v>
      </x:c>
      <x:c r="S48" s="2" t="n">
        <x:f>MIN(S46,S47+S28)</x:f>
        <x:v>5609.080073574409</x:v>
      </x:c>
      <x:c r="T48" s="2" t="n">
        <x:f>MIN(T46,T47+T28)</x:f>
        <x:v>5413.660497555237</x:v>
      </x:c>
      <x:c r="U48" s="2" t="n">
        <x:f>MIN(U46,U47+U28)</x:f>
        <x:v>5217.987372836452</x:v>
      </x:c>
      <x:c r="V48" s="2" t="n">
        <x:f>MIN(V46,V47+V28)</x:f>
        <x:v>5077.438028040934</x:v>
      </x:c>
      <x:c r="W48" s="2" t="n">
        <x:f>MIN(W46,W47+W28)</x:f>
        <x:v>4972.0877938950125</x:v>
      </x:c>
      <x:c r="X48" s="2" t="n">
        <x:f>MIN(X46,X47+X28)</x:f>
        <x:v>4795.469387066907</x:v>
      </x:c>
      <x:c r="Y48" s="2" t="n">
        <x:f>MIN(Y46,Y47+Y28)</x:f>
        <x:v>4593.676736826182</x:v>
      </x:c>
      <x:c r="Z48" s="2" t="n">
        <x:f>MIN(Z46,Z47+Z28)</x:f>
        <x:v>4363.702012428672</x:v>
      </x:c>
      <x:c r="AA48" s="2" t="n">
        <x:f>MIN(AA46,AA47+AA28)</x:f>
        <x:v>4170.160589284357</x:v>
      </x:c>
      <x:c r="AB48" s="2" t="n">
        <x:f>MIN(AB46,AB47+AB28)</x:f>
        <x:v>4031.743860240485</x:v>
      </x:c>
      <x:c r="AC48" s="2" t="n">
        <x:f>MIN(AC46,AC47+AC28)</x:f>
        <x:v>3940.2181932673684</x:v>
      </x:c>
      <x:c r="AD48" s="2" t="n">
        <x:f>MIN(AD46,AD47+AD28)</x:f>
        <x:v>3793.5091717956475</x:v>
      </x:c>
      <x:c r="AE48" s="2" t="n">
        <x:f>MIN(AE46,AE47+AE28)</x:f>
        <x:v>3512.3892365160586</x:v>
      </x:c>
      <x:c r="AF48" s="2" t="n">
        <x:f>MIN(AF46,AF47+AF28)</x:f>
        <x:v>3279.618729392351</x:v>
      </x:c>
      <x:c r="AG48" s="2" t="n">
        <x:f>MIN(AG46,AG47+AG28)</x:f>
        <x:v>3029.5240626826285</x:v>
      </x:c>
      <x:c r="AH48" s="2" t="n">
        <x:f>MIN(AH46,AH47+AH28)</x:f>
        <x:v>2840.626644349041</x:v>
      </x:c>
      <x:c r="AI48" s="2" t="n">
        <x:f>MIN(AI46,AI47+AI28)</x:f>
        <x:v>2690.749560632424</x:v>
      </x:c>
      <x:c r="AJ48" s="2" t="n">
        <x:f>MIN(AJ46,AJ47+AJ28)</x:f>
        <x:v>2461.393964643564</x:v>
      </x:c>
      <x:c r="AK48" s="2" t="n">
        <x:f>MIN(AK46,AK47+AK28)</x:f>
        <x:v>2203.8616354172436</x:v>
      </x:c>
      <x:c r="AL48" s="2" t="n">
        <x:f>MIN(AL46,AL47+AL28)</x:f>
        <x:v>1914.8040893736568</x:v>
      </x:c>
      <x:c r="AM48" s="2" t="n">
        <x:f>MIN(AM46,AM47+AM28)</x:f>
        <x:v>1666.1374676451417</x:v>
      </x:c>
      <x:c r="AN48" s="2"/>
    </x:row>
    <x:row r="49" ht="21" customHeight="1">
      <x:c r="A49" s="1"/>
      <x:c r="B49" s="1"/>
      <x:c r="C49" s="1" t="str">
        <x:v>Principal repaid to founders</x:v>
      </x:c>
      <x:c r="D49" s="2" t="n">
        <x:f>MIN(MAX(0,D46-D48),D27)</x:f>
        <x:v>0</x:v>
      </x:c>
      <x:c r="E49" s="2" t="n">
        <x:f>MIN(MAX(0,E46-E48),E27)</x:f>
        <x:v>0</x:v>
      </x:c>
      <x:c r="F49" s="2" t="n">
        <x:f>MIN(MAX(0,F46-F48),F27)</x:f>
        <x:v>0</x:v>
      </x:c>
      <x:c r="G49" s="2" t="n">
        <x:f>MIN(MAX(0,G46-G48),G27)</x:f>
        <x:v>4778.132034468981</x:v>
      </x:c>
      <x:c r="H49" s="2" t="n">
        <x:f>MIN(MAX(0,H46-H48),H27)</x:f>
        <x:v>20413.15538070228</x:v>
      </x:c>
      <x:c r="I49" s="2" t="n">
        <x:f>MIN(MAX(0,I46-I48),I27)</x:f>
        <x:v>14163.056101540904</x:v>
      </x:c>
      <x:c r="J49" s="2" t="n">
        <x:f>MIN(MAX(0,J46-J48),J27)</x:f>
        <x:v>9361.957777754244</x:v>
      </x:c>
      <x:c r="K49" s="2" t="n">
        <x:f>MIN(MAX(0,K46-K48),K27)</x:f>
        <x:v>25436.773712469425</x:v>
      </x:c>
      <x:c r="L49" s="2" t="n">
        <x:f>MIN(MAX(0,L46-L48),L27)</x:f>
        <x:v>27897.983666479537</x:v>
      </x:c>
      <x:c r="M49" s="2" t="n">
        <x:f>MIN(MAX(0,M46-M48),M27)</x:f>
        <x:v>33291.14573506041</x:v>
      </x:c>
      <x:c r="N49" s="2" t="n">
        <x:f>MIN(MAX(0,N46-N48),N27)</x:f>
        <x:v>25812.65669176361</x:v>
      </x:c>
      <x:c r="O49" s="2" t="n">
        <x:f>MIN(MAX(0,O46-O48),O27)</x:f>
        <x:v>14580.340576995088</x:v>
      </x:c>
      <x:c r="P49" s="2" t="n">
        <x:f>MIN(MAX(0,P46-P48),P27)</x:f>
        <x:v>7520.470166873119</x:v>
      </x:c>
      <x:c r="Q49" s="2" t="n">
        <x:f>MIN(MAX(0,Q46-Q48),Q27)</x:f>
        <x:v>24493.16153933687</x:v>
      </x:c>
      <x:c r="R49" s="2" t="n">
        <x:f>MIN(MAX(0,R46-R48),R27)</x:f>
        <x:v>42529.40558039426</x:v>
      </x:c>
      <x:c r="S49" s="2" t="n">
        <x:f>MIN(MAX(0,S46-S48),S27)</x:f>
        <x:v>29312.936402875795</x:v>
      </x:c>
      <x:c r="T49" s="2" t="n">
        <x:f>MIN(MAX(0,T46-T48),T27)</x:f>
        <x:v>29350.968707817683</x:v>
      </x:c>
      <x:c r="U49" s="2" t="n">
        <x:f>MIN(MAX(0,U46-U48),U27)</x:f>
        <x:v>21082.401719327656</x:v>
      </x:c>
      <x:c r="V49" s="2" t="n">
        <x:f>MIN(MAX(0,V46-V48),V27)</x:f>
        <x:v>15802.535121888264</x:v>
      </x:c>
      <x:c r="W49" s="2" t="n">
        <x:f>MIN(MAX(0,W46-W48),W27)</x:f>
        <x:v>26492.761024215833</x:v>
      </x:c>
      <x:c r="X49" s="2" t="n">
        <x:f>MIN(MAX(0,X46-X48),X27)</x:f>
        <x:v>30268.89753610888</x:v>
      </x:c>
      <x:c r="Y49" s="2" t="n">
        <x:f>MIN(MAX(0,Y46-Y48),Y27)</x:f>
        <x:v>34496.20865962644</x:v>
      </x:c>
      <x:c r="Z49" s="2" t="n">
        <x:f>MIN(MAX(0,Z46-Z48),Z27)</x:f>
        <x:v>29031.213471647257</x:v>
      </x:c>
      <x:c r="AA49" s="2" t="n">
        <x:f>MIN(MAX(0,AA46-AA48),AA27)</x:f>
        <x:v>20762.509356580755</x:v>
      </x:c>
      <x:c r="AB49" s="2" t="n">
        <x:f>MIN(MAX(0,AB46-AB48),AB27)</x:f>
        <x:v>13728.850045967452</x:v>
      </x:c>
      <x:c r="AC49" s="2" t="n">
        <x:f>MIN(MAX(0,AC46-AC48),AC27)</x:f>
        <x:v>22006.35322075819</x:v>
      </x:c>
      <x:c r="AD49" s="2" t="n">
        <x:f>MIN(MAX(0,AD46-AD48),AD27)</x:f>
        <x:v>42167.990291938324</x:v>
      </x:c>
      <x:c r="AE49" s="2" t="n">
        <x:f>MIN(MAX(0,AE46-AE48),AE27)</x:f>
        <x:v>34915.576068556176</x:v>
      </x:c>
      <x:c r="AF49" s="2" t="n">
        <x:f>MIN(MAX(0,AF46-AF48),AF27)</x:f>
        <x:v>37514.20000645834</x:v>
      </x:c>
      <x:c r="AG49" s="2" t="n">
        <x:f>MIN(MAX(0,AG46-AG48),AG27)</x:f>
        <x:v>28334.612750038123</x:v>
      </x:c>
      <x:c r="AH49" s="2" t="n">
        <x:f>MIN(MAX(0,AH46-AH48),AH27)</x:f>
        <x:v>22481.562557492605</x:v>
      </x:c>
      <x:c r="AI49" s="2" t="n">
        <x:f>MIN(MAX(0,AI46-AI48),AI27)</x:f>
        <x:v>34403.33939832902</x:v>
      </x:c>
      <x:c r="AJ49" s="2" t="n">
        <x:f>MIN(MAX(0,AJ46-AJ48),AJ27)</x:f>
        <x:v>38629.84938394801</x:v>
      </x:c>
      <x:c r="AK49" s="2" t="n">
        <x:f>MIN(MAX(0,AK46-AK48),AK27)</x:f>
        <x:v>43358.631906538045</x:v>
      </x:c>
      <x:c r="AL49" s="2" t="n">
        <x:f>MIN(MAX(0,AL46-AL48),AL27)</x:f>
        <x:v>37299.99325927726</x:v>
      </x:c>
      <x:c r="AM49" s="2" t="n">
        <x:f>MIN(MAX(0,AM46-AM48),AM27)</x:f>
        <x:v>28120.94289435345</x:v>
      </x:c>
      <x:c r="AN49" s="2"/>
    </x:row>
    <x:row r="50" ht="21" customHeight="1">
      <x:c r="A50" s="1"/>
      <x:c r="B50" s="1"/>
      <x:c r="C50" s="1" t="str">
        <x:v>Closing accrued interest</x:v>
      </x:c>
      <x:c r="D50" s="2" t="n">
        <x:f>D47+D28-D48</x:f>
        <x:v>7277.6016666666665</x:v>
      </x:c>
      <x:c r="E50" s="2" t="n">
        <x:f>E47+E28-E48</x:f>
        <x:v>14555.203333333333</x:v>
      </x:c>
      <x:c r="F50" s="2" t="n">
        <x:f>F47+F28-F48</x:f>
        <x:v>5853.327433849012</x:v>
      </x:c>
      <x:c r="G50" s="2" t="n">
        <x:f>G47+G28-G48</x:f>
        <x:v>0</x:v>
      </x:c>
      <x:c r="H50" s="2" t="n">
        <x:f>H47+H28-H48</x:f>
        <x:v>0</x:v>
      </x:c>
      <x:c r="I50" s="2" t="n">
        <x:f>I47+I28-I48</x:f>
        <x:v>0</x:v>
      </x:c>
      <x:c r="J50" s="2" t="n">
        <x:f>J47+J28-J48</x:f>
        <x:v>0</x:v>
      </x:c>
      <x:c r="K50" s="2" t="n">
        <x:f>K47+K28-K48</x:f>
        <x:v>0</x:v>
      </x:c>
      <x:c r="L50" s="2" t="n">
        <x:f>L47+L28-L48</x:f>
        <x:v>0</x:v>
      </x:c>
      <x:c r="M50" s="2" t="n">
        <x:f>M47+M28-M48</x:f>
        <x:v>0</x:v>
      </x:c>
      <x:c r="N50" s="2" t="n">
        <x:f>N47+N28-N48</x:f>
        <x:v>0</x:v>
      </x:c>
      <x:c r="O50" s="2" t="n">
        <x:f>O47+O28-O48</x:f>
        <x:v>0</x:v>
      </x:c>
      <x:c r="P50" s="2" t="n">
        <x:f>P47+P28-P48</x:f>
        <x:v>0</x:v>
      </x:c>
      <x:c r="Q50" s="2" t="n">
        <x:f>Q47+Q28-Q48</x:f>
        <x:v>0</x:v>
      </x:c>
      <x:c r="R50" s="2" t="n">
        <x:f>R47+R28-R48</x:f>
        <x:v>0</x:v>
      </x:c>
      <x:c r="S50" s="2" t="n">
        <x:f>S47+S28-S48</x:f>
        <x:v>0</x:v>
      </x:c>
      <x:c r="T50" s="2" t="n">
        <x:f>T47+T28-T48</x:f>
        <x:v>0</x:v>
      </x:c>
      <x:c r="U50" s="2" t="n">
        <x:f>U47+U28-U48</x:f>
        <x:v>0</x:v>
      </x:c>
      <x:c r="V50" s="2" t="n">
        <x:f>V47+V28-V48</x:f>
        <x:v>0</x:v>
      </x:c>
      <x:c r="W50" s="2" t="n">
        <x:f>W47+W28-W48</x:f>
        <x:v>0</x:v>
      </x:c>
      <x:c r="X50" s="2" t="n">
        <x:f>X47+X28-X48</x:f>
        <x:v>0</x:v>
      </x:c>
      <x:c r="Y50" s="2" t="n">
        <x:f>Y47+Y28-Y48</x:f>
        <x:v>0</x:v>
      </x:c>
      <x:c r="Z50" s="2" t="n">
        <x:f>Z47+Z28-Z48</x:f>
        <x:v>0</x:v>
      </x:c>
      <x:c r="AA50" s="2" t="n">
        <x:f>AA47+AA28-AA48</x:f>
        <x:v>0</x:v>
      </x:c>
      <x:c r="AB50" s="2" t="n">
        <x:f>AB47+AB28-AB48</x:f>
        <x:v>0</x:v>
      </x:c>
      <x:c r="AC50" s="2" t="n">
        <x:f>AC47+AC28-AC48</x:f>
        <x:v>0</x:v>
      </x:c>
      <x:c r="AD50" s="2" t="n">
        <x:f>AD47+AD28-AD48</x:f>
        <x:v>0</x:v>
      </x:c>
      <x:c r="AE50" s="2" t="n">
        <x:f>AE47+AE28-AE48</x:f>
        <x:v>0</x:v>
      </x:c>
      <x:c r="AF50" s="2" t="n">
        <x:f>AF47+AF28-AF48</x:f>
        <x:v>0</x:v>
      </x:c>
      <x:c r="AG50" s="2" t="n">
        <x:f>AG47+AG28-AG48</x:f>
        <x:v>0</x:v>
      </x:c>
      <x:c r="AH50" s="2" t="n">
        <x:f>AH47+AH28-AH48</x:f>
        <x:v>0</x:v>
      </x:c>
      <x:c r="AI50" s="2" t="n">
        <x:f>AI47+AI28-AI48</x:f>
        <x:v>0</x:v>
      </x:c>
      <x:c r="AJ50" s="2" t="n">
        <x:f>AJ47+AJ28-AJ48</x:f>
        <x:v>0</x:v>
      </x:c>
      <x:c r="AK50" s="2" t="n">
        <x:f>AK47+AK28-AK48</x:f>
        <x:v>0</x:v>
      </x:c>
      <x:c r="AL50" s="2" t="n">
        <x:f>AL47+AL28-AL48</x:f>
        <x:v>0</x:v>
      </x:c>
      <x:c r="AM50" s="2" t="n">
        <x:f>AM47+AM28-AM48</x:f>
        <x:v>0</x:v>
      </x:c>
      <x:c r="AN50" s="2"/>
    </x:row>
    <x:row r="51" ht="21" customHeight="1">
      <x:c r="A51" s="1"/>
      <x:c r="B51" s="1"/>
      <x:c r="C51" s="1" t="str">
        <x:v>Closing founder principal</x:v>
      </x:c>
      <x:c r="D51" s="2" t="n">
        <x:f>D27-D49</x:f>
        <x:v>1091640.25</x:v>
      </x:c>
      <x:c r="E51" s="2" t="n">
        <x:f>E27-E49</x:f>
        <x:v>1091640.25</x:v>
      </x:c>
      <x:c r="F51" s="2" t="n">
        <x:f>F27-F49</x:f>
        <x:v>1091640.25</x:v>
      </x:c>
      <x:c r="G51" s="2" t="n">
        <x:f>G27-G49</x:f>
        <x:v>1086862.117965531</x:v>
      </x:c>
      <x:c r="H51" s="2" t="n">
        <x:f>H27-H49</x:f>
        <x:v>1066448.9625848287</x:v>
      </x:c>
      <x:c r="I51" s="2" t="n">
        <x:f>I27-I49</x:f>
        <x:v>1052285.906483288</x:v>
      </x:c>
      <x:c r="J51" s="2" t="n">
        <x:f>J27-J49</x:f>
        <x:v>1042923.9487055336</x:v>
      </x:c>
      <x:c r="K51" s="2" t="n">
        <x:f>K27-K49</x:f>
        <x:v>1017487.1749930643</x:v>
      </x:c>
      <x:c r="L51" s="2" t="n">
        <x:f>L27-L49</x:f>
        <x:v>989589.1913265847</x:v>
      </x:c>
      <x:c r="M51" s="2" t="n">
        <x:f>M27-M49</x:f>
        <x:v>956298.0455915242</x:v>
      </x:c>
      <x:c r="N51" s="2" t="n">
        <x:f>N27-N49</x:f>
        <x:v>930485.3888997606</x:v>
      </x:c>
      <x:c r="O51" s="2" t="n">
        <x:f>O27-O49</x:f>
        <x:v>915905.0483227655</x:v>
      </x:c>
      <x:c r="P51" s="2" t="n">
        <x:f>P27-P49</x:f>
        <x:v>908384.5781558924</x:v>
      </x:c>
      <x:c r="Q51" s="2" t="n">
        <x:f>Q27-Q49</x:f>
        <x:v>883891.4166165555</x:v>
      </x:c>
      <x:c r="R51" s="2" t="n">
        <x:f>R27-R49</x:f>
        <x:v>841362.0110361613</x:v>
      </x:c>
      <x:c r="S51" s="2" t="n">
        <x:f>S27-S49</x:f>
        <x:v>812049.0746332855</x:v>
      </x:c>
      <x:c r="T51" s="2" t="n">
        <x:f>T27-T49</x:f>
        <x:v>782698.1059254678</x:v>
      </x:c>
      <x:c r="U51" s="2" t="n">
        <x:f>U27-U49</x:f>
        <x:v>761615.7042061401</x:v>
      </x:c>
      <x:c r="V51" s="2" t="n">
        <x:f>V27-V49</x:f>
        <x:v>745813.1690842519</x:v>
      </x:c>
      <x:c r="W51" s="2" t="n">
        <x:f>W27-W49</x:f>
        <x:v>719320.408060036</x:v>
      </x:c>
      <x:c r="X51" s="2" t="n">
        <x:f>X27-X49</x:f>
        <x:v>689051.5105239272</x:v>
      </x:c>
      <x:c r="Y51" s="2" t="n">
        <x:f>Y27-Y49</x:f>
        <x:v>654555.3018643007</x:v>
      </x:c>
      <x:c r="Z51" s="2" t="n">
        <x:f>Z27-Z49</x:f>
        <x:v>625524.0883926535</x:v>
      </x:c>
      <x:c r="AA51" s="2" t="n">
        <x:f>AA27-AA49</x:f>
        <x:v>604761.5790360727</x:v>
      </x:c>
      <x:c r="AB51" s="2" t="n">
        <x:f>AB27-AB49</x:f>
        <x:v>591032.7289901052</x:v>
      </x:c>
      <x:c r="AC51" s="2" t="n">
        <x:f>AC27-AC49</x:f>
        <x:v>569026.3757693471</x:v>
      </x:c>
      <x:c r="AD51" s="2" t="n">
        <x:f>AD27-AD49</x:f>
        <x:v>526858.3854774088</x:v>
      </x:c>
      <x:c r="AE51" s="2" t="n">
        <x:f>AE27-AE49</x:f>
        <x:v>491942.8094088526</x:v>
      </x:c>
      <x:c r="AF51" s="2" t="n">
        <x:f>AF27-AF49</x:f>
        <x:v>454428.6094023943</x:v>
      </x:c>
      <x:c r="AG51" s="2" t="n">
        <x:f>AG27-AG49</x:f>
        <x:v>426093.9966523562</x:v>
      </x:c>
      <x:c r="AH51" s="2" t="n">
        <x:f>AH27-AH49</x:f>
        <x:v>403612.4340948636</x:v>
      </x:c>
      <x:c r="AI51" s="2" t="n">
        <x:f>AI27-AI49</x:f>
        <x:v>369209.09469653456</x:v>
      </x:c>
      <x:c r="AJ51" s="2" t="n">
        <x:f>AJ27-AJ49</x:f>
        <x:v>330579.24531258654</x:v>
      </x:c>
      <x:c r="AK51" s="2" t="n">
        <x:f>AK27-AK49</x:f>
        <x:v>287220.6134060485</x:v>
      </x:c>
      <x:c r="AL51" s="2" t="n">
        <x:f>AL27-AL49</x:f>
        <x:v>249920.62014677125</x:v>
      </x:c>
      <x:c r="AM51" s="2" t="n">
        <x:f>AM27-AM49</x:f>
        <x:v>221799.6772524178</x:v>
      </x:c>
      <x:c r="AN51" s="2"/>
    </x:row>
    <x:row r="52" ht="21" customHeight="1">
      <x:c r="A52" s="1"/>
      <x:c r="B52" s="1"/>
      <x:c r="C52" s="1" t="str">
        <x:v>Closing cash before extra funding</x:v>
      </x:c>
      <x:c r="D52" s="2" t="n">
        <x:f>D44-D48-D49</x:f>
        <x:v>173333.27987699726</x:v>
      </x:c>
      <x:c r="E52" s="2" t="n">
        <x:f>E44-E48-E49</x:f>
        <x:v>162061.69519002555</x:v>
      </x:c>
      <x:c r="F52" s="2" t="n">
        <x:f>F44-F48-F49</x:f>
        <x:v>268358.24953785155</x:v>
      </x:c>
      <x:c r="G52" s="2" t="n">
        <x:f>G44-G48-G49</x:f>
        <x:v>268358.24953785155</x:v>
      </x:c>
      <x:c r="H52" s="2" t="n">
        <x:f>H44-H48-H49</x:f>
        <x:v>268358.24953785155</x:v>
      </x:c>
      <x:c r="I52" s="2" t="n">
        <x:f>I44-I48-I49</x:f>
        <x:v>268358.24953785155</x:v>
      </x:c>
      <x:c r="J52" s="2" t="n">
        <x:f>J44-J48-J49</x:f>
        <x:v>268358.2495378516</x:v>
      </x:c>
      <x:c r="K52" s="2" t="n">
        <x:f>K44-K48-K49</x:f>
        <x:v>268358.24953785155</x:v>
      </x:c>
      <x:c r="L52" s="2" t="n">
        <x:f>L44-L48-L49</x:f>
        <x:v>268358.24953785155</x:v>
      </x:c>
      <x:c r="M52" s="2" t="n">
        <x:f>M44-M48-M49</x:f>
        <x:v>268358.2495378516</x:v>
      </x:c>
      <x:c r="N52" s="2" t="n">
        <x:f>N44-N48-N49</x:f>
        <x:v>268358.24953785166</x:v>
      </x:c>
      <x:c r="O52" s="2" t="n">
        <x:f>O44-O48-O49</x:f>
        <x:v>268358.24953785166</x:v>
      </x:c>
      <x:c r="P52" s="2" t="n">
        <x:f>P44-P48-P49</x:f>
        <x:v>268358.24953785166</x:v>
      </x:c>
      <x:c r="Q52" s="2" t="n">
        <x:f>Q44-Q48-Q49</x:f>
        <x:v>268358.24953785166</x:v>
      </x:c>
      <x:c r="R52" s="2" t="n">
        <x:f>R44-R48-R49</x:f>
        <x:v>268358.24953785166</x:v>
      </x:c>
      <x:c r="S52" s="2" t="n">
        <x:f>S44-S48-S49</x:f>
        <x:v>268358.2495378517</x:v>
      </x:c>
      <x:c r="T52" s="2" t="n">
        <x:f>T44-T48-T49</x:f>
        <x:v>268358.2495378518</x:v>
      </x:c>
      <x:c r="U52" s="2" t="n">
        <x:f>U44-U48-U49</x:f>
        <x:v>268358.2495378518</x:v>
      </x:c>
      <x:c r="V52" s="2" t="n">
        <x:f>V44-V48-V49</x:f>
        <x:v>268358.24953785184</x:v>
      </x:c>
      <x:c r="W52" s="2" t="n">
        <x:f>W44-W48-W49</x:f>
        <x:v>268358.24953785184</x:v>
      </x:c>
      <x:c r="X52" s="2" t="n">
        <x:f>X44-X48-X49</x:f>
        <x:v>268358.2495378519</x:v>
      </x:c>
      <x:c r="Y52" s="2" t="n">
        <x:f>Y44-Y48-Y49</x:f>
        <x:v>268358.2495378519</x:v>
      </x:c>
      <x:c r="Z52" s="2" t="n">
        <x:f>Z44-Z48-Z49</x:f>
        <x:v>268358.24953785195</x:v>
      </x:c>
      <x:c r="AA52" s="2" t="n">
        <x:f>AA44-AA48-AA49</x:f>
        <x:v>268358.24953785195</x:v>
      </x:c>
      <x:c r="AB52" s="2" t="n">
        <x:f>AB44-AB48-AB49</x:f>
        <x:v>268358.24953785195</x:v>
      </x:c>
      <x:c r="AC52" s="2" t="n">
        <x:f>AC44-AC48-AC49</x:f>
        <x:v>268358.24953785195</x:v>
      </x:c>
      <x:c r="AD52" s="2" t="n">
        <x:f>AD44-AD48-AD49</x:f>
        <x:v>268358.249537852</x:v>
      </x:c>
      <x:c r="AE52" s="2" t="n">
        <x:f>AE44-AE48-AE49</x:f>
        <x:v>268358.24953785207</x:v>
      </x:c>
      <x:c r="AF52" s="2" t="n">
        <x:f>AF44-AF48-AF49</x:f>
        <x:v>268358.24953785207</x:v>
      </x:c>
      <x:c r="AG52" s="2" t="n">
        <x:f>AG44-AG48-AG49</x:f>
        <x:v>268358.24953785207</x:v>
      </x:c>
      <x:c r="AH52" s="2" t="n">
        <x:f>AH44-AH48-AH49</x:f>
        <x:v>268358.2495378522</x:v>
      </x:c>
      <x:c r="AI52" s="2" t="n">
        <x:f>AI44-AI48-AI49</x:f>
        <x:v>268358.2495378522</x:v>
      </x:c>
      <x:c r="AJ52" s="2" t="n">
        <x:f>AJ44-AJ48-AJ49</x:f>
        <x:v>268358.2495378521</x:v>
      </x:c>
      <x:c r="AK52" s="2" t="n">
        <x:f>AK44-AK48-AK49</x:f>
        <x:v>268358.24953785207</x:v>
      </x:c>
      <x:c r="AL52" s="2" t="n">
        <x:f>AL44-AL48-AL49</x:f>
        <x:v>268358.24953785207</x:v>
      </x:c>
      <x:c r="AM52" s="2" t="n">
        <x:f>AM44-AM48-AM49</x:f>
        <x:v>268358.249537852</x:v>
      </x:c>
      <x:c r="AN52" s="2"/>
    </x:row>
    <x:row r="53" ht="21" customHeight="1">
      <x:c r="A53" s="1"/>
      <x:c r="B53" s="1"/>
      <x:c r="C53" s="1" t="str">
        <x:v>Additional equity required to avoid negative cash</x:v>
      </x:c>
      <x:c r="D53" s="2" t="n">
        <x:f>MAX(0,-D52)</x:f>
        <x:v>0</x:v>
      </x:c>
      <x:c r="E53" s="2" t="n">
        <x:f>MAX(0,-E52)</x:f>
        <x:v>0</x:v>
      </x:c>
      <x:c r="F53" s="2" t="n">
        <x:f>MAX(0,-F52)</x:f>
        <x:v>0</x:v>
      </x:c>
      <x:c r="G53" s="2" t="n">
        <x:f>MAX(0,-G52)</x:f>
        <x:v>0</x:v>
      </x:c>
      <x:c r="H53" s="2" t="n">
        <x:f>MAX(0,-H52)</x:f>
        <x:v>0</x:v>
      </x:c>
      <x:c r="I53" s="2" t="n">
        <x:f>MAX(0,-I52)</x:f>
        <x:v>0</x:v>
      </x:c>
      <x:c r="J53" s="2" t="n">
        <x:f>MAX(0,-J52)</x:f>
        <x:v>0</x:v>
      </x:c>
      <x:c r="K53" s="2" t="n">
        <x:f>MAX(0,-K52)</x:f>
        <x:v>0</x:v>
      </x:c>
      <x:c r="L53" s="2" t="n">
        <x:f>MAX(0,-L52)</x:f>
        <x:v>0</x:v>
      </x:c>
      <x:c r="M53" s="2" t="n">
        <x:f>MAX(0,-M52)</x:f>
        <x:v>0</x:v>
      </x:c>
      <x:c r="N53" s="2" t="n">
        <x:f>MAX(0,-N52)</x:f>
        <x:v>0</x:v>
      </x:c>
      <x:c r="O53" s="2" t="n">
        <x:f>MAX(0,-O52)</x:f>
        <x:v>0</x:v>
      </x:c>
      <x:c r="P53" s="2" t="n">
        <x:f>MAX(0,-P52)</x:f>
        <x:v>0</x:v>
      </x:c>
      <x:c r="Q53" s="2" t="n">
        <x:f>MAX(0,-Q52)</x:f>
        <x:v>0</x:v>
      </x:c>
      <x:c r="R53" s="2" t="n">
        <x:f>MAX(0,-R52)</x:f>
        <x:v>0</x:v>
      </x:c>
      <x:c r="S53" s="2" t="n">
        <x:f>MAX(0,-S52)</x:f>
        <x:v>0</x:v>
      </x:c>
      <x:c r="T53" s="2" t="n">
        <x:f>MAX(0,-T52)</x:f>
        <x:v>0</x:v>
      </x:c>
      <x:c r="U53" s="2" t="n">
        <x:f>MAX(0,-U52)</x:f>
        <x:v>0</x:v>
      </x:c>
      <x:c r="V53" s="2" t="n">
        <x:f>MAX(0,-V52)</x:f>
        <x:v>0</x:v>
      </x:c>
      <x:c r="W53" s="2" t="n">
        <x:f>MAX(0,-W52)</x:f>
        <x:v>0</x:v>
      </x:c>
      <x:c r="X53" s="2" t="n">
        <x:f>MAX(0,-X52)</x:f>
        <x:v>0</x:v>
      </x:c>
      <x:c r="Y53" s="2" t="n">
        <x:f>MAX(0,-Y52)</x:f>
        <x:v>0</x:v>
      </x:c>
      <x:c r="Z53" s="2" t="n">
        <x:f>MAX(0,-Z52)</x:f>
        <x:v>0</x:v>
      </x:c>
      <x:c r="AA53" s="2" t="n">
        <x:f>MAX(0,-AA52)</x:f>
        <x:v>0</x:v>
      </x:c>
      <x:c r="AB53" s="2" t="n">
        <x:f>MAX(0,-AB52)</x:f>
        <x:v>0</x:v>
      </x:c>
      <x:c r="AC53" s="2" t="n">
        <x:f>MAX(0,-AC52)</x:f>
        <x:v>0</x:v>
      </x:c>
      <x:c r="AD53" s="2" t="n">
        <x:f>MAX(0,-AD52)</x:f>
        <x:v>0</x:v>
      </x:c>
      <x:c r="AE53" s="2" t="n">
        <x:f>MAX(0,-AE52)</x:f>
        <x:v>0</x:v>
      </x:c>
      <x:c r="AF53" s="2" t="n">
        <x:f>MAX(0,-AF52)</x:f>
        <x:v>0</x:v>
      </x:c>
      <x:c r="AG53" s="2" t="n">
        <x:f>MAX(0,-AG52)</x:f>
        <x:v>0</x:v>
      </x:c>
      <x:c r="AH53" s="2" t="n">
        <x:f>MAX(0,-AH52)</x:f>
        <x:v>0</x:v>
      </x:c>
      <x:c r="AI53" s="2" t="n">
        <x:f>MAX(0,-AI52)</x:f>
        <x:v>0</x:v>
      </x:c>
      <x:c r="AJ53" s="2" t="n">
        <x:f>MAX(0,-AJ52)</x:f>
        <x:v>0</x:v>
      </x:c>
      <x:c r="AK53" s="2" t="n">
        <x:f>MAX(0,-AK52)</x:f>
        <x:v>0</x:v>
      </x:c>
      <x:c r="AL53" s="2" t="n">
        <x:f>MAX(0,-AL52)</x:f>
        <x:v>0</x:v>
      </x:c>
      <x:c r="AM53" s="2" t="n">
        <x:f>MAX(0,-AM52)</x:f>
        <x:v>0</x:v>
      </x:c>
      <x:c r="AN53" s="2"/>
    </x:row>
    <x:row r="54" ht="21" customHeight="1">
      <x:c r="A54" s="1"/>
      <x:c r="B54" s="1"/>
      <x:c r="C54" s="27" t="str">
        <x:v>Closing funded cash</x:v>
      </x:c>
      <x:c r="D54" s="28" t="n">
        <x:f>D52+D53</x:f>
        <x:v>173333.27987699726</x:v>
      </x:c>
      <x:c r="E54" s="28" t="n">
        <x:f>E52+E53</x:f>
        <x:v>162061.69519002555</x:v>
      </x:c>
      <x:c r="F54" s="28" t="n">
        <x:f>F52+F53</x:f>
        <x:v>268358.24953785155</x:v>
      </x:c>
      <x:c r="G54" s="28" t="n">
        <x:f>G52+G53</x:f>
        <x:v>268358.24953785155</x:v>
      </x:c>
      <x:c r="H54" s="28" t="n">
        <x:f>H52+H53</x:f>
        <x:v>268358.24953785155</x:v>
      </x:c>
      <x:c r="I54" s="28" t="n">
        <x:f>I52+I53</x:f>
        <x:v>268358.24953785155</x:v>
      </x:c>
      <x:c r="J54" s="28" t="n">
        <x:f>J52+J53</x:f>
        <x:v>268358.2495378516</x:v>
      </x:c>
      <x:c r="K54" s="28" t="n">
        <x:f>K52+K53</x:f>
        <x:v>268358.24953785155</x:v>
      </x:c>
      <x:c r="L54" s="28" t="n">
        <x:f>L52+L53</x:f>
        <x:v>268358.24953785155</x:v>
      </x:c>
      <x:c r="M54" s="28" t="n">
        <x:f>M52+M53</x:f>
        <x:v>268358.2495378516</x:v>
      </x:c>
      <x:c r="N54" s="28" t="n">
        <x:f>N52+N53</x:f>
        <x:v>268358.24953785166</x:v>
      </x:c>
      <x:c r="O54" s="28" t="n">
        <x:f>O52+O53</x:f>
        <x:v>268358.24953785166</x:v>
      </x:c>
      <x:c r="P54" s="28" t="n">
        <x:f>P52+P53</x:f>
        <x:v>268358.24953785166</x:v>
      </x:c>
      <x:c r="Q54" s="28" t="n">
        <x:f>Q52+Q53</x:f>
        <x:v>268358.24953785166</x:v>
      </x:c>
      <x:c r="R54" s="28" t="n">
        <x:f>R52+R53</x:f>
        <x:v>268358.24953785166</x:v>
      </x:c>
      <x:c r="S54" s="28" t="n">
        <x:f>S52+S53</x:f>
        <x:v>268358.2495378517</x:v>
      </x:c>
      <x:c r="T54" s="28" t="n">
        <x:f>T52+T53</x:f>
        <x:v>268358.2495378518</x:v>
      </x:c>
      <x:c r="U54" s="28" t="n">
        <x:f>U52+U53</x:f>
        <x:v>268358.2495378518</x:v>
      </x:c>
      <x:c r="V54" s="28" t="n">
        <x:f>V52+V53</x:f>
        <x:v>268358.24953785184</x:v>
      </x:c>
      <x:c r="W54" s="28" t="n">
        <x:f>W52+W53</x:f>
        <x:v>268358.24953785184</x:v>
      </x:c>
      <x:c r="X54" s="28" t="n">
        <x:f>X52+X53</x:f>
        <x:v>268358.2495378519</x:v>
      </x:c>
      <x:c r="Y54" s="28" t="n">
        <x:f>Y52+Y53</x:f>
        <x:v>268358.2495378519</x:v>
      </x:c>
      <x:c r="Z54" s="28" t="n">
        <x:f>Z52+Z53</x:f>
        <x:v>268358.24953785195</x:v>
      </x:c>
      <x:c r="AA54" s="28" t="n">
        <x:f>AA52+AA53</x:f>
        <x:v>268358.24953785195</x:v>
      </x:c>
      <x:c r="AB54" s="28" t="n">
        <x:f>AB52+AB53</x:f>
        <x:v>268358.24953785195</x:v>
      </x:c>
      <x:c r="AC54" s="28" t="n">
        <x:f>AC52+AC53</x:f>
        <x:v>268358.24953785195</x:v>
      </x:c>
      <x:c r="AD54" s="28" t="n">
        <x:f>AD52+AD53</x:f>
        <x:v>268358.249537852</x:v>
      </x:c>
      <x:c r="AE54" s="28" t="n">
        <x:f>AE52+AE53</x:f>
        <x:v>268358.24953785207</x:v>
      </x:c>
      <x:c r="AF54" s="28" t="n">
        <x:f>AF52+AF53</x:f>
        <x:v>268358.24953785207</x:v>
      </x:c>
      <x:c r="AG54" s="28" t="n">
        <x:f>AG52+AG53</x:f>
        <x:v>268358.24953785207</x:v>
      </x:c>
      <x:c r="AH54" s="28" t="n">
        <x:f>AH52+AH53</x:f>
        <x:v>268358.2495378522</x:v>
      </x:c>
      <x:c r="AI54" s="28" t="n">
        <x:f>AI52+AI53</x:f>
        <x:v>268358.2495378522</x:v>
      </x:c>
      <x:c r="AJ54" s="28" t="n">
        <x:f>AJ52+AJ53</x:f>
        <x:v>268358.2495378521</x:v>
      </x:c>
      <x:c r="AK54" s="28" t="n">
        <x:f>AK52+AK53</x:f>
        <x:v>268358.24953785207</x:v>
      </x:c>
      <x:c r="AL54" s="28" t="n">
        <x:f>AL52+AL53</x:f>
        <x:v>268358.24953785207</x:v>
      </x:c>
      <x:c r="AM54" s="28" t="n">
        <x:f>AM52+AM53</x:f>
        <x:v>268358.249537852</x:v>
      </x:c>
      <x:c r="AN54" s="2"/>
    </x:row>
    <x:row r="55" ht="21" customHeight="1">
      <x:c r="A55" s="1"/>
      <x:c r="B55" s="1"/>
      <x:c r="C55" s="1" t="str">
        <x:v>Cumulative extra equity required</x:v>
      </x:c>
      <x:c r="D55" s="2" t="n">
        <x:f>D53</x:f>
        <x:v>0</x:v>
      </x:c>
      <x:c r="E55" s="2" t="n">
        <x:f>D55+E53</x:f>
        <x:v>0</x:v>
      </x:c>
      <x:c r="F55" s="2" t="n">
        <x:f>E55+F53</x:f>
        <x:v>0</x:v>
      </x:c>
      <x:c r="G55" s="2" t="n">
        <x:f>F55+G53</x:f>
        <x:v>0</x:v>
      </x:c>
      <x:c r="H55" s="2" t="n">
        <x:f>G55+H53</x:f>
        <x:v>0</x:v>
      </x:c>
      <x:c r="I55" s="2" t="n">
        <x:f>H55+I53</x:f>
        <x:v>0</x:v>
      </x:c>
      <x:c r="J55" s="2" t="n">
        <x:f>I55+J53</x:f>
        <x:v>0</x:v>
      </x:c>
      <x:c r="K55" s="2" t="n">
        <x:f>J55+K53</x:f>
        <x:v>0</x:v>
      </x:c>
      <x:c r="L55" s="2" t="n">
        <x:f>K55+L53</x:f>
        <x:v>0</x:v>
      </x:c>
      <x:c r="M55" s="2" t="n">
        <x:f>L55+M53</x:f>
        <x:v>0</x:v>
      </x:c>
      <x:c r="N55" s="2" t="n">
        <x:f>M55+N53</x:f>
        <x:v>0</x:v>
      </x:c>
      <x:c r="O55" s="2" t="n">
        <x:f>N55+O53</x:f>
        <x:v>0</x:v>
      </x:c>
      <x:c r="P55" s="2" t="n">
        <x:f>O55+P53</x:f>
        <x:v>0</x:v>
      </x:c>
      <x:c r="Q55" s="2" t="n">
        <x:f>P55+Q53</x:f>
        <x:v>0</x:v>
      </x:c>
      <x:c r="R55" s="2" t="n">
        <x:f>Q55+R53</x:f>
        <x:v>0</x:v>
      </x:c>
      <x:c r="S55" s="2" t="n">
        <x:f>R55+S53</x:f>
        <x:v>0</x:v>
      </x:c>
      <x:c r="T55" s="2" t="n">
        <x:f>S55+T53</x:f>
        <x:v>0</x:v>
      </x:c>
      <x:c r="U55" s="2" t="n">
        <x:f>T55+U53</x:f>
        <x:v>0</x:v>
      </x:c>
      <x:c r="V55" s="2" t="n">
        <x:f>U55+V53</x:f>
        <x:v>0</x:v>
      </x:c>
      <x:c r="W55" s="2" t="n">
        <x:f>V55+W53</x:f>
        <x:v>0</x:v>
      </x:c>
      <x:c r="X55" s="2" t="n">
        <x:f>W55+X53</x:f>
        <x:v>0</x:v>
      </x:c>
      <x:c r="Y55" s="2" t="n">
        <x:f>X55+Y53</x:f>
        <x:v>0</x:v>
      </x:c>
      <x:c r="Z55" s="2" t="n">
        <x:f>Y55+Z53</x:f>
        <x:v>0</x:v>
      </x:c>
      <x:c r="AA55" s="2" t="n">
        <x:f>Z55+AA53</x:f>
        <x:v>0</x:v>
      </x:c>
      <x:c r="AB55" s="2" t="n">
        <x:f>AA55+AB53</x:f>
        <x:v>0</x:v>
      </x:c>
      <x:c r="AC55" s="2" t="n">
        <x:f>AB55+AC53</x:f>
        <x:v>0</x:v>
      </x:c>
      <x:c r="AD55" s="2" t="n">
        <x:f>AC55+AD53</x:f>
        <x:v>0</x:v>
      </x:c>
      <x:c r="AE55" s="2" t="n">
        <x:f>AD55+AE53</x:f>
        <x:v>0</x:v>
      </x:c>
      <x:c r="AF55" s="2" t="n">
        <x:f>AE55+AF53</x:f>
        <x:v>0</x:v>
      </x:c>
      <x:c r="AG55" s="2" t="n">
        <x:f>AF55+AG53</x:f>
        <x:v>0</x:v>
      </x:c>
      <x:c r="AH55" s="2" t="n">
        <x:f>AG55+AH53</x:f>
        <x:v>0</x:v>
      </x:c>
      <x:c r="AI55" s="2" t="n">
        <x:f>AH55+AI53</x:f>
        <x:v>0</x:v>
      </x:c>
      <x:c r="AJ55" s="2" t="n">
        <x:f>AI55+AJ53</x:f>
        <x:v>0</x:v>
      </x:c>
      <x:c r="AK55" s="2" t="n">
        <x:f>AJ55+AK53</x:f>
        <x:v>0</x:v>
      </x:c>
      <x:c r="AL55" s="2" t="n">
        <x:f>AK55+AL53</x:f>
        <x:v>0</x:v>
      </x:c>
      <x:c r="AM55" s="2" t="n">
        <x:f>AL55+AM53</x:f>
        <x:v>0</x:v>
      </x:c>
      <x:c r="AN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21" customHeight="1">
      <x:c r="A57" s="1"/>
      <x:c r="B57" s="1"/>
      <x:c r="C57" s="1" t="str">
        <x:v>Net fixed assets</x:v>
      </x:c>
      <x:c r="D57" s="11" t="n">
        <x:f>'Startup'!$I$26+SUM($D43:D43)-SUM($D25:D25)</x:f>
        <x:v>628464.5753968256</x:v>
      </x:c>
      <x:c r="E57" s="11" t="n">
        <x:f>'Startup'!$I$26+SUM($D43:E43)-SUM($D25:E25)</x:f>
        <x:v>618879.6580400277</x:v>
      </x:c>
      <x:c r="F57" s="11" t="n">
        <x:f>'Startup'!$I$26+SUM($D43:F43)-SUM($D25:F25)</x:f>
        <x:v>609280.2479296068</x:v>
      </x:c>
      <x:c r="G57" s="11" t="n">
        <x:f>'Startup'!$I$26+SUM($D43:G43)-SUM($D25:G25)</x:f>
        <x:v>599666.3450655625</x:v>
      </x:c>
      <x:c r="H57" s="11" t="n">
        <x:f>'Startup'!$I$26+SUM($D43:H43)-SUM($D25:H25)</x:f>
        <x:v>590037.9494478953</x:v>
      </x:c>
      <x:c r="I57" s="11" t="n">
        <x:f>'Startup'!$I$26+SUM($D43:I43)-SUM($D25:I25)</x:f>
        <x:v>580395.0610766046</x:v>
      </x:c>
      <x:c r="J57" s="11" t="n">
        <x:f>'Startup'!$I$26+SUM($D43:J43)-SUM($D25:J25)</x:f>
        <x:v>570737.679951691</x:v>
      </x:c>
      <x:c r="K57" s="11" t="n">
        <x:f>'Startup'!$I$26+SUM($D43:K43)-SUM($D25:K25)</x:f>
        <x:v>561065.8060731541</x:v>
      </x:c>
      <x:c r="L57" s="11" t="n">
        <x:f>'Startup'!$I$26+SUM($D43:L43)-SUM($D25:L25)</x:f>
        <x:v>551379.4394409939</x:v>
      </x:c>
      <x:c r="M57" s="11" t="n">
        <x:f>'Startup'!$I$26+SUM($D43:M43)-SUM($D25:M25)</x:f>
        <x:v>541678.5800552106</x:v>
      </x:c>
      <x:c r="N57" s="11" t="n">
        <x:f>'Startup'!$I$26+SUM($D43:N43)-SUM($D25:N25)</x:f>
        <x:v>531963.2279158041</x:v>
      </x:c>
      <x:c r="O57" s="11" t="n">
        <x:f>'Startup'!$I$26+SUM($D43:O43)-SUM($D25:O25)</x:f>
        <x:v>522233.3830227745</x:v>
      </x:c>
      <x:c r="P57" s="11" t="n">
        <x:f>'Startup'!$I$26+SUM($D43:P43)-SUM($D25:P25)</x:f>
        <x:v>512531.79899931</x:v>
      </x:c>
      <x:c r="Q57" s="11" t="n">
        <x:f>'Startup'!$I$26+SUM($D43:Q43)-SUM($D25:Q25)</x:f>
        <x:v>502814.9975845412</x:v>
      </x:c>
      <x:c r="R57" s="11" t="n">
        <x:f>'Startup'!$I$26+SUM($D43:R43)-SUM($D25:R25)</x:f>
        <x:v>493082.97877846804</x:v>
      </x:c>
      <x:c r="S57" s="11" t="n">
        <x:f>'Startup'!$I$26+SUM($D43:S43)-SUM($D25:S25)</x:f>
        <x:v>483335.74258109054</x:v>
      </x:c>
      <x:c r="T57" s="11" t="n">
        <x:f>'Startup'!$I$26+SUM($D43:T43)-SUM($D25:T25)</x:f>
        <x:v>473573.28899240866</x:v>
      </x:c>
      <x:c r="U57" s="11" t="n">
        <x:f>'Startup'!$I$26+SUM($D43:U43)-SUM($D25:U25)</x:f>
        <x:v>463795.61801242246</x:v>
      </x:c>
      <x:c r="V57" s="11" t="n">
        <x:f>'Startup'!$I$26+SUM($D43:V43)-SUM($D25:V25)</x:f>
        <x:v>454002.72964113194</x:v>
      </x:c>
      <x:c r="W57" s="11" t="n">
        <x:f>'Startup'!$I$26+SUM($D43:W43)-SUM($D25:W25)</x:f>
        <x:v>444194.62387853704</x:v>
      </x:c>
      <x:c r="X57" s="11" t="n">
        <x:f>'Startup'!$I$26+SUM($D43:X43)-SUM($D25:X25)</x:f>
        <x:v>434371.3007246378</x:v>
      </x:c>
      <x:c r="Y57" s="11" t="n">
        <x:f>'Startup'!$I$26+SUM($D43:Y43)-SUM($D25:Y25)</x:f>
        <x:v>424532.7601794342</x:v>
      </x:c>
      <x:c r="Z57" s="11" t="n">
        <x:f>'Startup'!$I$26+SUM($D43:Z43)-SUM($D25:Z25)</x:f>
        <x:v>414679.0022429263</x:v>
      </x:c>
      <x:c r="AA57" s="11" t="n">
        <x:f>'Startup'!$I$26+SUM($D43:AA43)-SUM($D25:AA25)</x:f>
        <x:v>404810.02691511397</x:v>
      </x:c>
      <x:c r="AB57" s="11" t="n">
        <x:f>'Startup'!$I$26+SUM($D43:AB43)-SUM($D25:AB25)</x:f>
        <x:v>394970.7255003452</x:v>
      </x:c>
      <x:c r="AC57" s="11" t="n">
        <x:f>'Startup'!$I$26+SUM($D43:AC43)-SUM($D25:AC25)</x:f>
        <x:v>385115.4458247068</x:v>
      </x:c>
      <x:c r="AD57" s="11" t="n">
        <x:f>'Startup'!$I$26+SUM($D43:AD43)-SUM($D25:AD25)</x:f>
        <x:v>375244.18788819876</x:v>
      </x:c>
      <x:c r="AE57" s="11" t="n">
        <x:f>'Startup'!$I$26+SUM($D43:AE43)-SUM($D25:AE25)</x:f>
        <x:v>365356.9516908213</x:v>
      </x:c>
      <x:c r="AF57" s="11" t="n">
        <x:f>'Startup'!$I$26+SUM($D43:AF43)-SUM($D25:AF25)</x:f>
        <x:v>355453.7372325743</x:v>
      </x:c>
      <x:c r="AG57" s="11" t="n">
        <x:f>'Startup'!$I$26+SUM($D43:AG43)-SUM($D25:AG25)</x:f>
        <x:v>345534.54451345763</x:v>
      </x:c>
      <x:c r="AH57" s="11" t="n">
        <x:f>'Startup'!$I$26+SUM($D43:AH43)-SUM($D25:AH25)</x:f>
        <x:v>335599.3735334715</x:v>
      </x:c>
      <x:c r="AI57" s="11" t="n">
        <x:f>'Startup'!$I$26+SUM($D43:AI43)-SUM($D25:AI25)</x:f>
        <x:v>325648.2242926158</x:v>
      </x:c>
      <x:c r="AJ57" s="11" t="n">
        <x:f>'Startup'!$I$26+SUM($D43:AJ43)-SUM($D25:AJ25)</x:f>
        <x:v>315681.0967908904</x:v>
      </x:c>
      <x:c r="AK57" s="11" t="n">
        <x:f>'Startup'!$I$26+SUM($D43:AK43)-SUM($D25:AK25)</x:f>
        <x:v>305697.99102829554</x:v>
      </x:c>
      <x:c r="AL57" s="11" t="n">
        <x:f>'Startup'!$I$26+SUM($D43:AL43)-SUM($D25:AL25)</x:f>
        <x:v>295698.9070048311</x:v>
      </x:c>
      <x:c r="AM57" s="11" t="n">
        <x:f>'Startup'!$I$26+SUM($D43:AM43)-SUM($D25:AM25)</x:f>
        <x:v>285683.844720497</x:v>
      </x:c>
      <x:c r="AN57" s="2"/>
    </x:row>
    <x:row r="58" ht="21" customHeight="1">
      <x:c r="A58" s="1"/>
      <x:c r="B58" s="1"/>
      <x:c r="C58" s="1" t="str">
        <x:v>Deposit asset</x:v>
      </x:c>
      <x:c r="D58" s="11" t="n">
        <x:f>'Startup'!$E$37</x:f>
        <x:v>40000</x:v>
      </x:c>
      <x:c r="E58" s="11" t="n">
        <x:f>'Startup'!$E$37</x:f>
        <x:v>40000</x:v>
      </x:c>
      <x:c r="F58" s="11" t="n">
        <x:f>'Startup'!$E$37</x:f>
        <x:v>40000</x:v>
      </x:c>
      <x:c r="G58" s="11" t="n">
        <x:f>'Startup'!$E$37</x:f>
        <x:v>40000</x:v>
      </x:c>
      <x:c r="H58" s="11" t="n">
        <x:f>'Startup'!$E$37</x:f>
        <x:v>40000</x:v>
      </x:c>
      <x:c r="I58" s="11" t="n">
        <x:f>'Startup'!$E$37</x:f>
        <x:v>40000</x:v>
      </x:c>
      <x:c r="J58" s="11" t="n">
        <x:f>'Startup'!$E$37</x:f>
        <x:v>40000</x:v>
      </x:c>
      <x:c r="K58" s="11" t="n">
        <x:f>'Startup'!$E$37</x:f>
        <x:v>40000</x:v>
      </x:c>
      <x:c r="L58" s="11" t="n">
        <x:f>'Startup'!$E$37</x:f>
        <x:v>40000</x:v>
      </x:c>
      <x:c r="M58" s="11" t="n">
        <x:f>'Startup'!$E$37</x:f>
        <x:v>40000</x:v>
      </x:c>
      <x:c r="N58" s="11" t="n">
        <x:f>'Startup'!$E$37</x:f>
        <x:v>40000</x:v>
      </x:c>
      <x:c r="O58" s="11" t="n">
        <x:f>'Startup'!$E$37</x:f>
        <x:v>40000</x:v>
      </x:c>
      <x:c r="P58" s="11" t="n">
        <x:f>'Startup'!$E$37</x:f>
        <x:v>40000</x:v>
      </x:c>
      <x:c r="Q58" s="11" t="n">
        <x:f>'Startup'!$E$37</x:f>
        <x:v>40000</x:v>
      </x:c>
      <x:c r="R58" s="11" t="n">
        <x:f>'Startup'!$E$37</x:f>
        <x:v>40000</x:v>
      </x:c>
      <x:c r="S58" s="11" t="n">
        <x:f>'Startup'!$E$37</x:f>
        <x:v>40000</x:v>
      </x:c>
      <x:c r="T58" s="11" t="n">
        <x:f>'Startup'!$E$37</x:f>
        <x:v>40000</x:v>
      </x:c>
      <x:c r="U58" s="11" t="n">
        <x:f>'Startup'!$E$37</x:f>
        <x:v>40000</x:v>
      </x:c>
      <x:c r="V58" s="11" t="n">
        <x:f>'Startup'!$E$37</x:f>
        <x:v>40000</x:v>
      </x:c>
      <x:c r="W58" s="11" t="n">
        <x:f>'Startup'!$E$37</x:f>
        <x:v>40000</x:v>
      </x:c>
      <x:c r="X58" s="11" t="n">
        <x:f>'Startup'!$E$37</x:f>
        <x:v>40000</x:v>
      </x:c>
      <x:c r="Y58" s="11" t="n">
        <x:f>'Startup'!$E$37</x:f>
        <x:v>40000</x:v>
      </x:c>
      <x:c r="Z58" s="11" t="n">
        <x:f>'Startup'!$E$37</x:f>
        <x:v>40000</x:v>
      </x:c>
      <x:c r="AA58" s="11" t="n">
        <x:f>'Startup'!$E$37</x:f>
        <x:v>40000</x:v>
      </x:c>
      <x:c r="AB58" s="11" t="n">
        <x:f>'Startup'!$E$37</x:f>
        <x:v>40000</x:v>
      </x:c>
      <x:c r="AC58" s="11" t="n">
        <x:f>'Startup'!$E$37</x:f>
        <x:v>40000</x:v>
      </x:c>
      <x:c r="AD58" s="11" t="n">
        <x:f>'Startup'!$E$37</x:f>
        <x:v>40000</x:v>
      </x:c>
      <x:c r="AE58" s="11" t="n">
        <x:f>'Startup'!$E$37</x:f>
        <x:v>40000</x:v>
      </x:c>
      <x:c r="AF58" s="11" t="n">
        <x:f>'Startup'!$E$37</x:f>
        <x:v>40000</x:v>
      </x:c>
      <x:c r="AG58" s="11" t="n">
        <x:f>'Startup'!$E$37</x:f>
        <x:v>40000</x:v>
      </x:c>
      <x:c r="AH58" s="11" t="n">
        <x:f>'Startup'!$E$37</x:f>
        <x:v>40000</x:v>
      </x:c>
      <x:c r="AI58" s="11" t="n">
        <x:f>'Startup'!$E$37</x:f>
        <x:v>40000</x:v>
      </x:c>
      <x:c r="AJ58" s="11" t="n">
        <x:f>'Startup'!$E$37</x:f>
        <x:v>40000</x:v>
      </x:c>
      <x:c r="AK58" s="11" t="n">
        <x:f>'Startup'!$E$37</x:f>
        <x:v>40000</x:v>
      </x:c>
      <x:c r="AL58" s="11" t="n">
        <x:f>'Startup'!$E$37</x:f>
        <x:v>40000</x:v>
      </x:c>
      <x:c r="AM58" s="11" t="n">
        <x:f>'Startup'!$E$37</x:f>
        <x:v>40000</x:v>
      </x:c>
      <x:c r="AN58" s="2"/>
    </x:row>
    <x:row r="59" ht="21" customHeight="1">
      <x:c r="A59" s="1"/>
      <x:c r="B59" s="1"/>
      <x:c r="C59" s="1" t="str">
        <x:v>VAT refund receivable</x:v>
      </x:c>
      <x:c r="D59" s="11" t="n">
        <x:f>'Startup'!$E$44-SUM($D42:D42)</x:f>
        <x:v>106296.55434782596</x:v>
      </x:c>
      <x:c r="E59" s="11" t="n">
        <x:f>'Startup'!$E$44-SUM($D42:E42)</x:f>
        <x:v>106296.55434782596</x:v>
      </x:c>
      <x:c r="F59" s="11" t="n">
        <x:f>'Startup'!$E$44-SUM($D42:F42)</x:f>
        <x:v>0</x:v>
      </x:c>
      <x:c r="G59" s="11" t="n">
        <x:f>'Startup'!$E$44-SUM($D42:G42)</x:f>
        <x:v>0</x:v>
      </x:c>
      <x:c r="H59" s="11" t="n">
        <x:f>'Startup'!$E$44-SUM($D42:H42)</x:f>
        <x:v>0</x:v>
      </x:c>
      <x:c r="I59" s="11" t="n">
        <x:f>'Startup'!$E$44-SUM($D42:I42)</x:f>
        <x:v>0</x:v>
      </x:c>
      <x:c r="J59" s="11" t="n">
        <x:f>'Startup'!$E$44-SUM($D42:J42)</x:f>
        <x:v>0</x:v>
      </x:c>
      <x:c r="K59" s="11" t="n">
        <x:f>'Startup'!$E$44-SUM($D42:K42)</x:f>
        <x:v>0</x:v>
      </x:c>
      <x:c r="L59" s="11" t="n">
        <x:f>'Startup'!$E$44-SUM($D42:L42)</x:f>
        <x:v>0</x:v>
      </x:c>
      <x:c r="M59" s="11" t="n">
        <x:f>'Startup'!$E$44-SUM($D42:M42)</x:f>
        <x:v>0</x:v>
      </x:c>
      <x:c r="N59" s="11" t="n">
        <x:f>'Startup'!$E$44-SUM($D42:N42)</x:f>
        <x:v>0</x:v>
      </x:c>
      <x:c r="O59" s="11" t="n">
        <x:f>'Startup'!$E$44-SUM($D42:O42)</x:f>
        <x:v>0</x:v>
      </x:c>
      <x:c r="P59" s="11" t="n">
        <x:f>'Startup'!$E$44-SUM($D42:P42)</x:f>
        <x:v>0</x:v>
      </x:c>
      <x:c r="Q59" s="11" t="n">
        <x:f>'Startup'!$E$44-SUM($D42:Q42)</x:f>
        <x:v>0</x:v>
      </x:c>
      <x:c r="R59" s="11" t="n">
        <x:f>'Startup'!$E$44-SUM($D42:R42)</x:f>
        <x:v>0</x:v>
      </x:c>
      <x:c r="S59" s="11" t="n">
        <x:f>'Startup'!$E$44-SUM($D42:S42)</x:f>
        <x:v>0</x:v>
      </x:c>
      <x:c r="T59" s="11" t="n">
        <x:f>'Startup'!$E$44-SUM($D42:T42)</x:f>
        <x:v>0</x:v>
      </x:c>
      <x:c r="U59" s="11" t="n">
        <x:f>'Startup'!$E$44-SUM($D42:U42)</x:f>
        <x:v>0</x:v>
      </x:c>
      <x:c r="V59" s="11" t="n">
        <x:f>'Startup'!$E$44-SUM($D42:V42)</x:f>
        <x:v>0</x:v>
      </x:c>
      <x:c r="W59" s="11" t="n">
        <x:f>'Startup'!$E$44-SUM($D42:W42)</x:f>
        <x:v>0</x:v>
      </x:c>
      <x:c r="X59" s="11" t="n">
        <x:f>'Startup'!$E$44-SUM($D42:X42)</x:f>
        <x:v>0</x:v>
      </x:c>
      <x:c r="Y59" s="11" t="n">
        <x:f>'Startup'!$E$44-SUM($D42:Y42)</x:f>
        <x:v>0</x:v>
      </x:c>
      <x:c r="Z59" s="11" t="n">
        <x:f>'Startup'!$E$44-SUM($D42:Z42)</x:f>
        <x:v>0</x:v>
      </x:c>
      <x:c r="AA59" s="11" t="n">
        <x:f>'Startup'!$E$44-SUM($D42:AA42)</x:f>
        <x:v>0</x:v>
      </x:c>
      <x:c r="AB59" s="11" t="n">
        <x:f>'Startup'!$E$44-SUM($D42:AB42)</x:f>
        <x:v>0</x:v>
      </x:c>
      <x:c r="AC59" s="11" t="n">
        <x:f>'Startup'!$E$44-SUM($D42:AC42)</x:f>
        <x:v>0</x:v>
      </x:c>
      <x:c r="AD59" s="11" t="n">
        <x:f>'Startup'!$E$44-SUM($D42:AD42)</x:f>
        <x:v>0</x:v>
      </x:c>
      <x:c r="AE59" s="11" t="n">
        <x:f>'Startup'!$E$44-SUM($D42:AE42)</x:f>
        <x:v>0</x:v>
      </x:c>
      <x:c r="AF59" s="11" t="n">
        <x:f>'Startup'!$E$44-SUM($D42:AF42)</x:f>
        <x:v>0</x:v>
      </x:c>
      <x:c r="AG59" s="11" t="n">
        <x:f>'Startup'!$E$44-SUM($D42:AG42)</x:f>
        <x:v>0</x:v>
      </x:c>
      <x:c r="AH59" s="11" t="n">
        <x:f>'Startup'!$E$44-SUM($D42:AH42)</x:f>
        <x:v>0</x:v>
      </x:c>
      <x:c r="AI59" s="11" t="n">
        <x:f>'Startup'!$E$44-SUM($D42:AI42)</x:f>
        <x:v>0</x:v>
      </x:c>
      <x:c r="AJ59" s="11" t="n">
        <x:f>'Startup'!$E$44-SUM($D42:AJ42)</x:f>
        <x:v>0</x:v>
      </x:c>
      <x:c r="AK59" s="11" t="n">
        <x:f>'Startup'!$E$44-SUM($D42:AK42)</x:f>
        <x:v>0</x:v>
      </x:c>
      <x:c r="AL59" s="11" t="n">
        <x:f>'Startup'!$E$44-SUM($D42:AL42)</x:f>
        <x:v>0</x:v>
      </x:c>
      <x:c r="AM59" s="11" t="n">
        <x:f>'Startup'!$E$44-SUM($D42:AM42)</x:f>
        <x:v>0</x:v>
      </x:c>
      <x:c r="AN59" s="2"/>
    </x:row>
    <x:row r="60" ht="21" customHeight="1">
      <x:c r="A60" s="1"/>
      <x:c r="B60" s="1"/>
      <x:c r="C60" s="27" t="str">
        <x:v>Total assets</x:v>
      </x:c>
      <x:c r="D60" s="28" t="n">
        <x:f>D54+D40+SUM(D57:D59)</x:f>
        <x:v>959433.3109122666</x:v>
      </x:c>
      <x:c r="E60" s="28" t="n">
        <x:f>E54+E40+SUM(E57:E59)</x:f>
        <x:v>946720.2016135771</x:v>
      </x:c>
      <x:c r="F60" s="28" t="n">
        <x:f>F54+F40+SUM(F57:F59)</x:f>
        <x:v>940883.245113225</x:v>
      </x:c>
      <x:c r="G60" s="28" t="n">
        <x:f>G54+G40+SUM(G57:G59)</x:f>
        <x:v>931681.6659324758</x:v>
      </x:c>
      <x:c r="H60" s="28" t="n">
        <x:f>H54+H40+SUM(H57:H59)</x:f>
        <x:v>924102.0036161817</x:v>
      </x:c>
      <x:c r="I60" s="28" t="n">
        <x:f>I54+I40+SUM(I57:I59)</x:f>
        <x:v>912719.6247059894</x:v>
      </x:c>
      <x:c r="J60" s="28" t="n">
        <x:f>J54+J40+SUM(J57:J59)</x:f>
        <x:v>901000.6251645997</x:v>
      </x:c>
      <x:c r="K60" s="28" t="n">
        <x:f>K54+K40+SUM(K57:K59)</x:f>
        <x:v>897255.9042334312</x:v>
      </x:c>
      <x:c r="L60" s="28" t="n">
        <x:f>L54+L40+SUM(L57:L59)</x:f>
        <x:v>887569.5376012712</x:v>
      </x:c>
      <x:c r="M60" s="28" t="n">
        <x:f>M54+M40+SUM(M57:M59)</x:f>
        <x:v>878384.0828196069</x:v>
      </x:c>
      <x:c r="N60" s="28" t="n">
        <x:f>N54+N40+SUM(N57:N59)</x:f>
        <x:v>867122.5168678435</x:v>
      </x:c>
      <x:c r="O60" s="28" t="n">
        <x:f>O54+O40+SUM(O57:O59)</x:f>
        <x:v>853011.7328398023</x:v>
      </x:c>
      <x:c r="P60" s="28" t="n">
        <x:f>P54+P40+SUM(P57:P59)</x:f>
        <x:v>843835.8615125392</x:v>
      </x:c>
      <x:c r="Q60" s="28" t="n">
        <x:f>Q54+Q40+SUM(Q57:Q59)</x:f>
        <x:v>842150.0946391526</x:v>
      </x:c>
      <x:c r="R60" s="28" t="n">
        <x:f>R54+R40+SUM(R57:R59)</x:f>
        <x:v>832991.7211574637</x:v>
      </x:c>
      <x:c r="S60" s="28" t="n">
        <x:f>S54+S40+SUM(S57:S59)</x:f>
        <x:v>820949.9036625486</x:v>
      </x:c>
      <x:c r="T60" s="28" t="n">
        <x:f>T54+T40+SUM(T57:T59)</x:f>
        <x:v>812047.9180604436</x:v>
      </x:c>
      <x:c r="U60" s="28" t="n">
        <x:f>U54+U40+SUM(U57:U59)</x:f>
        <x:v>798828.3751341507</x:v>
      </x:c>
      <x:c r="V60" s="28" t="n">
        <x:f>V54+V40+SUM(V57:V59)</x:f>
        <x:v>786740.9054653224</x:v>
      </x:c>
      <x:c r="W60" s="28" t="n">
        <x:f>W54+W40+SUM(W57:W59)</x:f>
        <x:v>783529.7209331486</x:v>
      </x:c>
      <x:c r="X60" s="28" t="n">
        <x:f>X54+X40+SUM(X57:X59)</x:f>
        <x:v>773706.3977792495</x:v>
      </x:c>
      <x:c r="Y60" s="28" t="n">
        <x:f>Y54+Y40+SUM(Y57:Y59)</x:f>
        <x:v>764441.5025584302</x:v>
      </x:c>
      <x:c r="Z60" s="28" t="n">
        <x:f>Z54+Z40+SUM(Z57:Z59)</x:f>
        <x:v>752866.808648769</x:v>
      </x:c>
      <x:c r="AA60" s="28" t="n">
        <x:f>AA54+AA40+SUM(AA57:AA59)</x:f>
        <x:v>738121.848063689</x:v>
      </x:c>
      <x:c r="AB60" s="28" t="n">
        <x:f>AB54+AB40+SUM(AB57:AB59)</x:f>
        <x:v>728867.6648797924</x:v>
      </x:c>
      <x:c r="AC60" s="28" t="n">
        <x:f>AC54+AC40+SUM(AC57:AC59)</x:f>
        <x:v>727950.9266487124</x:v>
      </x:c>
      <x:c r="AD60" s="28" t="n">
        <x:f>AD54+AD40+SUM(AD57:AD59)</x:f>
        <x:v>718718.1359582442</x:v>
      </x:c>
      <x:c r="AE60" s="28" t="n">
        <x:f>AE54+AE40+SUM(AE57:AE59)</x:f>
        <x:v>706277.0307767073</x:v>
      </x:c>
      <x:c r="AF60" s="28" t="n">
        <x:f>AF54+AF40+SUM(AF57:AF59)</x:f>
        <x:v>697331.5171875202</x:v>
      </x:c>
      <x:c r="AG60" s="28" t="n">
        <x:f>AG54+AG40+SUM(AG57:AG59)</x:f>
        <x:v>683581.5209921642</x:v>
      </x:c>
      <x:c r="AH60" s="28" t="n">
        <x:f>AH54+AH40+SUM(AH57:AH59)</x:f>
        <x:v>671092.4810280186</x:v>
      </x:c>
      <x:c r="AI60" s="28" t="n">
        <x:f>AI54+AI40+SUM(AI57:AI59)</x:f>
        <x:v>668483.7051166216</x:v>
      </x:c>
      <x:c r="AJ60" s="28" t="n">
        <x:f>AJ54+AJ40+SUM(AJ57:AJ59)</x:f>
        <x:v>658516.5776148961</x:v>
      </x:c>
      <x:c r="AK60" s="28" t="n">
        <x:f>AK54+AK40+SUM(AK57:AK59)</x:f>
        <x:v>649171.9390983412</x:v>
      </x:c>
      <x:c r="AL60" s="28" t="n">
        <x:f>AL54+AL40+SUM(AL57:AL59)</x:f>
        <x:v>637257.453336757</x:v>
      </x:c>
      <x:c r="AM60" s="28" t="n">
        <x:f>AM54+AM40+SUM(AM57:AM59)</x:f>
        <x:v>621815.4194610838</x:v>
      </x:c>
      <x:c r="AN60" s="2"/>
    </x:row>
    <x:row r="61" ht="21" customHeight="1">
      <x:c r="A61" s="1"/>
      <x:c r="B61" s="1"/>
      <x:c r="C61" s="1" t="str">
        <x:v>Total founder loan liabilities</x:v>
      </x:c>
      <x:c r="D61" s="2" t="n">
        <x:f>D50+D51</x:f>
        <x:v>1098917.8516666666</x:v>
      </x:c>
      <x:c r="E61" s="2" t="n">
        <x:f>E50+E51</x:f>
        <x:v>1106195.4533333334</x:v>
      </x:c>
      <x:c r="F61" s="2" t="n">
        <x:f>F50+F51</x:f>
        <x:v>1097493.577433849</x:v>
      </x:c>
      <x:c r="G61" s="2" t="n">
        <x:f>G50+G51</x:f>
        <x:v>1086862.117965531</x:v>
      </x:c>
      <x:c r="H61" s="2" t="n">
        <x:f>H50+H51</x:f>
        <x:v>1066448.9625848287</x:v>
      </x:c>
      <x:c r="I61" s="2" t="n">
        <x:f>I50+I51</x:f>
        <x:v>1052285.906483288</x:v>
      </x:c>
      <x:c r="J61" s="2" t="n">
        <x:f>J50+J51</x:f>
        <x:v>1042923.9487055336</x:v>
      </x:c>
      <x:c r="K61" s="2" t="n">
        <x:f>K50+K51</x:f>
        <x:v>1017487.1749930643</x:v>
      </x:c>
      <x:c r="L61" s="2" t="n">
        <x:f>L50+L51</x:f>
        <x:v>989589.1913265847</x:v>
      </x:c>
      <x:c r="M61" s="2" t="n">
        <x:f>M50+M51</x:f>
        <x:v>956298.0455915242</x:v>
      </x:c>
      <x:c r="N61" s="2" t="n">
        <x:f>N50+N51</x:f>
        <x:v>930485.3888997606</x:v>
      </x:c>
      <x:c r="O61" s="2" t="n">
        <x:f>O50+O51</x:f>
        <x:v>915905.0483227655</x:v>
      </x:c>
      <x:c r="P61" s="2" t="n">
        <x:f>P50+P51</x:f>
        <x:v>908384.5781558924</x:v>
      </x:c>
      <x:c r="Q61" s="2" t="n">
        <x:f>Q50+Q51</x:f>
        <x:v>883891.4166165555</x:v>
      </x:c>
      <x:c r="R61" s="2" t="n">
        <x:f>R50+R51</x:f>
        <x:v>841362.0110361613</x:v>
      </x:c>
      <x:c r="S61" s="2" t="n">
        <x:f>S50+S51</x:f>
        <x:v>812049.0746332855</x:v>
      </x:c>
      <x:c r="T61" s="2" t="n">
        <x:f>T50+T51</x:f>
        <x:v>782698.1059254678</x:v>
      </x:c>
      <x:c r="U61" s="2" t="n">
        <x:f>U50+U51</x:f>
        <x:v>761615.7042061401</x:v>
      </x:c>
      <x:c r="V61" s="2" t="n">
        <x:f>V50+V51</x:f>
        <x:v>745813.1690842519</x:v>
      </x:c>
      <x:c r="W61" s="2" t="n">
        <x:f>W50+W51</x:f>
        <x:v>719320.408060036</x:v>
      </x:c>
      <x:c r="X61" s="2" t="n">
        <x:f>X50+X51</x:f>
        <x:v>689051.5105239272</x:v>
      </x:c>
      <x:c r="Y61" s="2" t="n">
        <x:f>Y50+Y51</x:f>
        <x:v>654555.3018643007</x:v>
      </x:c>
      <x:c r="Z61" s="2" t="n">
        <x:f>Z50+Z51</x:f>
        <x:v>625524.0883926535</x:v>
      </x:c>
      <x:c r="AA61" s="2" t="n">
        <x:f>AA50+AA51</x:f>
        <x:v>604761.5790360727</x:v>
      </x:c>
      <x:c r="AB61" s="2" t="n">
        <x:f>AB50+AB51</x:f>
        <x:v>591032.7289901052</x:v>
      </x:c>
      <x:c r="AC61" s="2" t="n">
        <x:f>AC50+AC51</x:f>
        <x:v>569026.3757693471</x:v>
      </x:c>
      <x:c r="AD61" s="2" t="n">
        <x:f>AD50+AD51</x:f>
        <x:v>526858.3854774088</x:v>
      </x:c>
      <x:c r="AE61" s="2" t="n">
        <x:f>AE50+AE51</x:f>
        <x:v>491942.8094088526</x:v>
      </x:c>
      <x:c r="AF61" s="2" t="n">
        <x:f>AF50+AF51</x:f>
        <x:v>454428.6094023943</x:v>
      </x:c>
      <x:c r="AG61" s="2" t="n">
        <x:f>AG50+AG51</x:f>
        <x:v>426093.9966523562</x:v>
      </x:c>
      <x:c r="AH61" s="2" t="n">
        <x:f>AH50+AH51</x:f>
        <x:v>403612.4340948636</x:v>
      </x:c>
      <x:c r="AI61" s="2" t="n">
        <x:f>AI50+AI51</x:f>
        <x:v>369209.09469653456</x:v>
      </x:c>
      <x:c r="AJ61" s="2" t="n">
        <x:f>AJ50+AJ51</x:f>
        <x:v>330579.24531258654</x:v>
      </x:c>
      <x:c r="AK61" s="2" t="n">
        <x:f>AK50+AK51</x:f>
        <x:v>287220.6134060485</x:v>
      </x:c>
      <x:c r="AL61" s="2" t="n">
        <x:f>AL50+AL51</x:f>
        <x:v>249920.62014677125</x:v>
      </x:c>
      <x:c r="AM61" s="2" t="n">
        <x:f>AM50+AM51</x:f>
        <x:v>221799.6772524178</x:v>
      </x:c>
      <x:c r="AN61" s="2"/>
    </x:row>
    <x:row r="62" ht="21" customHeight="1">
      <x:c r="A62" s="1"/>
      <x:c r="B62" s="1"/>
      <x:c r="C62" s="1" t="str">
        <x:v>Share capital</x:v>
      </x:c>
      <x:c r="D62" s="11" t="n">
        <x:f>'Startup'!$E$41+D55</x:f>
        <x:v>100</x:v>
      </x:c>
      <x:c r="E62" s="11" t="n">
        <x:f>'Startup'!$E$41+E55</x:f>
        <x:v>100</x:v>
      </x:c>
      <x:c r="F62" s="11" t="n">
        <x:f>'Startup'!$E$41+F55</x:f>
        <x:v>100</x:v>
      </x:c>
      <x:c r="G62" s="11" t="n">
        <x:f>'Startup'!$E$41+G55</x:f>
        <x:v>100</x:v>
      </x:c>
      <x:c r="H62" s="11" t="n">
        <x:f>'Startup'!$E$41+H55</x:f>
        <x:v>100</x:v>
      </x:c>
      <x:c r="I62" s="11" t="n">
        <x:f>'Startup'!$E$41+I55</x:f>
        <x:v>100</x:v>
      </x:c>
      <x:c r="J62" s="11" t="n">
        <x:f>'Startup'!$E$41+J55</x:f>
        <x:v>100</x:v>
      </x:c>
      <x:c r="K62" s="11" t="n">
        <x:f>'Startup'!$E$41+K55</x:f>
        <x:v>100</x:v>
      </x:c>
      <x:c r="L62" s="11" t="n">
        <x:f>'Startup'!$E$41+L55</x:f>
        <x:v>100</x:v>
      </x:c>
      <x:c r="M62" s="11" t="n">
        <x:f>'Startup'!$E$41+M55</x:f>
        <x:v>100</x:v>
      </x:c>
      <x:c r="N62" s="11" t="n">
        <x:f>'Startup'!$E$41+N55</x:f>
        <x:v>100</x:v>
      </x:c>
      <x:c r="O62" s="11" t="n">
        <x:f>'Startup'!$E$41+O55</x:f>
        <x:v>100</x:v>
      </x:c>
      <x:c r="P62" s="11" t="n">
        <x:f>'Startup'!$E$41+P55</x:f>
        <x:v>100</x:v>
      </x:c>
      <x:c r="Q62" s="11" t="n">
        <x:f>'Startup'!$E$41+Q55</x:f>
        <x:v>100</x:v>
      </x:c>
      <x:c r="R62" s="11" t="n">
        <x:f>'Startup'!$E$41+R55</x:f>
        <x:v>100</x:v>
      </x:c>
      <x:c r="S62" s="11" t="n">
        <x:f>'Startup'!$E$41+S55</x:f>
        <x:v>100</x:v>
      </x:c>
      <x:c r="T62" s="11" t="n">
        <x:f>'Startup'!$E$41+T55</x:f>
        <x:v>100</x:v>
      </x:c>
      <x:c r="U62" s="11" t="n">
        <x:f>'Startup'!$E$41+U55</x:f>
        <x:v>100</x:v>
      </x:c>
      <x:c r="V62" s="11" t="n">
        <x:f>'Startup'!$E$41+V55</x:f>
        <x:v>100</x:v>
      </x:c>
      <x:c r="W62" s="11" t="n">
        <x:f>'Startup'!$E$41+W55</x:f>
        <x:v>100</x:v>
      </x:c>
      <x:c r="X62" s="11" t="n">
        <x:f>'Startup'!$E$41+X55</x:f>
        <x:v>100</x:v>
      </x:c>
      <x:c r="Y62" s="11" t="n">
        <x:f>'Startup'!$E$41+Y55</x:f>
        <x:v>100</x:v>
      </x:c>
      <x:c r="Z62" s="11" t="n">
        <x:f>'Startup'!$E$41+Z55</x:f>
        <x:v>100</x:v>
      </x:c>
      <x:c r="AA62" s="11" t="n">
        <x:f>'Startup'!$E$41+AA55</x:f>
        <x:v>100</x:v>
      </x:c>
      <x:c r="AB62" s="11" t="n">
        <x:f>'Startup'!$E$41+AB55</x:f>
        <x:v>100</x:v>
      </x:c>
      <x:c r="AC62" s="11" t="n">
        <x:f>'Startup'!$E$41+AC55</x:f>
        <x:v>100</x:v>
      </x:c>
      <x:c r="AD62" s="11" t="n">
        <x:f>'Startup'!$E$41+AD55</x:f>
        <x:v>100</x:v>
      </x:c>
      <x:c r="AE62" s="11" t="n">
        <x:f>'Startup'!$E$41+AE55</x:f>
        <x:v>100</x:v>
      </x:c>
      <x:c r="AF62" s="11" t="n">
        <x:f>'Startup'!$E$41+AF55</x:f>
        <x:v>100</x:v>
      </x:c>
      <x:c r="AG62" s="11" t="n">
        <x:f>'Startup'!$E$41+AG55</x:f>
        <x:v>100</x:v>
      </x:c>
      <x:c r="AH62" s="11" t="n">
        <x:f>'Startup'!$E$41+AH55</x:f>
        <x:v>100</x:v>
      </x:c>
      <x:c r="AI62" s="11" t="n">
        <x:f>'Startup'!$E$41+AI55</x:f>
        <x:v>100</x:v>
      </x:c>
      <x:c r="AJ62" s="11" t="n">
        <x:f>'Startup'!$E$41+AJ55</x:f>
        <x:v>100</x:v>
      </x:c>
      <x:c r="AK62" s="11" t="n">
        <x:f>'Startup'!$E$41+AK55</x:f>
        <x:v>100</x:v>
      </x:c>
      <x:c r="AL62" s="11" t="n">
        <x:f>'Startup'!$E$41+AL55</x:f>
        <x:v>100</x:v>
      </x:c>
      <x:c r="AM62" s="11" t="n">
        <x:f>'Startup'!$E$41+AM55</x:f>
        <x:v>100</x:v>
      </x:c>
      <x:c r="AN62" s="2"/>
    </x:row>
    <x:row r="63" ht="21" customHeight="1">
      <x:c r="A63" s="1"/>
      <x:c r="B63" s="1"/>
      <x:c r="C63" s="1" t="str">
        <x:v>Cumulative retained earnings</x:v>
      </x:c>
      <x:c r="D63" s="11" t="n">
        <x:f>-'Startup'!$E$46+SUM($D36:D36)</x:f>
        <x:v>-139584.54075440008</x:v>
      </x:c>
      <x:c r="E63" s="11" t="n">
        <x:f>-'Startup'!$E$46+SUM($D36:E36)</x:f>
        <x:v>-159575.25171975617</x:v>
      </x:c>
      <x:c r="F63" s="11" t="n">
        <x:f>-'Startup'!$E$46+SUM($D36:F36)</x:f>
        <x:v>-156710.33232062415</x:v>
      </x:c>
      <x:c r="G63" s="11" t="n">
        <x:f>-'Startup'!$E$46+SUM($D36:G36)</x:f>
        <x:v>-155280.45203305513</x:v>
      </x:c>
      <x:c r="H63" s="11" t="n">
        <x:f>-'Startup'!$E$46+SUM($D36:H36)</x:f>
        <x:v>-142446.95896864723</x:v>
      </x:c>
      <x:c r="I63" s="11" t="n">
        <x:f>-'Startup'!$E$46+SUM($D36:I36)</x:f>
        <x:v>-139666.28177729846</x:v>
      </x:c>
      <x:c r="J63" s="11" t="n">
        <x:f>-'Startup'!$E$46+SUM($D36:J36)</x:f>
        <x:v>-142023.32354093392</x:v>
      </x:c>
      <x:c r="K63" s="11" t="n">
        <x:f>-'Startup'!$E$46+SUM($D36:K36)</x:f>
        <x:v>-120331.27075963299</x:v>
      </x:c>
      <x:c r="L63" s="11" t="n">
        <x:f>-'Startup'!$E$46+SUM($D36:L36)</x:f>
        <x:v>-102119.65372531356</x:v>
      </x:c>
      <x:c r="M63" s="11" t="n">
        <x:f>-'Startup'!$E$46+SUM($D36:M36)</x:f>
        <x:v>-78013.96277191746</x:v>
      </x:c>
      <x:c r="N63" s="11" t="n">
        <x:f>-'Startup'!$E$46+SUM($D36:N36)</x:f>
        <x:v>-63462.872031917315</x:v>
      </x:c>
      <x:c r="O63" s="11" t="n">
        <x:f>-'Startup'!$E$46+SUM($D36:O36)</x:f>
        <x:v>-62993.31548296335</x:v>
      </x:c>
      <x:c r="P63" s="11" t="n">
        <x:f>-'Startup'!$E$46+SUM($D36:P36)</x:f>
        <x:v>-64648.716643353306</x:v>
      </x:c>
      <x:c r="Q63" s="11" t="n">
        <x:f>-'Startup'!$E$46+SUM($D36:Q36)</x:f>
        <x:v>-41841.32197740309</x:v>
      </x:c>
      <x:c r="R63" s="11" t="n">
        <x:f>-'Startup'!$E$46+SUM($D36:R36)</x:f>
        <x:v>-8470.289878697557</x:v>
      </x:c>
      <x:c r="S63" s="11" t="n">
        <x:f>-'Startup'!$E$46+SUM($D36:S36)</x:f>
        <x:v>8800.829029262983</x:v>
      </x:c>
      <x:c r="T63" s="11" t="n">
        <x:f>-'Startup'!$E$46+SUM($D36:T36)</x:f>
        <x:v>29249.81213497548</x:v>
      </x:c>
      <x:c r="U63" s="11" t="n">
        <x:f>-'Startup'!$E$46+SUM($D36:U36)</x:f>
        <x:v>37112.670928010295</x:v>
      </x:c>
      <x:c r="V63" s="11" t="n">
        <x:f>-'Startup'!$E$46+SUM($D36:V36)</x:f>
        <x:v>40827.73638107024</x:v>
      </x:c>
      <x:c r="W63" s="11" t="n">
        <x:f>-'Startup'!$E$46+SUM($D36:W36)</x:f>
        <x:v>64109.31287311223</x:v>
      </x:c>
      <x:c r="X63" s="11" t="n">
        <x:f>-'Startup'!$E$46+SUM($D36:X36)</x:f>
        <x:v>84554.88725532188</x:v>
      </x:c>
      <x:c r="Y63" s="11" t="n">
        <x:f>-'Startup'!$E$46+SUM($D36:Y36)</x:f>
        <x:v>109786.20069412918</x:v>
      </x:c>
      <x:c r="Z63" s="11" t="n">
        <x:f>-'Startup'!$E$46+SUM($D36:Z36)</x:f>
        <x:v>127242.72025611518</x:v>
      </x:c>
      <x:c r="AA63" s="11" t="n">
        <x:f>-'Startup'!$E$46+SUM($D36:AA36)</x:f>
        <x:v>133260.2690276159</x:v>
      </x:c>
      <x:c r="AB63" s="11" t="n">
        <x:f>-'Startup'!$E$46+SUM($D36:AB36)</x:f>
        <x:v>137734.9358896867</x:v>
      </x:c>
      <x:c r="AC63" s="11" t="n">
        <x:f>-'Startup'!$E$46+SUM($D36:AC36)</x:f>
        <x:v>158824.55087936483</x:v>
      </x:c>
      <x:c r="AD63" s="11" t="n">
        <x:f>-'Startup'!$E$46+SUM($D36:AD36)</x:f>
        <x:v>191759.7504808351</x:v>
      </x:c>
      <x:c r="AE63" s="11" t="n">
        <x:f>-'Startup'!$E$46+SUM($D36:AE36)</x:f>
        <x:v>214234.22136785422</x:v>
      </x:c>
      <x:c r="AF63" s="11" t="n">
        <x:f>-'Startup'!$E$46+SUM($D36:AF36)</x:f>
        <x:v>242802.9077851253</x:v>
      </x:c>
      <x:c r="AG63" s="11" t="n">
        <x:f>-'Startup'!$E$46+SUM($D36:AG36)</x:f>
        <x:v>257387.5243398075</x:v>
      </x:c>
      <x:c r="AH63" s="11" t="n">
        <x:f>-'Startup'!$E$46+SUM($D36:AH36)</x:f>
        <x:v>267380.0469331544</x:v>
      </x:c>
      <x:c r="AI63" s="11" t="n">
        <x:f>-'Startup'!$E$46+SUM($D36:AI36)</x:f>
        <x:v>299174.6104200863</x:v>
      </x:c>
      <x:c r="AJ63" s="11" t="n">
        <x:f>-'Startup'!$E$46+SUM($D36:AJ36)</x:f>
        <x:v>327837.332302309</x:v>
      </x:c>
      <x:c r="AK63" s="11" t="n">
        <x:f>-'Startup'!$E$46+SUM($D36:AK36)</x:f>
        <x:v>361851.325692292</x:v>
      </x:c>
      <x:c r="AL63" s="11" t="n">
        <x:f>-'Startup'!$E$46+SUM($D36:AL36)</x:f>
        <x:v>387236.8331899852</x:v>
      </x:c>
      <x:c r="AM63" s="11" t="n">
        <x:f>-'Startup'!$E$46+SUM($D36:AM36)</x:f>
        <x:v>399915.74220866564</x:v>
      </x:c>
      <x:c r="AN63" s="2"/>
    </x:row>
    <x:row r="64" ht="21" customHeight="1">
      <x:c r="A64" s="1"/>
      <x:c r="B64" s="1"/>
      <x:c r="C64" s="27" t="str">
        <x:v>Total equity and liabilities</x:v>
      </x:c>
      <x:c r="D64" s="28" t="n">
        <x:f>SUM(D61:D63)</x:f>
        <x:v>959433.3109122665</x:v>
      </x:c>
      <x:c r="E64" s="28" t="n">
        <x:f>SUM(E61:E63)</x:f>
        <x:v>946720.2016135772</x:v>
      </x:c>
      <x:c r="F64" s="28" t="n">
        <x:f>SUM(F61:F63)</x:f>
        <x:v>940883.2451132248</x:v>
      </x:c>
      <x:c r="G64" s="28" t="n">
        <x:f>SUM(G61:G63)</x:f>
        <x:v>931681.6659324759</x:v>
      </x:c>
      <x:c r="H64" s="28" t="n">
        <x:f>SUM(H61:H63)</x:f>
        <x:v>924102.0036161814</x:v>
      </x:c>
      <x:c r="I64" s="28" t="n">
        <x:f>SUM(I61:I63)</x:f>
        <x:v>912719.6247059895</x:v>
      </x:c>
      <x:c r="J64" s="28" t="n">
        <x:f>SUM(J61:J63)</x:f>
        <x:v>901000.6251645997</x:v>
      </x:c>
      <x:c r="K64" s="28" t="n">
        <x:f>SUM(K61:K63)</x:f>
        <x:v>897255.9042334312</x:v>
      </x:c>
      <x:c r="L64" s="28" t="n">
        <x:f>SUM(L61:L63)</x:f>
        <x:v>887569.5376012711</x:v>
      </x:c>
      <x:c r="M64" s="28" t="n">
        <x:f>SUM(M61:M63)</x:f>
        <x:v>878384.0828196068</x:v>
      </x:c>
      <x:c r="N64" s="28" t="n">
        <x:f>SUM(N61:N63)</x:f>
        <x:v>867122.5168678432</x:v>
      </x:c>
      <x:c r="O64" s="28" t="n">
        <x:f>SUM(O61:O63)</x:f>
        <x:v>853011.7328398022</x:v>
      </x:c>
      <x:c r="P64" s="28" t="n">
        <x:f>SUM(P61:P63)</x:f>
        <x:v>843835.8615125391</x:v>
      </x:c>
      <x:c r="Q64" s="28" t="n">
        <x:f>SUM(Q61:Q63)</x:f>
        <x:v>842150.0946391524</x:v>
      </x:c>
      <x:c r="R64" s="28" t="n">
        <x:f>SUM(R61:R63)</x:f>
        <x:v>832991.7211574637</x:v>
      </x:c>
      <x:c r="S64" s="28" t="n">
        <x:f>SUM(S61:S63)</x:f>
        <x:v>820949.9036625485</x:v>
      </x:c>
      <x:c r="T64" s="28" t="n">
        <x:f>SUM(T61:T63)</x:f>
        <x:v>812047.9180604432</x:v>
      </x:c>
      <x:c r="U64" s="28" t="n">
        <x:f>SUM(U61:U63)</x:f>
        <x:v>798828.3751341504</x:v>
      </x:c>
      <x:c r="V64" s="28" t="n">
        <x:f>SUM(V61:V63)</x:f>
        <x:v>786740.9054653221</x:v>
      </x:c>
      <x:c r="W64" s="28" t="n">
        <x:f>SUM(W61:W63)</x:f>
        <x:v>783529.7209331483</x:v>
      </x:c>
      <x:c r="X64" s="28" t="n">
        <x:f>SUM(X61:X63)</x:f>
        <x:v>773706.397779249</x:v>
      </x:c>
      <x:c r="Y64" s="28" t="n">
        <x:f>SUM(Y61:Y63)</x:f>
        <x:v>764441.50255843</x:v>
      </x:c>
      <x:c r="Z64" s="28" t="n">
        <x:f>SUM(Z61:Z63)</x:f>
        <x:v>752866.8086487687</x:v>
      </x:c>
      <x:c r="AA64" s="28" t="n">
        <x:f>SUM(AA61:AA63)</x:f>
        <x:v>738121.8480636886</x:v>
      </x:c>
      <x:c r="AB64" s="28" t="n">
        <x:f>SUM(AB61:AB63)</x:f>
        <x:v>728867.6648797919</x:v>
      </x:c>
      <x:c r="AC64" s="28" t="n">
        <x:f>SUM(AC61:AC63)</x:f>
        <x:v>727950.9266487119</x:v>
      </x:c>
      <x:c r="AD64" s="28" t="n">
        <x:f>SUM(AD61:AD63)</x:f>
        <x:v>718718.1359582439</x:v>
      </x:c>
      <x:c r="AE64" s="28" t="n">
        <x:f>SUM(AE61:AE63)</x:f>
        <x:v>706277.0307767068</x:v>
      </x:c>
      <x:c r="AF64" s="28" t="n">
        <x:f>SUM(AF61:AF63)</x:f>
        <x:v>697331.5171875196</x:v>
      </x:c>
      <x:c r="AG64" s="28" t="n">
        <x:f>SUM(AG61:AG63)</x:f>
        <x:v>683581.5209921637</x:v>
      </x:c>
      <x:c r="AH64" s="28" t="n">
        <x:f>SUM(AH61:AH63)</x:f>
        <x:v>671092.481028018</x:v>
      </x:c>
      <x:c r="AI64" s="28" t="n">
        <x:f>SUM(AI61:AI63)</x:f>
        <x:v>668483.7051166209</x:v>
      </x:c>
      <x:c r="AJ64" s="28" t="n">
        <x:f>SUM(AJ61:AJ63)</x:f>
        <x:v>658516.5776148955</x:v>
      </x:c>
      <x:c r="AK64" s="28" t="n">
        <x:f>SUM(AK61:AK63)</x:f>
        <x:v>649171.9390983405</x:v>
      </x:c>
      <x:c r="AL64" s="28" t="n">
        <x:f>SUM(AL61:AL63)</x:f>
        <x:v>637257.4533367564</x:v>
      </x:c>
      <x:c r="AM64" s="28" t="n">
        <x:f>SUM(AM61:AM63)</x:f>
        <x:v>621815.4194610835</x:v>
      </x:c>
      <x:c r="AN64" s="2"/>
    </x:row>
    <x:row r="65" ht="21" customHeight="1">
      <x:c r="A65" s="1"/>
      <x:c r="B65" s="1"/>
      <x:c r="C65" s="1" t="str">
        <x:v>Balance sheet difference</x:v>
      </x:c>
      <x:c r="D65" s="2" t="n">
        <x:f>D60-D64</x:f>
        <x:v>1.1641532182693481e-10</x:v>
      </x:c>
      <x:c r="E65" s="2" t="n">
        <x:f>E60-E64</x:f>
        <x:v>-1.1641532182693481e-10</x:v>
      </x:c>
      <x:c r="F65" s="2" t="n">
        <x:f>F60-F64</x:f>
        <x:v>1.1641532182693481e-10</x:v>
      </x:c>
      <x:c r="G65" s="2" t="n">
        <x:f>G60-G64</x:f>
        <x:v>-1.1641532182693481e-10</x:v>
      </x:c>
      <x:c r="H65" s="2" t="n">
        <x:f>H60-H64</x:f>
        <x:v>2.3283064365386963e-10</x:v>
      </x:c>
      <x:c r="I65" s="2" t="n">
        <x:f>I60-I64</x:f>
        <x:v>-1.1641532182693481e-10</x:v>
      </x:c>
      <x:c r="J65" s="2" t="n">
        <x:f>J60-J64</x:f>
        <x:v>0</x:v>
      </x:c>
      <x:c r="K65" s="2" t="n">
        <x:f>K60-K64</x:f>
        <x:v>0</x:v>
      </x:c>
      <x:c r="L65" s="2" t="n">
        <x:f>L60-L64</x:f>
        <x:v>1.1641532182693481e-10</x:v>
      </x:c>
      <x:c r="M65" s="2" t="n">
        <x:f>M60-M64</x:f>
        <x:v>1.1641532182693481e-10</x:v>
      </x:c>
      <x:c r="N65" s="2" t="n">
        <x:f>N60-N64</x:f>
        <x:v>2.3283064365386963e-10</x:v>
      </x:c>
      <x:c r="O65" s="2" t="n">
        <x:f>O60-O64</x:f>
        <x:v>1.1641532182693481e-10</x:v>
      </x:c>
      <x:c r="P65" s="2" t="n">
        <x:f>P60-P64</x:f>
        <x:v>1.1641532182693481e-10</x:v>
      </x:c>
      <x:c r="Q65" s="2" t="n">
        <x:f>Q60-Q64</x:f>
        <x:v>2.3283064365386963e-10</x:v>
      </x:c>
      <x:c r="R65" s="2" t="n">
        <x:f>R60-R64</x:f>
        <x:v>0</x:v>
      </x:c>
      <x:c r="S65" s="2" t="n">
        <x:f>S60-S64</x:f>
        <x:v>1.1641532182693481e-10</x:v>
      </x:c>
      <x:c r="T65" s="2" t="n">
        <x:f>T60-T64</x:f>
        <x:v>3.4924596548080444e-10</x:v>
      </x:c>
      <x:c r="U65" s="2" t="n">
        <x:f>U60-U64</x:f>
        <x:v>3.4924596548080444e-10</x:v>
      </x:c>
      <x:c r="V65" s="2" t="n">
        <x:f>V60-V64</x:f>
        <x:v>3.4924596548080444e-10</x:v>
      </x:c>
      <x:c r="W65" s="2" t="n">
        <x:f>W60-W64</x:f>
        <x:v>3.4924596548080444e-10</x:v>
      </x:c>
      <x:c r="X65" s="2" t="n">
        <x:f>X60-X64</x:f>
        <x:v>4.656612873077393e-10</x:v>
      </x:c>
      <x:c r="Y65" s="2" t="n">
        <x:f>Y60-Y64</x:f>
        <x:v>2.3283064365386963e-10</x:v>
      </x:c>
      <x:c r="Z65" s="2" t="n">
        <x:f>Z60-Z64</x:f>
        <x:v>3.4924596548080444e-10</x:v>
      </x:c>
      <x:c r="AA65" s="2" t="n">
        <x:f>AA60-AA64</x:f>
        <x:v>3.4924596548080444e-10</x:v>
      </x:c>
      <x:c r="AB65" s="2" t="n">
        <x:f>AB60-AB64</x:f>
        <x:v>4.656612873077393e-10</x:v>
      </x:c>
      <x:c r="AC65" s="2" t="n">
        <x:f>AC60-AC64</x:f>
        <x:v>4.656612873077393e-10</x:v>
      </x:c>
      <x:c r="AD65" s="2" t="n">
        <x:f>AD60-AD64</x:f>
        <x:v>3.4924596548080444e-10</x:v>
      </x:c>
      <x:c r="AE65" s="2" t="n">
        <x:f>AE60-AE64</x:f>
        <x:v>5.820766091346741e-10</x:v>
      </x:c>
      <x:c r="AF65" s="2" t="n">
        <x:f>AF60-AF64</x:f>
        <x:v>5.820766091346741e-10</x:v>
      </x:c>
      <x:c r="AG65" s="2" t="n">
        <x:f>AG60-AG64</x:f>
        <x:v>4.656612873077393e-10</x:v>
      </x:c>
      <x:c r="AH65" s="2" t="n">
        <x:f>AH60-AH64</x:f>
        <x:v>5.820766091346741e-10</x:v>
      </x:c>
      <x:c r="AI65" s="2" t="n">
        <x:f>AI60-AI64</x:f>
        <x:v>6.984919309616089e-10</x:v>
      </x:c>
      <x:c r="AJ65" s="2" t="n">
        <x:f>AJ60-AJ64</x:f>
        <x:v>5.820766091346741e-10</x:v>
      </x:c>
      <x:c r="AK65" s="2" t="n">
        <x:f>AK60-AK64</x:f>
        <x:v>6.984919309616089e-10</x:v>
      </x:c>
      <x:c r="AL65" s="2" t="n">
        <x:f>AL60-AL64</x:f>
        <x:v>5.820766091346741e-10</x:v>
      </x:c>
      <x:c r="AM65" s="2" t="n">
        <x:f>AM60-AM64</x:f>
        <x:v>3.4924596548080444e-10</x:v>
      </x:c>
      <x:c r="AN65" s="2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1" customHeight="1">
      <x:c r="A67" s="1"/>
      <x:c r="B67" s="1"/>
      <x:c r="C67" s="27" t="str">
        <x:v>Founder receipts combined</x:v>
      </x:c>
      <x:c r="D67" s="28" t="n">
        <x:f>D48+D49</x:f>
        <x:v>0</x:v>
      </x:c>
      <x:c r="E67" s="28" t="n">
        <x:f>E48+E49</x:f>
        <x:v>0</x:v>
      </x:c>
      <x:c r="F67" s="28" t="n">
        <x:f>F48+F49</x:f>
        <x:v>15979.477566150988</x:v>
      </x:c>
      <x:c r="G67" s="28" t="n">
        <x:f>G48+G49</x:f>
        <x:v>17909.06113498466</x:v>
      </x:c>
      <x:c r="H67" s="28" t="n">
        <x:f>H48+H49</x:f>
        <x:v>27658.90283380582</x:v>
      </x:c>
      <x:c r="I67" s="28" t="n">
        <x:f>I48+I49</x:f>
        <x:v>21272.71585210643</x:v>
      </x:c>
      <x:c r="J67" s="28" t="n">
        <x:f>J48+J49</x:f>
        <x:v>16377.197154309495</x:v>
      </x:c>
      <x:c r="K67" s="28" t="n">
        <x:f>K48+K49</x:f>
        <x:v>32389.600037172982</x:v>
      </x:c>
      <x:c r="L67" s="28" t="n">
        <x:f>L48+L49</x:f>
        <x:v>34681.23149976663</x:v>
      </x:c>
      <x:c r="M67" s="28" t="n">
        <x:f>M48+M49</x:f>
        <x:v>39888.407010570976</x:v>
      </x:c>
      <x:c r="N67" s="28" t="n">
        <x:f>N48+N49</x:f>
        <x:v>32187.976995707104</x:v>
      </x:c>
      <x:c r="O67" s="28" t="n">
        <x:f>O48+O49</x:f>
        <x:v>20783.576502993492</x:v>
      </x:c>
      <x:c r="P67" s="28" t="n">
        <x:f>P48+P49</x:f>
        <x:v>13626.503822358221</x:v>
      </x:c>
      <x:c r="Q67" s="28" t="n">
        <x:f>Q48+Q49</x:f>
        <x:v>30549.05872704282</x:v>
      </x:c>
      <x:c r="R67" s="28" t="n">
        <x:f>R48+R49</x:f>
        <x:v>48422.01502450463</x:v>
      </x:c>
      <x:c r="S67" s="28" t="n">
        <x:f>S48+S49</x:f>
        <x:v>34922.016476450204</x:v>
      </x:c>
      <x:c r="T67" s="28" t="n">
        <x:f>T48+T49</x:f>
        <x:v>34764.62920537292</x:v>
      </x:c>
      <x:c r="U67" s="28" t="n">
        <x:f>U48+U49</x:f>
        <x:v>26300.389092164107</x:v>
      </x:c>
      <x:c r="V67" s="28" t="n">
        <x:f>V48+V49</x:f>
        <x:v>20879.9731499292</x:v>
      </x:c>
      <x:c r="W67" s="28" t="n">
        <x:f>W48+W49</x:f>
        <x:v>31464.848818110848</x:v>
      </x:c>
      <x:c r="X67" s="28" t="n">
        <x:f>X48+X49</x:f>
        <x:v>35064.36692317579</x:v>
      </x:c>
      <x:c r="Y67" s="28" t="n">
        <x:f>Y48+Y49</x:f>
        <x:v>39089.88539645262</x:v>
      </x:c>
      <x:c r="Z67" s="28" t="n">
        <x:f>Z48+Z49</x:f>
        <x:v>33394.91548407593</x:v>
      </x:c>
      <x:c r="AA67" s="28" t="n">
        <x:f>AA48+AA49</x:f>
        <x:v>24932.669945865113</x:v>
      </x:c>
      <x:c r="AB67" s="28" t="n">
        <x:f>AB48+AB49</x:f>
        <x:v>17760.593906207938</x:v>
      </x:c>
      <x:c r="AC67" s="28" t="n">
        <x:f>AC48+AC49</x:f>
        <x:v>25946.57141402556</x:v>
      </x:c>
      <x:c r="AD67" s="28" t="n">
        <x:f>AD48+AD49</x:f>
        <x:v>45961.49946373397</x:v>
      </x:c>
      <x:c r="AE67" s="28" t="n">
        <x:f>AE48+AE49</x:f>
        <x:v>38427.96530507223</x:v>
      </x:c>
      <x:c r="AF67" s="28" t="n">
        <x:f>AF48+AF49</x:f>
        <x:v>40793.81873585069</x:v>
      </x:c>
      <x:c r="AG67" s="28" t="n">
        <x:f>AG48+AG49</x:f>
        <x:v>31364.13681272075</x:v>
      </x:c>
      <x:c r="AH67" s="28" t="n">
        <x:f>AH48+AH49</x:f>
        <x:v>25322.189201841647</x:v>
      </x:c>
      <x:c r="AI67" s="28" t="n">
        <x:f>AI48+AI49</x:f>
        <x:v>37094.088958961445</x:v>
      </x:c>
      <x:c r="AJ67" s="28" t="n">
        <x:f>AJ48+AJ49</x:f>
        <x:v>41091.24334859157</x:v>
      </x:c>
      <x:c r="AK67" s="28" t="n">
        <x:f>AK48+AK49</x:f>
        <x:v>45562.493541955286</x:v>
      </x:c>
      <x:c r="AL67" s="28" t="n">
        <x:f>AL48+AL49</x:f>
        <x:v>39214.797348650915</x:v>
      </x:c>
      <x:c r="AM67" s="28" t="n">
        <x:f>AM48+AM49</x:f>
        <x:v>29787.080361998593</x:v>
      </x:c>
      <x:c r="AN67" s="2"/>
    </x:row>
    <x:row r="68" ht="21" customHeight="1">
      <x:c r="A68" s="1"/>
      <x:c r="B68" s="1"/>
      <x:c r="C68" s="1" t="str">
        <x:v>Founder receipts each</x:v>
      </x:c>
      <x:c r="D68" s="2" t="n">
        <x:f>D67/2</x:f>
        <x:v>0</x:v>
      </x:c>
      <x:c r="E68" s="2" t="n">
        <x:f>E67/2</x:f>
        <x:v>0</x:v>
      </x:c>
      <x:c r="F68" s="2" t="n">
        <x:f>F67/2</x:f>
        <x:v>7989.738783075494</x:v>
      </x:c>
      <x:c r="G68" s="2" t="n">
        <x:f>G67/2</x:f>
        <x:v>8954.53056749233</x:v>
      </x:c>
      <x:c r="H68" s="2" t="n">
        <x:f>H67/2</x:f>
        <x:v>13829.45141690291</x:v>
      </x:c>
      <x:c r="I68" s="2" t="n">
        <x:f>I67/2</x:f>
        <x:v>10636.357926053215</x:v>
      </x:c>
      <x:c r="J68" s="2" t="n">
        <x:f>J67/2</x:f>
        <x:v>8188.5985771547475</x:v>
      </x:c>
      <x:c r="K68" s="2" t="n">
        <x:f>K67/2</x:f>
        <x:v>16194.800018586491</x:v>
      </x:c>
      <x:c r="L68" s="2" t="n">
        <x:f>L67/2</x:f>
        <x:v>17340.615749883316</x:v>
      </x:c>
      <x:c r="M68" s="2" t="n">
        <x:f>M67/2</x:f>
        <x:v>19944.203505285488</x:v>
      </x:c>
      <x:c r="N68" s="2" t="n">
        <x:f>N67/2</x:f>
        <x:v>16093.988497853552</x:v>
      </x:c>
      <x:c r="O68" s="2" t="n">
        <x:f>O67/2</x:f>
        <x:v>10391.788251496746</x:v>
      </x:c>
      <x:c r="P68" s="2" t="n">
        <x:f>P67/2</x:f>
        <x:v>6813.251911179111</x:v>
      </x:c>
      <x:c r="Q68" s="2" t="n">
        <x:f>Q67/2</x:f>
        <x:v>15274.52936352141</x:v>
      </x:c>
      <x:c r="R68" s="2" t="n">
        <x:f>R67/2</x:f>
        <x:v>24211.007512252316</x:v>
      </x:c>
      <x:c r="S68" s="2" t="n">
        <x:f>S67/2</x:f>
        <x:v>17461.008238225102</x:v>
      </x:c>
      <x:c r="T68" s="2" t="n">
        <x:f>T67/2</x:f>
        <x:v>17382.31460268646</x:v>
      </x:c>
      <x:c r="U68" s="2" t="n">
        <x:f>U67/2</x:f>
        <x:v>13150.194546082053</x:v>
      </x:c>
      <x:c r="V68" s="2" t="n">
        <x:f>V67/2</x:f>
        <x:v>10439.9865749646</x:v>
      </x:c>
      <x:c r="W68" s="2" t="n">
        <x:f>W67/2</x:f>
        <x:v>15732.424409055424</x:v>
      </x:c>
      <x:c r="X68" s="2" t="n">
        <x:f>X67/2</x:f>
        <x:v>17532.183461587894</x:v>
      </x:c>
      <x:c r="Y68" s="2" t="n">
        <x:f>Y67/2</x:f>
        <x:v>19544.94269822631</x:v>
      </x:c>
      <x:c r="Z68" s="2" t="n">
        <x:f>Z67/2</x:f>
        <x:v>16697.457742037965</x:v>
      </x:c>
      <x:c r="AA68" s="2" t="n">
        <x:f>AA67/2</x:f>
        <x:v>12466.334972932556</x:v>
      </x:c>
      <x:c r="AB68" s="2" t="n">
        <x:f>AB67/2</x:f>
        <x:v>8880.296953103969</x:v>
      </x:c>
      <x:c r="AC68" s="2" t="n">
        <x:f>AC67/2</x:f>
        <x:v>12973.28570701278</x:v>
      </x:c>
      <x:c r="AD68" s="2" t="n">
        <x:f>AD67/2</x:f>
        <x:v>22980.749731866985</x:v>
      </x:c>
      <x:c r="AE68" s="2" t="n">
        <x:f>AE67/2</x:f>
        <x:v>19213.982652536117</x:v>
      </x:c>
      <x:c r="AF68" s="2" t="n">
        <x:f>AF67/2</x:f>
        <x:v>20396.909367925346</x:v>
      </x:c>
      <x:c r="AG68" s="2" t="n">
        <x:f>AG67/2</x:f>
        <x:v>15682.068406360375</x:v>
      </x:c>
      <x:c r="AH68" s="2" t="n">
        <x:f>AH67/2</x:f>
        <x:v>12661.094600920824</x:v>
      </x:c>
      <x:c r="AI68" s="2" t="n">
        <x:f>AI67/2</x:f>
        <x:v>18547.044479480723</x:v>
      </x:c>
      <x:c r="AJ68" s="2" t="n">
        <x:f>AJ67/2</x:f>
        <x:v>20545.621674295784</x:v>
      </x:c>
      <x:c r="AK68" s="2" t="n">
        <x:f>AK67/2</x:f>
        <x:v>22781.246770977643</x:v>
      </x:c>
      <x:c r="AL68" s="2" t="n">
        <x:f>AL67/2</x:f>
        <x:v>19607.398674325457</x:v>
      </x:c>
      <x:c r="AM68" s="2" t="n">
        <x:f>AM67/2</x:f>
        <x:v>14893.540180999296</x:v>
      </x:c>
      <x:c r="AN68" s="2"/>
    </x:row>
    <x:row r="69" ht="21" customHeight="1">
      <x:c r="A69" s="1"/>
      <x:c r="B69" s="1"/>
      <x:c r="C69" s="1" t="str">
        <x:v>EBITDA margin</x:v>
      </x:c>
      <x:c r="D69" s="9" t="n">
        <x:f>D24/D15</x:f>
        <x:v>-0.3319034936470585</x:v>
      </x:c>
      <x:c r="E69" s="9" t="n">
        <x:f>E24/E15</x:f>
        <x:v>-0.017502041263040596</x:v>
      </x:c>
      <x:c r="F69" s="9" t="n">
        <x:f>F24/F15</x:f>
        <x:v>0.12091087361066784</x:v>
      </x:c>
      <x:c r="G69" s="9" t="n">
        <x:f>G24/G15</x:f>
        <x:v>0.11430273089244816</x:v>
      </x:c>
      <x:c r="H69" s="9" t="n">
        <x:f>H24/H15</x:f>
        <x:v>0.1621986378528094</x:v>
      </x:c>
      <x:c r="I69" s="9" t="n">
        <x:f>I24/I15</x:f>
        <x:v>0.11995253632546651</x:v>
      </x:c>
      <x:c r="J69" s="9" t="n">
        <x:f>J24/J15</x:f>
        <x:v>0.09452841187688439</x:v>
      </x:c>
      <x:c r="K69" s="9" t="n">
        <x:f>K24/K15</x:f>
        <x:v>0.19198755559644862</x:v>
      </x:c>
      <x:c r="L69" s="9" t="n">
        <x:f>L24/L15</x:f>
        <x:v>0.1799817190512851</x:v>
      </x:c>
      <x:c r="M69" s="9" t="n">
        <x:f>M24/M15</x:f>
        <x:v>0.19853619371199263</x:v>
      </x:c>
      <x:c r="N69" s="9" t="n">
        <x:f>N24/N15</x:f>
        <x:v>0.1656670677858975</x:v>
      </x:c>
      <x:c r="O69" s="9" t="n">
        <x:f>O24/O15</x:f>
        <x:v>0.1050487392349184</x:v>
      </x:c>
      <x:c r="P69" s="9" t="n">
        <x:f>P24/P15</x:f>
        <x:v>0.08952696330070056</x:v>
      </x:c>
      <x:c r="Q69" s="9" t="n">
        <x:f>Q24/Q15</x:f>
        <x:v>0.18583554216412007</x:v>
      </x:c>
      <x:c r="R69" s="9" t="n">
        <x:f>R24/R15</x:f>
        <x:v>0.21570033293269872</x:v>
      </x:c>
      <x:c r="S69" s="9" t="n">
        <x:f>S24/S15</x:f>
        <x:v>0.17721608075736153</x:v>
      </x:c>
      <x:c r="T69" s="9" t="n">
        <x:f>T24/T15</x:f>
        <x:v>0.1996783177413337</x:v>
      </x:c>
      <x:c r="U69" s="9" t="n">
        <x:f>U24/U15</x:f>
        <x:v>0.14093092870632948</x:v>
      </x:c>
      <x:c r="V69" s="9" t="n">
        <x:f>V24/V15</x:f>
        <x:v>0.1167408273389747</x:v>
      </x:c>
      <x:c r="W69" s="9" t="n">
        <x:f>W24/W15</x:f>
        <x:v>0.2094695492471678</x:v>
      </x:c>
      <x:c r="X69" s="9" t="n">
        <x:f>X24/X15</x:f>
        <x:v>0.1980464458236948</x:v>
      </x:c>
      <x:c r="Y69" s="9" t="n">
        <x:f>Y24/Y15</x:f>
        <x:v>0.21570033293269872</x:v>
      </x:c>
      <x:c r="Z69" s="9" t="n">
        <x:f>Z24/Z15</x:f>
        <x:v>0.18442659174186163</x:v>
      </x:c>
      <x:c r="AA69" s="9" t="n">
        <x:f>AA24/AA15</x:f>
        <x:v>0.12675052445650076</x:v>
      </x:c>
      <x:c r="AB69" s="9" t="n">
        <x:f>AB24/AB15</x:f>
        <x:v>0.11190805588260308</x:v>
      </x:c>
      <x:c r="AC69" s="9" t="n">
        <x:f>AC24/AC15</x:f>
        <x:v>0.19110729538703558</x:v>
      </x:c>
      <x:c r="AD69" s="9" t="n">
        <x:f>AD24/AD15</x:f>
        <x:v>0.23197749117408215</x:v>
      </x:c>
      <x:c r="AE69" s="9" t="n">
        <x:f>AE24/AE15</x:f>
        <x:v>0.19535500546426288</x:v>
      </x:c>
      <x:c r="AF69" s="9" t="n">
        <x:f>AF24/AF15</x:f>
        <x:v>0.2167305787561167</x:v>
      </x:c>
      <x:c r="AG69" s="9" t="n">
        <x:f>AG24/AG15</x:f>
        <x:v>0.16082523322357603</x:v>
      </x:c>
      <x:c r="AH69" s="9" t="n">
        <x:f>AH24/AH15</x:f>
        <x:v>0.13780538506311815</x:v>
      </x:c>
      <x:c r="AI69" s="9" t="n">
        <x:f>AI24/AI15</x:f>
        <x:v>0.22604813634487336</x:v>
      </x:c>
      <x:c r="AJ69" s="9" t="n">
        <x:f>AJ24/AJ15</x:f>
        <x:v>0.2151776524913238</x:v>
      </x:c>
      <x:c r="AK69" s="9" t="n">
        <x:f>AK24/AK15</x:f>
        <x:v>0.23197749117408215</x:v>
      </x:c>
      <x:c r="AL69" s="9" t="n">
        <x:f>AL24/AL15</x:f>
        <x:v>0.20221669097363026</x:v>
      </x:c>
      <x:c r="AM69" s="9" t="n">
        <x:f>AM24/AM15</x:f>
        <x:v>0.14733083947434208</x:v>
      </x:c>
      <x:c r="AN69" s="2"/>
    </x:row>
    <x:row r="70" ht="21" customHeight="1">
      <x:c r="A70" s="1"/>
      <x:c r="B70" s="1"/>
      <x:c r="C70" s="1" t="str">
        <x:v>Operating break-even daily transactions</x:v>
      </x:c>
      <x:c r="D70" s="2" t="n">
        <x:f>SUM(D20:D22)/((D15-D16-D19)/D12*D8)</x:f>
        <x:v>91.58276705155374</x:v>
      </x:c>
      <x:c r="E70" s="2" t="n">
        <x:f>SUM(E20:E22)/((E15-E16-E19)/E12*E8)</x:f>
        <x:v>101.39520637850593</x:v>
      </x:c>
      <x:c r="F70" s="2" t="n">
        <x:f>SUM(F20:F22)/((F15-F16-F19)/F12*F8)</x:f>
        <x:v>91.58276705155376</x:v>
      </x:c>
      <x:c r="G70" s="2" t="n">
        <x:f>SUM(G20:G22)/((G15-G16-G19)/G12*G8)</x:f>
        <x:v>94.63552595327221</x:v>
      </x:c>
      <x:c r="H70" s="2" t="n">
        <x:f>SUM(H20:H22)/((H15-H16-H19)/H12*H8)</x:f>
        <x:v>91.58276705155374</x:v>
      </x:c>
      <x:c r="I70" s="2" t="n">
        <x:f>SUM(I20:I22)/((I15-I16-I19)/I12*I8)</x:f>
        <x:v>94.63552595327218</x:v>
      </x:c>
      <x:c r="J70" s="2" t="n">
        <x:f>SUM(J20:J22)/((J15-J16-J19)/J12*J8)</x:f>
        <x:v>91.58276705155376</x:v>
      </x:c>
      <x:c r="K70" s="2" t="n">
        <x:f>SUM(K20:K22)/((K15-K16-K19)/K12*K8)</x:f>
        <x:v>91.58276705155376</x:v>
      </x:c>
      <x:c r="L70" s="2" t="n">
        <x:f>SUM(L20:L22)/((L15-L16-L19)/L12*L8)</x:f>
        <x:v>94.63552595327218</x:v>
      </x:c>
      <x:c r="M70" s="2" t="n">
        <x:f>SUM(M20:M22)/((M15-M16-M19)/M12*M8)</x:f>
        <x:v>91.58276705155373</x:v>
      </x:c>
      <x:c r="N70" s="2" t="n">
        <x:f>SUM(N20:N22)/((N15-N16-N19)/N12*N8)</x:f>
        <x:v>94.6355259532722</x:v>
      </x:c>
      <x:c r="O70" s="2" t="n">
        <x:f>SUM(O20:O22)/((O15-O16-O19)/O12*O8)</x:f>
        <x:v>91.58276705155373</x:v>
      </x:c>
      <x:c r="P70" s="2" t="n">
        <x:f>SUM(P20:P22)/((P15-P16-P19)/P12*P8)</x:f>
        <x:v>92.36582397706495</x:v>
      </x:c>
      <x:c r="Q70" s="2" t="n">
        <x:f>SUM(Q20:Q22)/((Q15-Q16-Q19)/Q12*Q8)</x:f>
        <x:v>98.73588080306943</x:v>
      </x:c>
      <x:c r="R70" s="2" t="n">
        <x:f>SUM(R20:R22)/((R15-R16-R19)/R12*R8)</x:f>
        <x:v>92.36582397706492</x:v>
      </x:c>
      <x:c r="S70" s="2" t="n">
        <x:f>SUM(S20:S22)/((S15-S16-S19)/S12*S8)</x:f>
        <x:v>95.44468477630045</x:v>
      </x:c>
      <x:c r="T70" s="2" t="n">
        <x:f>SUM(T20:T22)/((T15-T16-T19)/T12*T8)</x:f>
        <x:v>92.36582397706495</x:v>
      </x:c>
      <x:c r="U70" s="2" t="n">
        <x:f>SUM(U20:U22)/((U15-U16-U19)/U12*U8)</x:f>
        <x:v>95.44468477630043</x:v>
      </x:c>
      <x:c r="V70" s="2" t="n">
        <x:f>SUM(V20:V22)/((V15-V16-V19)/V12*V8)</x:f>
        <x:v>92.36582397706493</x:v>
      </x:c>
      <x:c r="W70" s="2" t="n">
        <x:f>SUM(W20:W22)/((W15-W16-W19)/W12*W8)</x:f>
        <x:v>92.36582397706495</x:v>
      </x:c>
      <x:c r="X70" s="2" t="n">
        <x:f>SUM(X20:X22)/((X15-X16-X19)/X12*X8)</x:f>
        <x:v>95.44468477630045</x:v>
      </x:c>
      <x:c r="Y70" s="2" t="n">
        <x:f>SUM(Y20:Y22)/((Y15-Y16-Y19)/Y12*Y8)</x:f>
        <x:v>92.36582397706492</x:v>
      </x:c>
      <x:c r="Z70" s="2" t="n">
        <x:f>SUM(Z20:Z22)/((Z15-Z16-Z19)/Z12*Z8)</x:f>
        <x:v>95.4446847763004</x:v>
      </x:c>
      <x:c r="AA70" s="2" t="n">
        <x:f>SUM(AA20:AA22)/((AA15-AA16-AA19)/AA12*AA8)</x:f>
        <x:v>92.36582397706495</x:v>
      </x:c>
      <x:c r="AB70" s="2" t="n">
        <x:f>SUM(AB20:AB22)/((AB15-AB16-AB19)/AB12*AB8)</x:f>
        <x:v>93.17125395759074</x:v>
      </x:c>
      <x:c r="AC70" s="2" t="n">
        <x:f>SUM(AC20:AC22)/((AC15-AC16-AC19)/AC12*AC8)</x:f>
        <x:v>103.15388831018974</x:v>
      </x:c>
      <x:c r="AD70" s="2" t="n">
        <x:f>SUM(AD20:AD22)/((AD15-AD16-AD19)/AD12*AD8)</x:f>
        <x:v>93.17125395759075</x:v>
      </x:c>
      <x:c r="AE70" s="2" t="n">
        <x:f>SUM(AE20:AE22)/((AE15-AE16-AE19)/AE12*AE8)</x:f>
        <x:v>96.27696242284377</x:v>
      </x:c>
      <x:c r="AF70" s="2" t="n">
        <x:f>SUM(AF20:AF22)/((AF15-AF16-AF19)/AF12*AF8)</x:f>
        <x:v>93.17125395759072</x:v>
      </x:c>
      <x:c r="AG70" s="2" t="n">
        <x:f>SUM(AG20:AG22)/((AG15-AG16-AG19)/AG12*AG8)</x:f>
        <x:v>96.27696242284377</x:v>
      </x:c>
      <x:c r="AH70" s="2" t="n">
        <x:f>SUM(AH20:AH22)/((AH15-AH16-AH19)/AH12*AH8)</x:f>
        <x:v>93.17125395759075</x:v>
      </x:c>
      <x:c r="AI70" s="2" t="n">
        <x:f>SUM(AI20:AI22)/((AI15-AI16-AI19)/AI12*AI8)</x:f>
        <x:v>93.17125395759075</x:v>
      </x:c>
      <x:c r="AJ70" s="2" t="n">
        <x:f>SUM(AJ20:AJ22)/((AJ15-AJ16-AJ19)/AJ12*AJ8)</x:f>
        <x:v>96.27696242284377</x:v>
      </x:c>
      <x:c r="AK70" s="2" t="n">
        <x:f>SUM(AK20:AK22)/((AK15-AK16-AK19)/AK12*AK8)</x:f>
        <x:v>93.17125395759075</x:v>
      </x:c>
      <x:c r="AL70" s="2" t="n">
        <x:f>SUM(AL20:AL22)/((AL15-AL16-AL19)/AL12*AL8)</x:f>
        <x:v>96.27696242284374</x:v>
      </x:c>
      <x:c r="AM70" s="2" t="n">
        <x:f>SUM(AM20:AM22)/((AM15-AM16-AM19)/AM12*AM8)</x:f>
        <x:v>93.17125395759075</x:v>
      </x:c>
      <x:c r="AN70" s="2"/>
    </x:row>
    <x:row r="71" ht="21" customHeight="1">
      <x:c r="A71" s="1"/>
      <x:c r="B71" s="1"/>
      <x:c r="C71" s="1" t="str">
        <x:v>Personal bank repayments combined</x:v>
      </x:c>
      <x:c r="D71" s="11" t="n">
        <x:f>'Funding'!D13</x:f>
        <x:v>32770.86858988622</x:v>
      </x:c>
      <x:c r="E71" s="11" t="n">
        <x:f>'Funding'!E13</x:f>
        <x:v>32719.81211316923</x:v>
      </x:c>
      <x:c r="F71" s="11" t="n">
        <x:f>'Funding'!F13</x:f>
        <x:v>32667.98978930149</x:v>
      </x:c>
      <x:c r="G71" s="11" t="n">
        <x:f>'Funding'!G13</x:f>
        <x:v>32615.39013057573</x:v>
      </x:c>
      <x:c r="H71" s="11" t="n">
        <x:f>'Funding'!H13</x:f>
        <x:v>32562.001476969086</x:v>
      </x:c>
      <x:c r="I71" s="11" t="n">
        <x:f>'Funding'!I13</x:f>
        <x:v>32507.81199355834</x:v>
      </x:c>
      <x:c r="J71" s="11" t="n">
        <x:f>'Funding'!J13</x:f>
        <x:v>32452.809667896436</x:v>
      </x:c>
      <x:c r="K71" s="11" t="n">
        <x:f>'Funding'!K13</x:f>
        <x:v>32396.9823073496</x:v>
      </x:c>
      <x:c r="L71" s="11" t="n">
        <x:f>'Funding'!L13</x:f>
        <x:v>32340.317536394563</x:v>
      </x:c>
      <x:c r="M71" s="11" t="n">
        <x:f>'Funding'!M13</x:f>
        <x:v>32282.8027938752</x:v>
      </x:c>
      <x:c r="N71" s="11" t="n">
        <x:f>'Funding'!N13</x:f>
        <x:v>32224.425330218048</x:v>
      </x:c>
      <x:c r="O71" s="11" t="n">
        <x:f>'Funding'!O13</x:f>
        <x:v>32165.17220460604</x:v>
      </x:c>
      <x:c r="P71" s="11" t="n">
        <x:f>'Funding'!P13</x:f>
        <x:v>32105.030282109845</x:v>
      </x:c>
      <x:c r="Q71" s="11" t="n">
        <x:f>'Funding'!Q13</x:f>
        <x:v>32043.986230776212</x:v>
      </x:c>
      <x:c r="R71" s="11" t="n">
        <x:f>'Funding'!R13</x:f>
        <x:v>31982.026518672574</x:v>
      </x:c>
      <x:c r="S71" s="11" t="n">
        <x:f>'Funding'!S13</x:f>
        <x:v>31919.137410887382</x:v>
      </x:c>
      <x:c r="T71" s="11" t="n">
        <x:f>'Funding'!T13</x:f>
        <x:v>31855.30496648541</x:v>
      </x:c>
      <x:c r="U71" s="11" t="n">
        <x:f>'Funding'!U13</x:f>
        <x:v>31790.51503541741</x:v>
      </x:c>
      <x:c r="V71" s="11" t="n">
        <x:f>'Funding'!V13</x:f>
        <x:v>31724.75325538339</x:v>
      </x:c>
      <x:c r="W71" s="11" t="n">
        <x:f>'Funding'!W13</x:f>
        <x:v>31658.00504864886</x:v>
      </x:c>
      <x:c r="X71" s="11" t="n">
        <x:f>'Funding'!X13</x:f>
        <x:v>31590.255618813313</x:v>
      </x:c>
      <x:c r="Y71" s="11" t="n">
        <x:f>'Funding'!Y13</x:f>
        <x:v>31521.48994753023</x:v>
      </x:c>
      <x:c r="Z71" s="11" t="n">
        <x:f>'Funding'!Z13</x:f>
        <x:v>31451.692791177902</x:v>
      </x:c>
      <x:c r="AA71" s="11" t="n">
        <x:f>'Funding'!AA13</x:f>
        <x:v>31380.848677480288</x:v>
      </x:c>
      <x:c r="AB71" s="11" t="n">
        <x:f>'Funding'!AB13</x:f>
        <x:v>31308.94190207721</x:v>
      </x:c>
      <x:c r="AC71" s="11" t="n">
        <x:f>'Funding'!AC13</x:f>
        <x:v>31235.95652504309</x:v>
      </x:c>
      <x:c r="AD71" s="11" t="n">
        <x:f>'Funding'!AD13</x:f>
        <x:v>31161.876367353456</x:v>
      </x:c>
      <x:c r="AE71" s="11" t="n">
        <x:f>'Funding'!AE13</x:f>
        <x:v>31086.685007298474</x:v>
      </x:c>
      <x:c r="AF71" s="11" t="n">
        <x:f>'Funding'!AF13</x:f>
        <x:v>31010.36577684267</x:v>
      </x:c>
      <x:c r="AG71" s="11" t="n">
        <x:f>'Funding'!AG13</x:f>
        <x:v>30932.90175793003</x:v>
      </x:c>
      <x:c r="AH71" s="11" t="n">
        <x:f>'Funding'!AH13</x:f>
        <x:v>30854.2757787337</x:v>
      </x:c>
      <x:c r="AI71" s="11" t="n">
        <x:f>'Funding'!AI13</x:f>
        <x:v>30774.470409849422</x:v>
      </x:c>
      <x:c r="AJ71" s="11" t="n">
        <x:f>'Funding'!AJ13</x:f>
        <x:v>30693.46796043188</x:v>
      </x:c>
      <x:c r="AK71" s="11" t="n">
        <x:f>'Funding'!AK13</x:f>
        <x:v>30611.250474273078</x:v>
      </x:c>
      <x:c r="AL71" s="11" t="n">
        <x:f>'Funding'!AL13</x:f>
        <x:v>30527.799725821893</x:v>
      </x:c>
      <x:c r="AM71" s="11" t="n">
        <x:f>'Funding'!AM13</x:f>
        <x:v>30443.097216143942</x:v>
      </x:c>
      <x:c r="AN71" s="2"/>
    </x:row>
    <x:row r="72" ht="21" customHeight="1">
      <x:c r="A72" s="1"/>
      <x:c r="B72" s="1"/>
      <x:c r="C72" s="1" t="str">
        <x:v>Personal cash shortfall combined</x:v>
      </x:c>
      <x:c r="D72" s="2" t="n">
        <x:f>D71-D67+D53</x:f>
        <x:v>32770.86858988622</x:v>
      </x:c>
      <x:c r="E72" s="2" t="n">
        <x:f>E71-E67+E53</x:f>
        <x:v>32719.81211316923</x:v>
      </x:c>
      <x:c r="F72" s="2" t="n">
        <x:f>F71-F67+F53</x:f>
        <x:v>16688.5122231505</x:v>
      </x:c>
      <x:c r="G72" s="2" t="n">
        <x:f>G71-G67+G53</x:f>
        <x:v>14706.328995591073</x:v>
      </x:c>
      <x:c r="H72" s="2" t="n">
        <x:f>H71-H67+H53</x:f>
        <x:v>4903.098643163266</x:v>
      </x:c>
      <x:c r="I72" s="2" t="n">
        <x:f>I71-I67+I53</x:f>
        <x:v>11235.096141451912</x:v>
      </x:c>
      <x:c r="J72" s="2" t="n">
        <x:f>J71-J67+J53</x:f>
        <x:v>16075.61251358694</x:v>
      </x:c>
      <x:c r="K72" s="2" t="n">
        <x:f>K71-K67+K53</x:f>
        <x:v>7.382270176618476</x:v>
      </x:c>
      <x:c r="L72" s="2" t="n">
        <x:f>L71-L67+L53</x:f>
        <x:v>-2340.9139633720697</x:v>
      </x:c>
      <x:c r="M72" s="2" t="n">
        <x:f>M71-M67+M53</x:f>
        <x:v>-7605.604216695778</x:v>
      </x:c>
      <x:c r="N72" s="2" t="n">
        <x:f>N71-N67+N53</x:f>
        <x:v>36.44833451094382</x:v>
      </x:c>
      <x:c r="O72" s="2" t="n">
        <x:f>O71-O67+O53</x:f>
        <x:v>11381.595701612547</x:v>
      </x:c>
      <x:c r="P72" s="2" t="n">
        <x:f>P71-P67+P53</x:f>
        <x:v>18478.52645975162</x:v>
      </x:c>
      <x:c r="Q72" s="2" t="n">
        <x:f>Q71-Q67+Q53</x:f>
        <x:v>1494.9275037333937</x:v>
      </x:c>
      <x:c r="R72" s="2" t="n">
        <x:f>R71-R67+R53</x:f>
        <x:v>-16439.988505832058</x:v>
      </x:c>
      <x:c r="S72" s="2" t="n">
        <x:f>S71-S67+S53</x:f>
        <x:v>-3002.879065562822</x:v>
      </x:c>
      <x:c r="T72" s="2" t="n">
        <x:f>T71-T67+T53</x:f>
        <x:v>-2909.324238887508</x:v>
      </x:c>
      <x:c r="U72" s="2" t="n">
        <x:f>U71-U67+U53</x:f>
        <x:v>5490.125943253304</x:v>
      </x:c>
      <x:c r="V72" s="2" t="n">
        <x:f>V71-V67+V53</x:f>
        <x:v>10844.780105454192</x:v>
      </x:c>
      <x:c r="W72" s="2" t="n">
        <x:f>W71-W67+W53</x:f>
        <x:v>193.15623053801392</x:v>
      </x:c>
      <x:c r="X72" s="2" t="n">
        <x:f>X71-X67+X53</x:f>
        <x:v>-3474.1113043624755</x:v>
      </x:c>
      <x:c r="Y72" s="2" t="n">
        <x:f>Y71-Y67+Y53</x:f>
        <x:v>-7568.395448922391</x:v>
      </x:c>
      <x:c r="Z72" s="2" t="n">
        <x:f>Z71-Z67+Z53</x:f>
        <x:v>-1943.2226928980272</x:v>
      </x:c>
      <x:c r="AA72" s="2" t="n">
        <x:f>AA71-AA67+AA53</x:f>
        <x:v>6448.178731615175</x:v>
      </x:c>
      <x:c r="AB72" s="2" t="n">
        <x:f>AB71-AB67+AB53</x:f>
        <x:v>13548.347995869273</x:v>
      </x:c>
      <x:c r="AC72" s="2" t="n">
        <x:f>AC71-AC67+AC53</x:f>
        <x:v>5289.385111017531</x:v>
      </x:c>
      <x:c r="AD72" s="2" t="n">
        <x:f>AD71-AD67+AD53</x:f>
        <x:v>-14799.623096380514</x:v>
      </x:c>
      <x:c r="AE72" s="2" t="n">
        <x:f>AE71-AE67+AE53</x:f>
        <x:v>-7341.280297773759</x:v>
      </x:c>
      <x:c r="AF72" s="2" t="n">
        <x:f>AF71-AF67+AF53</x:f>
        <x:v>-9783.45295900802</x:v>
      </x:c>
      <x:c r="AG72" s="2" t="n">
        <x:f>AG71-AG67+AG53</x:f>
        <x:v>-431.235054790719</x:v>
      </x:c>
      <x:c r="AH72" s="2" t="n">
        <x:f>AH71-AH67+AH53</x:f>
        <x:v>5532.086576892052</x:v>
      </x:c>
      <x:c r="AI72" s="2" t="n">
        <x:f>AI71-AI67+AI53</x:f>
        <x:v>-6319.618549112023</x:v>
      </x:c>
      <x:c r="AJ72" s="2" t="n">
        <x:f>AJ71-AJ67+AJ53</x:f>
        <x:v>-10397.775388159687</x:v>
      </x:c>
      <x:c r="AK72" s="2" t="n">
        <x:f>AK71-AK67+AK53</x:f>
        <x:v>-14951.243067682208</x:v>
      </x:c>
      <x:c r="AL72" s="2" t="n">
        <x:f>AL71-AL67+AL53</x:f>
        <x:v>-8686.997622829022</x:v>
      </x:c>
      <x:c r="AM72" s="2" t="n">
        <x:f>AM71-AM67+AM53</x:f>
        <x:v>656.0168541453495</x:v>
      </x:c>
      <x:c r="AN72" s="2"/>
    </x:row>
    <x:row r="73" ht="21" customHeight="1">
      <x:c r="A73" s="1"/>
      <x:c r="B73" s="1"/>
      <x:c r="C73" s="1" t="str">
        <x:v>Cumulative personal net outlay</x:v>
      </x:c>
      <x:c r="D73" s="11" t="n">
        <x:f>'Funding'!$D$24+D72</x:f>
        <x:v>78035.83833988622</x:v>
      </x:c>
      <x:c r="E73" s="2" t="n">
        <x:f>D73+E72</x:f>
        <x:v>110755.65045305545</x:v>
      </x:c>
      <x:c r="F73" s="2" t="n">
        <x:f>E73+F72</x:f>
        <x:v>127444.16267620595</x:v>
      </x:c>
      <x:c r="G73" s="2" t="n">
        <x:f>F73+G72</x:f>
        <x:v>142150.491671797</x:v>
      </x:c>
      <x:c r="H73" s="2" t="n">
        <x:f>G73+H72</x:f>
        <x:v>147053.59031496028</x:v>
      </x:c>
      <x:c r="I73" s="2" t="n">
        <x:f>H73+I72</x:f>
        <x:v>158288.6864564122</x:v>
      </x:c>
      <x:c r="J73" s="2" t="n">
        <x:f>I73+J72</x:f>
        <x:v>174364.29896999913</x:v>
      </x:c>
      <x:c r="K73" s="2" t="n">
        <x:f>J73+K72</x:f>
        <x:v>174371.68124017573</x:v>
      </x:c>
      <x:c r="L73" s="2" t="n">
        <x:f>K73+L72</x:f>
        <x:v>172030.76727680367</x:v>
      </x:c>
      <x:c r="M73" s="2" t="n">
        <x:f>L73+M72</x:f>
        <x:v>164425.1630601079</x:v>
      </x:c>
      <x:c r="N73" s="2" t="n">
        <x:f>M73+N72</x:f>
        <x:v>164461.61139461884</x:v>
      </x:c>
      <x:c r="O73" s="2" t="n">
        <x:f>N73+O72</x:f>
        <x:v>175843.2070962314</x:v>
      </x:c>
      <x:c r="P73" s="2" t="n">
        <x:f>O73+P72</x:f>
        <x:v>194321.73355598302</x:v>
      </x:c>
      <x:c r="Q73" s="2" t="n">
        <x:f>P73+Q72</x:f>
        <x:v>195816.66105971643</x:v>
      </x:c>
      <x:c r="R73" s="2" t="n">
        <x:f>Q73+R72</x:f>
        <x:v>179376.67255388436</x:v>
      </x:c>
      <x:c r="S73" s="2" t="n">
        <x:f>R73+S72</x:f>
        <x:v>176373.79348832153</x:v>
      </x:c>
      <x:c r="T73" s="2" t="n">
        <x:f>S73+T72</x:f>
        <x:v>173464.469249434</x:v>
      </x:c>
      <x:c r="U73" s="2" t="n">
        <x:f>T73+U72</x:f>
        <x:v>178954.59519268732</x:v>
      </x:c>
      <x:c r="V73" s="2" t="n">
        <x:f>U73+V72</x:f>
        <x:v>189799.3752981415</x:v>
      </x:c>
      <x:c r="W73" s="2" t="n">
        <x:f>V73+W72</x:f>
        <x:v>189992.5315286795</x:v>
      </x:c>
      <x:c r="X73" s="2" t="n">
        <x:f>W73+X72</x:f>
        <x:v>186518.42022431703</x:v>
      </x:c>
      <x:c r="Y73" s="2" t="n">
        <x:f>X73+Y72</x:f>
        <x:v>178950.02477539465</x:v>
      </x:c>
      <x:c r="Z73" s="2" t="n">
        <x:f>Y73+Z72</x:f>
        <x:v>177006.8020824966</x:v>
      </x:c>
      <x:c r="AA73" s="2" t="n">
        <x:f>Z73+AA72</x:f>
        <x:v>183454.98081411177</x:v>
      </x:c>
      <x:c r="AB73" s="2" t="n">
        <x:f>AA73+AB72</x:f>
        <x:v>197003.32880998103</x:v>
      </x:c>
      <x:c r="AC73" s="2" t="n">
        <x:f>AB73+AC72</x:f>
        <x:v>202292.71392099856</x:v>
      </x:c>
      <x:c r="AD73" s="2" t="n">
        <x:f>AC73+AD72</x:f>
        <x:v>187493.09082461806</x:v>
      </x:c>
      <x:c r="AE73" s="2" t="n">
        <x:f>AD73+AE72</x:f>
        <x:v>180151.8105268443</x:v>
      </x:c>
      <x:c r="AF73" s="2" t="n">
        <x:f>AE73+AF72</x:f>
        <x:v>170368.35756783627</x:v>
      </x:c>
      <x:c r="AG73" s="2" t="n">
        <x:f>AF73+AG72</x:f>
        <x:v>169937.12251304556</x:v>
      </x:c>
      <x:c r="AH73" s="2" t="n">
        <x:f>AG73+AH72</x:f>
        <x:v>175469.20908993762</x:v>
      </x:c>
      <x:c r="AI73" s="2" t="n">
        <x:f>AH73+AI72</x:f>
        <x:v>169149.5905408256</x:v>
      </x:c>
      <x:c r="AJ73" s="2" t="n">
        <x:f>AI73+AJ72</x:f>
        <x:v>158751.8151526659</x:v>
      </x:c>
      <x:c r="AK73" s="2" t="n">
        <x:f>AJ73+AK72</x:f>
        <x:v>143800.5720849837</x:v>
      </x:c>
      <x:c r="AL73" s="2" t="n">
        <x:f>AK73+AL72</x:f>
        <x:v>135113.57446215468</x:v>
      </x:c>
      <x:c r="AM73" s="2" t="n">
        <x:f>AL73+AM72</x:f>
        <x:v>135769.59131630004</x:v>
      </x:c>
      <x:c r="AN73" s="2"/>
    </x:row>
    <x:row r="74" ht="21" customHeight="1">
      <x:c r="A74" s="1"/>
      <x:c r="B74" s="1"/>
      <x:c r="C74" s="1" t="str">
        <x:v>Peak cumulative personal net outlay</x:v>
      </x:c>
      <x:c r="D74" s="2" t="n">
        <x:f>MAX($D73:D73)</x:f>
        <x:v>78035.83833988622</x:v>
      </x:c>
      <x:c r="E74" s="2" t="n">
        <x:f>MAX($D73:E73)</x:f>
        <x:v>110755.65045305545</x:v>
      </x:c>
      <x:c r="F74" s="2" t="n">
        <x:f>MAX($D73:F73)</x:f>
        <x:v>127444.16267620595</x:v>
      </x:c>
      <x:c r="G74" s="2" t="n">
        <x:f>MAX($D73:G73)</x:f>
        <x:v>142150.491671797</x:v>
      </x:c>
      <x:c r="H74" s="2" t="n">
        <x:f>MAX($D73:H73)</x:f>
        <x:v>147053.59031496028</x:v>
      </x:c>
      <x:c r="I74" s="2" t="n">
        <x:f>MAX($D73:I73)</x:f>
        <x:v>158288.6864564122</x:v>
      </x:c>
      <x:c r="J74" s="2" t="n">
        <x:f>MAX($D73:J73)</x:f>
        <x:v>174364.29896999913</x:v>
      </x:c>
      <x:c r="K74" s="2" t="n">
        <x:f>MAX($D73:K73)</x:f>
        <x:v>174371.68124017573</x:v>
      </x:c>
      <x:c r="L74" s="2" t="n">
        <x:f>MAX($D73:L73)</x:f>
        <x:v>174371.68124017573</x:v>
      </x:c>
      <x:c r="M74" s="2" t="n">
        <x:f>MAX($D73:M73)</x:f>
        <x:v>174371.68124017573</x:v>
      </x:c>
      <x:c r="N74" s="2" t="n">
        <x:f>MAX($D73:N73)</x:f>
        <x:v>174371.68124017573</x:v>
      </x:c>
      <x:c r="O74" s="2" t="n">
        <x:f>MAX($D73:O73)</x:f>
        <x:v>175843.2070962314</x:v>
      </x:c>
      <x:c r="P74" s="2" t="n">
        <x:f>MAX($D73:P73)</x:f>
        <x:v>194321.73355598302</x:v>
      </x:c>
      <x:c r="Q74" s="2" t="n">
        <x:f>MAX($D73:Q73)</x:f>
        <x:v>195816.66105971643</x:v>
      </x:c>
      <x:c r="R74" s="2" t="n">
        <x:f>MAX($D73:R73)</x:f>
        <x:v>195816.66105971643</x:v>
      </x:c>
      <x:c r="S74" s="2" t="n">
        <x:f>MAX($D73:S73)</x:f>
        <x:v>195816.66105971643</x:v>
      </x:c>
      <x:c r="T74" s="2" t="n">
        <x:f>MAX($D73:T73)</x:f>
        <x:v>195816.66105971643</x:v>
      </x:c>
      <x:c r="U74" s="2" t="n">
        <x:f>MAX($D73:U73)</x:f>
        <x:v>195816.66105971643</x:v>
      </x:c>
      <x:c r="V74" s="2" t="n">
        <x:f>MAX($D73:V73)</x:f>
        <x:v>195816.66105971643</x:v>
      </x:c>
      <x:c r="W74" s="2" t="n">
        <x:f>MAX($D73:W73)</x:f>
        <x:v>195816.66105971643</x:v>
      </x:c>
      <x:c r="X74" s="2" t="n">
        <x:f>MAX($D73:X73)</x:f>
        <x:v>195816.66105971643</x:v>
      </x:c>
      <x:c r="Y74" s="2" t="n">
        <x:f>MAX($D73:Y73)</x:f>
        <x:v>195816.66105971643</x:v>
      </x:c>
      <x:c r="Z74" s="2" t="n">
        <x:f>MAX($D73:Z73)</x:f>
        <x:v>195816.66105971643</x:v>
      </x:c>
      <x:c r="AA74" s="2" t="n">
        <x:f>MAX($D73:AA73)</x:f>
        <x:v>195816.66105971643</x:v>
      </x:c>
      <x:c r="AB74" s="2" t="n">
        <x:f>MAX($D73:AB73)</x:f>
        <x:v>197003.32880998103</x:v>
      </x:c>
      <x:c r="AC74" s="2" t="n">
        <x:f>MAX($D73:AC73)</x:f>
        <x:v>202292.71392099856</x:v>
      </x:c>
      <x:c r="AD74" s="2" t="n">
        <x:f>MAX($D73:AD73)</x:f>
        <x:v>202292.71392099856</x:v>
      </x:c>
      <x:c r="AE74" s="2" t="n">
        <x:f>MAX($D73:AE73)</x:f>
        <x:v>202292.71392099856</x:v>
      </x:c>
      <x:c r="AF74" s="2" t="n">
        <x:f>MAX($D73:AF73)</x:f>
        <x:v>202292.71392099856</x:v>
      </x:c>
      <x:c r="AG74" s="2" t="n">
        <x:f>MAX($D73:AG73)</x:f>
        <x:v>202292.71392099856</x:v>
      </x:c>
      <x:c r="AH74" s="2" t="n">
        <x:f>MAX($D73:AH73)</x:f>
        <x:v>202292.71392099856</x:v>
      </x:c>
      <x:c r="AI74" s="2" t="n">
        <x:f>MAX($D73:AI73)</x:f>
        <x:v>202292.71392099856</x:v>
      </x:c>
      <x:c r="AJ74" s="2" t="n">
        <x:f>MAX($D73:AJ73)</x:f>
        <x:v>202292.71392099856</x:v>
      </x:c>
      <x:c r="AK74" s="2" t="n">
        <x:f>MAX($D73:AK73)</x:f>
        <x:v>202292.71392099856</x:v>
      </x:c>
      <x:c r="AL74" s="2" t="n">
        <x:f>MAX($D73:AL73)</x:f>
        <x:v>202292.71392099856</x:v>
      </x:c>
      <x:c r="AM74" s="2" t="n">
        <x:f>MAX($D73:AM73)</x:f>
        <x:v>202292.71392099856</x:v>
      </x:c>
      <x:c r="AN74" s="2"/>
    </x:row>
    <x:row r="75" ht="21" customHeight="1">
      <x:c r="A75" s="1"/>
      <x:c r="B75" s="1"/>
      <x:c r="C75" s="1" t="str">
        <x:v>Unlevered operating cash flow</x:v>
      </x:c>
      <x:c r="D75" s="2" t="n">
        <x:f>D24-D35-D41-D43</x:f>
        <x:v>-26666.720123002742</x:v>
      </x:c>
      <x:c r="E75" s="2" t="n">
        <x:f>E24-E35-E41-E43</x:f>
        <x:v>-11271.584686971719</x:v>
      </x:c>
      <x:c r="F75" s="2" t="n">
        <x:f>F24-F35-F41-F43</x:f>
        <x:v>15979.477566150988</x:v>
      </x:c>
      <x:c r="G75" s="2" t="n">
        <x:f>G24-G35-G41-G43</x:f>
        <x:v>17909.06113498466</x:v>
      </x:c>
      <x:c r="H75" s="2" t="n">
        <x:f>H24-H35-H41-H43</x:f>
        <x:v>27658.90283380582</x:v>
      </x:c>
      <x:c r="I75" s="2" t="n">
        <x:f>I24-I35-I41-I43</x:f>
        <x:v>21272.71585210643</x:v>
      </x:c>
      <x:c r="J75" s="2" t="n">
        <x:f>J24-J35-J41-J43</x:f>
        <x:v>16377.197154309495</x:v>
      </x:c>
      <x:c r="K75" s="2" t="n">
        <x:f>K24-K35-K41-K43</x:f>
        <x:v>32389.600037172982</x:v>
      </x:c>
      <x:c r="L75" s="2" t="n">
        <x:f>L24-L35-L41-L43</x:f>
        <x:v>34681.23149976663</x:v>
      </x:c>
      <x:c r="M75" s="2" t="n">
        <x:f>M24-M35-M41-M43</x:f>
        <x:v>39888.407010570976</x:v>
      </x:c>
      <x:c r="N75" s="2" t="n">
        <x:f>N24-N35-N41-N43</x:f>
        <x:v>32187.976995707104</x:v>
      </x:c>
      <x:c r="O75" s="2" t="n">
        <x:f>O24-O35-O41-O43</x:f>
        <x:v>20783.576502993492</x:v>
      </x:c>
      <x:c r="P75" s="2" t="n">
        <x:f>P24-P35-P41-P43</x:f>
        <x:v>13626.503822358221</x:v>
      </x:c>
      <x:c r="Q75" s="2" t="n">
        <x:f>Q24-Q35-Q41-Q43</x:f>
        <x:v>30549.05872704282</x:v>
      </x:c>
      <x:c r="R75" s="2" t="n">
        <x:f>R24-R35-R41-R43</x:f>
        <x:v>48422.01502450463</x:v>
      </x:c>
      <x:c r="S75" s="2" t="n">
        <x:f>S24-S35-S41-S43</x:f>
        <x:v>34922.016476450204</x:v>
      </x:c>
      <x:c r="T75" s="2" t="n">
        <x:f>T24-T35-T41-T43</x:f>
        <x:v>34764.62920537292</x:v>
      </x:c>
      <x:c r="U75" s="2" t="n">
        <x:f>U24-U35-U41-U43</x:f>
        <x:v>26300.389092164107</x:v>
      </x:c>
      <x:c r="V75" s="2" t="n">
        <x:f>V24-V35-V41-V43</x:f>
        <x:v>20879.9731499292</x:v>
      </x:c>
      <x:c r="W75" s="2" t="n">
        <x:f>W24-W35-W41-W43</x:f>
        <x:v>31464.848818110844</x:v>
      </x:c>
      <x:c r="X75" s="2" t="n">
        <x:f>X24-X35-X41-X43</x:f>
        <x:v>35064.36692317579</x:v>
      </x:c>
      <x:c r="Y75" s="2" t="n">
        <x:f>Y24-Y35-Y41-Y43</x:f>
        <x:v>39089.88539645262</x:v>
      </x:c>
      <x:c r="Z75" s="2" t="n">
        <x:f>Z24-Z35-Z41-Z43</x:f>
        <x:v>33394.91548407593</x:v>
      </x:c>
      <x:c r="AA75" s="2" t="n">
        <x:f>AA24-AA35-AA41-AA43</x:f>
        <x:v>24932.669945865113</x:v>
      </x:c>
      <x:c r="AB75" s="2" t="n">
        <x:f>AB24-AB35-AB41-AB43</x:f>
        <x:v>17760.593906207938</x:v>
      </x:c>
      <x:c r="AC75" s="2" t="n">
        <x:f>AC24-AC35-AC41-AC43</x:f>
        <x:v>25946.571414025555</x:v>
      </x:c>
      <x:c r="AD75" s="2" t="n">
        <x:f>AD24-AD35-AD41-AD43</x:f>
        <x:v>45961.49946373397</x:v>
      </x:c>
      <x:c r="AE75" s="2" t="n">
        <x:f>AE24-AE35-AE41-AE43</x:f>
        <x:v>38427.96530507223</x:v>
      </x:c>
      <x:c r="AF75" s="2" t="n">
        <x:f>AF24-AF35-AF41-AF43</x:f>
        <x:v>40793.81873585069</x:v>
      </x:c>
      <x:c r="AG75" s="2" t="n">
        <x:f>AG24-AG35-AG41-AG43</x:f>
        <x:v>31364.13681272075</x:v>
      </x:c>
      <x:c r="AH75" s="2" t="n">
        <x:f>AH24-AH35-AH41-AH43</x:f>
        <x:v>25322.189201841647</x:v>
      </x:c>
      <x:c r="AI75" s="2" t="n">
        <x:f>AI24-AI35-AI41-AI43</x:f>
        <x:v>37094.088958961445</x:v>
      </x:c>
      <x:c r="AJ75" s="2" t="n">
        <x:f>AJ24-AJ35-AJ41-AJ43</x:f>
        <x:v>41091.24334859157</x:v>
      </x:c>
      <x:c r="AK75" s="2" t="n">
        <x:f>AK24-AK35-AK41-AK43</x:f>
        <x:v>45562.493541955286</x:v>
      </x:c>
      <x:c r="AL75" s="2" t="n">
        <x:f>AL24-AL35-AL41-AL43</x:f>
        <x:v>39214.797348650915</x:v>
      </x:c>
      <x:c r="AM75" s="2" t="n">
        <x:f>AM24-AM35-AM41-AM43</x:f>
        <x:v>29787.080361998593</x:v>
      </x:c>
      <x:c r="AN75" s="2"/>
    </x:row>
    <x:row r="76" ht="21" customHeight="1">
      <x:c r="A76" s="1"/>
      <x:c r="B76" s="1"/>
      <x:c r="C76" s="27" t="str">
        <x:v>Cumulative project cash recovery</x:v>
      </x:c>
      <x:c r="D76" s="29" t="n">
        <x:f>-('Startup'!$E$26+'Startup'!$E$35+'Startup'!$E$37+'Startup'!$E$38)+SUM($D75:D75)+SUM($D42:D42)</x:f>
        <x:v>-918406.9701230028</x:v>
      </x:c>
      <x:c r="E76" s="29" t="n">
        <x:f>-('Startup'!$E$26+'Startup'!$E$35+'Startup'!$E$37+'Startup'!$E$38)+SUM($D75:E75)+SUM($D42:E42)</x:f>
        <x:v>-929678.5548099745</x:v>
      </x:c>
      <x:c r="F76" s="29" t="n">
        <x:f>-('Startup'!$E$26+'Startup'!$E$35+'Startup'!$E$37+'Startup'!$E$38)+SUM($D75:F75)+SUM($D42:F42)</x:f>
        <x:v>-807402.5228959975</x:v>
      </x:c>
      <x:c r="G76" s="29" t="n">
        <x:f>-('Startup'!$E$26+'Startup'!$E$35+'Startup'!$E$37+'Startup'!$E$38)+SUM($D75:G75)+SUM($D42:G42)</x:f>
        <x:v>-789493.4617610129</x:v>
      </x:c>
      <x:c r="H76" s="29" t="n">
        <x:f>-('Startup'!$E$26+'Startup'!$E$35+'Startup'!$E$37+'Startup'!$E$38)+SUM($D75:H75)+SUM($D42:H42)</x:f>
        <x:v>-761834.558927207</x:v>
      </x:c>
      <x:c r="I76" s="29" t="n">
        <x:f>-('Startup'!$E$26+'Startup'!$E$35+'Startup'!$E$37+'Startup'!$E$38)+SUM($D75:I75)+SUM($D42:I42)</x:f>
        <x:v>-740561.8430751007</x:v>
      </x:c>
      <x:c r="J76" s="29" t="n">
        <x:f>-('Startup'!$E$26+'Startup'!$E$35+'Startup'!$E$37+'Startup'!$E$38)+SUM($D75:J75)+SUM($D42:J42)</x:f>
        <x:v>-724184.6459207912</x:v>
      </x:c>
      <x:c r="K76" s="29" t="n">
        <x:f>-('Startup'!$E$26+'Startup'!$E$35+'Startup'!$E$37+'Startup'!$E$38)+SUM($D75:K75)+SUM($D42:K42)</x:f>
        <x:v>-691795.0458836182</x:v>
      </x:c>
      <x:c r="L76" s="29" t="n">
        <x:f>-('Startup'!$E$26+'Startup'!$E$35+'Startup'!$E$37+'Startup'!$E$38)+SUM($D75:L75)+SUM($D42:L42)</x:f>
        <x:v>-657113.8143838515</x:v>
      </x:c>
      <x:c r="M76" s="29" t="n">
        <x:f>-('Startup'!$E$26+'Startup'!$E$35+'Startup'!$E$37+'Startup'!$E$38)+SUM($D75:M75)+SUM($D42:M42)</x:f>
        <x:v>-617225.4073732805</x:v>
      </x:c>
      <x:c r="N76" s="29" t="n">
        <x:f>-('Startup'!$E$26+'Startup'!$E$35+'Startup'!$E$37+'Startup'!$E$38)+SUM($D75:N75)+SUM($D42:N42)</x:f>
        <x:v>-585037.4303775735</x:v>
      </x:c>
      <x:c r="O76" s="29" t="n">
        <x:f>-('Startup'!$E$26+'Startup'!$E$35+'Startup'!$E$37+'Startup'!$E$38)+SUM($D75:O75)+SUM($D42:O42)</x:f>
        <x:v>-564253.8538745799</x:v>
      </x:c>
      <x:c r="P76" s="29" t="n">
        <x:f>-('Startup'!$E$26+'Startup'!$E$35+'Startup'!$E$37+'Startup'!$E$38)+SUM($D75:P75)+SUM($D42:P42)</x:f>
        <x:v>-550627.3500522217</x:v>
      </x:c>
      <x:c r="Q76" s="29" t="n">
        <x:f>-('Startup'!$E$26+'Startup'!$E$35+'Startup'!$E$37+'Startup'!$E$38)+SUM($D75:Q75)+SUM($D42:Q42)</x:f>
        <x:v>-520078.2913251789</x:v>
      </x:c>
      <x:c r="R76" s="29" t="n">
        <x:f>-('Startup'!$E$26+'Startup'!$E$35+'Startup'!$E$37+'Startup'!$E$38)+SUM($D75:R75)+SUM($D42:R42)</x:f>
        <x:v>-471656.2763006743</x:v>
      </x:c>
      <x:c r="S76" s="29" t="n">
        <x:f>-('Startup'!$E$26+'Startup'!$E$35+'Startup'!$E$37+'Startup'!$E$38)+SUM($D75:S75)+SUM($D42:S42)</x:f>
        <x:v>-436734.25982422405</x:v>
      </x:c>
      <x:c r="T76" s="29" t="n">
        <x:f>-('Startup'!$E$26+'Startup'!$E$35+'Startup'!$E$37+'Startup'!$E$38)+SUM($D75:T75)+SUM($D42:T42)</x:f>
        <x:v>-401969.63061885105</x:v>
      </x:c>
      <x:c r="U76" s="29" t="n">
        <x:f>-('Startup'!$E$26+'Startup'!$E$35+'Startup'!$E$37+'Startup'!$E$38)+SUM($D75:U75)+SUM($D42:U42)</x:f>
        <x:v>-375669.24152668694</x:v>
      </x:c>
      <x:c r="V76" s="29" t="n">
        <x:f>-('Startup'!$E$26+'Startup'!$E$35+'Startup'!$E$37+'Startup'!$E$38)+SUM($D75:V75)+SUM($D42:V42)</x:f>
        <x:v>-354789.26837675774</x:v>
      </x:c>
      <x:c r="W76" s="29" t="n">
        <x:f>-('Startup'!$E$26+'Startup'!$E$35+'Startup'!$E$37+'Startup'!$E$38)+SUM($D75:W75)+SUM($D42:W42)</x:f>
        <x:v>-323324.419558647</x:v>
      </x:c>
      <x:c r="X76" s="29" t="n">
        <x:f>-('Startup'!$E$26+'Startup'!$E$35+'Startup'!$E$37+'Startup'!$E$38)+SUM($D75:X75)+SUM($D42:X42)</x:f>
        <x:v>-288260.0526354711</x:v>
      </x:c>
      <x:c r="Y76" s="29" t="n">
        <x:f>-('Startup'!$E$26+'Startup'!$E$35+'Startup'!$E$37+'Startup'!$E$38)+SUM($D75:Y75)+SUM($D42:Y42)</x:f>
        <x:v>-249170.16723901845</x:v>
      </x:c>
      <x:c r="Z76" s="29" t="n">
        <x:f>-('Startup'!$E$26+'Startup'!$E$35+'Startup'!$E$37+'Startup'!$E$38)+SUM($D75:Z75)+SUM($D42:Z42)</x:f>
        <x:v>-215775.25175494255</x:v>
      </x:c>
      <x:c r="AA76" s="29" t="n">
        <x:f>-('Startup'!$E$26+'Startup'!$E$35+'Startup'!$E$37+'Startup'!$E$38)+SUM($D75:AA75)+SUM($D42:AA42)</x:f>
        <x:v>-190842.58180907738</x:v>
      </x:c>
      <x:c r="AB76" s="29" t="n">
        <x:f>-('Startup'!$E$26+'Startup'!$E$35+'Startup'!$E$37+'Startup'!$E$38)+SUM($D75:AB75)+SUM($D42:AB42)</x:f>
        <x:v>-173081.98790286944</x:v>
      </x:c>
      <x:c r="AC76" s="29" t="n">
        <x:f>-('Startup'!$E$26+'Startup'!$E$35+'Startup'!$E$37+'Startup'!$E$38)+SUM($D75:AC75)+SUM($D42:AC42)</x:f>
        <x:v>-147135.41648884394</x:v>
      </x:c>
      <x:c r="AD76" s="29" t="n">
        <x:f>-('Startup'!$E$26+'Startup'!$E$35+'Startup'!$E$37+'Startup'!$E$38)+SUM($D75:AD75)+SUM($D42:AD42)</x:f>
        <x:v>-101173.91702510996</x:v>
      </x:c>
      <x:c r="AE76" s="29" t="n">
        <x:f>-('Startup'!$E$26+'Startup'!$E$35+'Startup'!$E$37+'Startup'!$E$38)+SUM($D75:AE75)+SUM($D42:AE42)</x:f>
        <x:v>-62745.9517200377</x:v>
      </x:c>
      <x:c r="AF76" s="29" t="n">
        <x:f>-('Startup'!$E$26+'Startup'!$E$35+'Startup'!$E$37+'Startup'!$E$38)+SUM($D75:AF75)+SUM($D42:AF42)</x:f>
        <x:v>-21952.13298418696</x:v>
      </x:c>
      <x:c r="AG76" s="29" t="n">
        <x:f>-('Startup'!$E$26+'Startup'!$E$35+'Startup'!$E$37+'Startup'!$E$38)+SUM($D75:AG75)+SUM($D42:AG42)</x:f>
        <x:v>9412.003828533838</x:v>
      </x:c>
      <x:c r="AH76" s="29" t="n">
        <x:f>-('Startup'!$E$26+'Startup'!$E$35+'Startup'!$E$37+'Startup'!$E$38)+SUM($D75:AH75)+SUM($D42:AH42)</x:f>
        <x:v>34734.193030375434</x:v>
      </x:c>
      <x:c r="AI76" s="29" t="n">
        <x:f>-('Startup'!$E$26+'Startup'!$E$35+'Startup'!$E$37+'Startup'!$E$38)+SUM($D75:AI75)+SUM($D42:AI42)</x:f>
        <x:v>71828.28198933686</x:v>
      </x:c>
      <x:c r="AJ76" s="29" t="n">
        <x:f>-('Startup'!$E$26+'Startup'!$E$35+'Startup'!$E$37+'Startup'!$E$38)+SUM($D75:AJ75)+SUM($D42:AJ42)</x:f>
        <x:v>112919.52533792847</x:v>
      </x:c>
      <x:c r="AK76" s="29" t="n">
        <x:f>-('Startup'!$E$26+'Startup'!$E$35+'Startup'!$E$37+'Startup'!$E$38)+SUM($D75:AK75)+SUM($D42:AK42)</x:f>
        <x:v>158482.01887988372</x:v>
      </x:c>
      <x:c r="AL76" s="29" t="n">
        <x:f>-('Startup'!$E$26+'Startup'!$E$35+'Startup'!$E$37+'Startup'!$E$38)+SUM($D75:AL75)+SUM($D42:AL42)</x:f>
        <x:v>197696.8162285346</x:v>
      </x:c>
      <x:c r="AM76" s="29" t="n">
        <x:f>-('Startup'!$E$26+'Startup'!$E$35+'Startup'!$E$37+'Startup'!$E$38)+SUM($D75:AM75)+SUM($D42:AM42)</x:f>
        <x:v>227483.89659053323</x:v>
      </x:c>
      <x:c r="AN76" s="2"/>
    </x:row>
    <x:row r="77" ht="21" customHeight="1">
      <x:c r="A77" s="1"/>
      <x:c r="B77" s="1"/>
      <x:c r="C77" s="1" t="str">
        <x:v>Loan principal each</x:v>
      </x:c>
      <x:c r="D77" s="2" t="n">
        <x:f>D51/2</x:f>
        <x:v>545820.125</x:v>
      </x:c>
      <x:c r="E77" s="2" t="n">
        <x:f>E51/2</x:f>
        <x:v>545820.125</x:v>
      </x:c>
      <x:c r="F77" s="2" t="n">
        <x:f>F51/2</x:f>
        <x:v>545820.125</x:v>
      </x:c>
      <x:c r="G77" s="2" t="n">
        <x:f>G51/2</x:f>
        <x:v>543431.0589827655</x:v>
      </x:c>
      <x:c r="H77" s="2" t="n">
        <x:f>H51/2</x:f>
        <x:v>533224.4812924144</x:v>
      </x:c>
      <x:c r="I77" s="2" t="n">
        <x:f>I51/2</x:f>
        <x:v>526142.953241644</x:v>
      </x:c>
      <x:c r="J77" s="2" t="n">
        <x:f>J51/2</x:f>
        <x:v>521461.9743527668</x:v>
      </x:c>
      <x:c r="K77" s="2" t="n">
        <x:f>K51/2</x:f>
        <x:v>508743.5874965321</x:v>
      </x:c>
      <x:c r="L77" s="2" t="n">
        <x:f>L51/2</x:f>
        <x:v>494794.59566329233</x:v>
      </x:c>
      <x:c r="M77" s="2" t="n">
        <x:f>M51/2</x:f>
        <x:v>478149.0227957621</x:v>
      </x:c>
      <x:c r="N77" s="2" t="n">
        <x:f>N51/2</x:f>
        <x:v>465242.6944498803</x:v>
      </x:c>
      <x:c r="O77" s="2" t="n">
        <x:f>O51/2</x:f>
        <x:v>457952.52416138275</x:v>
      </x:c>
      <x:c r="P77" s="2" t="n">
        <x:f>P51/2</x:f>
        <x:v>454192.2890779462</x:v>
      </x:c>
      <x:c r="Q77" s="2" t="n">
        <x:f>Q51/2</x:f>
        <x:v>441945.70830827777</x:v>
      </x:c>
      <x:c r="R77" s="2" t="n">
        <x:f>R51/2</x:f>
        <x:v>420681.00551808067</x:v>
      </x:c>
      <x:c r="S77" s="2" t="n">
        <x:f>S51/2</x:f>
        <x:v>406024.53731664276</x:v>
      </x:c>
      <x:c r="T77" s="2" t="n">
        <x:f>T51/2</x:f>
        <x:v>391349.0529627339</x:v>
      </x:c>
      <x:c r="U77" s="2" t="n">
        <x:f>U51/2</x:f>
        <x:v>380807.85210307006</x:v>
      </x:c>
      <x:c r="V77" s="2" t="n">
        <x:f>V51/2</x:f>
        <x:v>372906.58454212593</x:v>
      </x:c>
      <x:c r="W77" s="2" t="n">
        <x:f>W51/2</x:f>
        <x:v>359660.204030018</x:v>
      </x:c>
      <x:c r="X77" s="2" t="n">
        <x:f>X51/2</x:f>
        <x:v>344525.7552619636</x:v>
      </x:c>
      <x:c r="Y77" s="2" t="n">
        <x:f>Y51/2</x:f>
        <x:v>327277.65093215037</x:v>
      </x:c>
      <x:c r="Z77" s="2" t="n">
        <x:f>Z51/2</x:f>
        <x:v>312762.04419632675</x:v>
      </x:c>
      <x:c r="AA77" s="2" t="n">
        <x:f>AA51/2</x:f>
        <x:v>302380.78951803636</x:v>
      </x:c>
      <x:c r="AB77" s="2" t="n">
        <x:f>AB51/2</x:f>
        <x:v>295516.3644950526</x:v>
      </x:c>
      <x:c r="AC77" s="2" t="n">
        <x:f>AC51/2</x:f>
        <x:v>284513.18788467353</x:v>
      </x:c>
      <x:c r="AD77" s="2" t="n">
        <x:f>AD51/2</x:f>
        <x:v>263429.1927387044</x:v>
      </x:c>
      <x:c r="AE77" s="2" t="n">
        <x:f>AE51/2</x:f>
        <x:v>245971.4047044263</x:v>
      </x:c>
      <x:c r="AF77" s="2" t="n">
        <x:f>AF51/2</x:f>
        <x:v>227214.30470119714</x:v>
      </x:c>
      <x:c r="AG77" s="2" t="n">
        <x:f>AG51/2</x:f>
        <x:v>213046.9983261781</x:v>
      </x:c>
      <x:c r="AH77" s="2" t="n">
        <x:f>AH51/2</x:f>
        <x:v>201806.2170474318</x:v>
      </x:c>
      <x:c r="AI77" s="2" t="n">
        <x:f>AI51/2</x:f>
        <x:v>184604.54734826728</x:v>
      </x:c>
      <x:c r="AJ77" s="2" t="n">
        <x:f>AJ51/2</x:f>
        <x:v>165289.62265629327</x:v>
      </x:c>
      <x:c r="AK77" s="2" t="n">
        <x:f>AK51/2</x:f>
        <x:v>143610.30670302425</x:v>
      </x:c>
      <x:c r="AL77" s="2" t="n">
        <x:f>AL51/2</x:f>
        <x:v>124960.31007338563</x:v>
      </x:c>
      <x:c r="AM77" s="2" t="n">
        <x:f>AM51/2</x:f>
        <x:v>110899.8386262089</x:v>
      </x:c>
      <x:c r="AN77" s="2"/>
    </x:row>
    <x:row r="78" ht="21" customHeight="1">
      <x:c r="A78" s="1"/>
      <x:c r="B78" s="1"/>
      <x:c r="C78" s="1" t="str">
        <x:v>Accrued interest each</x:v>
      </x:c>
      <x:c r="D78" s="2" t="n">
        <x:f>D50/2</x:f>
        <x:v>3638.8008333333332</x:v>
      </x:c>
      <x:c r="E78" s="2" t="n">
        <x:f>E50/2</x:f>
        <x:v>7277.6016666666665</x:v>
      </x:c>
      <x:c r="F78" s="2" t="n">
        <x:f>F50/2</x:f>
        <x:v>2926.663716924506</x:v>
      </x:c>
      <x:c r="G78" s="2" t="n">
        <x:f>G50/2</x:f>
        <x:v>0</x:v>
      </x:c>
      <x:c r="H78" s="2" t="n">
        <x:f>H50/2</x:f>
        <x:v>0</x:v>
      </x:c>
      <x:c r="I78" s="2" t="n">
        <x:f>I50/2</x:f>
        <x:v>0</x:v>
      </x:c>
      <x:c r="J78" s="2" t="n">
        <x:f>J50/2</x:f>
        <x:v>0</x:v>
      </x:c>
      <x:c r="K78" s="2" t="n">
        <x:f>K50/2</x:f>
        <x:v>0</x:v>
      </x:c>
      <x:c r="L78" s="2" t="n">
        <x:f>L50/2</x:f>
        <x:v>0</x:v>
      </x:c>
      <x:c r="M78" s="2" t="n">
        <x:f>M50/2</x:f>
        <x:v>0</x:v>
      </x:c>
      <x:c r="N78" s="2" t="n">
        <x:f>N50/2</x:f>
        <x:v>0</x:v>
      </x:c>
      <x:c r="O78" s="2" t="n">
        <x:f>O50/2</x:f>
        <x:v>0</x:v>
      </x:c>
      <x:c r="P78" s="2" t="n">
        <x:f>P50/2</x:f>
        <x:v>0</x:v>
      </x:c>
      <x:c r="Q78" s="2" t="n">
        <x:f>Q50/2</x:f>
        <x:v>0</x:v>
      </x:c>
      <x:c r="R78" s="2" t="n">
        <x:f>R50/2</x:f>
        <x:v>0</x:v>
      </x:c>
      <x:c r="S78" s="2" t="n">
        <x:f>S50/2</x:f>
        <x:v>0</x:v>
      </x:c>
      <x:c r="T78" s="2" t="n">
        <x:f>T50/2</x:f>
        <x:v>0</x:v>
      </x:c>
      <x:c r="U78" s="2" t="n">
        <x:f>U50/2</x:f>
        <x:v>0</x:v>
      </x:c>
      <x:c r="V78" s="2" t="n">
        <x:f>V50/2</x:f>
        <x:v>0</x:v>
      </x:c>
      <x:c r="W78" s="2" t="n">
        <x:f>W50/2</x:f>
        <x:v>0</x:v>
      </x:c>
      <x:c r="X78" s="2" t="n">
        <x:f>X50/2</x:f>
        <x:v>0</x:v>
      </x:c>
      <x:c r="Y78" s="2" t="n">
        <x:f>Y50/2</x:f>
        <x:v>0</x:v>
      </x:c>
      <x:c r="Z78" s="2" t="n">
        <x:f>Z50/2</x:f>
        <x:v>0</x:v>
      </x:c>
      <x:c r="AA78" s="2" t="n">
        <x:f>AA50/2</x:f>
        <x:v>0</x:v>
      </x:c>
      <x:c r="AB78" s="2" t="n">
        <x:f>AB50/2</x:f>
        <x:v>0</x:v>
      </x:c>
      <x:c r="AC78" s="2" t="n">
        <x:f>AC50/2</x:f>
        <x:v>0</x:v>
      </x:c>
      <x:c r="AD78" s="2" t="n">
        <x:f>AD50/2</x:f>
        <x:v>0</x:v>
      </x:c>
      <x:c r="AE78" s="2" t="n">
        <x:f>AE50/2</x:f>
        <x:v>0</x:v>
      </x:c>
      <x:c r="AF78" s="2" t="n">
        <x:f>AF50/2</x:f>
        <x:v>0</x:v>
      </x:c>
      <x:c r="AG78" s="2" t="n">
        <x:f>AG50/2</x:f>
        <x:v>0</x:v>
      </x:c>
      <x:c r="AH78" s="2" t="n">
        <x:f>AH50/2</x:f>
        <x:v>0</x:v>
      </x:c>
      <x:c r="AI78" s="2" t="n">
        <x:f>AI50/2</x:f>
        <x:v>0</x:v>
      </x:c>
      <x:c r="AJ78" s="2" t="n">
        <x:f>AJ50/2</x:f>
        <x:v>0</x:v>
      </x:c>
      <x:c r="AK78" s="2" t="n">
        <x:f>AK50/2</x:f>
        <x:v>0</x:v>
      </x:c>
      <x:c r="AL78" s="2" t="n">
        <x:f>AL50/2</x:f>
        <x:v>0</x:v>
      </x:c>
      <x:c r="AM78" s="2" t="n">
        <x:f>AM50/2</x:f>
        <x:v>0</x:v>
      </x:c>
      <x:c r="AN78" s="2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21" customHeight="1">
      <x:c r="A82" s="1"/>
      <x:c r="B82" s="1"/>
      <x:c r="C82" s="1" t="str">
        <x:v>Tax cash is provisioned monthly, not the statutory payment calendar. VAT operating settlements assumed same month.</x:v>
      </x:c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21" customHeight="1">
      <x:c r="A84" s="1"/>
      <x:c r="B84" s="1"/>
      <x:c r="C84" s="1" t="str">
        <x:v>Additional equity row is unfunded need, not committed money. It prevents hidden negative cash; must be arranged before trading.</x:v>
      </x:c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21" customHeight="1">
      <x:c r="A86" s="1"/>
      <x:c r="B86" s="1"/>
      <x:c r="C86" s="1" t="str">
        <x:v>No owner salaries, dividends, sale proceeds, loan buyback, or terminal value assumed.</x:v>
      </x:c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1" customHeight="1">
      <x:c r="A88" s="1"/>
      <x:c r="B88" s="1"/>
      <x:c r="C88" s="1" t="str">
        <x:v>Company repayment uses current operating surplus above reserve. VAT refund alone does not trigger repayment.</x:v>
      </x:c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21" customHeight="1">
      <x:c r="A90" s="1"/>
      <x:c r="B90" s="1"/>
      <x:c r="C90" s="1" t="str">
        <x:v>Income-tax allowances provisionally equal depreciation. Monthly loss offset approximates annual tax; statutory return needs separate work.</x:v>
      </x:c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21" customHeight="1">
      <x:c r="A92" s="1"/>
      <x:c r="B92" s="1"/>
      <x:c r="C92" s="1" t="str">
        <x:v>If extra equity is required, eligibility and ownership must be reassessed. Base forecast is ordinary tax until approval.</x:v>
      </x:c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</x:row>
    <x:row r="2" ht="21" customHeight="1">
      <x:c r="A2" s="1"/>
      <x:c r="B2" s="1"/>
      <x:c r="C2" s="3" t="str">
        <x:v>Annual tax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</x:row>
    <x:row r="3" ht="21" customHeight="1">
      <x:c r="A3" s="1"/>
      <x:c r="B3" s="1"/>
      <x:c r="C3" s="4"/>
      <x:c r="D3" s="23" t="str">
        <x:f>INDEX('Assumptions'!$E$6:$G$6,1,'Assumptions'!$D$4)</x:f>
        <x:v>Expected</x:v>
      </x:c>
      <x:c r="E3" s="4"/>
      <x:c r="F3" s="4"/>
      <x:c r="G3" s="4"/>
      <x:c r="H3" s="4"/>
      <x:c r="I3" s="4"/>
      <x:c r="J3" s="4"/>
      <x:c r="K3" s="4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</x:row>
    <x:row r="5" ht="21" customHeight="1">
      <x:c r="A5" s="1"/>
      <x:c r="B5" s="1"/>
      <x:c r="C5" s="14" t="str">
        <x:v>Tax planning</x:v>
      </x:c>
      <x:c r="D5" s="24" t="n">
        <x:f>'Assumptions'!$D$18+0</x:f>
        <x:v>2027</x:v>
      </x:c>
      <x:c r="E5" s="24" t="n">
        <x:f>'Assumptions'!$D$18+1</x:f>
        <x:v>2028</x:v>
      </x:c>
      <x:c r="F5" s="24" t="n">
        <x:f>'Assumptions'!$D$18+2</x:f>
        <x:v>2029</x:v>
      </x:c>
      <x:c r="G5" s="14"/>
      <x:c r="H5" s="14"/>
      <x:c r="I5" s="14"/>
      <x:c r="J5" s="14"/>
      <x:c r="K5" s="14"/>
      <x:c r="L5" s="14"/>
      <x:c r="M5" s="14"/>
      <x:c r="N5" s="14"/>
      <x:c r="O5" s="14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</x:row>
    <x:row r="6" ht="21" customHeight="1">
      <x:c r="A6" s="1"/>
      <x:c r="B6" s="1"/>
      <x:c r="C6" s="1" t="str">
        <x:v>Net taxable sales proxy</x:v>
      </x:c>
      <x:c r="D6" s="11" t="n">
        <x:f>SUM('Monthly forecast'!D15:O15)</x:f>
        <x:v>2033968.7776086961</x:v>
      </x:c>
      <x:c r="E6" s="11" t="n">
        <x:f>SUM('Monthly forecast'!P15:AA15)</x:f>
        <x:v>2481870.853833914</x:v>
      </x:c>
      <x:c r="F6" s="11" t="n">
        <x:f>SUM('Monthly forecast'!AB15:AM15)</x:f>
        <x:v>2754166.019944391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21" customHeight="1">
      <x:c r="A7" s="1"/>
      <x:c r="B7" s="1"/>
      <x:c r="C7" s="1" t="str">
        <x:v>Gross customer receipts</x:v>
      </x:c>
      <x:c r="D7" s="11" t="n">
        <x:f>SUM('Monthly forecast'!D14:O14)</x:f>
        <x:v>2339064.09425</x:v>
      </x:c>
      <x:c r="E7" s="11" t="n">
        <x:f>SUM('Monthly forecast'!P14:AA14)</x:f>
        <x:v>2854151.4819090003</x:v>
      </x:c>
      <x:c r="F7" s="11" t="n">
        <x:f>SUM('Monthly forecast'!AB14:AM14)</x:f>
        <x:v>3167290.9229360493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21" customHeight="1">
      <x:c r="A8" s="1"/>
      <x:c r="B8" s="1"/>
      <x:c r="C8" s="1" t="str">
        <x:v>Conditional TT annual illustration</x:v>
      </x:c>
      <x:c r="D8" s="2" t="n">
        <x:f>MAX(0,MIN(D6-600000,350000))*1%+MAX(0,MIN(D6-950000,450000))*2%+MAX(0,D6-1400000)*3%</x:f>
        <x:v>31519.063328260883</x:v>
      </x:c>
      <x:c r="E8" s="2" t="n">
        <x:f>MAX(0,MIN(E6-600000,350000))*1%+MAX(0,MIN(E6-950000,450000))*2%+MAX(0,E6-1400000)*3%</x:f>
        <x:v>44956.125615017416</x:v>
      </x:c>
      <x:c r="F8" s="2" t="n">
        <x:f>MAX(0,MIN(F6-600000,350000))*1%+MAX(0,MIN(F6-950000,450000))*2%+MAX(0,F6-1400000)*3%</x:f>
        <x:v>53124.980598331735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</x:row>
    <x:row r="9" ht="21" customHeight="1">
      <x:c r="A9" s="1"/>
      <x:c r="B9" s="1"/>
      <x:c r="C9" s="1" t="str">
        <x:v>Selected regime 1 TT / 0 ordinary</x:v>
      </x:c>
      <x:c r="D9" s="11" t="n">
        <x:f>IF(AND('Assumptions'!$D$21=1,1&lt;'Assumptions'!$D$22,D6&lt;='Assumptions'!$D$23),1,0)</x:f>
        <x:v>0</x:v>
      </x:c>
      <x:c r="E9" s="11" t="n">
        <x:f>IF(AND('Assumptions'!$D$21=1,2&lt;'Assumptions'!$D$22,E6&lt;='Assumptions'!$D$23,D9=1),1,0)</x:f>
        <x:v>0</x:v>
      </x:c>
      <x:c r="F9" s="11" t="n">
        <x:f>IF(AND('Assumptions'!$D$21=1,3&lt;'Assumptions'!$D$22,F6&lt;='Assumptions'!$D$23,E9=1),1,0)</x:f>
        <x:v>0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</x:row>
    <x:row r="10" ht="21" customHeight="1">
      <x:c r="A10" s="1"/>
      <x:c r="B10" s="1"/>
      <x:c r="C10" s="1" t="str">
        <x:v>VAT threshold check</x:v>
      </x:c>
      <x:c r="D10" s="11" t="str">
        <x:f>IF(AND('Assumptions'!$D$19=0,D7&gt;'Assumptions'!$D$23),"VAT REVIEW REQUIRED","")</x:f>
      </x:c>
      <x:c r="E10" s="11" t="str">
        <x:f>IF(AND('Assumptions'!$D$19=0,E7&gt;'Assumptions'!$D$23),"VAT REVIEW REQUIRED","")</x:f>
      </x:c>
      <x:c r="F10" s="11" t="str">
        <x:f>IF(AND('Assumptions'!$D$19=0,F7&gt;'Assumptions'!$D$23),"VAT REVIEW REQUIRED","")</x:f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</x:row>
    <x:row r="11" ht="21" customHeight="1">
      <x:c r="A11" s="1"/>
      <x:c r="B11" s="1"/>
      <x:c r="C11" s="1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</x:row>
    <x:row r="12" ht="21" customHeight="1">
      <x:c r="A12" s="1"/>
      <x:c r="B12" s="1"/>
      <x:c r="C12" s="1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</x:row>
    <x:row r="13" ht="21" customHeight="1">
      <x:c r="A13" s="1"/>
      <x:c r="B13" s="1"/>
      <x:c r="C13" s="1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21" customHeight="1">
      <x:c r="A14" s="1"/>
      <x:c r="B14" s="1"/>
      <x:c r="C14" s="1" t="str">
        <x:v>Tax year shown as calendar year for planning. Final year-end and transition dates require adviser confirmation.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21" customHeight="1">
      <x:c r="A15" s="1"/>
      <x:c r="B15" s="1"/>
      <x:c r="C15" s="1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21" customHeight="1">
      <x:c r="A16" s="1"/>
      <x:c r="B16" s="1"/>
      <x:c r="C16" s="1" t="str">
        <x:v>TT is shown conditionally. Threshold breach switches whole planning year and all later years to ordinary tax.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21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21" customHeight="1">
      <x:c r="A18" s="1"/>
      <x:c r="B18" s="1"/>
      <x:c r="C18" s="1" t="str">
        <x:v>2026 rules held flat through 2029. Tax brackets are not a prediction of future legislation.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21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21" customHeight="1">
      <x:c r="A20" s="1"/>
      <x:c r="B20" s="1"/>
      <x:c r="C20" s="1" t="str">
        <x:v>TT calculation includes operating receipts only; no asset disposal or other taxable receipts assumed.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21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21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21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21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21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21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21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21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21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21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21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21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21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21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</x:row>
    <x:row r="2" ht="21" customHeight="1">
      <x:c r="A2" s="1"/>
      <x:c r="B2" s="1"/>
      <x:c r="C2" s="3" t="str">
        <x:v>Funding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</x:row>
    <x:row r="3" ht="21" customHeight="1">
      <x:c r="A3" s="1"/>
      <x:c r="B3" s="1"/>
      <x:c r="C3" s="4"/>
      <x:c r="D3" s="23" t="str">
        <x:f>INDEX('Assumptions'!$E$6:$G$6,1,'Assumptions'!$D$4)</x:f>
        <x:v>Expected</x:v>
      </x:c>
      <x:c r="E3" s="4"/>
      <x:c r="F3" s="4"/>
      <x:c r="G3" s="4"/>
      <x:c r="H3" s="4"/>
      <x:c r="I3" s="4"/>
      <x:c r="J3" s="4"/>
      <x:c r="K3" s="4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</x:row>
    <x:row r="5" ht="21" customHeight="1">
      <x:c r="A5" s="1"/>
      <x:c r="B5" s="1"/>
      <x:c r="C5" s="1"/>
      <x:c r="D5" s="26" t="n">
        <x:f>DATE('Assumptions'!$D$18,1,1)</x:f>
        <x:v>46388</x:v>
      </x:c>
      <x:c r="E5" s="26" t="n">
        <x:f>DATE('Assumptions'!$D$18,2,1)</x:f>
        <x:v>46419</x:v>
      </x:c>
      <x:c r="F5" s="26" t="n">
        <x:f>DATE('Assumptions'!$D$18,3,1)</x:f>
        <x:v>46447</x:v>
      </x:c>
      <x:c r="G5" s="26" t="n">
        <x:f>DATE('Assumptions'!$D$18,4,1)</x:f>
        <x:v>46478</x:v>
      </x:c>
      <x:c r="H5" s="26" t="n">
        <x:f>DATE('Assumptions'!$D$18,5,1)</x:f>
        <x:v>46508</x:v>
      </x:c>
      <x:c r="I5" s="26" t="n">
        <x:f>DATE('Assumptions'!$D$18,6,1)</x:f>
        <x:v>46539</x:v>
      </x:c>
      <x:c r="J5" s="26" t="n">
        <x:f>DATE('Assumptions'!$D$18,7,1)</x:f>
        <x:v>46569</x:v>
      </x:c>
      <x:c r="K5" s="26" t="n">
        <x:f>DATE('Assumptions'!$D$18,8,1)</x:f>
        <x:v>46600</x:v>
      </x:c>
      <x:c r="L5" s="26" t="n">
        <x:f>DATE('Assumptions'!$D$18,9,1)</x:f>
        <x:v>46631</x:v>
      </x:c>
      <x:c r="M5" s="26" t="n">
        <x:f>DATE('Assumptions'!$D$18,10,1)</x:f>
        <x:v>46661</x:v>
      </x:c>
      <x:c r="N5" s="26" t="n">
        <x:f>DATE('Assumptions'!$D$18,11,1)</x:f>
        <x:v>46692</x:v>
      </x:c>
      <x:c r="O5" s="26" t="n">
        <x:f>DATE('Assumptions'!$D$18,12,1)</x:f>
        <x:v>46722</x:v>
      </x:c>
      <x:c r="P5" s="26" t="n">
        <x:f>DATE('Assumptions'!$D$18,13,1)</x:f>
        <x:v>46753</x:v>
      </x:c>
      <x:c r="Q5" s="26" t="n">
        <x:f>DATE('Assumptions'!$D$18,14,1)</x:f>
        <x:v>46784</x:v>
      </x:c>
      <x:c r="R5" s="26" t="n">
        <x:f>DATE('Assumptions'!$D$18,15,1)</x:f>
        <x:v>46813</x:v>
      </x:c>
      <x:c r="S5" s="26" t="n">
        <x:f>DATE('Assumptions'!$D$18,16,1)</x:f>
        <x:v>46844</x:v>
      </x:c>
      <x:c r="T5" s="26" t="n">
        <x:f>DATE('Assumptions'!$D$18,17,1)</x:f>
        <x:v>46874</x:v>
      </x:c>
      <x:c r="U5" s="26" t="n">
        <x:f>DATE('Assumptions'!$D$18,18,1)</x:f>
        <x:v>46905</x:v>
      </x:c>
      <x:c r="V5" s="26" t="n">
        <x:f>DATE('Assumptions'!$D$18,19,1)</x:f>
        <x:v>46935</x:v>
      </x:c>
      <x:c r="W5" s="26" t="n">
        <x:f>DATE('Assumptions'!$D$18,20,1)</x:f>
        <x:v>46966</x:v>
      </x:c>
      <x:c r="X5" s="26" t="n">
        <x:f>DATE('Assumptions'!$D$18,21,1)</x:f>
        <x:v>46997</x:v>
      </x:c>
      <x:c r="Y5" s="26" t="n">
        <x:f>DATE('Assumptions'!$D$18,22,1)</x:f>
        <x:v>47027</x:v>
      </x:c>
      <x:c r="Z5" s="26" t="n">
        <x:f>DATE('Assumptions'!$D$18,23,1)</x:f>
        <x:v>47058</x:v>
      </x:c>
      <x:c r="AA5" s="26" t="n">
        <x:f>DATE('Assumptions'!$D$18,24,1)</x:f>
        <x:v>47088</x:v>
      </x:c>
      <x:c r="AB5" s="26" t="n">
        <x:f>DATE('Assumptions'!$D$18,25,1)</x:f>
        <x:v>47119</x:v>
      </x:c>
      <x:c r="AC5" s="26" t="n">
        <x:f>DATE('Assumptions'!$D$18,26,1)</x:f>
        <x:v>47150</x:v>
      </x:c>
      <x:c r="AD5" s="26" t="n">
        <x:f>DATE('Assumptions'!$D$18,27,1)</x:f>
        <x:v>47178</x:v>
      </x:c>
      <x:c r="AE5" s="26" t="n">
        <x:f>DATE('Assumptions'!$D$18,28,1)</x:f>
        <x:v>47209</x:v>
      </x:c>
      <x:c r="AF5" s="26" t="n">
        <x:f>DATE('Assumptions'!$D$18,29,1)</x:f>
        <x:v>47239</x:v>
      </x:c>
      <x:c r="AG5" s="26" t="n">
        <x:f>DATE('Assumptions'!$D$18,30,1)</x:f>
        <x:v>47270</x:v>
      </x:c>
      <x:c r="AH5" s="26" t="n">
        <x:f>DATE('Assumptions'!$D$18,31,1)</x:f>
        <x:v>47300</x:v>
      </x:c>
      <x:c r="AI5" s="26" t="n">
        <x:f>DATE('Assumptions'!$D$18,32,1)</x:f>
        <x:v>47331</x:v>
      </x:c>
      <x:c r="AJ5" s="26" t="n">
        <x:f>DATE('Assumptions'!$D$18,33,1)</x:f>
        <x:v>47362</x:v>
      </x:c>
      <x:c r="AK5" s="26" t="n">
        <x:f>DATE('Assumptions'!$D$18,34,1)</x:f>
        <x:v>47392</x:v>
      </x:c>
      <x:c r="AL5" s="26" t="n">
        <x:f>DATE('Assumptions'!$D$18,35,1)</x:f>
        <x:v>47423</x:v>
      </x:c>
      <x:c r="AM5" s="26" t="n">
        <x:f>DATE('Assumptions'!$D$18,36,1)</x:f>
        <x:v>47453</x:v>
      </x:c>
      <x:c r="AN5" s="1"/>
    </x:row>
    <x:row r="6" ht="21" customHeight="1">
      <x:c r="A6" s="1"/>
      <x:c r="B6" s="1"/>
      <x:c r="C6" s="1" t="str">
        <x:v>Opening personal debt combined</x:v>
      </x:c>
      <x:c r="D6" s="11" t="n">
        <x:f>'Startup'!$E$42</x:f>
        <x:v>1091640.25</x:v>
      </x:c>
      <x:c r="E6" s="2" t="n">
        <x:f>D10</x:f>
        <x:v>1080294.3662851139</x:v>
      </x:c>
      <x:c r="F6" s="2" t="n">
        <x:f>E10</x:f>
        <x:v>1068778.2943145044</x:v>
      </x:c>
      <x:c r="G6" s="2" t="n">
        <x:f>F10</x:f>
        <x:v>1057089.4812643358</x:v>
      </x:c>
      <x:c r="H6" s="2" t="n">
        <x:f>G10</x:f>
        <x:v>1045225.3360184146</x:v>
      </x:c>
      <x:c r="I6" s="2" t="n">
        <x:f>H10</x:f>
        <x:v>1033183.2285938046</x:v>
      </x:c>
      <x:c r="J6" s="2" t="n">
        <x:f>I10</x:f>
        <x:v>1020960.4895578255</x:v>
      </x:c>
      <x:c r="K6" s="2" t="n">
        <x:f>J10</x:f>
        <x:v>1008554.4094363067</x:v>
      </x:c>
      <x:c r="L6" s="2" t="n">
        <x:f>K10</x:f>
        <x:v>995962.238112965</x:v>
      </x:c>
      <x:c r="M6" s="2" t="n">
        <x:f>L10</x:f>
        <x:v>983181.1842197733</x:v>
      </x:c>
      <x:c r="N6" s="2" t="n">
        <x:f>M10</x:f>
        <x:v>970208.4145181837</x:v>
      </x:c>
      <x:c r="O6" s="2" t="n">
        <x:f>N10</x:f>
        <x:v>957041.0532710702</x:v>
      </x:c>
      <x:c r="P6" s="2" t="n">
        <x:f>O10</x:f>
        <x:v>943676.1816052501</x:v>
      </x:c>
      <x:c r="Q6" s="2" t="n">
        <x:f>P10</x:f>
        <x:v>930110.8368644427</x:v>
      </x:c>
      <x:c r="R6" s="2" t="n">
        <x:f>Q10</x:f>
        <x:v>916342.0119525231</x:v>
      </x:c>
      <x:c r="S6" s="2" t="n">
        <x:f>R10</x:f>
        <x:v>902366.6546669247</x:v>
      </x:c>
      <x:c r="T6" s="2" t="n">
        <x:f>S10</x:f>
        <x:v>888181.6670220423</x:v>
      </x:c>
      <x:c r="U6" s="2" t="n">
        <x:f>T10</x:f>
        <x:v>873783.9045624867</x:v>
      </x:c>
      <x:c r="V6" s="2" t="n">
        <x:f>U10</x:f>
        <x:v>859170.1756660377</x:v>
      </x:c>
      <x:c r="W6" s="2" t="n">
        <x:f>V10</x:f>
        <x:v>844337.2408361421</x:v>
      </x:c>
      <x:c r="X6" s="2" t="n">
        <x:f>W10</x:f>
        <x:v>829281.811983798</x:v>
      </x:c>
      <x:c r="Y6" s="2" t="n">
        <x:f>X10</x:f>
        <x:v>814000.5516986687</x:v>
      </x:c>
      <x:c r="Z6" s="2" t="n">
        <x:f>Y10</x:f>
        <x:v>798490.0725092626</x:v>
      </x:c>
      <x:c r="AA6" s="2" t="n">
        <x:f>Z10</x:f>
        <x:v>782746.9361320153</x:v>
      </x:c>
      <x:c r="AB6" s="2" t="n">
        <x:f>AA10</x:f>
        <x:v>766767.6527091094</x:v>
      </x:c>
      <x:c r="AC6" s="2" t="n">
        <x:f>AB10</x:f>
        <x:v>750548.6800348598</x:v>
      </x:c>
      <x:c r="AD6" s="2" t="n">
        <x:f>AC10</x:f>
        <x:v>734086.4227704965</x:v>
      </x:c>
      <x:c r="AE6" s="2" t="n">
        <x:f>AD10</x:f>
        <x:v>717377.2316471677</x:v>
      </x:c>
      <x:c r="AF6" s="2" t="n">
        <x:f>AE10</x:f>
        <x:v>700417.4026569889</x:v>
      </x:c>
      <x:c r="AG6" s="2" t="n">
        <x:f>AF10</x:f>
        <x:v>683203.1762319575</x:v>
      </x:c>
      <x:c r="AH6" s="2" t="n">
        <x:f>AG10</x:f>
        <x:v>665730.7364105507</x:v>
      </x:c>
      <x:c r="AI6" s="2" t="n">
        <x:f>AH10</x:f>
        <x:v>647996.2099918227</x:v>
      </x:c>
      <x:c r="AJ6" s="2" t="n">
        <x:f>AI10</x:f>
        <x:v>629995.6656768138</x:v>
      </x:c>
      <x:c r="AK6" s="2" t="n">
        <x:f>AJ10</x:f>
        <x:v>611725.1131970797</x:v>
      </x:c>
      <x:c r="AL6" s="2" t="n">
        <x:f>AK10</x:f>
        <x:v>593180.5024301497</x:v>
      </x:c>
      <x:c r="AM6" s="2" t="n">
        <x:f>AL10</x:f>
        <x:v>574357.7225017158</x:v>
      </x:c>
      <x:c r="AN6" s="2"/>
    </x:row>
    <x:row r="7" ht="21" customHeight="1">
      <x:c r="A7" s="1"/>
      <x:c r="B7" s="1"/>
      <x:c r="C7" s="1" t="str">
        <x:v>Interest</x:v>
      </x:c>
      <x:c r="D7" s="11" t="n">
        <x:f>D6*'Assumptions'!$D$26/12</x:f>
        <x:v>16374.60375</x:v>
      </x:c>
      <x:c r="E7" s="11" t="n">
        <x:f>E6*'Assumptions'!$D$26/12</x:f>
        <x:v>16204.415494276707</x:v>
      </x:c>
      <x:c r="F7" s="11" t="n">
        <x:f>F6*'Assumptions'!$D$26/12</x:f>
        <x:v>16031.674414717565</x:v>
      </x:c>
      <x:c r="G7" s="11" t="n">
        <x:f>G6*'Assumptions'!$D$26/12</x:f>
        <x:v>15856.342218965037</x:v>
      </x:c>
      <x:c r="H7" s="11" t="n">
        <x:f>H6*'Assumptions'!$D$26/12</x:f>
        <x:v>15678.380040276219</x:v>
      </x:c>
      <x:c r="I7" s="11" t="n">
        <x:f>I6*'Assumptions'!$D$26/12</x:f>
        <x:v>15497.748428907069</x:v>
      </x:c>
      <x:c r="J7" s="11" t="n">
        <x:f>J6*'Assumptions'!$D$26/12</x:f>
        <x:v>15314.407343367382</x:v>
      </x:c>
      <x:c r="K7" s="11" t="n">
        <x:f>K6*'Assumptions'!$D$26/12</x:f>
        <x:v>15128.3161415446</x:v>
      </x:c>
      <x:c r="L7" s="11" t="n">
        <x:f>L6*'Assumptions'!$D$26/12</x:f>
        <x:v>14939.433571694475</x:v>
      </x:c>
      <x:c r="M7" s="11" t="n">
        <x:f>M6*'Assumptions'!$D$26/12</x:f>
        <x:v>14747.717763296598</x:v>
      </x:c>
      <x:c r="N7" s="11" t="n">
        <x:f>N6*'Assumptions'!$D$26/12</x:f>
        <x:v>14553.126217772755</x:v>
      </x:c>
      <x:c r="O7" s="11" t="n">
        <x:f>O6*'Assumptions'!$D$26/12</x:f>
        <x:v>14355.615799066052</x:v>
      </x:c>
      <x:c r="P7" s="11" t="n">
        <x:f>P6*'Assumptions'!$D$26/12</x:f>
        <x:v>14155.14272407875</x:v>
      </x:c>
      <x:c r="Q7" s="11" t="n">
        <x:f>Q6*'Assumptions'!$D$26/12</x:f>
        <x:v>13951.66255296664</x:v>
      </x:c>
      <x:c r="R7" s="11" t="n">
        <x:f>R6*'Assumptions'!$D$26/12</x:f>
        <x:v>13745.130179287846</x:v>
      </x:c>
      <x:c r="S7" s="11" t="n">
        <x:f>S6*'Assumptions'!$D$26/12</x:f>
        <x:v>13535.49982000387</x:v>
      </x:c>
      <x:c r="T7" s="11" t="n">
        <x:f>T6*'Assumptions'!$D$26/12</x:f>
        <x:v>13322.725005330634</x:v>
      </x:c>
      <x:c r="U7" s="11" t="n">
        <x:f>U6*'Assumptions'!$D$26/12</x:f>
        <x:v>13106.758568437299</x:v>
      </x:c>
      <x:c r="V7" s="11" t="n">
        <x:f>V6*'Assumptions'!$D$26/12</x:f>
        <x:v>12887.552634990565</x:v>
      </x:c>
      <x:c r="W7" s="11" t="n">
        <x:f>W6*'Assumptions'!$D$26/12</x:f>
        <x:v>12665.05861254213</x:v>
      </x:c>
      <x:c r="X7" s="11" t="n">
        <x:f>X6*'Assumptions'!$D$26/12</x:f>
        <x:v>12439.22717975697</x:v>
      </x:c>
      <x:c r="Y7" s="11" t="n">
        <x:f>Y6*'Assumptions'!$D$26/12</x:f>
        <x:v>12210.008275480031</x:v>
      </x:c>
      <x:c r="Z7" s="11" t="n">
        <x:f>Z6*'Assumptions'!$D$26/12</x:f>
        <x:v>11977.35108763894</x:v>
      </x:c>
      <x:c r="AA7" s="11" t="n">
        <x:f>AA6*'Assumptions'!$D$26/12</x:f>
        <x:v>11741.204041980229</x:v>
      </x:c>
      <x:c r="AB7" s="11" t="n">
        <x:f>AB6*'Assumptions'!$D$26/12</x:f>
        <x:v>11501.51479063664</x:v>
      </x:c>
      <x:c r="AC7" s="11" t="n">
        <x:f>AC6*'Assumptions'!$D$26/12</x:f>
        <x:v>11258.230200522898</x:v>
      </x:c>
      <x:c r="AD7" s="11" t="n">
        <x:f>AD6*'Assumptions'!$D$26/12</x:f>
        <x:v>11011.296341557447</x:v>
      </x:c>
      <x:c r="AE7" s="11" t="n">
        <x:f>AE6*'Assumptions'!$D$26/12</x:f>
        <x:v>10760.658474707516</x:v>
      </x:c>
      <x:c r="AF7" s="11" t="n">
        <x:f>AF6*'Assumptions'!$D$26/12</x:f>
        <x:v>10506.261039854833</x:v>
      </x:c>
      <x:c r="AG7" s="11" t="n">
        <x:f>AG6*'Assumptions'!$D$26/12</x:f>
        <x:v>10248.047643479362</x:v>
      </x:c>
      <x:c r="AH7" s="11" t="n">
        <x:f>AH6*'Assumptions'!$D$26/12</x:f>
        <x:v>9985.96104615826</x:v>
      </x:c>
      <x:c r="AI7" s="11" t="n">
        <x:f>AI6*'Assumptions'!$D$26/12</x:f>
        <x:v>9719.94314987734</x:v>
      </x:c>
      <x:c r="AJ7" s="11" t="n">
        <x:f>AJ6*'Assumptions'!$D$26/12</x:f>
        <x:v>9449.934985152207</x:v>
      </x:c>
      <x:c r="AK7" s="11" t="n">
        <x:f>AK6*'Assumptions'!$D$26/12</x:f>
        <x:v>9175.876697956197</x:v>
      </x:c>
      <x:c r="AL7" s="11" t="n">
        <x:f>AL6*'Assumptions'!$D$26/12</x:f>
        <x:v>8897.707536452244</x:v>
      </x:c>
      <x:c r="AM7" s="11" t="n">
        <x:f>AM6*'Assumptions'!$D$26/12</x:f>
        <x:v>8615.365837525736</x:v>
      </x:c>
      <x:c r="AN7" s="2"/>
    </x:row>
    <x:row r="8" ht="21" customHeight="1">
      <x:c r="A8" s="1"/>
      <x:c r="B8" s="1"/>
      <x:c r="C8" s="1" t="str">
        <x:v>Bank instalment excluding fees</x:v>
      </x:c>
      <x:c r="D8" s="11" t="n">
        <x:f>IF(1&lt;='Assumptions'!$D$27,MIN(D6+D7,IF('Assumptions'!$D$26=0,'Startup'!$E$42/'Assumptions'!$D$27,-PMT('Assumptions'!$D$26/12,'Assumptions'!$D$27,'Startup'!$E$42))),0)</x:f>
        <x:v>27720.48746488622</x:v>
      </x:c>
      <x:c r="E8" s="11" t="n">
        <x:f>IF(2&lt;='Assumptions'!$D$27,MIN(E6+E7,IF('Assumptions'!$D$26=0,'Startup'!$E$42/'Assumptions'!$D$27,-PMT('Assumptions'!$D$26/12,'Assumptions'!$D$27,'Startup'!$E$42))),0)</x:f>
        <x:v>27720.48746488622</x:v>
      </x:c>
      <x:c r="F8" s="11" t="n">
        <x:f>IF(3&lt;='Assumptions'!$D$27,MIN(F6+F7,IF('Assumptions'!$D$26=0,'Startup'!$E$42/'Assumptions'!$D$27,-PMT('Assumptions'!$D$26/12,'Assumptions'!$D$27,'Startup'!$E$42))),0)</x:f>
        <x:v>27720.48746488622</x:v>
      </x:c>
      <x:c r="G8" s="11" t="n">
        <x:f>IF(4&lt;='Assumptions'!$D$27,MIN(G6+G7,IF('Assumptions'!$D$26=0,'Startup'!$E$42/'Assumptions'!$D$27,-PMT('Assumptions'!$D$26/12,'Assumptions'!$D$27,'Startup'!$E$42))),0)</x:f>
        <x:v>27720.48746488622</x:v>
      </x:c>
      <x:c r="H8" s="11" t="n">
        <x:f>IF(5&lt;='Assumptions'!$D$27,MIN(H6+H7,IF('Assumptions'!$D$26=0,'Startup'!$E$42/'Assumptions'!$D$27,-PMT('Assumptions'!$D$26/12,'Assumptions'!$D$27,'Startup'!$E$42))),0)</x:f>
        <x:v>27720.48746488622</x:v>
      </x:c>
      <x:c r="I8" s="11" t="n">
        <x:f>IF(6&lt;='Assumptions'!$D$27,MIN(I6+I7,IF('Assumptions'!$D$26=0,'Startup'!$E$42/'Assumptions'!$D$27,-PMT('Assumptions'!$D$26/12,'Assumptions'!$D$27,'Startup'!$E$42))),0)</x:f>
        <x:v>27720.48746488622</x:v>
      </x:c>
      <x:c r="J8" s="11" t="n">
        <x:f>IF(7&lt;='Assumptions'!$D$27,MIN(J6+J7,IF('Assumptions'!$D$26=0,'Startup'!$E$42/'Assumptions'!$D$27,-PMT('Assumptions'!$D$26/12,'Assumptions'!$D$27,'Startup'!$E$42))),0)</x:f>
        <x:v>27720.48746488622</x:v>
      </x:c>
      <x:c r="K8" s="11" t="n">
        <x:f>IF(8&lt;='Assumptions'!$D$27,MIN(K6+K7,IF('Assumptions'!$D$26=0,'Startup'!$E$42/'Assumptions'!$D$27,-PMT('Assumptions'!$D$26/12,'Assumptions'!$D$27,'Startup'!$E$42))),0)</x:f>
        <x:v>27720.48746488622</x:v>
      </x:c>
      <x:c r="L8" s="11" t="n">
        <x:f>IF(9&lt;='Assumptions'!$D$27,MIN(L6+L7,IF('Assumptions'!$D$26=0,'Startup'!$E$42/'Assumptions'!$D$27,-PMT('Assumptions'!$D$26/12,'Assumptions'!$D$27,'Startup'!$E$42))),0)</x:f>
        <x:v>27720.48746488622</x:v>
      </x:c>
      <x:c r="M8" s="11" t="n">
        <x:f>IF(10&lt;='Assumptions'!$D$27,MIN(M6+M7,IF('Assumptions'!$D$26=0,'Startup'!$E$42/'Assumptions'!$D$27,-PMT('Assumptions'!$D$26/12,'Assumptions'!$D$27,'Startup'!$E$42))),0)</x:f>
        <x:v>27720.48746488622</x:v>
      </x:c>
      <x:c r="N8" s="11" t="n">
        <x:f>IF(11&lt;='Assumptions'!$D$27,MIN(N6+N7,IF('Assumptions'!$D$26=0,'Startup'!$E$42/'Assumptions'!$D$27,-PMT('Assumptions'!$D$26/12,'Assumptions'!$D$27,'Startup'!$E$42))),0)</x:f>
        <x:v>27720.48746488622</x:v>
      </x:c>
      <x:c r="O8" s="11" t="n">
        <x:f>IF(12&lt;='Assumptions'!$D$27,MIN(O6+O7,IF('Assumptions'!$D$26=0,'Startup'!$E$42/'Assumptions'!$D$27,-PMT('Assumptions'!$D$26/12,'Assumptions'!$D$27,'Startup'!$E$42))),0)</x:f>
        <x:v>27720.48746488622</x:v>
      </x:c>
      <x:c r="P8" s="11" t="n">
        <x:f>IF(13&lt;='Assumptions'!$D$27,MIN(P6+P7,IF('Assumptions'!$D$26=0,'Startup'!$E$42/'Assumptions'!$D$27,-PMT('Assumptions'!$D$26/12,'Assumptions'!$D$27,'Startup'!$E$42))),0)</x:f>
        <x:v>27720.48746488622</x:v>
      </x:c>
      <x:c r="Q8" s="11" t="n">
        <x:f>IF(14&lt;='Assumptions'!$D$27,MIN(Q6+Q7,IF('Assumptions'!$D$26=0,'Startup'!$E$42/'Assumptions'!$D$27,-PMT('Assumptions'!$D$26/12,'Assumptions'!$D$27,'Startup'!$E$42))),0)</x:f>
        <x:v>27720.48746488622</x:v>
      </x:c>
      <x:c r="R8" s="11" t="n">
        <x:f>IF(15&lt;='Assumptions'!$D$27,MIN(R6+R7,IF('Assumptions'!$D$26=0,'Startup'!$E$42/'Assumptions'!$D$27,-PMT('Assumptions'!$D$26/12,'Assumptions'!$D$27,'Startup'!$E$42))),0)</x:f>
        <x:v>27720.48746488622</x:v>
      </x:c>
      <x:c r="S8" s="11" t="n">
        <x:f>IF(16&lt;='Assumptions'!$D$27,MIN(S6+S7,IF('Assumptions'!$D$26=0,'Startup'!$E$42/'Assumptions'!$D$27,-PMT('Assumptions'!$D$26/12,'Assumptions'!$D$27,'Startup'!$E$42))),0)</x:f>
        <x:v>27720.48746488622</x:v>
      </x:c>
      <x:c r="T8" s="11" t="n">
        <x:f>IF(17&lt;='Assumptions'!$D$27,MIN(T6+T7,IF('Assumptions'!$D$26=0,'Startup'!$E$42/'Assumptions'!$D$27,-PMT('Assumptions'!$D$26/12,'Assumptions'!$D$27,'Startup'!$E$42))),0)</x:f>
        <x:v>27720.48746488622</x:v>
      </x:c>
      <x:c r="U8" s="11" t="n">
        <x:f>IF(18&lt;='Assumptions'!$D$27,MIN(U6+U7,IF('Assumptions'!$D$26=0,'Startup'!$E$42/'Assumptions'!$D$27,-PMT('Assumptions'!$D$26/12,'Assumptions'!$D$27,'Startup'!$E$42))),0)</x:f>
        <x:v>27720.48746488622</x:v>
      </x:c>
      <x:c r="V8" s="11" t="n">
        <x:f>IF(19&lt;='Assumptions'!$D$27,MIN(V6+V7,IF('Assumptions'!$D$26=0,'Startup'!$E$42/'Assumptions'!$D$27,-PMT('Assumptions'!$D$26/12,'Assumptions'!$D$27,'Startup'!$E$42))),0)</x:f>
        <x:v>27720.48746488622</x:v>
      </x:c>
      <x:c r="W8" s="11" t="n">
        <x:f>IF(20&lt;='Assumptions'!$D$27,MIN(W6+W7,IF('Assumptions'!$D$26=0,'Startup'!$E$42/'Assumptions'!$D$27,-PMT('Assumptions'!$D$26/12,'Assumptions'!$D$27,'Startup'!$E$42))),0)</x:f>
        <x:v>27720.48746488622</x:v>
      </x:c>
      <x:c r="X8" s="11" t="n">
        <x:f>IF(21&lt;='Assumptions'!$D$27,MIN(X6+X7,IF('Assumptions'!$D$26=0,'Startup'!$E$42/'Assumptions'!$D$27,-PMT('Assumptions'!$D$26/12,'Assumptions'!$D$27,'Startup'!$E$42))),0)</x:f>
        <x:v>27720.48746488622</x:v>
      </x:c>
      <x:c r="Y8" s="11" t="n">
        <x:f>IF(22&lt;='Assumptions'!$D$27,MIN(Y6+Y7,IF('Assumptions'!$D$26=0,'Startup'!$E$42/'Assumptions'!$D$27,-PMT('Assumptions'!$D$26/12,'Assumptions'!$D$27,'Startup'!$E$42))),0)</x:f>
        <x:v>27720.48746488622</x:v>
      </x:c>
      <x:c r="Z8" s="11" t="n">
        <x:f>IF(23&lt;='Assumptions'!$D$27,MIN(Z6+Z7,IF('Assumptions'!$D$26=0,'Startup'!$E$42/'Assumptions'!$D$27,-PMT('Assumptions'!$D$26/12,'Assumptions'!$D$27,'Startup'!$E$42))),0)</x:f>
        <x:v>27720.48746488622</x:v>
      </x:c>
      <x:c r="AA8" s="11" t="n">
        <x:f>IF(24&lt;='Assumptions'!$D$27,MIN(AA6+AA7,IF('Assumptions'!$D$26=0,'Startup'!$E$42/'Assumptions'!$D$27,-PMT('Assumptions'!$D$26/12,'Assumptions'!$D$27,'Startup'!$E$42))),0)</x:f>
        <x:v>27720.48746488622</x:v>
      </x:c>
      <x:c r="AB8" s="11" t="n">
        <x:f>IF(25&lt;='Assumptions'!$D$27,MIN(AB6+AB7,IF('Assumptions'!$D$26=0,'Startup'!$E$42/'Assumptions'!$D$27,-PMT('Assumptions'!$D$26/12,'Assumptions'!$D$27,'Startup'!$E$42))),0)</x:f>
        <x:v>27720.48746488622</x:v>
      </x:c>
      <x:c r="AC8" s="11" t="n">
        <x:f>IF(26&lt;='Assumptions'!$D$27,MIN(AC6+AC7,IF('Assumptions'!$D$26=0,'Startup'!$E$42/'Assumptions'!$D$27,-PMT('Assumptions'!$D$26/12,'Assumptions'!$D$27,'Startup'!$E$42))),0)</x:f>
        <x:v>27720.48746488622</x:v>
      </x:c>
      <x:c r="AD8" s="11" t="n">
        <x:f>IF(27&lt;='Assumptions'!$D$27,MIN(AD6+AD7,IF('Assumptions'!$D$26=0,'Startup'!$E$42/'Assumptions'!$D$27,-PMT('Assumptions'!$D$26/12,'Assumptions'!$D$27,'Startup'!$E$42))),0)</x:f>
        <x:v>27720.48746488622</x:v>
      </x:c>
      <x:c r="AE8" s="11" t="n">
        <x:f>IF(28&lt;='Assumptions'!$D$27,MIN(AE6+AE7,IF('Assumptions'!$D$26=0,'Startup'!$E$42/'Assumptions'!$D$27,-PMT('Assumptions'!$D$26/12,'Assumptions'!$D$27,'Startup'!$E$42))),0)</x:f>
        <x:v>27720.48746488622</x:v>
      </x:c>
      <x:c r="AF8" s="11" t="n">
        <x:f>IF(29&lt;='Assumptions'!$D$27,MIN(AF6+AF7,IF('Assumptions'!$D$26=0,'Startup'!$E$42/'Assumptions'!$D$27,-PMT('Assumptions'!$D$26/12,'Assumptions'!$D$27,'Startup'!$E$42))),0)</x:f>
        <x:v>27720.48746488622</x:v>
      </x:c>
      <x:c r="AG8" s="11" t="n">
        <x:f>IF(30&lt;='Assumptions'!$D$27,MIN(AG6+AG7,IF('Assumptions'!$D$26=0,'Startup'!$E$42/'Assumptions'!$D$27,-PMT('Assumptions'!$D$26/12,'Assumptions'!$D$27,'Startup'!$E$42))),0)</x:f>
        <x:v>27720.48746488622</x:v>
      </x:c>
      <x:c r="AH8" s="11" t="n">
        <x:f>IF(31&lt;='Assumptions'!$D$27,MIN(AH6+AH7,IF('Assumptions'!$D$26=0,'Startup'!$E$42/'Assumptions'!$D$27,-PMT('Assumptions'!$D$26/12,'Assumptions'!$D$27,'Startup'!$E$42))),0)</x:f>
        <x:v>27720.48746488622</x:v>
      </x:c>
      <x:c r="AI8" s="11" t="n">
        <x:f>IF(32&lt;='Assumptions'!$D$27,MIN(AI6+AI7,IF('Assumptions'!$D$26=0,'Startup'!$E$42/'Assumptions'!$D$27,-PMT('Assumptions'!$D$26/12,'Assumptions'!$D$27,'Startup'!$E$42))),0)</x:f>
        <x:v>27720.48746488622</x:v>
      </x:c>
      <x:c r="AJ8" s="11" t="n">
        <x:f>IF(33&lt;='Assumptions'!$D$27,MIN(AJ6+AJ7,IF('Assumptions'!$D$26=0,'Startup'!$E$42/'Assumptions'!$D$27,-PMT('Assumptions'!$D$26/12,'Assumptions'!$D$27,'Startup'!$E$42))),0)</x:f>
        <x:v>27720.48746488622</x:v>
      </x:c>
      <x:c r="AK8" s="11" t="n">
        <x:f>IF(34&lt;='Assumptions'!$D$27,MIN(AK6+AK7,IF('Assumptions'!$D$26=0,'Startup'!$E$42/'Assumptions'!$D$27,-PMT('Assumptions'!$D$26/12,'Assumptions'!$D$27,'Startup'!$E$42))),0)</x:f>
        <x:v>27720.48746488622</x:v>
      </x:c>
      <x:c r="AL8" s="11" t="n">
        <x:f>IF(35&lt;='Assumptions'!$D$27,MIN(AL6+AL7,IF('Assumptions'!$D$26=0,'Startup'!$E$42/'Assumptions'!$D$27,-PMT('Assumptions'!$D$26/12,'Assumptions'!$D$27,'Startup'!$E$42))),0)</x:f>
        <x:v>27720.48746488622</x:v>
      </x:c>
      <x:c r="AM8" s="11" t="n">
        <x:f>IF(36&lt;='Assumptions'!$D$27,MIN(AM6+AM7,IF('Assumptions'!$D$26=0,'Startup'!$E$42/'Assumptions'!$D$27,-PMT('Assumptions'!$D$26/12,'Assumptions'!$D$27,'Startup'!$E$42))),0)</x:f>
        <x:v>27720.48746488622</x:v>
      </x:c>
      <x:c r="AN8" s="2"/>
    </x:row>
    <x:row r="9" ht="21" customHeight="1">
      <x:c r="A9" s="1"/>
      <x:c r="B9" s="1"/>
      <x:c r="C9" s="1" t="str">
        <x:v>Principal repaid</x:v>
      </x:c>
      <x:c r="D9" s="2" t="n">
        <x:f>D8-D7</x:f>
        <x:v>11345.88371488622</x:v>
      </x:c>
      <x:c r="E9" s="2" t="n">
        <x:f>E8-E7</x:f>
        <x:v>11516.071970609513</x:v>
      </x:c>
      <x:c r="F9" s="2" t="n">
        <x:f>F8-F7</x:f>
        <x:v>11688.813050168656</x:v>
      </x:c>
      <x:c r="G9" s="2" t="n">
        <x:f>G8-G7</x:f>
        <x:v>11864.145245921183</x:v>
      </x:c>
      <x:c r="H9" s="2" t="n">
        <x:f>H8-H7</x:f>
        <x:v>12042.107424610002</x:v>
      </x:c>
      <x:c r="I9" s="2" t="n">
        <x:f>I8-I7</x:f>
        <x:v>12222.739035979152</x:v>
      </x:c>
      <x:c r="J9" s="2" t="n">
        <x:f>J8-J7</x:f>
        <x:v>12406.080121518838</x:v>
      </x:c>
      <x:c r="K9" s="2" t="n">
        <x:f>K8-K7</x:f>
        <x:v>12592.171323341621</x:v>
      </x:c>
      <x:c r="L9" s="2" t="n">
        <x:f>L8-L7</x:f>
        <x:v>12781.053893191745</x:v>
      </x:c>
      <x:c r="M9" s="2" t="n">
        <x:f>M8-M7</x:f>
        <x:v>12972.769701589623</x:v>
      </x:c>
      <x:c r="N9" s="2" t="n">
        <x:f>N8-N7</x:f>
        <x:v>13167.361247113466</x:v>
      </x:c>
      <x:c r="O9" s="2" t="n">
        <x:f>O8-O7</x:f>
        <x:v>13364.871665820168</x:v>
      </x:c>
      <x:c r="P9" s="2" t="n">
        <x:f>P8-P7</x:f>
        <x:v>13565.34474080747</x:v>
      </x:c>
      <x:c r="Q9" s="2" t="n">
        <x:f>Q8-Q7</x:f>
        <x:v>13768.82491191958</x:v>
      </x:c>
      <x:c r="R9" s="2" t="n">
        <x:f>R8-R7</x:f>
        <x:v>13975.357285598375</x:v>
      </x:c>
      <x:c r="S9" s="2" t="n">
        <x:f>S8-S7</x:f>
        <x:v>14184.98764488235</x:v>
      </x:c>
      <x:c r="T9" s="2" t="n">
        <x:f>T8-T7</x:f>
        <x:v>14397.762459555586</x:v>
      </x:c>
      <x:c r="U9" s="2" t="n">
        <x:f>U8-U7</x:f>
        <x:v>14613.728896448922</x:v>
      </x:c>
      <x:c r="V9" s="2" t="n">
        <x:f>V8-V7</x:f>
        <x:v>14832.934829895656</x:v>
      </x:c>
      <x:c r="W9" s="2" t="n">
        <x:f>W8-W7</x:f>
        <x:v>15055.42885234409</x:v>
      </x:c>
      <x:c r="X9" s="2" t="n">
        <x:f>X8-X7</x:f>
        <x:v>15281.26028512925</x:v>
      </x:c>
      <x:c r="Y9" s="2" t="n">
        <x:f>Y8-Y7</x:f>
        <x:v>15510.47918940619</x:v>
      </x:c>
      <x:c r="Z9" s="2" t="n">
        <x:f>Z8-Z7</x:f>
        <x:v>15743.136377247281</x:v>
      </x:c>
      <x:c r="AA9" s="2" t="n">
        <x:f>AA8-AA7</x:f>
        <x:v>15979.283422905992</x:v>
      </x:c>
      <x:c r="AB9" s="2" t="n">
        <x:f>AB8-AB7</x:f>
        <x:v>16218.97267424958</x:v>
      </x:c>
      <x:c r="AC9" s="2" t="n">
        <x:f>AC8-AC7</x:f>
        <x:v>16462.257264363325</x:v>
      </x:c>
      <x:c r="AD9" s="2" t="n">
        <x:f>AD8-AD7</x:f>
        <x:v>16709.191123328776</x:v>
      </x:c>
      <x:c r="AE9" s="2" t="n">
        <x:f>AE8-AE7</x:f>
        <x:v>16959.828990178707</x:v>
      </x:c>
      <x:c r="AF9" s="2" t="n">
        <x:f>AF8-AF7</x:f>
        <x:v>17214.22642503139</x:v>
      </x:c>
      <x:c r="AG9" s="2" t="n">
        <x:f>AG8-AG7</x:f>
        <x:v>17472.439821406857</x:v>
      </x:c>
      <x:c r="AH9" s="2" t="n">
        <x:f>AH8-AH7</x:f>
        <x:v>17734.52641872796</x:v>
      </x:c>
      <x:c r="AI9" s="2" t="n">
        <x:f>AI8-AI7</x:f>
        <x:v>18000.544315008883</x:v>
      </x:c>
      <x:c r="AJ9" s="2" t="n">
        <x:f>AJ8-AJ7</x:f>
        <x:v>18270.55247973401</x:v>
      </x:c>
      <x:c r="AK9" s="2" t="n">
        <x:f>AK8-AK7</x:f>
        <x:v>18544.610766930025</x:v>
      </x:c>
      <x:c r="AL9" s="2" t="n">
        <x:f>AL8-AL7</x:f>
        <x:v>18822.779928433978</x:v>
      </x:c>
      <x:c r="AM9" s="2" t="n">
        <x:f>AM8-AM7</x:f>
        <x:v>19105.121627360484</x:v>
      </x:c>
      <x:c r="AN9" s="2"/>
    </x:row>
    <x:row r="10" ht="21" customHeight="1">
      <x:c r="A10" s="1"/>
      <x:c r="B10" s="1"/>
      <x:c r="C10" s="1" t="str">
        <x:v>Closing personal debt</x:v>
      </x:c>
      <x:c r="D10" s="2" t="n">
        <x:f>MAX(0,D6-D9)</x:f>
        <x:v>1080294.3662851139</x:v>
      </x:c>
      <x:c r="E10" s="2" t="n">
        <x:f>MAX(0,E6-E9)</x:f>
        <x:v>1068778.2943145044</x:v>
      </x:c>
      <x:c r="F10" s="2" t="n">
        <x:f>MAX(0,F6-F9)</x:f>
        <x:v>1057089.4812643358</x:v>
      </x:c>
      <x:c r="G10" s="2" t="n">
        <x:f>MAX(0,G6-G9)</x:f>
        <x:v>1045225.3360184146</x:v>
      </x:c>
      <x:c r="H10" s="2" t="n">
        <x:f>MAX(0,H6-H9)</x:f>
        <x:v>1033183.2285938046</x:v>
      </x:c>
      <x:c r="I10" s="2" t="n">
        <x:f>MAX(0,I6-I9)</x:f>
        <x:v>1020960.4895578255</x:v>
      </x:c>
      <x:c r="J10" s="2" t="n">
        <x:f>MAX(0,J6-J9)</x:f>
        <x:v>1008554.4094363067</x:v>
      </x:c>
      <x:c r="K10" s="2" t="n">
        <x:f>MAX(0,K6-K9)</x:f>
        <x:v>995962.238112965</x:v>
      </x:c>
      <x:c r="L10" s="2" t="n">
        <x:f>MAX(0,L6-L9)</x:f>
        <x:v>983181.1842197733</x:v>
      </x:c>
      <x:c r="M10" s="2" t="n">
        <x:f>MAX(0,M6-M9)</x:f>
        <x:v>970208.4145181837</x:v>
      </x:c>
      <x:c r="N10" s="2" t="n">
        <x:f>MAX(0,N6-N9)</x:f>
        <x:v>957041.0532710702</x:v>
      </x:c>
      <x:c r="O10" s="2" t="n">
        <x:f>MAX(0,O6-O9)</x:f>
        <x:v>943676.1816052501</x:v>
      </x:c>
      <x:c r="P10" s="2" t="n">
        <x:f>MAX(0,P6-P9)</x:f>
        <x:v>930110.8368644427</x:v>
      </x:c>
      <x:c r="Q10" s="2" t="n">
        <x:f>MAX(0,Q6-Q9)</x:f>
        <x:v>916342.0119525231</x:v>
      </x:c>
      <x:c r="R10" s="2" t="n">
        <x:f>MAX(0,R6-R9)</x:f>
        <x:v>902366.6546669247</x:v>
      </x:c>
      <x:c r="S10" s="2" t="n">
        <x:f>MAX(0,S6-S9)</x:f>
        <x:v>888181.6670220423</x:v>
      </x:c>
      <x:c r="T10" s="2" t="n">
        <x:f>MAX(0,T6-T9)</x:f>
        <x:v>873783.9045624867</x:v>
      </x:c>
      <x:c r="U10" s="2" t="n">
        <x:f>MAX(0,U6-U9)</x:f>
        <x:v>859170.1756660377</x:v>
      </x:c>
      <x:c r="V10" s="2" t="n">
        <x:f>MAX(0,V6-V9)</x:f>
        <x:v>844337.2408361421</x:v>
      </x:c>
      <x:c r="W10" s="2" t="n">
        <x:f>MAX(0,W6-W9)</x:f>
        <x:v>829281.811983798</x:v>
      </x:c>
      <x:c r="X10" s="2" t="n">
        <x:f>MAX(0,X6-X9)</x:f>
        <x:v>814000.5516986687</x:v>
      </x:c>
      <x:c r="Y10" s="2" t="n">
        <x:f>MAX(0,Y6-Y9)</x:f>
        <x:v>798490.0725092626</x:v>
      </x:c>
      <x:c r="Z10" s="2" t="n">
        <x:f>MAX(0,Z6-Z9)</x:f>
        <x:v>782746.9361320153</x:v>
      </x:c>
      <x:c r="AA10" s="2" t="n">
        <x:f>MAX(0,AA6-AA9)</x:f>
        <x:v>766767.6527091094</x:v>
      </x:c>
      <x:c r="AB10" s="2" t="n">
        <x:f>MAX(0,AB6-AB9)</x:f>
        <x:v>750548.6800348598</x:v>
      </x:c>
      <x:c r="AC10" s="2" t="n">
        <x:f>MAX(0,AC6-AC9)</x:f>
        <x:v>734086.4227704965</x:v>
      </x:c>
      <x:c r="AD10" s="2" t="n">
        <x:f>MAX(0,AD6-AD9)</x:f>
        <x:v>717377.2316471677</x:v>
      </x:c>
      <x:c r="AE10" s="2" t="n">
        <x:f>MAX(0,AE6-AE9)</x:f>
        <x:v>700417.4026569889</x:v>
      </x:c>
      <x:c r="AF10" s="2" t="n">
        <x:f>MAX(0,AF6-AF9)</x:f>
        <x:v>683203.1762319575</x:v>
      </x:c>
      <x:c r="AG10" s="2" t="n">
        <x:f>MAX(0,AG6-AG9)</x:f>
        <x:v>665730.7364105507</x:v>
      </x:c>
      <x:c r="AH10" s="2" t="n">
        <x:f>MAX(0,AH6-AH9)</x:f>
        <x:v>647996.2099918227</x:v>
      </x:c>
      <x:c r="AI10" s="2" t="n">
        <x:f>MAX(0,AI6-AI9)</x:f>
        <x:v>629995.6656768138</x:v>
      </x:c>
      <x:c r="AJ10" s="2" t="n">
        <x:f>MAX(0,AJ6-AJ9)</x:f>
        <x:v>611725.1131970797</x:v>
      </x:c>
      <x:c r="AK10" s="2" t="n">
        <x:f>MAX(0,AK6-AK9)</x:f>
        <x:v>593180.5024301497</x:v>
      </x:c>
      <x:c r="AL10" s="2" t="n">
        <x:f>MAX(0,AL6-AL9)</x:f>
        <x:v>574357.7225017158</x:v>
      </x:c>
      <x:c r="AM10" s="2" t="n">
        <x:f>MAX(0,AM6-AM9)</x:f>
        <x:v>555252.6008743553</x:v>
      </x:c>
      <x:c r="AN10" s="2"/>
    </x:row>
    <x:row r="11" ht="21" customHeight="1">
      <x:c r="A11" s="1"/>
      <x:c r="B11" s="1"/>
      <x:c r="C11" s="1" t="str">
        <x:v>Service fees combined</x:v>
      </x:c>
      <x:c r="D11" s="11" t="n">
        <x:f>IF(D6&gt;0,2*'Assumptions'!$D$28,0)</x:f>
        <x:v>138</x:v>
      </x:c>
      <x:c r="E11" s="11" t="n">
        <x:f>IF(E6&gt;0,2*'Assumptions'!$D$28,0)</x:f>
        <x:v>138</x:v>
      </x:c>
      <x:c r="F11" s="11" t="n">
        <x:f>IF(F6&gt;0,2*'Assumptions'!$D$28,0)</x:f>
        <x:v>138</x:v>
      </x:c>
      <x:c r="G11" s="11" t="n">
        <x:f>IF(G6&gt;0,2*'Assumptions'!$D$28,0)</x:f>
        <x:v>138</x:v>
      </x:c>
      <x:c r="H11" s="11" t="n">
        <x:f>IF(H6&gt;0,2*'Assumptions'!$D$28,0)</x:f>
        <x:v>138</x:v>
      </x:c>
      <x:c r="I11" s="11" t="n">
        <x:f>IF(I6&gt;0,2*'Assumptions'!$D$28,0)</x:f>
        <x:v>138</x:v>
      </x:c>
      <x:c r="J11" s="11" t="n">
        <x:f>IF(J6&gt;0,2*'Assumptions'!$D$28,0)</x:f>
        <x:v>138</x:v>
      </x:c>
      <x:c r="K11" s="11" t="n">
        <x:f>IF(K6&gt;0,2*'Assumptions'!$D$28,0)</x:f>
        <x:v>138</x:v>
      </x:c>
      <x:c r="L11" s="11" t="n">
        <x:f>IF(L6&gt;0,2*'Assumptions'!$D$28,0)</x:f>
        <x:v>138</x:v>
      </x:c>
      <x:c r="M11" s="11" t="n">
        <x:f>IF(M6&gt;0,2*'Assumptions'!$D$28,0)</x:f>
        <x:v>138</x:v>
      </x:c>
      <x:c r="N11" s="11" t="n">
        <x:f>IF(N6&gt;0,2*'Assumptions'!$D$28,0)</x:f>
        <x:v>138</x:v>
      </x:c>
      <x:c r="O11" s="11" t="n">
        <x:f>IF(O6&gt;0,2*'Assumptions'!$D$28,0)</x:f>
        <x:v>138</x:v>
      </x:c>
      <x:c r="P11" s="11" t="n">
        <x:f>IF(P6&gt;0,2*'Assumptions'!$D$28,0)</x:f>
        <x:v>138</x:v>
      </x:c>
      <x:c r="Q11" s="11" t="n">
        <x:f>IF(Q6&gt;0,2*'Assumptions'!$D$28,0)</x:f>
        <x:v>138</x:v>
      </x:c>
      <x:c r="R11" s="11" t="n">
        <x:f>IF(R6&gt;0,2*'Assumptions'!$D$28,0)</x:f>
        <x:v>138</x:v>
      </x:c>
      <x:c r="S11" s="11" t="n">
        <x:f>IF(S6&gt;0,2*'Assumptions'!$D$28,0)</x:f>
        <x:v>138</x:v>
      </x:c>
      <x:c r="T11" s="11" t="n">
        <x:f>IF(T6&gt;0,2*'Assumptions'!$D$28,0)</x:f>
        <x:v>138</x:v>
      </x:c>
      <x:c r="U11" s="11" t="n">
        <x:f>IF(U6&gt;0,2*'Assumptions'!$D$28,0)</x:f>
        <x:v>138</x:v>
      </x:c>
      <x:c r="V11" s="11" t="n">
        <x:f>IF(V6&gt;0,2*'Assumptions'!$D$28,0)</x:f>
        <x:v>138</x:v>
      </x:c>
      <x:c r="W11" s="11" t="n">
        <x:f>IF(W6&gt;0,2*'Assumptions'!$D$28,0)</x:f>
        <x:v>138</x:v>
      </x:c>
      <x:c r="X11" s="11" t="n">
        <x:f>IF(X6&gt;0,2*'Assumptions'!$D$28,0)</x:f>
        <x:v>138</x:v>
      </x:c>
      <x:c r="Y11" s="11" t="n">
        <x:f>IF(Y6&gt;0,2*'Assumptions'!$D$28,0)</x:f>
        <x:v>138</x:v>
      </x:c>
      <x:c r="Z11" s="11" t="n">
        <x:f>IF(Z6&gt;0,2*'Assumptions'!$D$28,0)</x:f>
        <x:v>138</x:v>
      </x:c>
      <x:c r="AA11" s="11" t="n">
        <x:f>IF(AA6&gt;0,2*'Assumptions'!$D$28,0)</x:f>
        <x:v>138</x:v>
      </x:c>
      <x:c r="AB11" s="11" t="n">
        <x:f>IF(AB6&gt;0,2*'Assumptions'!$D$28,0)</x:f>
        <x:v>138</x:v>
      </x:c>
      <x:c r="AC11" s="11" t="n">
        <x:f>IF(AC6&gt;0,2*'Assumptions'!$D$28,0)</x:f>
        <x:v>138</x:v>
      </x:c>
      <x:c r="AD11" s="11" t="n">
        <x:f>IF(AD6&gt;0,2*'Assumptions'!$D$28,0)</x:f>
        <x:v>138</x:v>
      </x:c>
      <x:c r="AE11" s="11" t="n">
        <x:f>IF(AE6&gt;0,2*'Assumptions'!$D$28,0)</x:f>
        <x:v>138</x:v>
      </x:c>
      <x:c r="AF11" s="11" t="n">
        <x:f>IF(AF6&gt;0,2*'Assumptions'!$D$28,0)</x:f>
        <x:v>138</x:v>
      </x:c>
      <x:c r="AG11" s="11" t="n">
        <x:f>IF(AG6&gt;0,2*'Assumptions'!$D$28,0)</x:f>
        <x:v>138</x:v>
      </x:c>
      <x:c r="AH11" s="11" t="n">
        <x:f>IF(AH6&gt;0,2*'Assumptions'!$D$28,0)</x:f>
        <x:v>138</x:v>
      </x:c>
      <x:c r="AI11" s="11" t="n">
        <x:f>IF(AI6&gt;0,2*'Assumptions'!$D$28,0)</x:f>
        <x:v>138</x:v>
      </x:c>
      <x:c r="AJ11" s="11" t="n">
        <x:f>IF(AJ6&gt;0,2*'Assumptions'!$D$28,0)</x:f>
        <x:v>138</x:v>
      </x:c>
      <x:c r="AK11" s="11" t="n">
        <x:f>IF(AK6&gt;0,2*'Assumptions'!$D$28,0)</x:f>
        <x:v>138</x:v>
      </x:c>
      <x:c r="AL11" s="11" t="n">
        <x:f>IF(AL6&gt;0,2*'Assumptions'!$D$28,0)</x:f>
        <x:v>138</x:v>
      </x:c>
      <x:c r="AM11" s="11" t="n">
        <x:f>IF(AM6&gt;0,2*'Assumptions'!$D$28,0)</x:f>
        <x:v>138</x:v>
      </x:c>
      <x:c r="AN11" s="2"/>
    </x:row>
    <x:row r="12" ht="21" customHeight="1">
      <x:c r="A12" s="1"/>
      <x:c r="B12" s="1"/>
      <x:c r="C12" s="1" t="str">
        <x:v>Credit life estimate</x:v>
      </x:c>
      <x:c r="D12" s="11" t="n">
        <x:f>D6/1000*'Assumptions'!$D$29</x:f>
        <x:v>4912.381125</x:v>
      </x:c>
      <x:c r="E12" s="11" t="n">
        <x:f>E6/1000*'Assumptions'!$D$29</x:f>
        <x:v>4861.324648283013</x:v>
      </x:c>
      <x:c r="F12" s="11" t="n">
        <x:f>F6/1000*'Assumptions'!$D$29</x:f>
        <x:v>4809.50232441527</x:v>
      </x:c>
      <x:c r="G12" s="11" t="n">
        <x:f>G6/1000*'Assumptions'!$D$29</x:f>
        <x:v>4756.902665689511</x:v>
      </x:c>
      <x:c r="H12" s="11" t="n">
        <x:f>H6/1000*'Assumptions'!$D$29</x:f>
        <x:v>4703.5140120828655</x:v>
      </x:c>
      <x:c r="I12" s="11" t="n">
        <x:f>I6/1000*'Assumptions'!$D$29</x:f>
        <x:v>4649.324528672121</x:v>
      </x:c>
      <x:c r="J12" s="11" t="n">
        <x:f>J6/1000*'Assumptions'!$D$29</x:f>
        <x:v>4594.322203010214</x:v>
      </x:c>
      <x:c r="K12" s="11" t="n">
        <x:f>K6/1000*'Assumptions'!$D$29</x:f>
        <x:v>4538.494842463379</x:v>
      </x:c>
      <x:c r="L12" s="11" t="n">
        <x:f>L6/1000*'Assumptions'!$D$29</x:f>
        <x:v>4481.830071508342</x:v>
      </x:c>
      <x:c r="M12" s="11" t="n">
        <x:f>M6/1000*'Assumptions'!$D$29</x:f>
        <x:v>4424.31532898898</x:v>
      </x:c>
      <x:c r="N12" s="11" t="n">
        <x:f>N6/1000*'Assumptions'!$D$29</x:f>
        <x:v>4365.937865331826</x:v>
      </x:c>
      <x:c r="O12" s="11" t="n">
        <x:f>O6/1000*'Assumptions'!$D$29</x:f>
        <x:v>4306.684739719816</x:v>
      </x:c>
      <x:c r="P12" s="11" t="n">
        <x:f>P6/1000*'Assumptions'!$D$29</x:f>
        <x:v>4246.542817223625</x:v>
      </x:c>
      <x:c r="Q12" s="11" t="n">
        <x:f>Q6/1000*'Assumptions'!$D$29</x:f>
        <x:v>4185.498765889992</x:v>
      </x:c>
      <x:c r="R12" s="11" t="n">
        <x:f>R6/1000*'Assumptions'!$D$29</x:f>
        <x:v>4123.539053786354</x:v>
      </x:c>
      <x:c r="S12" s="11" t="n">
        <x:f>S6/1000*'Assumptions'!$D$29</x:f>
        <x:v>4060.6499460011614</x:v>
      </x:c>
      <x:c r="T12" s="11" t="n">
        <x:f>T6/1000*'Assumptions'!$D$29</x:f>
        <x:v>3996.8175015991906</x:v>
      </x:c>
      <x:c r="U12" s="11" t="n">
        <x:f>U6/1000*'Assumptions'!$D$29</x:f>
        <x:v>3932.02757053119</x:v>
      </x:c>
      <x:c r="V12" s="11" t="n">
        <x:f>V6/1000*'Assumptions'!$D$29</x:f>
        <x:v>3866.2657904971697</x:v>
      </x:c>
      <x:c r="W12" s="11" t="n">
        <x:f>W6/1000*'Assumptions'!$D$29</x:f>
        <x:v>3799.5175837626393</x:v>
      </x:c>
      <x:c r="X12" s="11" t="n">
        <x:f>X6/1000*'Assumptions'!$D$29</x:f>
        <x:v>3731.7681539270916</x:v>
      </x:c>
      <x:c r="Y12" s="11" t="n">
        <x:f>Y6/1000*'Assumptions'!$D$29</x:f>
        <x:v>3663.002482644009</x:v>
      </x:c>
      <x:c r="Z12" s="11" t="n">
        <x:f>Z6/1000*'Assumptions'!$D$29</x:f>
        <x:v>3593.205326291682</x:v>
      </x:c>
      <x:c r="AA12" s="11" t="n">
        <x:f>AA6/1000*'Assumptions'!$D$29</x:f>
        <x:v>3522.361212594069</x:v>
      </x:c>
      <x:c r="AB12" s="11" t="n">
        <x:f>AB6/1000*'Assumptions'!$D$29</x:f>
        <x:v>3450.4544371909924</x:v>
      </x:c>
      <x:c r="AC12" s="11" t="n">
        <x:f>AC6/1000*'Assumptions'!$D$29</x:f>
        <x:v>3377.469060156869</x:v>
      </x:c>
      <x:c r="AD12" s="11" t="n">
        <x:f>AD6/1000*'Assumptions'!$D$29</x:f>
        <x:v>3303.3889024672344</x:v>
      </x:c>
      <x:c r="AE12" s="11" t="n">
        <x:f>AE6/1000*'Assumptions'!$D$29</x:f>
        <x:v>3228.1975424122547</x:v>
      </x:c>
      <x:c r="AF12" s="11" t="n">
        <x:f>AF6/1000*'Assumptions'!$D$29</x:f>
        <x:v>3151.87831195645</x:v>
      </x:c>
      <x:c r="AG12" s="11" t="n">
        <x:f>AG6/1000*'Assumptions'!$D$29</x:f>
        <x:v>3074.414293043809</x:v>
      </x:c>
      <x:c r="AH12" s="11" t="n">
        <x:f>AH6/1000*'Assumptions'!$D$29</x:f>
        <x:v>2995.788313847478</x:v>
      </x:c>
      <x:c r="AI12" s="11" t="n">
        <x:f>AI6/1000*'Assumptions'!$D$29</x:f>
        <x:v>2915.9829449632025</x:v>
      </x:c>
      <x:c r="AJ12" s="11" t="n">
        <x:f>AJ6/1000*'Assumptions'!$D$29</x:f>
        <x:v>2834.980495545662</x:v>
      </x:c>
      <x:c r="AK12" s="11" t="n">
        <x:f>AK6/1000*'Assumptions'!$D$29</x:f>
        <x:v>2752.763009386859</x:v>
      </x:c>
      <x:c r="AL12" s="11" t="n">
        <x:f>AL6/1000*'Assumptions'!$D$29</x:f>
        <x:v>2669.3122609356733</x:v>
      </x:c>
      <x:c r="AM12" s="11" t="n">
        <x:f>AM6/1000*'Assumptions'!$D$29</x:f>
        <x:v>2584.609751257721</x:v>
      </x:c>
      <x:c r="AN12" s="2"/>
    </x:row>
    <x:row r="13" ht="21" customHeight="1">
      <x:c r="A13" s="1"/>
      <x:c r="B13" s="1"/>
      <x:c r="C13" s="1" t="str">
        <x:v>Total bank cash payment combined</x:v>
      </x:c>
      <x:c r="D13" s="2" t="n">
        <x:f>D8+D11+D12</x:f>
        <x:v>32770.86858988622</x:v>
      </x:c>
      <x:c r="E13" s="2" t="n">
        <x:f>E8+E11+E12</x:f>
        <x:v>32719.81211316923</x:v>
      </x:c>
      <x:c r="F13" s="2" t="n">
        <x:f>F8+F11+F12</x:f>
        <x:v>32667.98978930149</x:v>
      </x:c>
      <x:c r="G13" s="2" t="n">
        <x:f>G8+G11+G12</x:f>
        <x:v>32615.39013057573</x:v>
      </x:c>
      <x:c r="H13" s="2" t="n">
        <x:f>H8+H11+H12</x:f>
        <x:v>32562.001476969086</x:v>
      </x:c>
      <x:c r="I13" s="2" t="n">
        <x:f>I8+I11+I12</x:f>
        <x:v>32507.81199355834</x:v>
      </x:c>
      <x:c r="J13" s="2" t="n">
        <x:f>J8+J11+J12</x:f>
        <x:v>32452.809667896436</x:v>
      </x:c>
      <x:c r="K13" s="2" t="n">
        <x:f>K8+K11+K12</x:f>
        <x:v>32396.9823073496</x:v>
      </x:c>
      <x:c r="L13" s="2" t="n">
        <x:f>L8+L11+L12</x:f>
        <x:v>32340.317536394563</x:v>
      </x:c>
      <x:c r="M13" s="2" t="n">
        <x:f>M8+M11+M12</x:f>
        <x:v>32282.8027938752</x:v>
      </x:c>
      <x:c r="N13" s="2" t="n">
        <x:f>N8+N11+N12</x:f>
        <x:v>32224.425330218048</x:v>
      </x:c>
      <x:c r="O13" s="2" t="n">
        <x:f>O8+O11+O12</x:f>
        <x:v>32165.17220460604</x:v>
      </x:c>
      <x:c r="P13" s="2" t="n">
        <x:f>P8+P11+P12</x:f>
        <x:v>32105.030282109845</x:v>
      </x:c>
      <x:c r="Q13" s="2" t="n">
        <x:f>Q8+Q11+Q12</x:f>
        <x:v>32043.986230776212</x:v>
      </x:c>
      <x:c r="R13" s="2" t="n">
        <x:f>R8+R11+R12</x:f>
        <x:v>31982.026518672574</x:v>
      </x:c>
      <x:c r="S13" s="2" t="n">
        <x:f>S8+S11+S12</x:f>
        <x:v>31919.137410887382</x:v>
      </x:c>
      <x:c r="T13" s="2" t="n">
        <x:f>T8+T11+T12</x:f>
        <x:v>31855.30496648541</x:v>
      </x:c>
      <x:c r="U13" s="2" t="n">
        <x:f>U8+U11+U12</x:f>
        <x:v>31790.51503541741</x:v>
      </x:c>
      <x:c r="V13" s="2" t="n">
        <x:f>V8+V11+V12</x:f>
        <x:v>31724.75325538339</x:v>
      </x:c>
      <x:c r="W13" s="2" t="n">
        <x:f>W8+W11+W12</x:f>
        <x:v>31658.00504864886</x:v>
      </x:c>
      <x:c r="X13" s="2" t="n">
        <x:f>X8+X11+X12</x:f>
        <x:v>31590.255618813313</x:v>
      </x:c>
      <x:c r="Y13" s="2" t="n">
        <x:f>Y8+Y11+Y12</x:f>
        <x:v>31521.48994753023</x:v>
      </x:c>
      <x:c r="Z13" s="2" t="n">
        <x:f>Z8+Z11+Z12</x:f>
        <x:v>31451.692791177902</x:v>
      </x:c>
      <x:c r="AA13" s="2" t="n">
        <x:f>AA8+AA11+AA12</x:f>
        <x:v>31380.848677480288</x:v>
      </x:c>
      <x:c r="AB13" s="2" t="n">
        <x:f>AB8+AB11+AB12</x:f>
        <x:v>31308.94190207721</x:v>
      </x:c>
      <x:c r="AC13" s="2" t="n">
        <x:f>AC8+AC11+AC12</x:f>
        <x:v>31235.95652504309</x:v>
      </x:c>
      <x:c r="AD13" s="2" t="n">
        <x:f>AD8+AD11+AD12</x:f>
        <x:v>31161.876367353456</x:v>
      </x:c>
      <x:c r="AE13" s="2" t="n">
        <x:f>AE8+AE11+AE12</x:f>
        <x:v>31086.685007298474</x:v>
      </x:c>
      <x:c r="AF13" s="2" t="n">
        <x:f>AF8+AF11+AF12</x:f>
        <x:v>31010.36577684267</x:v>
      </x:c>
      <x:c r="AG13" s="2" t="n">
        <x:f>AG8+AG11+AG12</x:f>
        <x:v>30932.90175793003</x:v>
      </x:c>
      <x:c r="AH13" s="2" t="n">
        <x:f>AH8+AH11+AH12</x:f>
        <x:v>30854.2757787337</x:v>
      </x:c>
      <x:c r="AI13" s="2" t="n">
        <x:f>AI8+AI11+AI12</x:f>
        <x:v>30774.470409849422</x:v>
      </x:c>
      <x:c r="AJ13" s="2" t="n">
        <x:f>AJ8+AJ11+AJ12</x:f>
        <x:v>30693.46796043188</x:v>
      </x:c>
      <x:c r="AK13" s="2" t="n">
        <x:f>AK8+AK11+AK12</x:f>
        <x:v>30611.250474273078</x:v>
      </x:c>
      <x:c r="AL13" s="2" t="n">
        <x:f>AL8+AL11+AL12</x:f>
        <x:v>30527.799725821893</x:v>
      </x:c>
      <x:c r="AM13" s="2" t="n">
        <x:f>AM8+AM11+AM12</x:f>
        <x:v>30443.097216143942</x:v>
      </x:c>
      <x:c r="AN13" s="2"/>
    </x:row>
    <x:row r="14" ht="21" customHeight="1">
      <x:c r="A14" s="1"/>
      <x:c r="B14" s="1"/>
      <x:c r="C14" s="1" t="str">
        <x:v>Total bank cash payment each</x:v>
      </x:c>
      <x:c r="D14" s="2" t="n">
        <x:f>D13/2</x:f>
        <x:v>16385.43429494311</x:v>
      </x:c>
      <x:c r="E14" s="2" t="n">
        <x:f>E13/2</x:f>
        <x:v>16359.906056584616</x:v>
      </x:c>
      <x:c r="F14" s="2" t="n">
        <x:f>F13/2</x:f>
        <x:v>16333.994894650745</x:v>
      </x:c>
      <x:c r="G14" s="2" t="n">
        <x:f>G13/2</x:f>
        <x:v>16307.695065287866</x:v>
      </x:c>
      <x:c r="H14" s="2" t="n">
        <x:f>H13/2</x:f>
        <x:v>16281.000738484543</x:v>
      </x:c>
      <x:c r="I14" s="2" t="n">
        <x:f>I13/2</x:f>
        <x:v>16253.90599677917</x:v>
      </x:c>
      <x:c r="J14" s="2" t="n">
        <x:f>J13/2</x:f>
        <x:v>16226.404833948218</x:v>
      </x:c>
      <x:c r="K14" s="2" t="n">
        <x:f>K13/2</x:f>
        <x:v>16198.4911536748</x:v>
      </x:c>
      <x:c r="L14" s="2" t="n">
        <x:f>L13/2</x:f>
        <x:v>16170.158768197281</x:v>
      </x:c>
      <x:c r="M14" s="2" t="n">
        <x:f>M13/2</x:f>
        <x:v>16141.4013969376</x:v>
      </x:c>
      <x:c r="N14" s="2" t="n">
        <x:f>N13/2</x:f>
        <x:v>16112.212665109024</x:v>
      </x:c>
      <x:c r="O14" s="2" t="n">
        <x:f>O13/2</x:f>
        <x:v>16082.58610230302</x:v>
      </x:c>
      <x:c r="P14" s="2" t="n">
        <x:f>P13/2</x:f>
        <x:v>16052.515141054922</x:v>
      </x:c>
      <x:c r="Q14" s="2" t="n">
        <x:f>Q13/2</x:f>
        <x:v>16021.993115388106</x:v>
      </x:c>
      <x:c r="R14" s="2" t="n">
        <x:f>R13/2</x:f>
        <x:v>15991.013259336287</x:v>
      </x:c>
      <x:c r="S14" s="2" t="n">
        <x:f>S13/2</x:f>
        <x:v>15959.568705443691</x:v>
      </x:c>
      <x:c r="T14" s="2" t="n">
        <x:f>T13/2</x:f>
        <x:v>15927.652483242706</x:v>
      </x:c>
      <x:c r="U14" s="2" t="n">
        <x:f>U13/2</x:f>
        <x:v>15895.257517708706</x:v>
      </x:c>
      <x:c r="V14" s="2" t="n">
        <x:f>V13/2</x:f>
        <x:v>15862.376627691696</x:v>
      </x:c>
      <x:c r="W14" s="2" t="n">
        <x:f>W13/2</x:f>
        <x:v>15829.00252432443</x:v>
      </x:c>
      <x:c r="X14" s="2" t="n">
        <x:f>X13/2</x:f>
        <x:v>15795.127809406657</x:v>
      </x:c>
      <x:c r="Y14" s="2" t="n">
        <x:f>Y13/2</x:f>
        <x:v>15760.744973765115</x:v>
      </x:c>
      <x:c r="Z14" s="2" t="n">
        <x:f>Z13/2</x:f>
        <x:v>15725.846395588951</x:v>
      </x:c>
      <x:c r="AA14" s="2" t="n">
        <x:f>AA13/2</x:f>
        <x:v>15690.424338740144</x:v>
      </x:c>
      <x:c r="AB14" s="2" t="n">
        <x:f>AB13/2</x:f>
        <x:v>15654.470951038606</x:v>
      </x:c>
      <x:c r="AC14" s="2" t="n">
        <x:f>AC13/2</x:f>
        <x:v>15617.978262521545</x:v>
      </x:c>
      <x:c r="AD14" s="2" t="n">
        <x:f>AD13/2</x:f>
        <x:v>15580.938183676728</x:v>
      </x:c>
      <x:c r="AE14" s="2" t="n">
        <x:f>AE13/2</x:f>
        <x:v>15543.342503649237</x:v>
      </x:c>
      <x:c r="AF14" s="2" t="n">
        <x:f>AF13/2</x:f>
        <x:v>15505.182888421336</x:v>
      </x:c>
      <x:c r="AG14" s="2" t="n">
        <x:f>AG13/2</x:f>
        <x:v>15466.450878965015</x:v>
      </x:c>
      <x:c r="AH14" s="2" t="n">
        <x:f>AH13/2</x:f>
        <x:v>15427.13788936685</x:v>
      </x:c>
      <x:c r="AI14" s="2" t="n">
        <x:f>AI13/2</x:f>
        <x:v>15387.235204924711</x:v>
      </x:c>
      <x:c r="AJ14" s="2" t="n">
        <x:f>AJ13/2</x:f>
        <x:v>15346.73398021594</x:v>
      </x:c>
      <x:c r="AK14" s="2" t="n">
        <x:f>AK13/2</x:f>
        <x:v>15305.625237136539</x:v>
      </x:c>
      <x:c r="AL14" s="2" t="n">
        <x:f>AL13/2</x:f>
        <x:v>15263.899862910946</x:v>
      </x:c>
      <x:c r="AM14" s="2" t="n">
        <x:f>AM13/2</x:f>
        <x:v>15221.548608071971</x:v>
      </x:c>
      <x:c r="AN14" s="2"/>
    </x:row>
    <x:row r="15" ht="21" customHeight="1">
      <x:c r="A15" s="1"/>
      <x:c r="B15" s="1"/>
      <x:c r="C15" s="1" t="str">
        <x:v>Company cash received each</x:v>
      </x:c>
      <x:c r="D15" s="11" t="n">
        <x:f>'Monthly forecast'!D68</x:f>
        <x:v>0</x:v>
      </x:c>
      <x:c r="E15" s="11" t="n">
        <x:f>'Monthly forecast'!E68</x:f>
        <x:v>0</x:v>
      </x:c>
      <x:c r="F15" s="11" t="n">
        <x:f>'Monthly forecast'!F68</x:f>
        <x:v>7989.738783075494</x:v>
      </x:c>
      <x:c r="G15" s="11" t="n">
        <x:f>'Monthly forecast'!G68</x:f>
        <x:v>8954.53056749233</x:v>
      </x:c>
      <x:c r="H15" s="11" t="n">
        <x:f>'Monthly forecast'!H68</x:f>
        <x:v>13829.45141690291</x:v>
      </x:c>
      <x:c r="I15" s="11" t="n">
        <x:f>'Monthly forecast'!I68</x:f>
        <x:v>10636.357926053215</x:v>
      </x:c>
      <x:c r="J15" s="11" t="n">
        <x:f>'Monthly forecast'!J68</x:f>
        <x:v>8188.5985771547475</x:v>
      </x:c>
      <x:c r="K15" s="11" t="n">
        <x:f>'Monthly forecast'!K68</x:f>
        <x:v>16194.800018586491</x:v>
      </x:c>
      <x:c r="L15" s="11" t="n">
        <x:f>'Monthly forecast'!L68</x:f>
        <x:v>17340.615749883316</x:v>
      </x:c>
      <x:c r="M15" s="11" t="n">
        <x:f>'Monthly forecast'!M68</x:f>
        <x:v>19944.203505285488</x:v>
      </x:c>
      <x:c r="N15" s="11" t="n">
        <x:f>'Monthly forecast'!N68</x:f>
        <x:v>16093.988497853552</x:v>
      </x:c>
      <x:c r="O15" s="11" t="n">
        <x:f>'Monthly forecast'!O68</x:f>
        <x:v>10391.788251496746</x:v>
      </x:c>
      <x:c r="P15" s="11" t="n">
        <x:f>'Monthly forecast'!P68</x:f>
        <x:v>6813.251911179111</x:v>
      </x:c>
      <x:c r="Q15" s="11" t="n">
        <x:f>'Monthly forecast'!Q68</x:f>
        <x:v>15274.52936352141</x:v>
      </x:c>
      <x:c r="R15" s="11" t="n">
        <x:f>'Monthly forecast'!R68</x:f>
        <x:v>24211.007512252316</x:v>
      </x:c>
      <x:c r="S15" s="11" t="n">
        <x:f>'Monthly forecast'!S68</x:f>
        <x:v>17461.008238225102</x:v>
      </x:c>
      <x:c r="T15" s="11" t="n">
        <x:f>'Monthly forecast'!T68</x:f>
        <x:v>17382.31460268646</x:v>
      </x:c>
      <x:c r="U15" s="11" t="n">
        <x:f>'Monthly forecast'!U68</x:f>
        <x:v>13150.194546082053</x:v>
      </x:c>
      <x:c r="V15" s="11" t="n">
        <x:f>'Monthly forecast'!V68</x:f>
        <x:v>10439.9865749646</x:v>
      </x:c>
      <x:c r="W15" s="11" t="n">
        <x:f>'Monthly forecast'!W68</x:f>
        <x:v>15732.424409055424</x:v>
      </x:c>
      <x:c r="X15" s="11" t="n">
        <x:f>'Monthly forecast'!X68</x:f>
        <x:v>17532.183461587894</x:v>
      </x:c>
      <x:c r="Y15" s="11" t="n">
        <x:f>'Monthly forecast'!Y68</x:f>
        <x:v>19544.94269822631</x:v>
      </x:c>
      <x:c r="Z15" s="11" t="n">
        <x:f>'Monthly forecast'!Z68</x:f>
        <x:v>16697.457742037965</x:v>
      </x:c>
      <x:c r="AA15" s="11" t="n">
        <x:f>'Monthly forecast'!AA68</x:f>
        <x:v>12466.334972932556</x:v>
      </x:c>
      <x:c r="AB15" s="11" t="n">
        <x:f>'Monthly forecast'!AB68</x:f>
        <x:v>8880.296953103969</x:v>
      </x:c>
      <x:c r="AC15" s="11" t="n">
        <x:f>'Monthly forecast'!AC68</x:f>
        <x:v>12973.28570701278</x:v>
      </x:c>
      <x:c r="AD15" s="11" t="n">
        <x:f>'Monthly forecast'!AD68</x:f>
        <x:v>22980.749731866985</x:v>
      </x:c>
      <x:c r="AE15" s="11" t="n">
        <x:f>'Monthly forecast'!AE68</x:f>
        <x:v>19213.982652536117</x:v>
      </x:c>
      <x:c r="AF15" s="11" t="n">
        <x:f>'Monthly forecast'!AF68</x:f>
        <x:v>20396.909367925346</x:v>
      </x:c>
      <x:c r="AG15" s="11" t="n">
        <x:f>'Monthly forecast'!AG68</x:f>
        <x:v>15682.068406360375</x:v>
      </x:c>
      <x:c r="AH15" s="11" t="n">
        <x:f>'Monthly forecast'!AH68</x:f>
        <x:v>12661.094600920824</x:v>
      </x:c>
      <x:c r="AI15" s="11" t="n">
        <x:f>'Monthly forecast'!AI68</x:f>
        <x:v>18547.044479480723</x:v>
      </x:c>
      <x:c r="AJ15" s="11" t="n">
        <x:f>'Monthly forecast'!AJ68</x:f>
        <x:v>20545.621674295784</x:v>
      </x:c>
      <x:c r="AK15" s="11" t="n">
        <x:f>'Monthly forecast'!AK68</x:f>
        <x:v>22781.246770977643</x:v>
      </x:c>
      <x:c r="AL15" s="11" t="n">
        <x:f>'Monthly forecast'!AL68</x:f>
        <x:v>19607.398674325457</x:v>
      </x:c>
      <x:c r="AM15" s="11" t="n">
        <x:f>'Monthly forecast'!AM68</x:f>
        <x:v>14893.540180999296</x:v>
      </x:c>
      <x:c r="AN15" s="2"/>
    </x:row>
    <x:row r="16" ht="21" customHeight="1">
      <x:c r="A16" s="1"/>
      <x:c r="B16" s="1"/>
      <x:c r="C16" s="1" t="str">
        <x:v>Monthly shortfall each</x:v>
      </x:c>
      <x:c r="D16" s="11" t="n">
        <x:f>D14-D15+'Monthly forecast'!D53/2</x:f>
        <x:v>16385.43429494311</x:v>
      </x:c>
      <x:c r="E16" s="11" t="n">
        <x:f>E14-E15+'Monthly forecast'!E53/2</x:f>
        <x:v>16359.906056584616</x:v>
      </x:c>
      <x:c r="F16" s="11" t="n">
        <x:f>F14-F15+'Monthly forecast'!F53/2</x:f>
        <x:v>8344.25611157525</x:v>
      </x:c>
      <x:c r="G16" s="11" t="n">
        <x:f>G14-G15+'Monthly forecast'!G53/2</x:f>
        <x:v>7353.164497795537</x:v>
      </x:c>
      <x:c r="H16" s="11" t="n">
        <x:f>H14-H15+'Monthly forecast'!H53/2</x:f>
        <x:v>2451.549321581633</x:v>
      </x:c>
      <x:c r="I16" s="11" t="n">
        <x:f>I14-I15+'Monthly forecast'!I53/2</x:f>
        <x:v>5617.548070725956</x:v>
      </x:c>
      <x:c r="J16" s="11" t="n">
        <x:f>J14-J15+'Monthly forecast'!J53/2</x:f>
        <x:v>8037.80625679347</x:v>
      </x:c>
      <x:c r="K16" s="11" t="n">
        <x:f>K14-K15+'Monthly forecast'!K53/2</x:f>
        <x:v>3.691135088309238</x:v>
      </x:c>
      <x:c r="L16" s="11" t="n">
        <x:f>L14-L15+'Monthly forecast'!L53/2</x:f>
        <x:v>-1170.4569816860349</x:v>
      </x:c>
      <x:c r="M16" s="11" t="n">
        <x:f>M14-M15+'Monthly forecast'!M53/2</x:f>
        <x:v>-3802.802108347889</x:v>
      </x:c>
      <x:c r="N16" s="11" t="n">
        <x:f>N14-N15+'Monthly forecast'!N53/2</x:f>
        <x:v>18.22416725547191</x:v>
      </x:c>
      <x:c r="O16" s="11" t="n">
        <x:f>O14-O15+'Monthly forecast'!O53/2</x:f>
        <x:v>5690.797850806273</x:v>
      </x:c>
      <x:c r="P16" s="11" t="n">
        <x:f>P14-P15+'Monthly forecast'!P53/2</x:f>
        <x:v>9239.26322987581</x:v>
      </x:c>
      <x:c r="Q16" s="11" t="n">
        <x:f>Q14-Q15+'Monthly forecast'!Q53/2</x:f>
        <x:v>747.4637518666968</x:v>
      </x:c>
      <x:c r="R16" s="11" t="n">
        <x:f>R14-R15+'Monthly forecast'!R53/2</x:f>
        <x:v>-8219.994252916029</x:v>
      </x:c>
      <x:c r="S16" s="11" t="n">
        <x:f>S14-S15+'Monthly forecast'!S53/2</x:f>
        <x:v>-1501.439532781411</x:v>
      </x:c>
      <x:c r="T16" s="11" t="n">
        <x:f>T14-T15+'Monthly forecast'!T53/2</x:f>
        <x:v>-1454.662119443754</x:v>
      </x:c>
      <x:c r="U16" s="11" t="n">
        <x:f>U14-U15+'Monthly forecast'!U53/2</x:f>
        <x:v>2745.062971626652</x:v>
      </x:c>
      <x:c r="V16" s="11" t="n">
        <x:f>V14-V15+'Monthly forecast'!V53/2</x:f>
        <x:v>5422.390052727096</x:v>
      </x:c>
      <x:c r="W16" s="11" t="n">
        <x:f>W14-W15+'Monthly forecast'!W53/2</x:f>
        <x:v>96.57811526900696</x:v>
      </x:c>
      <x:c r="X16" s="11" t="n">
        <x:f>X14-X15+'Monthly forecast'!X53/2</x:f>
        <x:v>-1737.0556521812377</x:v>
      </x:c>
      <x:c r="Y16" s="11" t="n">
        <x:f>Y14-Y15+'Monthly forecast'!Y53/2</x:f>
        <x:v>-3784.1977244611953</x:v>
      </x:c>
      <x:c r="Z16" s="11" t="n">
        <x:f>Z14-Z15+'Monthly forecast'!Z53/2</x:f>
        <x:v>-971.6113464490136</x:v>
      </x:c>
      <x:c r="AA16" s="11" t="n">
        <x:f>AA14-AA15+'Monthly forecast'!AA53/2</x:f>
        <x:v>3224.0893658075875</x:v>
      </x:c>
      <x:c r="AB16" s="11" t="n">
        <x:f>AB14-AB15+'Monthly forecast'!AB53/2</x:f>
        <x:v>6774.173997934637</x:v>
      </x:c>
      <x:c r="AC16" s="11" t="n">
        <x:f>AC14-AC15+'Monthly forecast'!AC53/2</x:f>
        <x:v>2644.6925555087655</x:v>
      </x:c>
      <x:c r="AD16" s="11" t="n">
        <x:f>AD14-AD15+'Monthly forecast'!AD53/2</x:f>
        <x:v>-7399.811548190257</x:v>
      </x:c>
      <x:c r="AE16" s="11" t="n">
        <x:f>AE14-AE15+'Monthly forecast'!AE53/2</x:f>
        <x:v>-3670.6401488868796</x:v>
      </x:c>
      <x:c r="AF16" s="11" t="n">
        <x:f>AF14-AF15+'Monthly forecast'!AF53/2</x:f>
        <x:v>-4891.72647950401</x:v>
      </x:c>
      <x:c r="AG16" s="11" t="n">
        <x:f>AG14-AG15+'Monthly forecast'!AG53/2</x:f>
        <x:v>-215.6175273953595</x:v>
      </x:c>
      <x:c r="AH16" s="11" t="n">
        <x:f>AH14-AH15+'Monthly forecast'!AH53/2</x:f>
        <x:v>2766.043288446026</x:v>
      </x:c>
      <x:c r="AI16" s="11" t="n">
        <x:f>AI14-AI15+'Monthly forecast'!AI53/2</x:f>
        <x:v>-3159.8092745560116</x:v>
      </x:c>
      <x:c r="AJ16" s="11" t="n">
        <x:f>AJ14-AJ15+'Monthly forecast'!AJ53/2</x:f>
        <x:v>-5198.887694079844</x:v>
      </x:c>
      <x:c r="AK16" s="11" t="n">
        <x:f>AK14-AK15+'Monthly forecast'!AK53/2</x:f>
        <x:v>-7475.621533841104</x:v>
      </x:c>
      <x:c r="AL16" s="11" t="n">
        <x:f>AL14-AL15+'Monthly forecast'!AL53/2</x:f>
        <x:v>-4343.498811414511</x:v>
      </x:c>
      <x:c r="AM16" s="11" t="n">
        <x:f>AM14-AM15+'Monthly forecast'!AM53/2</x:f>
        <x:v>328.00842707267475</x:v>
      </x:c>
      <x:c r="AN16" s="2"/>
    </x:row>
    <x:row r="17" ht="21" customHeight="1">
      <x:c r="A17" s="1"/>
      <x:c r="B17" s="1"/>
      <x:c r="C17" s="1" t="str">
        <x:v>Cumulative shortfall each</x:v>
      </x:c>
      <x:c r="D17" s="2" t="n">
        <x:f>$D$24/2+D16</x:f>
        <x:v>39017.91916994311</x:v>
      </x:c>
      <x:c r="E17" s="2" t="n">
        <x:f>D17+E16</x:f>
        <x:v>55377.825226527726</x:v>
      </x:c>
      <x:c r="F17" s="2" t="n">
        <x:f>E17+F16</x:f>
        <x:v>63722.08133810297</x:v>
      </x:c>
      <x:c r="G17" s="2" t="n">
        <x:f>F17+G16</x:f>
        <x:v>71075.2458358985</x:v>
      </x:c>
      <x:c r="H17" s="2" t="n">
        <x:f>G17+H16</x:f>
        <x:v>73526.79515748014</x:v>
      </x:c>
      <x:c r="I17" s="2" t="n">
        <x:f>H17+I16</x:f>
        <x:v>79144.3432282061</x:v>
      </x:c>
      <x:c r="J17" s="2" t="n">
        <x:f>I17+J16</x:f>
        <x:v>87182.14948499957</x:v>
      </x:c>
      <x:c r="K17" s="2" t="n">
        <x:f>J17+K16</x:f>
        <x:v>87185.84062008787</x:v>
      </x:c>
      <x:c r="L17" s="2" t="n">
        <x:f>K17+L16</x:f>
        <x:v>86015.38363840184</x:v>
      </x:c>
      <x:c r="M17" s="2" t="n">
        <x:f>L17+M16</x:f>
        <x:v>82212.58153005395</x:v>
      </x:c>
      <x:c r="N17" s="2" t="n">
        <x:f>M17+N16</x:f>
        <x:v>82230.80569730942</x:v>
      </x:c>
      <x:c r="O17" s="2" t="n">
        <x:f>N17+O16</x:f>
        <x:v>87921.6035481157</x:v>
      </x:c>
      <x:c r="P17" s="2" t="n">
        <x:f>O17+P16</x:f>
        <x:v>97160.86677799151</x:v>
      </x:c>
      <x:c r="Q17" s="2" t="n">
        <x:f>P17+Q16</x:f>
        <x:v>97908.33052985821</x:v>
      </x:c>
      <x:c r="R17" s="2" t="n">
        <x:f>Q17+R16</x:f>
        <x:v>89688.33627694218</x:v>
      </x:c>
      <x:c r="S17" s="2" t="n">
        <x:f>R17+S16</x:f>
        <x:v>88186.89674416077</x:v>
      </x:c>
      <x:c r="T17" s="2" t="n">
        <x:f>S17+T16</x:f>
        <x:v>86732.234624717</x:v>
      </x:c>
      <x:c r="U17" s="2" t="n">
        <x:f>T17+U16</x:f>
        <x:v>89477.29759634366</x:v>
      </x:c>
      <x:c r="V17" s="2" t="n">
        <x:f>U17+V16</x:f>
        <x:v>94899.68764907075</x:v>
      </x:c>
      <x:c r="W17" s="2" t="n">
        <x:f>V17+W16</x:f>
        <x:v>94996.26576433975</x:v>
      </x:c>
      <x:c r="X17" s="2" t="n">
        <x:f>W17+X16</x:f>
        <x:v>93259.21011215851</x:v>
      </x:c>
      <x:c r="Y17" s="2" t="n">
        <x:f>X17+Y16</x:f>
        <x:v>89475.01238769732</x:v>
      </x:c>
      <x:c r="Z17" s="2" t="n">
        <x:f>Y17+Z16</x:f>
        <x:v>88503.4010412483</x:v>
      </x:c>
      <x:c r="AA17" s="2" t="n">
        <x:f>Z17+AA16</x:f>
        <x:v>91727.49040705588</x:v>
      </x:c>
      <x:c r="AB17" s="2" t="n">
        <x:f>AA17+AB16</x:f>
        <x:v>98501.66440499052</x:v>
      </x:c>
      <x:c r="AC17" s="2" t="n">
        <x:f>AB17+AC16</x:f>
        <x:v>101146.35696049928</x:v>
      </x:c>
      <x:c r="AD17" s="2" t="n">
        <x:f>AC17+AD16</x:f>
        <x:v>93746.54541230903</x:v>
      </x:c>
      <x:c r="AE17" s="2" t="n">
        <x:f>AD17+AE16</x:f>
        <x:v>90075.90526342214</x:v>
      </x:c>
      <x:c r="AF17" s="2" t="n">
        <x:f>AE17+AF16</x:f>
        <x:v>85184.17878391813</x:v>
      </x:c>
      <x:c r="AG17" s="2" t="n">
        <x:f>AF17+AG16</x:f>
        <x:v>84968.56125652278</x:v>
      </x:c>
      <x:c r="AH17" s="2" t="n">
        <x:f>AG17+AH16</x:f>
        <x:v>87734.60454496881</x:v>
      </x:c>
      <x:c r="AI17" s="2" t="n">
        <x:f>AH17+AI16</x:f>
        <x:v>84574.7952704128</x:v>
      </x:c>
      <x:c r="AJ17" s="2" t="n">
        <x:f>AI17+AJ16</x:f>
        <x:v>79375.90757633295</x:v>
      </x:c>
      <x:c r="AK17" s="2" t="n">
        <x:f>AJ17+AK16</x:f>
        <x:v>71900.28604249185</x:v>
      </x:c>
      <x:c r="AL17" s="2" t="n">
        <x:f>AK17+AL16</x:f>
        <x:v>67556.78723107734</x:v>
      </x:c>
      <x:c r="AM17" s="2" t="n">
        <x:f>AL17+AM16</x:f>
        <x:v>67884.79565815002</x:v>
      </x:c>
      <x:c r="AN17" s="2"/>
    </x:row>
    <x:row r="18" ht="21" customHeight="1">
      <x:c r="A18" s="1"/>
      <x:c r="B18" s="1"/>
      <x:c r="C18" s="1" t="str">
        <x:v>Peak cumulative shortfall each</x:v>
      </x:c>
      <x:c r="D18" s="2" t="n">
        <x:f>MAX($D17:D17)</x:f>
        <x:v>39017.91916994311</x:v>
      </x:c>
      <x:c r="E18" s="2" t="n">
        <x:f>MAX($D17:E17)</x:f>
        <x:v>55377.825226527726</x:v>
      </x:c>
      <x:c r="F18" s="2" t="n">
        <x:f>MAX($D17:F17)</x:f>
        <x:v>63722.08133810297</x:v>
      </x:c>
      <x:c r="G18" s="2" t="n">
        <x:f>MAX($D17:G17)</x:f>
        <x:v>71075.2458358985</x:v>
      </x:c>
      <x:c r="H18" s="2" t="n">
        <x:f>MAX($D17:H17)</x:f>
        <x:v>73526.79515748014</x:v>
      </x:c>
      <x:c r="I18" s="2" t="n">
        <x:f>MAX($D17:I17)</x:f>
        <x:v>79144.3432282061</x:v>
      </x:c>
      <x:c r="J18" s="2" t="n">
        <x:f>MAX($D17:J17)</x:f>
        <x:v>87182.14948499957</x:v>
      </x:c>
      <x:c r="K18" s="2" t="n">
        <x:f>MAX($D17:K17)</x:f>
        <x:v>87185.84062008787</x:v>
      </x:c>
      <x:c r="L18" s="2" t="n">
        <x:f>MAX($D17:L17)</x:f>
        <x:v>87185.84062008787</x:v>
      </x:c>
      <x:c r="M18" s="2" t="n">
        <x:f>MAX($D17:M17)</x:f>
        <x:v>87185.84062008787</x:v>
      </x:c>
      <x:c r="N18" s="2" t="n">
        <x:f>MAX($D17:N17)</x:f>
        <x:v>87185.84062008787</x:v>
      </x:c>
      <x:c r="O18" s="2" t="n">
        <x:f>MAX($D17:O17)</x:f>
        <x:v>87921.6035481157</x:v>
      </x:c>
      <x:c r="P18" s="2" t="n">
        <x:f>MAX($D17:P17)</x:f>
        <x:v>97160.86677799151</x:v>
      </x:c>
      <x:c r="Q18" s="2" t="n">
        <x:f>MAX($D17:Q17)</x:f>
        <x:v>97908.33052985821</x:v>
      </x:c>
      <x:c r="R18" s="2" t="n">
        <x:f>MAX($D17:R17)</x:f>
        <x:v>97908.33052985821</x:v>
      </x:c>
      <x:c r="S18" s="2" t="n">
        <x:f>MAX($D17:S17)</x:f>
        <x:v>97908.33052985821</x:v>
      </x:c>
      <x:c r="T18" s="2" t="n">
        <x:f>MAX($D17:T17)</x:f>
        <x:v>97908.33052985821</x:v>
      </x:c>
      <x:c r="U18" s="2" t="n">
        <x:f>MAX($D17:U17)</x:f>
        <x:v>97908.33052985821</x:v>
      </x:c>
      <x:c r="V18" s="2" t="n">
        <x:f>MAX($D17:V17)</x:f>
        <x:v>97908.33052985821</x:v>
      </x:c>
      <x:c r="W18" s="2" t="n">
        <x:f>MAX($D17:W17)</x:f>
        <x:v>97908.33052985821</x:v>
      </x:c>
      <x:c r="X18" s="2" t="n">
        <x:f>MAX($D17:X17)</x:f>
        <x:v>97908.33052985821</x:v>
      </x:c>
      <x:c r="Y18" s="2" t="n">
        <x:f>MAX($D17:Y17)</x:f>
        <x:v>97908.33052985821</x:v>
      </x:c>
      <x:c r="Z18" s="2" t="n">
        <x:f>MAX($D17:Z17)</x:f>
        <x:v>97908.33052985821</x:v>
      </x:c>
      <x:c r="AA18" s="2" t="n">
        <x:f>MAX($D17:AA17)</x:f>
        <x:v>97908.33052985821</x:v>
      </x:c>
      <x:c r="AB18" s="2" t="n">
        <x:f>MAX($D17:AB17)</x:f>
        <x:v>98501.66440499052</x:v>
      </x:c>
      <x:c r="AC18" s="2" t="n">
        <x:f>MAX($D17:AC17)</x:f>
        <x:v>101146.35696049928</x:v>
      </x:c>
      <x:c r="AD18" s="2" t="n">
        <x:f>MAX($D17:AD17)</x:f>
        <x:v>101146.35696049928</x:v>
      </x:c>
      <x:c r="AE18" s="2" t="n">
        <x:f>MAX($D17:AE17)</x:f>
        <x:v>101146.35696049928</x:v>
      </x:c>
      <x:c r="AF18" s="2" t="n">
        <x:f>MAX($D17:AF17)</x:f>
        <x:v>101146.35696049928</x:v>
      </x:c>
      <x:c r="AG18" s="2" t="n">
        <x:f>MAX($D17:AG17)</x:f>
        <x:v>101146.35696049928</x:v>
      </x:c>
      <x:c r="AH18" s="2" t="n">
        <x:f>MAX($D17:AH17)</x:f>
        <x:v>101146.35696049928</x:v>
      </x:c>
      <x:c r="AI18" s="2" t="n">
        <x:f>MAX($D17:AI17)</x:f>
        <x:v>101146.35696049928</x:v>
      </x:c>
      <x:c r="AJ18" s="2" t="n">
        <x:f>MAX($D17:AJ17)</x:f>
        <x:v>101146.35696049928</x:v>
      </x:c>
      <x:c r="AK18" s="2" t="n">
        <x:f>MAX($D17:AK17)</x:f>
        <x:v>101146.35696049928</x:v>
      </x:c>
      <x:c r="AL18" s="2" t="n">
        <x:f>MAX($D17:AL17)</x:f>
        <x:v>101146.35696049928</x:v>
      </x:c>
      <x:c r="AM18" s="2" t="n">
        <x:f>MAX($D17:AM17)</x:f>
        <x:v>101146.35696049928</x:v>
      </x:c>
      <x:c r="AN18" s="2"/>
    </x:row>
    <x:row r="19" ht="21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21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21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21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21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21" customHeight="1">
      <x:c r="A24" s="1"/>
      <x:c r="B24" s="1"/>
      <x:c r="C24" s="1" t="str">
        <x:v>Pre-opening personal cash carry total</x:v>
      </x:c>
      <x:c r="D24" s="11" t="n">
        <x:f>'Startup'!E42*'Assumptions'!$D$26/12*'Assumptions'!$D$48+2*'Assumptions'!$D$30+'Assumptions'!$D$48*(2*'Assumptions'!$D$28+'Startup'!E42/1000*'Assumptions'!$D$29)</x:f>
        <x:v>45264.969750000004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21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21" customHeight="1">
      <x:c r="A26" s="1"/>
      <x:c r="B26" s="1"/>
      <x:c r="C26" s="1" t="str">
        <x:v>Loan capacity gap per person</x:v>
      </x:c>
      <x:c r="D26" s="11" t="n">
        <x:f>MAX(0,'Startup'!E43-'Assumptions'!$D$49)</x:f>
        <x:v>195820.125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21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21" customHeight="1">
      <x:c r="A28" s="1"/>
      <x:c r="B28" s="1"/>
      <x:c r="C28" s="1" t="str">
        <x:v>Affordability status</x:v>
      </x:c>
      <x:c r="D28" s="11" t="str">
        <x:f>IF(ISBLANK('Assumptions'!$D$61),"UNDECIDED","COMPARE WITH SHORTFALL")</x:f>
        <x:v>UNDECIDED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21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21" customHeight="1">
      <x:c r="A31" s="1"/>
      <x:c r="B31" s="1"/>
      <x:c r="C31" s="1" t="str">
        <x:v>Personal income tax on interest and any borrowing-cost deduction are excluded. Net personal position needs individual tax review.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21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21" customHeight="1">
      <x:c r="A33" s="1"/>
      <x:c r="B33" s="1"/>
      <x:c r="C33" s="1" t="str">
        <x:v>Personal borrowing is a capacity illustration, not an approved facility. No additional funding source is assumed.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21" customHeight="1">
      <x:c r="A35" s="1"/>
      <x:c r="B35" s="1"/>
      <x:c r="C35" s="1" t="str">
        <x:v>Bank loan follows 60-month amortisation by default; remaining balance at month 36 is shown, not forgiven.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21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</x:row>
    <x:row r="2" ht="21" customHeight="1">
      <x:c r="A2" s="1"/>
      <x:c r="B2" s="1"/>
      <x:c r="C2" s="3" t="str">
        <x:v>Review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</x:row>
    <x:row r="3" ht="21" customHeight="1">
      <x:c r="A3" s="1"/>
      <x:c r="B3" s="1"/>
      <x:c r="C3" s="4"/>
      <x:c r="D3" s="23" t="str">
        <x:f>INDEX('Assumptions'!$E$6:$G$6,1,'Assumptions'!$D$4)</x:f>
        <x:v>Expected</x:v>
      </x:c>
      <x:c r="E3" s="4"/>
      <x:c r="F3" s="4"/>
      <x:c r="G3" s="4"/>
      <x:c r="H3" s="4"/>
      <x:c r="I3" s="4"/>
      <x:c r="J3" s="4"/>
      <x:c r="K3" s="4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</x:row>
    <x:row r="5" ht="21" customHeight="1">
      <x:c r="A5" s="1"/>
      <x:c r="B5" s="1"/>
      <x:c r="C5" s="1" t="str">
        <x:v>Check</x:v>
      </x:c>
      <x:c r="D5" s="1" t="str">
        <x:v>Difference / result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</x:row>
    <x:row r="6" ht="21" customHeight="1">
      <x:c r="A6" s="1"/>
      <x:c r="B6" s="1"/>
      <x:c r="C6" s="1" t="str">
        <x:v>Drink mix equals 100%</x:v>
      </x:c>
      <x:c r="D6" s="21" t="n">
        <x:f>'Menu economics'!D16-1</x:f>
        <x:v>0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21" customHeight="1">
      <x:c r="A7" s="1"/>
      <x:c r="B7" s="1"/>
      <x:c r="C7" s="1" t="str">
        <x:v>Seasonality mean equals 1</x:v>
      </x:c>
      <x:c r="D7" s="21" t="n">
        <x:f>AVERAGE('Assumptions'!D66:D77)-1</x:f>
        <x:v>-1.1102230246251565e-16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21" customHeight="1">
      <x:c r="A8" s="1"/>
      <x:c r="B8" s="1"/>
      <x:c r="C8" s="1" t="str">
        <x:v>Maximum balance sheet difference</x:v>
      </x:c>
      <x:c r="D8" s="21" t="n">
        <x:f>MAX('Monthly forecast'!D65:AM65)</x:f>
        <x:v>6.984919309616089e-10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</x:row>
    <x:row r="9" ht="21" customHeight="1">
      <x:c r="A9" s="1"/>
      <x:c r="B9" s="1"/>
      <x:c r="C9" s="1" t="str">
        <x:v>Minimum balance sheet difference</x:v>
      </x:c>
      <x:c r="D9" s="21" t="n">
        <x:f>MIN('Monthly forecast'!D65:AM65)</x:f>
        <x:v>-1.1641532182693481e-10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</x:row>
    <x:row r="10" ht="21" customHeight="1">
      <x:c r="A10" s="1"/>
      <x:c r="B10" s="1"/>
      <x:c r="C10" s="1" t="str">
        <x:v>Founder principal roll-forward</x:v>
      </x:c>
      <x:c r="D10" s="21" t="n">
        <x:f>'Startup'!E42-SUM('Monthly forecast'!D49:AM49)-'Monthly forecast'!AM51</x:f>
        <x:v>-1.4551915228366852e-10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</x:row>
    <x:row r="11" ht="21" customHeight="1">
      <x:c r="A11" s="1"/>
      <x:c r="B11" s="1"/>
      <x:c r="C11" s="1" t="str">
        <x:v>Personal debt roll-forward</x:v>
      </x:c>
      <x:c r="D11" s="21" t="n">
        <x:f>'Startup'!E42-SUM('Funding'!D9:AM9)-'Funding'!AM10</x:f>
        <x:v>-1.1641532182693481e-10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</x:row>
    <x:row r="12" ht="21" customHeight="1">
      <x:c r="A12" s="1"/>
      <x:c r="B12" s="1"/>
      <x:c r="C12" s="1" t="str">
        <x:v>Share funding split</x:v>
      </x:c>
      <x:c r="D12" s="21" t="n">
        <x:f>'Startup'!E43*2-'Startup'!E42</x:f>
        <x:v>0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</x:row>
    <x:row r="13" ht="21" customHeight="1">
      <x:c r="A13" s="1"/>
      <x:c r="B13" s="1"/>
      <x:c r="C13" s="1" t="str">
        <x:v>Minimum funded company cash</x:v>
      </x:c>
      <x:c r="D13" s="11" t="n">
        <x:f>MIN('Monthly forecast'!D54:AM54)</x:f>
        <x:v>162061.69519002555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21" customHeight="1">
      <x:c r="A14" s="1"/>
      <x:c r="B14" s="1"/>
      <x:c r="C14" s="1" t="str">
        <x:v>Unfunded extra equity requirement</x:v>
      </x:c>
      <x:c r="D14" s="11" t="n">
        <x:f>'Monthly forecast'!AM55</x:f>
        <x:v>0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21" customHeight="1">
      <x:c r="A15" s="1"/>
      <x:c r="B15" s="1"/>
      <x:c r="C15" s="1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21" customHeight="1">
      <x:c r="A16" s="1"/>
      <x:c r="B16" s="1"/>
      <x:c r="C16" s="1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21" customHeight="1">
      <x:c r="A17" s="1"/>
      <x:c r="B17" s="1"/>
      <x:c r="C17" s="1" t="str">
        <x:v>Funding not approved. Extra-equity need is a requirement, not an available facility.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21" customHeight="1">
      <x:c r="A18" s="1"/>
      <x:c r="B18" s="1"/>
      <x:c r="C18" s="1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21" customHeight="1">
      <x:c r="A19" s="1"/>
      <x:c r="B19" s="1"/>
      <x:c r="C19" s="1" t="str">
        <x:v>Forecast excludes personal interest-income tax, dividends and exit transactions.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21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21" customHeight="1">
      <x:c r="A21" s="1"/>
      <x:c r="B21" s="1"/>
      <x:c r="C21" s="1" t="str">
        <x:v>No full statutory VAT return or deferred-tax schedule. Verify tax timing, depreciation allowances and loss utilisation.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21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21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21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21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21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21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21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21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21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21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21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21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21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</x:row>
  </x:sheetData>
  <x:conditionalFormatting sqref="D6:D12">
    <x:cfRule type="cellIs" dxfId="0" priority="1" operator="notBetween">
      <x:formula>-0.01</x:formula>
      <x:formula>0.01</x:formula>
    </x:cfRule>
  </x:conditionalFormatting>
  <x:pageMargins left="0.7" right="0.7" top="0.75" bottom="0.75" header="0.3" footer="0.3"/>
</x:worksheet>
</file>