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g\Desktop\"/>
    </mc:Choice>
  </mc:AlternateContent>
  <xr:revisionPtr revIDLastSave="0" documentId="10_ncr:100000_{D16440C9-190B-4AA2-A1F9-801F70ACBCDD}" xr6:coauthVersionLast="31" xr6:coauthVersionMax="31" xr10:uidLastSave="{00000000-0000-0000-0000-000000000000}"/>
  <bookViews>
    <workbookView xWindow="0" yWindow="0" windowWidth="23040" windowHeight="8808" xr2:uid="{CF2219CD-F46E-4BAB-9FDF-811A3D9873BF}"/>
  </bookViews>
  <sheets>
    <sheet name=" VRTX Model" sheetId="3" r:id="rId1"/>
    <sheet name="Revenue Build" sheetId="2" r:id="rId2"/>
    <sheet name="Retail Sales" sheetId="4" r:id="rId3"/>
    <sheet name="Cost Calculator" sheetId="1" r:id="rId4"/>
    <sheet name="Computer Parts Build" sheetId="5" r:id="rId5"/>
  </sheets>
  <definedNames>
    <definedName name="avg_wk">'Cost Calculator'!$C$11</definedName>
    <definedName name="Bays">'Revenue Build'!$D$14</definedName>
    <definedName name="card_fee">'Cost Calculator'!$C$13</definedName>
    <definedName name="hr_mo">'Cost Calculator'!$C$10</definedName>
    <definedName name="hr_wk">'Cost Calculator'!$C$9</definedName>
    <definedName name="op_mo">'Cost Calculator'!$C$8</definedName>
    <definedName name="op_total">'Cost Calculator'!$C$12</definedName>
    <definedName name="op_wk">'Cost Calculator'!$C$9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F22" i="3"/>
  <c r="G22" i="3"/>
  <c r="H22" i="3"/>
  <c r="I22" i="3" s="1"/>
  <c r="J22" i="3" s="1"/>
  <c r="K22" i="3" s="1"/>
  <c r="L22" i="3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E33" i="3"/>
  <c r="F33" i="3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B35" i="3"/>
  <c r="C15" i="4" l="1"/>
  <c r="U48" i="2"/>
  <c r="U9" i="3" s="1"/>
  <c r="V48" i="2"/>
  <c r="V9" i="3" s="1"/>
  <c r="R48" i="2"/>
  <c r="R9" i="3" s="1"/>
  <c r="S48" i="2"/>
  <c r="S9" i="3" s="1"/>
  <c r="T48" i="2"/>
  <c r="T9" i="3" s="1"/>
  <c r="M48" i="2"/>
  <c r="M9" i="3" s="1"/>
  <c r="N48" i="2"/>
  <c r="N9" i="3" s="1"/>
  <c r="O48" i="2"/>
  <c r="O9" i="3" s="1"/>
  <c r="P48" i="2"/>
  <c r="P9" i="3" s="1"/>
  <c r="Q48" i="2"/>
  <c r="Q9" i="3" s="1"/>
  <c r="E12" i="4"/>
  <c r="M12" i="4" s="1"/>
  <c r="M31" i="5"/>
  <c r="M18" i="5"/>
  <c r="E11" i="4" s="1"/>
  <c r="M11" i="4" s="1"/>
  <c r="O11" i="4" l="1"/>
  <c r="S11" i="4" s="1"/>
  <c r="B3" i="5" s="1"/>
  <c r="O12" i="4"/>
  <c r="S12" i="4" s="1"/>
  <c r="Q12" i="4"/>
  <c r="Q11" i="4"/>
  <c r="D11" i="2"/>
  <c r="M6" i="4"/>
  <c r="Q6" i="4" s="1"/>
  <c r="G16" i="4" l="1"/>
  <c r="U6" i="4"/>
  <c r="I31" i="2"/>
  <c r="I48" i="2"/>
  <c r="I9" i="3" s="1"/>
  <c r="J48" i="2"/>
  <c r="J9" i="3" s="1"/>
  <c r="K48" i="2"/>
  <c r="K9" i="3" s="1"/>
  <c r="L48" i="2"/>
  <c r="L9" i="3" s="1"/>
  <c r="H48" i="2"/>
  <c r="H9" i="3" s="1"/>
  <c r="D13" i="2"/>
  <c r="G19" i="2" s="1"/>
  <c r="D18" i="2"/>
  <c r="E47" i="2"/>
  <c r="F47" i="2" s="1"/>
  <c r="D27" i="2"/>
  <c r="D28" i="2" s="1"/>
  <c r="D29" i="2" s="1"/>
  <c r="F25" i="2"/>
  <c r="E25" i="2"/>
  <c r="J18" i="2"/>
  <c r="I18" i="2"/>
  <c r="H18" i="2"/>
  <c r="G18" i="2"/>
  <c r="F18" i="2"/>
  <c r="E18" i="2"/>
  <c r="J47" i="1"/>
  <c r="E53" i="1"/>
  <c r="J28" i="1"/>
  <c r="C9" i="1"/>
  <c r="J31" i="1" s="1"/>
  <c r="K20" i="3" l="1"/>
  <c r="L20" i="3"/>
  <c r="O20" i="3"/>
  <c r="E20" i="3"/>
  <c r="R20" i="3"/>
  <c r="P20" i="3"/>
  <c r="Q20" i="3"/>
  <c r="F20" i="3"/>
  <c r="G20" i="3"/>
  <c r="S20" i="3"/>
  <c r="H20" i="3"/>
  <c r="T20" i="3"/>
  <c r="M20" i="3"/>
  <c r="N20" i="3"/>
  <c r="I20" i="3"/>
  <c r="U20" i="3"/>
  <c r="J20" i="3"/>
  <c r="V20" i="3"/>
  <c r="D37" i="2"/>
  <c r="D36" i="2" s="1"/>
  <c r="E6" i="3"/>
  <c r="I6" i="3"/>
  <c r="M6" i="3"/>
  <c r="Q6" i="3"/>
  <c r="U6" i="3"/>
  <c r="F6" i="3"/>
  <c r="J6" i="3"/>
  <c r="N6" i="3"/>
  <c r="R6" i="3"/>
  <c r="V6" i="3"/>
  <c r="H6" i="3"/>
  <c r="P6" i="3"/>
  <c r="G6" i="3"/>
  <c r="K6" i="3"/>
  <c r="O6" i="3"/>
  <c r="S6" i="3"/>
  <c r="L6" i="3"/>
  <c r="T6" i="3"/>
  <c r="E48" i="2"/>
  <c r="G47" i="2"/>
  <c r="G20" i="2"/>
  <c r="D19" i="2"/>
  <c r="D20" i="2" s="1"/>
  <c r="H19" i="2"/>
  <c r="H20" i="2" s="1"/>
  <c r="F19" i="2"/>
  <c r="F20" i="2" s="1"/>
  <c r="J19" i="2"/>
  <c r="J20" i="2" s="1"/>
  <c r="E19" i="2"/>
  <c r="E20" i="2" s="1"/>
  <c r="I19" i="2"/>
  <c r="I20" i="2" s="1"/>
  <c r="J30" i="1"/>
  <c r="E44" i="1"/>
  <c r="J43" i="1"/>
  <c r="E34" i="1"/>
  <c r="C12" i="1"/>
  <c r="C10" i="1"/>
  <c r="J20" i="1" s="1"/>
  <c r="E19" i="3" l="1"/>
  <c r="Q19" i="3"/>
  <c r="F19" i="3"/>
  <c r="S19" i="3"/>
  <c r="I19" i="3"/>
  <c r="U19" i="3"/>
  <c r="G19" i="3"/>
  <c r="J19" i="3"/>
  <c r="V19" i="3"/>
  <c r="L19" i="3"/>
  <c r="K19" i="3"/>
  <c r="H19" i="3"/>
  <c r="M19" i="3"/>
  <c r="T19" i="3"/>
  <c r="N19" i="3"/>
  <c r="O19" i="3"/>
  <c r="P19" i="3"/>
  <c r="R19" i="3"/>
  <c r="F48" i="2"/>
  <c r="F9" i="3" s="1"/>
  <c r="E9" i="3"/>
  <c r="D22" i="2"/>
  <c r="H47" i="2"/>
  <c r="J44" i="1"/>
  <c r="D31" i="2" l="1"/>
  <c r="D32" i="2" s="1"/>
  <c r="K5" i="3"/>
  <c r="K8" i="3" s="1"/>
  <c r="K10" i="3" s="1"/>
  <c r="L5" i="3"/>
  <c r="L8" i="3" s="1"/>
  <c r="L10" i="3" s="1"/>
  <c r="O5" i="3"/>
  <c r="O8" i="3" s="1"/>
  <c r="O10" i="3" s="1"/>
  <c r="R5" i="3"/>
  <c r="R8" i="3" s="1"/>
  <c r="R10" i="3" s="1"/>
  <c r="P5" i="3"/>
  <c r="P8" i="3" s="1"/>
  <c r="P10" i="3" s="1"/>
  <c r="F5" i="3"/>
  <c r="F8" i="3" s="1"/>
  <c r="F10" i="3" s="1"/>
  <c r="E5" i="3"/>
  <c r="E8" i="3" s="1"/>
  <c r="E10" i="3" s="1"/>
  <c r="Q5" i="3"/>
  <c r="Q8" i="3" s="1"/>
  <c r="Q10" i="3" s="1"/>
  <c r="M5" i="3"/>
  <c r="M8" i="3" s="1"/>
  <c r="M10" i="3" s="1"/>
  <c r="N5" i="3"/>
  <c r="N8" i="3" s="1"/>
  <c r="N10" i="3" s="1"/>
  <c r="G5" i="3"/>
  <c r="G8" i="3" s="1"/>
  <c r="G10" i="3" s="1"/>
  <c r="S5" i="3"/>
  <c r="S8" i="3" s="1"/>
  <c r="S10" i="3" s="1"/>
  <c r="H5" i="3"/>
  <c r="H8" i="3" s="1"/>
  <c r="H10" i="3" s="1"/>
  <c r="T5" i="3"/>
  <c r="T8" i="3" s="1"/>
  <c r="T10" i="3" s="1"/>
  <c r="I5" i="3"/>
  <c r="I8" i="3" s="1"/>
  <c r="I10" i="3" s="1"/>
  <c r="U5" i="3"/>
  <c r="U8" i="3" s="1"/>
  <c r="U10" i="3" s="1"/>
  <c r="J5" i="3"/>
  <c r="J8" i="3" s="1"/>
  <c r="J10" i="3" s="1"/>
  <c r="V5" i="3"/>
  <c r="V8" i="3" s="1"/>
  <c r="V10" i="3" s="1"/>
  <c r="G48" i="2"/>
  <c r="G9" i="3" s="1"/>
  <c r="I47" i="2"/>
  <c r="J34" i="1"/>
  <c r="J59" i="1" s="1"/>
  <c r="J58" i="1" s="1"/>
  <c r="E29" i="1"/>
  <c r="E20" i="1" s="1"/>
  <c r="E64" i="1" s="1"/>
  <c r="D34" i="3" s="1"/>
  <c r="D36" i="3" s="1"/>
  <c r="D37" i="3" s="1"/>
  <c r="I11" i="3" l="1"/>
  <c r="I16" i="3"/>
  <c r="T11" i="3"/>
  <c r="T16" i="3"/>
  <c r="L11" i="3"/>
  <c r="H11" i="3"/>
  <c r="K16" i="3"/>
  <c r="K11" i="3"/>
  <c r="S11" i="3"/>
  <c r="G11" i="3"/>
  <c r="G16" i="3"/>
  <c r="N11" i="3"/>
  <c r="N16" i="3"/>
  <c r="K13" i="3"/>
  <c r="K14" i="3" s="1"/>
  <c r="O13" i="3"/>
  <c r="O14" i="3" s="1"/>
  <c r="Q13" i="3"/>
  <c r="Q14" i="3" s="1"/>
  <c r="F13" i="3"/>
  <c r="F14" i="3" s="1"/>
  <c r="R13" i="3"/>
  <c r="R14" i="3" s="1"/>
  <c r="P13" i="3"/>
  <c r="P14" i="3" s="1"/>
  <c r="E13" i="3"/>
  <c r="E14" i="3" s="1"/>
  <c r="G13" i="3"/>
  <c r="G14" i="3" s="1"/>
  <c r="S13" i="3"/>
  <c r="S14" i="3" s="1"/>
  <c r="M13" i="3"/>
  <c r="M14" i="3" s="1"/>
  <c r="N13" i="3"/>
  <c r="N14" i="3" s="1"/>
  <c r="H13" i="3"/>
  <c r="H14" i="3" s="1"/>
  <c r="T13" i="3"/>
  <c r="T14" i="3" s="1"/>
  <c r="L13" i="3"/>
  <c r="L14" i="3" s="1"/>
  <c r="I13" i="3"/>
  <c r="I14" i="3" s="1"/>
  <c r="U13" i="3"/>
  <c r="U14" i="3" s="1"/>
  <c r="J13" i="3"/>
  <c r="J14" i="3" s="1"/>
  <c r="V13" i="3"/>
  <c r="V14" i="3" s="1"/>
  <c r="Q11" i="3"/>
  <c r="Q16" i="3"/>
  <c r="F11" i="3"/>
  <c r="F16" i="3"/>
  <c r="O11" i="3"/>
  <c r="O16" i="3"/>
  <c r="M11" i="3"/>
  <c r="J11" i="3"/>
  <c r="J16" i="3"/>
  <c r="P16" i="3"/>
  <c r="P11" i="3"/>
  <c r="V11" i="3"/>
  <c r="U11" i="3"/>
  <c r="U16" i="3"/>
  <c r="R16" i="3"/>
  <c r="R11" i="3"/>
  <c r="J60" i="1"/>
  <c r="J47" i="2"/>
  <c r="R24" i="3" l="1"/>
  <c r="R27" i="3" s="1"/>
  <c r="R29" i="3" s="1"/>
  <c r="R30" i="3" s="1"/>
  <c r="R17" i="3"/>
  <c r="T24" i="3"/>
  <c r="T27" i="3" s="1"/>
  <c r="T29" i="3" s="1"/>
  <c r="T35" i="3" s="1"/>
  <c r="T17" i="3"/>
  <c r="F17" i="3"/>
  <c r="F24" i="3"/>
  <c r="I24" i="3"/>
  <c r="I17" i="3"/>
  <c r="V16" i="3"/>
  <c r="Q24" i="3"/>
  <c r="Q17" i="3"/>
  <c r="S16" i="3"/>
  <c r="G24" i="3"/>
  <c r="G27" i="3" s="1"/>
  <c r="G29" i="3" s="1"/>
  <c r="G35" i="3" s="1"/>
  <c r="G17" i="3"/>
  <c r="P24" i="3"/>
  <c r="P27" i="3" s="1"/>
  <c r="P29" i="3" s="1"/>
  <c r="P30" i="3" s="1"/>
  <c r="P17" i="3"/>
  <c r="H16" i="3"/>
  <c r="E16" i="3"/>
  <c r="O24" i="3"/>
  <c r="O27" i="3" s="1"/>
  <c r="O29" i="3" s="1"/>
  <c r="O35" i="3" s="1"/>
  <c r="O17" i="3"/>
  <c r="N17" i="3"/>
  <c r="N24" i="3"/>
  <c r="N27" i="3" s="1"/>
  <c r="N29" i="3" s="1"/>
  <c r="N30" i="3" s="1"/>
  <c r="U17" i="3"/>
  <c r="U24" i="3"/>
  <c r="U27" i="3" s="1"/>
  <c r="U29" i="3" s="1"/>
  <c r="U30" i="3" s="1"/>
  <c r="J17" i="3"/>
  <c r="J24" i="3"/>
  <c r="K24" i="3"/>
  <c r="K27" i="3" s="1"/>
  <c r="K29" i="3" s="1"/>
  <c r="K35" i="3" s="1"/>
  <c r="K17" i="3"/>
  <c r="M16" i="3"/>
  <c r="L16" i="3"/>
  <c r="K47" i="2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O30" i="3" l="1"/>
  <c r="R35" i="3"/>
  <c r="T30" i="3"/>
  <c r="P35" i="3"/>
  <c r="K30" i="3"/>
  <c r="G30" i="3"/>
  <c r="Q27" i="3"/>
  <c r="Q29" i="3" s="1"/>
  <c r="V17" i="3"/>
  <c r="V24" i="3"/>
  <c r="L24" i="3"/>
  <c r="L27" i="3" s="1"/>
  <c r="L29" i="3" s="1"/>
  <c r="L17" i="3"/>
  <c r="E17" i="3"/>
  <c r="E24" i="3"/>
  <c r="E27" i="3" s="1"/>
  <c r="E29" i="3" s="1"/>
  <c r="F27" i="3"/>
  <c r="F29" i="3" s="1"/>
  <c r="I27" i="3"/>
  <c r="I29" i="3" s="1"/>
  <c r="N35" i="3"/>
  <c r="M24" i="3"/>
  <c r="M17" i="3"/>
  <c r="H24" i="3"/>
  <c r="H27" i="3" s="1"/>
  <c r="H29" i="3" s="1"/>
  <c r="H17" i="3"/>
  <c r="U35" i="3"/>
  <c r="S24" i="3"/>
  <c r="S27" i="3" s="1"/>
  <c r="S29" i="3" s="1"/>
  <c r="S17" i="3"/>
  <c r="J27" i="3"/>
  <c r="J29" i="3" s="1"/>
  <c r="I35" i="3" l="1"/>
  <c r="I30" i="3"/>
  <c r="J35" i="3"/>
  <c r="J30" i="3"/>
  <c r="F30" i="3"/>
  <c r="F35" i="3"/>
  <c r="E30" i="3"/>
  <c r="E35" i="3"/>
  <c r="E36" i="3" s="1"/>
  <c r="S30" i="3"/>
  <c r="S35" i="3"/>
  <c r="L35" i="3"/>
  <c r="L30" i="3"/>
  <c r="H35" i="3"/>
  <c r="H30" i="3"/>
  <c r="V27" i="3"/>
  <c r="V29" i="3" s="1"/>
  <c r="M27" i="3"/>
  <c r="M29" i="3" s="1"/>
  <c r="Q30" i="3"/>
  <c r="Q35" i="3"/>
  <c r="M35" i="3" l="1"/>
  <c r="M30" i="3"/>
  <c r="V30" i="3"/>
  <c r="V35" i="3"/>
  <c r="E37" i="3"/>
  <c r="F36" i="3"/>
  <c r="G36" i="3" l="1"/>
  <c r="F37" i="3"/>
  <c r="H36" i="3" l="1"/>
  <c r="G37" i="3"/>
  <c r="I36" i="3" l="1"/>
  <c r="H37" i="3"/>
  <c r="I37" i="3" l="1"/>
  <c r="J36" i="3"/>
  <c r="J37" i="3" l="1"/>
  <c r="K36" i="3"/>
  <c r="L36" i="3" l="1"/>
  <c r="K37" i="3"/>
  <c r="L37" i="3" l="1"/>
  <c r="M36" i="3"/>
  <c r="M37" i="3" l="1"/>
  <c r="N36" i="3"/>
  <c r="N37" i="3" l="1"/>
  <c r="O36" i="3"/>
  <c r="P36" i="3" l="1"/>
  <c r="O37" i="3"/>
  <c r="Q36" i="3" l="1"/>
  <c r="P37" i="3"/>
  <c r="C39" i="3" s="1"/>
  <c r="Q37" i="3" l="1"/>
  <c r="R36" i="3"/>
  <c r="R37" i="3" l="1"/>
  <c r="S36" i="3"/>
  <c r="S37" i="3" l="1"/>
  <c r="T36" i="3"/>
  <c r="U36" i="3" l="1"/>
  <c r="T37" i="3"/>
  <c r="V36" i="3" l="1"/>
  <c r="V37" i="3" s="1"/>
  <c r="U37" i="3"/>
</calcChain>
</file>

<file path=xl/sharedStrings.xml><?xml version="1.0" encoding="utf-8"?>
<sst xmlns="http://schemas.openxmlformats.org/spreadsheetml/2006/main" count="225" uniqueCount="200">
  <si>
    <t>Pop-Up Cost Calculator</t>
  </si>
  <si>
    <t>Cost per VR Unit</t>
  </si>
  <si>
    <t>Computer</t>
  </si>
  <si>
    <t>VR Hardware</t>
  </si>
  <si>
    <t>Input Devices</t>
  </si>
  <si>
    <t>Speakers</t>
  </si>
  <si>
    <t>Display</t>
  </si>
  <si>
    <t>Accessories</t>
  </si>
  <si>
    <t>Num Units</t>
  </si>
  <si>
    <t>VR Units</t>
  </si>
  <si>
    <t>Point of Sales (Square Reader)</t>
  </si>
  <si>
    <t>Contactless / chip reader</t>
  </si>
  <si>
    <t xml:space="preserve">ipod (mobile register) </t>
  </si>
  <si>
    <t>ipad (main register)</t>
  </si>
  <si>
    <t>Square Subscription /mo</t>
  </si>
  <si>
    <t>Backup mobile hotspot /mo</t>
  </si>
  <si>
    <t>Rent + Utilities</t>
  </si>
  <si>
    <t>op_mo</t>
  </si>
  <si>
    <t>avg_wk</t>
  </si>
  <si>
    <t>op_total</t>
  </si>
  <si>
    <t>months</t>
  </si>
  <si>
    <t>hours</t>
  </si>
  <si>
    <t>weeks</t>
  </si>
  <si>
    <t>Hours open per month</t>
  </si>
  <si>
    <t>Duration of business operation in months</t>
  </si>
  <si>
    <t>Total hours of operation over pop-up duration</t>
  </si>
  <si>
    <t>Average number of weeks in a month</t>
  </si>
  <si>
    <t>Global Variables</t>
  </si>
  <si>
    <t>card_fee</t>
  </si>
  <si>
    <t>dollars</t>
  </si>
  <si>
    <t>% of each transaction due to Square Reader co.</t>
  </si>
  <si>
    <t>cons_tax</t>
  </si>
  <si>
    <t>Sales tax added to customer's total</t>
  </si>
  <si>
    <t>**only change gray values**</t>
  </si>
  <si>
    <t>Useful Shortcuts:</t>
  </si>
  <si>
    <t>To See Calculation</t>
  </si>
  <si>
    <t>"F2"</t>
  </si>
  <si>
    <t>To Trace Calculation</t>
  </si>
  <si>
    <t>"Ctl + ["</t>
  </si>
  <si>
    <t>To Return to Cell</t>
  </si>
  <si>
    <t>F5 + Enter</t>
  </si>
  <si>
    <t>To add Row</t>
  </si>
  <si>
    <t>Alt,H,I,R</t>
  </si>
  <si>
    <t>To add Column</t>
  </si>
  <si>
    <t>Alt,H,I,C</t>
  </si>
  <si>
    <t>To go to Tab Left or Right</t>
  </si>
  <si>
    <t>"CTL + Page Up (down)"</t>
  </si>
  <si>
    <t>Wattage per VR Computer</t>
  </si>
  <si>
    <t>Wattage Per Display</t>
  </si>
  <si>
    <t>Hours open per week</t>
  </si>
  <si>
    <t>hr_wk</t>
  </si>
  <si>
    <t>hr_mo</t>
  </si>
  <si>
    <t>Cost per kWh</t>
  </si>
  <si>
    <t xml:space="preserve">Total wattage </t>
  </si>
  <si>
    <t>Rent /mo</t>
  </si>
  <si>
    <t>kWh /mo</t>
  </si>
  <si>
    <t>Construction / Furnishing</t>
  </si>
  <si>
    <t>Couch</t>
  </si>
  <si>
    <t xml:space="preserve">special lighting (LED strips) </t>
  </si>
  <si>
    <t xml:space="preserve">Barriers </t>
  </si>
  <si>
    <t>Employees</t>
  </si>
  <si>
    <t>Wage /hr</t>
  </si>
  <si>
    <t>Income taxes are to be withheld from wage</t>
  </si>
  <si>
    <t>Hours /wk per paid employee*</t>
  </si>
  <si>
    <t>Employees Hired</t>
  </si>
  <si>
    <t xml:space="preserve">Avg. paid labor /hr </t>
  </si>
  <si>
    <t>Avg staffing /hr</t>
  </si>
  <si>
    <t>Total hours /wk by owners</t>
  </si>
  <si>
    <t>Insurance /mo</t>
  </si>
  <si>
    <t>Incorporation</t>
  </si>
  <si>
    <t>Initial Costs</t>
  </si>
  <si>
    <t>Other Initial Costs</t>
  </si>
  <si>
    <t>Webpage/mo</t>
  </si>
  <si>
    <t>Operational Costs /mo</t>
  </si>
  <si>
    <t>Operational Costs /lease</t>
  </si>
  <si>
    <t>Total Initial Costs</t>
  </si>
  <si>
    <t>Mon</t>
  </si>
  <si>
    <t>Tues</t>
  </si>
  <si>
    <t>Wed</t>
  </si>
  <si>
    <t>Thur</t>
  </si>
  <si>
    <t>Friday</t>
  </si>
  <si>
    <t>Sat</t>
  </si>
  <si>
    <t>Sun</t>
  </si>
  <si>
    <t>Note: Steady state</t>
  </si>
  <si>
    <t>Case</t>
  </si>
  <si>
    <t>Price/Hr</t>
  </si>
  <si>
    <t>Scenario</t>
  </si>
  <si>
    <t>Price Scenario Manager</t>
  </si>
  <si>
    <t>Lowest</t>
  </si>
  <si>
    <t>Expected</t>
  </si>
  <si>
    <t>Highest</t>
  </si>
  <si>
    <t>Extra Case</t>
  </si>
  <si>
    <t>Revenue Ramp</t>
  </si>
  <si>
    <t>Mid level of Revenue Ramp</t>
  </si>
  <si>
    <t>% of Peak Business</t>
  </si>
  <si>
    <t xml:space="preserve">Sat </t>
  </si>
  <si>
    <t>Sunday</t>
  </si>
  <si>
    <t>Pop-Up Revenue Build</t>
  </si>
  <si>
    <t>Visitors /hr</t>
  </si>
  <si>
    <t>Hours /day</t>
  </si>
  <si>
    <t>Mon-Thurs</t>
  </si>
  <si>
    <t>Average Visitors / wk</t>
  </si>
  <si>
    <t>Mall Hours</t>
  </si>
  <si>
    <t>% of max volume expected</t>
  </si>
  <si>
    <t>Hourly Capacity Per Unit</t>
  </si>
  <si>
    <t>Total Capacity per hour</t>
  </si>
  <si>
    <t>Number of VR Units</t>
  </si>
  <si>
    <t>Total Visitors /day</t>
  </si>
  <si>
    <t>VR games</t>
  </si>
  <si>
    <t>Projection Model</t>
  </si>
  <si>
    <t>Steady Revenue Per Month</t>
  </si>
  <si>
    <t>% of Steady</t>
  </si>
  <si>
    <t>% Growth</t>
  </si>
  <si>
    <t>% Margin</t>
  </si>
  <si>
    <t>Gross Profit Margin %</t>
  </si>
  <si>
    <t>Less: Operating Costs</t>
  </si>
  <si>
    <t>Operating Profit (EBIT)</t>
  </si>
  <si>
    <t>Tax Rate</t>
  </si>
  <si>
    <t>Less: Taxes</t>
  </si>
  <si>
    <t>Net Income (Profit after tax)</t>
  </si>
  <si>
    <t>Start up Cost</t>
  </si>
  <si>
    <t>Cumulative (Loss)/Profit</t>
  </si>
  <si>
    <t>Profitable?</t>
  </si>
  <si>
    <t>Price per Play</t>
  </si>
  <si>
    <t>Plays per week</t>
  </si>
  <si>
    <t>Other Variable Costs</t>
  </si>
  <si>
    <t>Variable Costs per Month</t>
  </si>
  <si>
    <t>VR Headset covers</t>
  </si>
  <si>
    <t>POS Fee</t>
  </si>
  <si>
    <t>After POS %fee</t>
  </si>
  <si>
    <t>VR Revenue per Month</t>
  </si>
  <si>
    <t xml:space="preserve">Revenue from Retail Sales </t>
  </si>
  <si>
    <t>Item</t>
  </si>
  <si>
    <t xml:space="preserve">Quantity </t>
  </si>
  <si>
    <t>Unit Price</t>
  </si>
  <si>
    <t>Order</t>
  </si>
  <si>
    <t>Total Price</t>
  </si>
  <si>
    <t>VR Headset</t>
  </si>
  <si>
    <t>Shipping</t>
  </si>
  <si>
    <t>Supplier</t>
  </si>
  <si>
    <t>Alibaba</t>
  </si>
  <si>
    <t>Sale price</t>
  </si>
  <si>
    <t>Unpaid labor /hr</t>
  </si>
  <si>
    <t>AMD Ryzen 5 1600 Processor with Wraith Spire Cooler (YD1600BBAEBOX)</t>
  </si>
  <si>
    <t>MSI Gaming AMD Ryzen B350 DDR4 VR Ready HDMI USB 3 CFX ATX Motherboard (B350 TOMAHAWK)</t>
  </si>
  <si>
    <t>Patriot Memory Viper Elite Series DDR4 16GB 2400MHz (PC4-19200) Single Module (Black/Grey) - PVE416G240C6GY</t>
  </si>
  <si>
    <t>WD Black 256GB Performance SSD - 8 Gb/s M.2 PCIe NVMe Solid State Drive - WDS256G1X0C</t>
  </si>
  <si>
    <t>Seagate 1TB BarraCuda SATA 6Gb/s 32MB Cache 3.5-Inch Internal Hard Drive (ST1000DM010)</t>
  </si>
  <si>
    <t>Corsair Carbide Series 270R - Mid-Tower ATX Case, Windowed Cases CC-9011105-WW</t>
  </si>
  <si>
    <t>EVGA 650 BQ, 80+ BRONZE 650W, Semi Modular, 5 Year Warranty, Includes FREE Power On Self Tester, Power Supply 110-BQ-0650-V1</t>
  </si>
  <si>
    <t>Microsoft Software | Windows 10 Home 64 Bit System Builder OEM | PC Disc</t>
  </si>
  <si>
    <t>EGC High-Performance Thermal Paste Compound for CPU Heatsinks - 4 Grams</t>
  </si>
  <si>
    <t>Total:</t>
  </si>
  <si>
    <t>ASUS GeForce GTX 1060 6GB Dual-fan OC Edition VR Ready Dual HDMI DP 1.4 Gaming Graphics Card (DUAL-GTX1060-O6G)</t>
  </si>
  <si>
    <t>Custom PC Parts Lists</t>
  </si>
  <si>
    <t>Price</t>
  </si>
  <si>
    <t>Intel BX80684I78700K 8th Gen Core i7-8700K Processor</t>
  </si>
  <si>
    <t>MSI Pro Series Intel Coffee Lake LGA 1151 VR Ready 64GB DDR4 CFX ATX Motherboard (Z370 PC PRO)</t>
  </si>
  <si>
    <t>Phanteks PH-EC416PSTG_BW Eclipse P400S Silent Edition with Tempered Glass, Black/White Cases</t>
  </si>
  <si>
    <t>EVGA 650 GQ, 80+ GOLD 650W, Semi Modular, EVGA ECO Mode, 5 Year Warranty, Power Supply 210-GQ-0650-V1</t>
  </si>
  <si>
    <t>Asus 24x DVD-RW Serial-ATA Internal OEM Optical Drive DRW-24B1ST (Black)</t>
  </si>
  <si>
    <t>Quantity</t>
  </si>
  <si>
    <t>VR-Ready 4k Gaming PC Build:</t>
  </si>
  <si>
    <t>Extreme Preformance VR-Ready 4k Gaming PC Build:</t>
  </si>
  <si>
    <t>ZOTAC ZT-P10810G-10P GeForce GTX 1080 Ti Mini 11GB Graphics Card</t>
  </si>
  <si>
    <t>*PCs built to order</t>
  </si>
  <si>
    <t>Unit Cost</t>
  </si>
  <si>
    <t>Markup</t>
  </si>
  <si>
    <t>Sale Price</t>
  </si>
  <si>
    <t>Labor (hrs)</t>
  </si>
  <si>
    <t>Cost of labor</t>
  </si>
  <si>
    <t>VR-Ready</t>
  </si>
  <si>
    <t>Extreme</t>
  </si>
  <si>
    <t>Profit /mo</t>
  </si>
  <si>
    <t>Profit per unit</t>
  </si>
  <si>
    <t>Profit /mo Calculations</t>
  </si>
  <si>
    <t>Total Projected Profit /month From PC sales</t>
  </si>
  <si>
    <t>Build-to-Order</t>
  </si>
  <si>
    <t>Type</t>
  </si>
  <si>
    <t>PCs Sold Per month</t>
  </si>
  <si>
    <t>Quantity Sold /mo</t>
  </si>
  <si>
    <t>Bulk Orders</t>
  </si>
  <si>
    <t>Weeks</t>
  </si>
  <si>
    <t>Weeks to Reach 50%</t>
  </si>
  <si>
    <t>Revenue per Week</t>
  </si>
  <si>
    <t>Variable Cost per Week</t>
  </si>
  <si>
    <t>VR Revenue per Week</t>
  </si>
  <si>
    <t>Retail Profit per Week</t>
  </si>
  <si>
    <t>Retail Profit per Month</t>
  </si>
  <si>
    <t>*See "Retail Sales" sheet</t>
  </si>
  <si>
    <t>Breakeven Week</t>
  </si>
  <si>
    <t>Gross Profit Margin (%)</t>
  </si>
  <si>
    <t>Structures</t>
  </si>
  <si>
    <t>OWN</t>
  </si>
  <si>
    <t>FREE</t>
  </si>
  <si>
    <t>Operational Costs /week</t>
  </si>
  <si>
    <t>Before POS %fee</t>
  </si>
  <si>
    <t>Total Retail Gross Profit Margin</t>
  </si>
  <si>
    <t>Gross Profit from VR per Week</t>
  </si>
  <si>
    <t>Gross Profit from Retail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</si>
</sst>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  <numFmt numFmtId="166" formatCode="&quot;Yes&quot;;&quot;No&quot;;&quot;No&quot;"/>
    <numFmt numFmtId="167" formatCode="&quot;$&quot;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E4EFF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applyFont="1"/>
    <xf numFmtId="0" fontId="0" fillId="0" borderId="3" xfId="0" applyBorder="1"/>
    <xf numFmtId="0" fontId="2" fillId="0" borderId="2" xfId="0" applyFont="1" applyBorder="1"/>
    <xf numFmtId="0" fontId="2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Fill="1" applyBorder="1"/>
    <xf numFmtId="0" fontId="0" fillId="0" borderId="4" xfId="0" applyBorder="1"/>
    <xf numFmtId="0" fontId="0" fillId="0" borderId="1" xfId="0" applyBorder="1"/>
    <xf numFmtId="0" fontId="2" fillId="0" borderId="8" xfId="0" applyFont="1" applyBorder="1"/>
    <xf numFmtId="0" fontId="0" fillId="0" borderId="0" xfId="0" applyFill="1" applyBorder="1"/>
    <xf numFmtId="0" fontId="2" fillId="0" borderId="10" xfId="0" applyFont="1" applyBorder="1"/>
    <xf numFmtId="0" fontId="0" fillId="0" borderId="10" xfId="0" applyBorder="1"/>
    <xf numFmtId="164" fontId="0" fillId="3" borderId="1" xfId="1" applyNumberFormat="1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44" fontId="0" fillId="3" borderId="1" xfId="1" applyFont="1" applyFill="1" applyBorder="1"/>
    <xf numFmtId="0" fontId="2" fillId="5" borderId="0" xfId="0" applyFont="1" applyFill="1" applyBorder="1" applyAlignment="1"/>
    <xf numFmtId="0" fontId="2" fillId="0" borderId="13" xfId="0" applyFont="1" applyFill="1" applyBorder="1"/>
    <xf numFmtId="0" fontId="0" fillId="0" borderId="10" xfId="0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ont="1"/>
    <xf numFmtId="44" fontId="0" fillId="4" borderId="1" xfId="1" applyFont="1" applyFill="1" applyBorder="1"/>
    <xf numFmtId="44" fontId="2" fillId="0" borderId="7" xfId="1" applyFont="1" applyBorder="1"/>
    <xf numFmtId="164" fontId="2" fillId="5" borderId="7" xfId="0" applyNumberFormat="1" applyFont="1" applyFill="1" applyBorder="1"/>
    <xf numFmtId="44" fontId="0" fillId="0" borderId="7" xfId="0" applyNumberFormat="1" applyBorder="1"/>
    <xf numFmtId="44" fontId="2" fillId="5" borderId="7" xfId="1" applyFont="1" applyFill="1" applyBorder="1"/>
    <xf numFmtId="0" fontId="0" fillId="0" borderId="0" xfId="0" applyFont="1" applyBorder="1"/>
    <xf numFmtId="44" fontId="0" fillId="4" borderId="1" xfId="1" applyNumberFormat="1" applyFont="1" applyFill="1" applyBorder="1"/>
    <xf numFmtId="0" fontId="0" fillId="4" borderId="1" xfId="0" applyFill="1" applyBorder="1"/>
    <xf numFmtId="0" fontId="0" fillId="0" borderId="0" xfId="0" applyFont="1" applyFill="1" applyBorder="1"/>
    <xf numFmtId="0" fontId="2" fillId="5" borderId="0" xfId="0" applyFont="1" applyFill="1" applyBorder="1" applyAlignment="1">
      <alignment horizontal="center" vertical="center"/>
    </xf>
    <xf numFmtId="0" fontId="0" fillId="5" borderId="1" xfId="0" applyFill="1" applyBorder="1"/>
    <xf numFmtId="164" fontId="2" fillId="5" borderId="1" xfId="0" applyNumberFormat="1" applyFont="1" applyFill="1" applyBorder="1"/>
    <xf numFmtId="0" fontId="2" fillId="0" borderId="14" xfId="0" applyFont="1" applyBorder="1"/>
    <xf numFmtId="0" fontId="0" fillId="0" borderId="14" xfId="0" applyBorder="1"/>
    <xf numFmtId="0" fontId="2" fillId="5" borderId="0" xfId="0" applyFont="1" applyFill="1" applyBorder="1" applyAlignment="1">
      <alignment horizontal="left" vertical="center"/>
    </xf>
    <xf numFmtId="44" fontId="0" fillId="4" borderId="15" xfId="1" applyFont="1" applyFill="1" applyBorder="1"/>
    <xf numFmtId="164" fontId="3" fillId="5" borderId="0" xfId="0" applyNumberFormat="1" applyFont="1" applyFill="1" applyBorder="1"/>
    <xf numFmtId="0" fontId="3" fillId="5" borderId="0" xfId="0" applyFont="1" applyFill="1" applyBorder="1"/>
    <xf numFmtId="44" fontId="0" fillId="6" borderId="7" xfId="0" applyNumberFormat="1" applyFill="1" applyBorder="1"/>
    <xf numFmtId="44" fontId="0" fillId="0" borderId="7" xfId="1" applyFont="1" applyBorder="1"/>
    <xf numFmtId="44" fontId="0" fillId="6" borderId="7" xfId="1" applyFont="1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/>
    <xf numFmtId="0" fontId="0" fillId="0" borderId="10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Fill="1" applyBorder="1"/>
    <xf numFmtId="8" fontId="2" fillId="7" borderId="1" xfId="0" applyNumberFormat="1" applyFont="1" applyFill="1" applyBorder="1" applyAlignment="1">
      <alignment horizontal="center"/>
    </xf>
    <xf numFmtId="8" fontId="0" fillId="4" borderId="0" xfId="0" applyNumberFormat="1" applyFill="1" applyAlignment="1">
      <alignment horizontal="center"/>
    </xf>
    <xf numFmtId="6" fontId="2" fillId="7" borderId="4" xfId="0" applyNumberFormat="1" applyFont="1" applyFill="1" applyBorder="1"/>
    <xf numFmtId="2" fontId="2" fillId="4" borderId="0" xfId="0" applyNumberFormat="1" applyFont="1" applyFill="1" applyAlignment="1">
      <alignment horizontal="centerContinuous"/>
    </xf>
    <xf numFmtId="0" fontId="0" fillId="0" borderId="0" xfId="0" applyFill="1"/>
    <xf numFmtId="9" fontId="0" fillId="4" borderId="1" xfId="0" applyNumberFormat="1" applyFill="1" applyBorder="1" applyAlignment="1">
      <alignment horizontal="center"/>
    </xf>
    <xf numFmtId="2" fontId="2" fillId="0" borderId="0" xfId="0" applyNumberFormat="1" applyFont="1" applyFill="1" applyAlignment="1">
      <alignment horizontal="centerContinuous"/>
    </xf>
    <xf numFmtId="0" fontId="0" fillId="0" borderId="0" xfId="0" applyAlignment="1">
      <alignment horizontal="left" indent="1"/>
    </xf>
    <xf numFmtId="9" fontId="0" fillId="0" borderId="0" xfId="0" applyNumberFormat="1" applyAlignment="1">
      <alignment horizontal="center"/>
    </xf>
    <xf numFmtId="0" fontId="2" fillId="5" borderId="0" xfId="0" applyFont="1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65" fontId="0" fillId="4" borderId="1" xfId="0" applyNumberFormat="1" applyFill="1" applyBorder="1" applyAlignment="1">
      <alignment horizontal="center"/>
    </xf>
    <xf numFmtId="8" fontId="2" fillId="7" borderId="4" xfId="0" applyNumberFormat="1" applyFont="1" applyFill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>
      <alignment horizontal="center"/>
    </xf>
    <xf numFmtId="8" fontId="5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6" fontId="0" fillId="0" borderId="0" xfId="0" applyNumberFormat="1" applyFont="1" applyBorder="1" applyAlignment="1">
      <alignment horizontal="center"/>
    </xf>
    <xf numFmtId="0" fontId="4" fillId="0" borderId="10" xfId="0" applyFont="1" applyBorder="1" applyAlignment="1">
      <alignment horizontal="left" indent="1"/>
    </xf>
    <xf numFmtId="9" fontId="0" fillId="0" borderId="10" xfId="0" applyNumberFormat="1" applyBorder="1" applyAlignment="1">
      <alignment horizontal="center"/>
    </xf>
    <xf numFmtId="6" fontId="2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indent="1"/>
    </xf>
    <xf numFmtId="6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6" fontId="2" fillId="0" borderId="0" xfId="0" applyNumberFormat="1" applyFont="1" applyBorder="1" applyAlignment="1">
      <alignment horizontal="center"/>
    </xf>
    <xf numFmtId="6" fontId="4" fillId="4" borderId="1" xfId="0" applyNumberFormat="1" applyFont="1" applyFill="1" applyBorder="1" applyAlignment="1">
      <alignment horizontal="center"/>
    </xf>
    <xf numFmtId="6" fontId="0" fillId="0" borderId="0" xfId="0" applyNumberFormat="1" applyFont="1" applyAlignment="1">
      <alignment horizontal="center"/>
    </xf>
    <xf numFmtId="6" fontId="4" fillId="0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left" indent="1"/>
    </xf>
    <xf numFmtId="6" fontId="2" fillId="0" borderId="1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6" fontId="0" fillId="0" borderId="0" xfId="0" applyNumberFormat="1"/>
    <xf numFmtId="6" fontId="2" fillId="0" borderId="9" xfId="0" applyNumberFormat="1" applyFont="1" applyBorder="1"/>
    <xf numFmtId="166" fontId="4" fillId="0" borderId="0" xfId="0" applyNumberFormat="1" applyFont="1" applyBorder="1" applyAlignment="1">
      <alignment horizontal="center"/>
    </xf>
    <xf numFmtId="0" fontId="2" fillId="7" borderId="2" xfId="0" applyFont="1" applyFill="1" applyBorder="1"/>
    <xf numFmtId="0" fontId="2" fillId="7" borderId="1" xfId="0" applyNumberFormat="1" applyFont="1" applyFill="1" applyBorder="1" applyAlignment="1">
      <alignment horizontal="center"/>
    </xf>
    <xf numFmtId="44" fontId="0" fillId="0" borderId="0" xfId="0" applyNumberFormat="1"/>
    <xf numFmtId="10" fontId="0" fillId="0" borderId="1" xfId="2" applyNumberFormat="1" applyFont="1" applyBorder="1"/>
    <xf numFmtId="8" fontId="0" fillId="0" borderId="0" xfId="0" applyNumberFormat="1"/>
    <xf numFmtId="0" fontId="0" fillId="0" borderId="0" xfId="0" applyAlignment="1">
      <alignment horizontal="left"/>
    </xf>
    <xf numFmtId="44" fontId="0" fillId="0" borderId="0" xfId="1" applyFont="1" applyAlignment="1">
      <alignment horizontal="right"/>
    </xf>
    <xf numFmtId="44" fontId="0" fillId="0" borderId="0" xfId="1" applyFont="1" applyAlignment="1">
      <alignment horizontal="left"/>
    </xf>
    <xf numFmtId="44" fontId="0" fillId="0" borderId="0" xfId="1" applyFont="1"/>
    <xf numFmtId="0" fontId="6" fillId="0" borderId="0" xfId="0" applyFont="1"/>
    <xf numFmtId="0" fontId="6" fillId="0" borderId="0" xfId="0" applyFont="1" applyBorder="1"/>
    <xf numFmtId="44" fontId="10" fillId="0" borderId="3" xfId="0" applyNumberFormat="1" applyFont="1" applyBorder="1" applyAlignment="1">
      <alignment vertical="center"/>
    </xf>
    <xf numFmtId="44" fontId="10" fillId="0" borderId="3" xfId="1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Border="1" applyAlignment="1"/>
    <xf numFmtId="0" fontId="6" fillId="0" borderId="0" xfId="0" applyFont="1" applyAlignment="1"/>
    <xf numFmtId="0" fontId="8" fillId="0" borderId="0" xfId="0" applyFont="1" applyBorder="1" applyAlignment="1"/>
    <xf numFmtId="0" fontId="9" fillId="9" borderId="0" xfId="0" applyFont="1" applyFill="1" applyBorder="1" applyAlignment="1">
      <alignment vertical="center"/>
    </xf>
    <xf numFmtId="0" fontId="0" fillId="0" borderId="0" xfId="0" applyFont="1" applyAlignment="1"/>
    <xf numFmtId="0" fontId="9" fillId="9" borderId="16" xfId="0" applyFont="1" applyFill="1" applyBorder="1" applyAlignment="1">
      <alignment vertical="center"/>
    </xf>
    <xf numFmtId="0" fontId="9" fillId="9" borderId="16" xfId="0" applyFont="1" applyFill="1" applyBorder="1" applyAlignment="1">
      <alignment vertical="center" wrapText="1"/>
    </xf>
    <xf numFmtId="0" fontId="11" fillId="9" borderId="0" xfId="0" applyFont="1" applyFill="1" applyBorder="1" applyAlignment="1">
      <alignment vertical="center"/>
    </xf>
    <xf numFmtId="44" fontId="12" fillId="9" borderId="0" xfId="1" applyFont="1" applyFill="1" applyBorder="1" applyAlignment="1">
      <alignment vertical="center"/>
    </xf>
    <xf numFmtId="0" fontId="11" fillId="9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right"/>
    </xf>
    <xf numFmtId="44" fontId="12" fillId="9" borderId="0" xfId="1" applyFont="1" applyFill="1" applyAlignment="1">
      <alignment vertical="center"/>
    </xf>
    <xf numFmtId="0" fontId="11" fillId="9" borderId="0" xfId="0" applyFont="1" applyFill="1" applyAlignment="1">
      <alignment horizontal="center" vertical="center" wrapText="1"/>
    </xf>
    <xf numFmtId="0" fontId="11" fillId="9" borderId="0" xfId="0" applyFont="1" applyFill="1" applyAlignment="1">
      <alignment vertical="center"/>
    </xf>
    <xf numFmtId="0" fontId="11" fillId="9" borderId="0" xfId="0" applyFont="1" applyFill="1" applyAlignment="1">
      <alignment horizontal="right" vertical="center"/>
    </xf>
    <xf numFmtId="9" fontId="0" fillId="0" borderId="0" xfId="2" applyFont="1"/>
    <xf numFmtId="0" fontId="6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7" fillId="0" borderId="0" xfId="0" applyFont="1" applyAlignment="1"/>
    <xf numFmtId="44" fontId="7" fillId="6" borderId="3" xfId="0" applyNumberFormat="1" applyFont="1" applyFill="1" applyBorder="1" applyAlignment="1"/>
    <xf numFmtId="0" fontId="7" fillId="5" borderId="0" xfId="0" applyFont="1" applyFill="1" applyAlignment="1">
      <alignment horizontal="center" vertical="center"/>
    </xf>
    <xf numFmtId="0" fontId="0" fillId="5" borderId="0" xfId="0" applyFont="1" applyFill="1" applyAlignment="1"/>
    <xf numFmtId="0" fontId="0" fillId="5" borderId="0" xfId="0" applyFont="1" applyFill="1"/>
    <xf numFmtId="0" fontId="13" fillId="5" borderId="0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44" fontId="0" fillId="4" borderId="0" xfId="1" applyFont="1" applyFill="1"/>
    <xf numFmtId="44" fontId="0" fillId="5" borderId="0" xfId="1" applyFont="1" applyFill="1"/>
    <xf numFmtId="0" fontId="0" fillId="5" borderId="0" xfId="0" applyFill="1"/>
    <xf numFmtId="9" fontId="0" fillId="0" borderId="0" xfId="2" applyFont="1" applyAlignment="1">
      <alignment horizontal="left"/>
    </xf>
    <xf numFmtId="9" fontId="0" fillId="0" borderId="0" xfId="2" applyFont="1" applyAlignment="1">
      <alignment horizontal="right"/>
    </xf>
    <xf numFmtId="44" fontId="6" fillId="0" borderId="0" xfId="0" applyNumberFormat="1" applyFont="1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0" applyNumberFormat="1" applyFont="1" applyAlignment="1">
      <alignment horizontal="left"/>
    </xf>
    <xf numFmtId="44" fontId="0" fillId="5" borderId="0" xfId="0" applyNumberFormat="1" applyFill="1"/>
    <xf numFmtId="0" fontId="2" fillId="0" borderId="13" xfId="0" applyFont="1" applyBorder="1"/>
    <xf numFmtId="44" fontId="2" fillId="10" borderId="4" xfId="1" applyFont="1" applyFill="1" applyBorder="1"/>
    <xf numFmtId="44" fontId="2" fillId="10" borderId="11" xfId="1" applyFont="1" applyFill="1" applyBorder="1"/>
    <xf numFmtId="9" fontId="0" fillId="5" borderId="0" xfId="2" applyFont="1" applyFill="1"/>
    <xf numFmtId="44" fontId="2" fillId="0" borderId="0" xfId="0" applyNumberFormat="1" applyFont="1" applyAlignment="1">
      <alignment horizontal="center"/>
    </xf>
    <xf numFmtId="0" fontId="16" fillId="0" borderId="0" xfId="0" applyFont="1" applyAlignment="1"/>
    <xf numFmtId="8" fontId="0" fillId="0" borderId="0" xfId="0" applyNumberFormat="1" applyBorder="1"/>
    <xf numFmtId="167" fontId="2" fillId="0" borderId="0" xfId="0" applyNumberFormat="1" applyFont="1" applyAlignment="1">
      <alignment horizontal="center"/>
    </xf>
    <xf numFmtId="9" fontId="0" fillId="10" borderId="0" xfId="2" applyFont="1" applyFill="1" applyAlignment="1">
      <alignment horizontal="right"/>
    </xf>
    <xf numFmtId="0" fontId="14" fillId="0" borderId="0" xfId="0" applyFont="1" applyAlignment="1">
      <alignment horizontal="left"/>
    </xf>
    <xf numFmtId="0" fontId="2" fillId="8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463A-A061-4F3C-AB67-AC2543402438}">
  <dimension ref="A2:V39"/>
  <sheetViews>
    <sheetView showGridLines="0" tabSelected="1" zoomScale="70" zoomScaleNormal="70" workbookViewId="0">
      <selection activeCell="A22" sqref="A22"/>
    </sheetView>
  </sheetViews>
  <sheetFormatPr defaultRowHeight="14.4" x14ac:dyDescent="0.55000000000000004"/>
  <cols>
    <col min="2" max="2" width="18.41796875" customWidth="1"/>
    <col min="4" max="4" width="12.26171875" bestFit="1" customWidth="1"/>
    <col min="5" max="5" width="12" customWidth="1"/>
    <col min="6" max="6" width="10.83984375" customWidth="1"/>
    <col min="7" max="7" width="11.68359375" customWidth="1"/>
    <col min="8" max="8" width="12.15625" customWidth="1"/>
    <col min="9" max="9" width="10.578125" customWidth="1"/>
    <col min="10" max="10" width="10.83984375" customWidth="1"/>
    <col min="11" max="11" width="11.26171875" customWidth="1"/>
    <col min="12" max="12" width="11.15625" customWidth="1"/>
    <col min="13" max="22" width="11.578125" bestFit="1" customWidth="1"/>
  </cols>
  <sheetData>
    <row r="2" spans="1:22" x14ac:dyDescent="0.55000000000000004">
      <c r="B2" s="67" t="s">
        <v>109</v>
      </c>
      <c r="C2" s="67"/>
      <c r="D2" s="67"/>
      <c r="E2" s="67"/>
      <c r="F2" s="67"/>
      <c r="G2" s="67"/>
      <c r="H2" s="67"/>
      <c r="I2" s="67"/>
      <c r="J2" s="67"/>
      <c r="K2" s="67"/>
      <c r="L2" s="67"/>
    </row>
    <row r="3" spans="1:22" x14ac:dyDescent="0.55000000000000004">
      <c r="A3" s="1"/>
      <c r="B3" s="13" t="s">
        <v>182</v>
      </c>
      <c r="C3" s="13"/>
      <c r="D3" s="57">
        <v>0</v>
      </c>
      <c r="E3" s="57">
        <f>+D3+1</f>
        <v>1</v>
      </c>
      <c r="F3" s="57">
        <f t="shared" ref="F3:L3" si="0">+E3+1</f>
        <v>2</v>
      </c>
      <c r="G3" s="57">
        <f t="shared" si="0"/>
        <v>3</v>
      </c>
      <c r="H3" s="57">
        <f t="shared" si="0"/>
        <v>4</v>
      </c>
      <c r="I3" s="57">
        <f t="shared" si="0"/>
        <v>5</v>
      </c>
      <c r="J3" s="57">
        <f t="shared" si="0"/>
        <v>6</v>
      </c>
      <c r="K3" s="57">
        <f t="shared" si="0"/>
        <v>7</v>
      </c>
      <c r="L3" s="57">
        <f t="shared" si="0"/>
        <v>8</v>
      </c>
      <c r="M3" s="57">
        <f t="shared" ref="M3" si="1">+L3+1</f>
        <v>9</v>
      </c>
      <c r="N3" s="57">
        <f t="shared" ref="N3" si="2">+M3+1</f>
        <v>10</v>
      </c>
      <c r="O3" s="57">
        <f t="shared" ref="O3" si="3">+N3+1</f>
        <v>11</v>
      </c>
      <c r="P3" s="57">
        <f t="shared" ref="P3" si="4">+O3+1</f>
        <v>12</v>
      </c>
      <c r="Q3" s="57">
        <f t="shared" ref="Q3" si="5">+P3+1</f>
        <v>13</v>
      </c>
      <c r="R3" s="57">
        <f t="shared" ref="R3" si="6">+Q3+1</f>
        <v>14</v>
      </c>
      <c r="S3" s="57">
        <f t="shared" ref="S3" si="7">+R3+1</f>
        <v>15</v>
      </c>
      <c r="T3" s="57">
        <f t="shared" ref="T3" si="8">+S3+1</f>
        <v>16</v>
      </c>
      <c r="U3" s="57">
        <f t="shared" ref="U3" si="9">+T3+1</f>
        <v>17</v>
      </c>
      <c r="V3" s="57">
        <f t="shared" ref="V3" si="10">+U3+1</f>
        <v>18</v>
      </c>
    </row>
    <row r="4" spans="1:22" x14ac:dyDescent="0.55000000000000004">
      <c r="A4" s="1"/>
      <c r="B4" s="4"/>
      <c r="C4" s="4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</row>
    <row r="5" spans="1:22" x14ac:dyDescent="0.55000000000000004">
      <c r="A5" s="1"/>
      <c r="B5" s="79" t="s">
        <v>124</v>
      </c>
      <c r="C5" s="4"/>
      <c r="D5" s="78"/>
      <c r="E5" s="80">
        <f>+'Revenue Build'!$D$22</f>
        <v>998.4</v>
      </c>
      <c r="F5" s="80">
        <f>+'Revenue Build'!$D$22</f>
        <v>998.4</v>
      </c>
      <c r="G5" s="80">
        <f>+'Revenue Build'!$D$22</f>
        <v>998.4</v>
      </c>
      <c r="H5" s="80">
        <f>+'Revenue Build'!$D$22</f>
        <v>998.4</v>
      </c>
      <c r="I5" s="80">
        <f>+'Revenue Build'!$D$22</f>
        <v>998.4</v>
      </c>
      <c r="J5" s="80">
        <f>+'Revenue Build'!$D$22</f>
        <v>998.4</v>
      </c>
      <c r="K5" s="80">
        <f>+'Revenue Build'!$D$22</f>
        <v>998.4</v>
      </c>
      <c r="L5" s="80">
        <f>+'Revenue Build'!$D$22</f>
        <v>998.4</v>
      </c>
      <c r="M5" s="80">
        <f>+'Revenue Build'!$D$22</f>
        <v>998.4</v>
      </c>
      <c r="N5" s="80">
        <f>+'Revenue Build'!$D$22</f>
        <v>998.4</v>
      </c>
      <c r="O5" s="80">
        <f>+'Revenue Build'!$D$22</f>
        <v>998.4</v>
      </c>
      <c r="P5" s="80">
        <f>+'Revenue Build'!$D$22</f>
        <v>998.4</v>
      </c>
      <c r="Q5" s="80">
        <f>+'Revenue Build'!$D$22</f>
        <v>998.4</v>
      </c>
      <c r="R5" s="80">
        <f>+'Revenue Build'!$D$22</f>
        <v>998.4</v>
      </c>
      <c r="S5" s="80">
        <f>+'Revenue Build'!$D$22</f>
        <v>998.4</v>
      </c>
      <c r="T5" s="80">
        <f>+'Revenue Build'!$D$22</f>
        <v>998.4</v>
      </c>
      <c r="U5" s="80">
        <f>+'Revenue Build'!$D$22</f>
        <v>998.4</v>
      </c>
      <c r="V5" s="80">
        <f>+'Revenue Build'!$D$22</f>
        <v>998.4</v>
      </c>
    </row>
    <row r="6" spans="1:22" x14ac:dyDescent="0.55000000000000004">
      <c r="A6" s="1"/>
      <c r="B6" s="79" t="s">
        <v>123</v>
      </c>
      <c r="C6" s="4"/>
      <c r="D6" s="78"/>
      <c r="E6" s="81">
        <f ca="1">+'Revenue Build'!$E$25</f>
        <v>5</v>
      </c>
      <c r="F6" s="81">
        <f ca="1">+'Revenue Build'!$E$25</f>
        <v>5</v>
      </c>
      <c r="G6" s="81">
        <f ca="1">+'Revenue Build'!$E$25</f>
        <v>5</v>
      </c>
      <c r="H6" s="81">
        <f ca="1">+'Revenue Build'!$E$25</f>
        <v>5</v>
      </c>
      <c r="I6" s="81">
        <f ca="1">+'Revenue Build'!$E$25</f>
        <v>5</v>
      </c>
      <c r="J6" s="81">
        <f ca="1">+'Revenue Build'!$E$25</f>
        <v>5</v>
      </c>
      <c r="K6" s="81">
        <f ca="1">+'Revenue Build'!$E$25</f>
        <v>5</v>
      </c>
      <c r="L6" s="81">
        <f ca="1">+'Revenue Build'!$E$25</f>
        <v>5</v>
      </c>
      <c r="M6" s="81">
        <f ca="1">+'Revenue Build'!$E$25</f>
        <v>5</v>
      </c>
      <c r="N6" s="81">
        <f ca="1">+'Revenue Build'!$E$25</f>
        <v>5</v>
      </c>
      <c r="O6" s="81">
        <f ca="1">+'Revenue Build'!$E$25</f>
        <v>5</v>
      </c>
      <c r="P6" s="81">
        <f ca="1">+'Revenue Build'!$E$25</f>
        <v>5</v>
      </c>
      <c r="Q6" s="81">
        <f ca="1">+'Revenue Build'!$E$25</f>
        <v>5</v>
      </c>
      <c r="R6" s="81">
        <f ca="1">+'Revenue Build'!$E$25</f>
        <v>5</v>
      </c>
      <c r="S6" s="81">
        <f ca="1">+'Revenue Build'!$E$25</f>
        <v>5</v>
      </c>
      <c r="T6" s="81">
        <f ca="1">+'Revenue Build'!$E$25</f>
        <v>5</v>
      </c>
      <c r="U6" s="81">
        <f ca="1">+'Revenue Build'!$E$25</f>
        <v>5</v>
      </c>
      <c r="V6" s="81">
        <f ca="1">+'Revenue Build'!$E$25</f>
        <v>5</v>
      </c>
    </row>
    <row r="7" spans="1:22" x14ac:dyDescent="0.55000000000000004">
      <c r="A7" s="1"/>
      <c r="B7" s="79"/>
      <c r="C7" s="4"/>
      <c r="D7" s="78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</row>
    <row r="8" spans="1:22" x14ac:dyDescent="0.55000000000000004">
      <c r="A8" s="1"/>
      <c r="B8" s="79" t="s">
        <v>110</v>
      </c>
      <c r="C8" s="38"/>
      <c r="D8" s="83"/>
      <c r="E8" s="84">
        <f ca="1">+E5*E6</f>
        <v>4992</v>
      </c>
      <c r="F8" s="84">
        <f t="shared" ref="F8:V8" ca="1" si="11">+F5*F6</f>
        <v>4992</v>
      </c>
      <c r="G8" s="84">
        <f t="shared" ca="1" si="11"/>
        <v>4992</v>
      </c>
      <c r="H8" s="84">
        <f t="shared" ca="1" si="11"/>
        <v>4992</v>
      </c>
      <c r="I8" s="84">
        <f t="shared" ca="1" si="11"/>
        <v>4992</v>
      </c>
      <c r="J8" s="84">
        <f t="shared" ca="1" si="11"/>
        <v>4992</v>
      </c>
      <c r="K8" s="84">
        <f t="shared" ca="1" si="11"/>
        <v>4992</v>
      </c>
      <c r="L8" s="84">
        <f t="shared" ca="1" si="11"/>
        <v>4992</v>
      </c>
      <c r="M8" s="84">
        <f t="shared" ca="1" si="11"/>
        <v>4992</v>
      </c>
      <c r="N8" s="84">
        <f t="shared" ca="1" si="11"/>
        <v>4992</v>
      </c>
      <c r="O8" s="84">
        <f t="shared" ca="1" si="11"/>
        <v>4992</v>
      </c>
      <c r="P8" s="84">
        <f t="shared" ca="1" si="11"/>
        <v>4992</v>
      </c>
      <c r="Q8" s="84">
        <f t="shared" ca="1" si="11"/>
        <v>4992</v>
      </c>
      <c r="R8" s="84">
        <f t="shared" ca="1" si="11"/>
        <v>4992</v>
      </c>
      <c r="S8" s="84">
        <f t="shared" ca="1" si="11"/>
        <v>4992</v>
      </c>
      <c r="T8" s="84">
        <f t="shared" ca="1" si="11"/>
        <v>4992</v>
      </c>
      <c r="U8" s="84">
        <f t="shared" ca="1" si="11"/>
        <v>4992</v>
      </c>
      <c r="V8" s="84">
        <f t="shared" ca="1" si="11"/>
        <v>4992</v>
      </c>
    </row>
    <row r="9" spans="1:22" x14ac:dyDescent="0.55000000000000004">
      <c r="B9" s="85" t="s">
        <v>111</v>
      </c>
      <c r="C9" s="59"/>
      <c r="D9" s="59"/>
      <c r="E9" s="86">
        <f>+'Revenue Build'!E48</f>
        <v>0.25</v>
      </c>
      <c r="F9" s="86">
        <f>+'Revenue Build'!F48</f>
        <v>0.5</v>
      </c>
      <c r="G9" s="86">
        <f>+'Revenue Build'!G48</f>
        <v>0.7</v>
      </c>
      <c r="H9" s="86">
        <f>+'Revenue Build'!H48</f>
        <v>1</v>
      </c>
      <c r="I9" s="86">
        <f>+'Revenue Build'!I48</f>
        <v>1</v>
      </c>
      <c r="J9" s="86">
        <f>+'Revenue Build'!J48</f>
        <v>1</v>
      </c>
      <c r="K9" s="86">
        <f>+'Revenue Build'!K48</f>
        <v>1</v>
      </c>
      <c r="L9" s="86">
        <f>+'Revenue Build'!L48</f>
        <v>1</v>
      </c>
      <c r="M9" s="86">
        <f>+'Revenue Build'!M48</f>
        <v>1</v>
      </c>
      <c r="N9" s="86">
        <f>+'Revenue Build'!N48</f>
        <v>1</v>
      </c>
      <c r="O9" s="86">
        <f>+'Revenue Build'!O48</f>
        <v>1</v>
      </c>
      <c r="P9" s="86">
        <f>+'Revenue Build'!P48</f>
        <v>1</v>
      </c>
      <c r="Q9" s="86">
        <f>+'Revenue Build'!Q48</f>
        <v>1</v>
      </c>
      <c r="R9" s="86">
        <f>+'Revenue Build'!R48</f>
        <v>1</v>
      </c>
      <c r="S9" s="86">
        <f>+'Revenue Build'!S48</f>
        <v>1</v>
      </c>
      <c r="T9" s="86">
        <f>+'Revenue Build'!T48</f>
        <v>1</v>
      </c>
      <c r="U9" s="86">
        <f>+'Revenue Build'!U48</f>
        <v>1</v>
      </c>
      <c r="V9" s="86">
        <f>+'Revenue Build'!V48</f>
        <v>1</v>
      </c>
    </row>
    <row r="10" spans="1:22" x14ac:dyDescent="0.55000000000000004">
      <c r="B10" s="1" t="s">
        <v>184</v>
      </c>
      <c r="E10" s="87">
        <f ca="1">+E8*E9</f>
        <v>1248</v>
      </c>
      <c r="F10" s="87">
        <f t="shared" ref="F10:L10" ca="1" si="12">+F8*F9</f>
        <v>2496</v>
      </c>
      <c r="G10" s="87">
        <f t="shared" ca="1" si="12"/>
        <v>3494.3999999999996</v>
      </c>
      <c r="H10" s="87">
        <f t="shared" ca="1" si="12"/>
        <v>4992</v>
      </c>
      <c r="I10" s="87">
        <f t="shared" ca="1" si="12"/>
        <v>4992</v>
      </c>
      <c r="J10" s="87">
        <f t="shared" ca="1" si="12"/>
        <v>4992</v>
      </c>
      <c r="K10" s="87">
        <f t="shared" ca="1" si="12"/>
        <v>4992</v>
      </c>
      <c r="L10" s="87">
        <f t="shared" ca="1" si="12"/>
        <v>4992</v>
      </c>
      <c r="M10" s="87">
        <f t="shared" ref="M10:T10" ca="1" si="13">+M8*M9</f>
        <v>4992</v>
      </c>
      <c r="N10" s="87">
        <f t="shared" ca="1" si="13"/>
        <v>4992</v>
      </c>
      <c r="O10" s="87">
        <f t="shared" ca="1" si="13"/>
        <v>4992</v>
      </c>
      <c r="P10" s="87">
        <f t="shared" ca="1" si="13"/>
        <v>4992</v>
      </c>
      <c r="Q10" s="87">
        <f t="shared" ca="1" si="13"/>
        <v>4992</v>
      </c>
      <c r="R10" s="87">
        <f t="shared" ca="1" si="13"/>
        <v>4992</v>
      </c>
      <c r="S10" s="87">
        <f t="shared" ca="1" si="13"/>
        <v>4992</v>
      </c>
      <c r="T10" s="87">
        <f t="shared" ca="1" si="13"/>
        <v>4992</v>
      </c>
      <c r="U10" s="87">
        <f t="shared" ref="U10:V10" ca="1" si="14">+U8*U9</f>
        <v>4992</v>
      </c>
      <c r="V10" s="87">
        <f t="shared" ca="1" si="14"/>
        <v>4992</v>
      </c>
    </row>
    <row r="11" spans="1:22" x14ac:dyDescent="0.55000000000000004">
      <c r="A11" s="88"/>
      <c r="B11" s="89" t="s">
        <v>112</v>
      </c>
      <c r="C11" s="88"/>
      <c r="D11" s="88"/>
      <c r="E11" s="90"/>
      <c r="F11" s="91">
        <f ca="1">+F10/E10-1</f>
        <v>1</v>
      </c>
      <c r="G11" s="91">
        <f t="shared" ref="G11:L11" ca="1" si="15">+G10/F10-1</f>
        <v>0.39999999999999991</v>
      </c>
      <c r="H11" s="91">
        <f t="shared" ca="1" si="15"/>
        <v>0.42857142857142883</v>
      </c>
      <c r="I11" s="91">
        <f t="shared" ca="1" si="15"/>
        <v>0</v>
      </c>
      <c r="J11" s="91">
        <f t="shared" ca="1" si="15"/>
        <v>0</v>
      </c>
      <c r="K11" s="91">
        <f t="shared" ca="1" si="15"/>
        <v>0</v>
      </c>
      <c r="L11" s="91">
        <f t="shared" ca="1" si="15"/>
        <v>0</v>
      </c>
      <c r="M11" s="91">
        <f t="shared" ref="M11" ca="1" si="16">+M10/L10-1</f>
        <v>0</v>
      </c>
      <c r="N11" s="91">
        <f t="shared" ref="N11" ca="1" si="17">+N10/M10-1</f>
        <v>0</v>
      </c>
      <c r="O11" s="91">
        <f t="shared" ref="O11" ca="1" si="18">+O10/N10-1</f>
        <v>0</v>
      </c>
      <c r="P11" s="91">
        <f t="shared" ref="P11" ca="1" si="19">+P10/O10-1</f>
        <v>0</v>
      </c>
      <c r="Q11" s="91">
        <f t="shared" ref="Q11" ca="1" si="20">+Q10/P10-1</f>
        <v>0</v>
      </c>
      <c r="R11" s="91">
        <f t="shared" ref="R11" ca="1" si="21">+R10/Q10-1</f>
        <v>0</v>
      </c>
      <c r="S11" s="91">
        <f t="shared" ref="S11" ca="1" si="22">+S10/R10-1</f>
        <v>0</v>
      </c>
      <c r="T11" s="91">
        <f t="shared" ref="T11" ca="1" si="23">+T10/S10-1</f>
        <v>0</v>
      </c>
      <c r="U11" s="91">
        <f t="shared" ref="U11" ca="1" si="24">+U10/T10-1</f>
        <v>0</v>
      </c>
      <c r="V11" s="91">
        <f t="shared" ref="V11" ca="1" si="25">+V10/U10-1</f>
        <v>0</v>
      </c>
    </row>
    <row r="12" spans="1:22" x14ac:dyDescent="0.55000000000000004">
      <c r="B12" s="1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55000000000000004">
      <c r="B13" s="1" t="s">
        <v>185</v>
      </c>
      <c r="E13" s="162">
        <f>+'Cost Calculator'!$J$58</f>
        <v>476.67797701149436</v>
      </c>
      <c r="F13" s="162">
        <f>+'Cost Calculator'!$J$58</f>
        <v>476.67797701149436</v>
      </c>
      <c r="G13" s="162">
        <f>+'Cost Calculator'!$J$58</f>
        <v>476.67797701149436</v>
      </c>
      <c r="H13" s="162">
        <f>+'Cost Calculator'!$J$58</f>
        <v>476.67797701149436</v>
      </c>
      <c r="I13" s="162">
        <f>+'Cost Calculator'!$J$58</f>
        <v>476.67797701149436</v>
      </c>
      <c r="J13" s="162">
        <f>+'Cost Calculator'!$J$58</f>
        <v>476.67797701149436</v>
      </c>
      <c r="K13" s="162">
        <f>+'Cost Calculator'!$J$58</f>
        <v>476.67797701149436</v>
      </c>
      <c r="L13" s="162">
        <f>+'Cost Calculator'!$J$58</f>
        <v>476.67797701149436</v>
      </c>
      <c r="M13" s="162">
        <f>+'Cost Calculator'!$J$58</f>
        <v>476.67797701149436</v>
      </c>
      <c r="N13" s="162">
        <f>+'Cost Calculator'!$J$58</f>
        <v>476.67797701149436</v>
      </c>
      <c r="O13" s="162">
        <f>+'Cost Calculator'!$J$58</f>
        <v>476.67797701149436</v>
      </c>
      <c r="P13" s="162">
        <f>+'Cost Calculator'!$J$58</f>
        <v>476.67797701149436</v>
      </c>
      <c r="Q13" s="162">
        <f>+'Cost Calculator'!$J$58</f>
        <v>476.67797701149436</v>
      </c>
      <c r="R13" s="162">
        <f>+'Cost Calculator'!$J$58</f>
        <v>476.67797701149436</v>
      </c>
      <c r="S13" s="162">
        <f>+'Cost Calculator'!$J$58</f>
        <v>476.67797701149436</v>
      </c>
      <c r="T13" s="162">
        <f>+'Cost Calculator'!$J$58</f>
        <v>476.67797701149436</v>
      </c>
      <c r="U13" s="162">
        <f>+'Cost Calculator'!$J$58</f>
        <v>476.67797701149436</v>
      </c>
      <c r="V13" s="162">
        <f>+'Cost Calculator'!$J$58</f>
        <v>476.67797701149436</v>
      </c>
    </row>
    <row r="14" spans="1:22" x14ac:dyDescent="0.55000000000000004">
      <c r="A14" s="88"/>
      <c r="B14" s="89" t="s">
        <v>113</v>
      </c>
      <c r="C14" s="88"/>
      <c r="D14" s="88"/>
      <c r="E14" s="91">
        <f ca="1">+E13/E10</f>
        <v>0.38195350722074867</v>
      </c>
      <c r="F14" s="91">
        <f t="shared" ref="F14:L14" ca="1" si="26">+F13/F10</f>
        <v>0.19097675361037433</v>
      </c>
      <c r="G14" s="91">
        <f t="shared" ca="1" si="26"/>
        <v>0.13641196686455312</v>
      </c>
      <c r="H14" s="91">
        <f t="shared" ca="1" si="26"/>
        <v>9.5488376805187167E-2</v>
      </c>
      <c r="I14" s="91">
        <f t="shared" ca="1" si="26"/>
        <v>9.5488376805187167E-2</v>
      </c>
      <c r="J14" s="91">
        <f t="shared" ca="1" si="26"/>
        <v>9.5488376805187167E-2</v>
      </c>
      <c r="K14" s="91">
        <f t="shared" ca="1" si="26"/>
        <v>9.5488376805187167E-2</v>
      </c>
      <c r="L14" s="91">
        <f t="shared" ca="1" si="26"/>
        <v>9.5488376805187167E-2</v>
      </c>
      <c r="M14" s="91">
        <f t="shared" ref="M14:T14" ca="1" si="27">+M13/M10</f>
        <v>9.5488376805187167E-2</v>
      </c>
      <c r="N14" s="91">
        <f t="shared" ca="1" si="27"/>
        <v>9.5488376805187167E-2</v>
      </c>
      <c r="O14" s="91">
        <f t="shared" ca="1" si="27"/>
        <v>9.5488376805187167E-2</v>
      </c>
      <c r="P14" s="91">
        <f t="shared" ca="1" si="27"/>
        <v>9.5488376805187167E-2</v>
      </c>
      <c r="Q14" s="91">
        <f t="shared" ca="1" si="27"/>
        <v>9.5488376805187167E-2</v>
      </c>
      <c r="R14" s="91">
        <f t="shared" ca="1" si="27"/>
        <v>9.5488376805187167E-2</v>
      </c>
      <c r="S14" s="91">
        <f t="shared" ca="1" si="27"/>
        <v>9.5488376805187167E-2</v>
      </c>
      <c r="T14" s="91">
        <f t="shared" ca="1" si="27"/>
        <v>9.5488376805187167E-2</v>
      </c>
      <c r="U14" s="91">
        <f t="shared" ref="U14:V14" ca="1" si="28">+U13/U10</f>
        <v>9.5488376805187167E-2</v>
      </c>
      <c r="V14" s="91">
        <f t="shared" ca="1" si="28"/>
        <v>9.5488376805187167E-2</v>
      </c>
    </row>
    <row r="15" spans="1:22" x14ac:dyDescent="0.55000000000000004">
      <c r="A15" s="88"/>
      <c r="B15" s="89"/>
      <c r="C15" s="88"/>
      <c r="D15" s="88"/>
      <c r="E15" s="90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</row>
    <row r="16" spans="1:22" x14ac:dyDescent="0.55000000000000004">
      <c r="B16" s="4" t="s">
        <v>198</v>
      </c>
      <c r="C16" s="5"/>
      <c r="D16" s="5"/>
      <c r="E16" s="92">
        <f ca="1">+E10-E13</f>
        <v>771.32202298850564</v>
      </c>
      <c r="F16" s="92">
        <f t="shared" ref="F16:V16" ca="1" si="29">+F10-F13</f>
        <v>2019.3220229885055</v>
      </c>
      <c r="G16" s="92">
        <f t="shared" ca="1" si="29"/>
        <v>3017.7220229885052</v>
      </c>
      <c r="H16" s="92">
        <f t="shared" ca="1" si="29"/>
        <v>4515.3220229885055</v>
      </c>
      <c r="I16" s="92">
        <f t="shared" ca="1" si="29"/>
        <v>4515.3220229885055</v>
      </c>
      <c r="J16" s="92">
        <f t="shared" ca="1" si="29"/>
        <v>4515.3220229885055</v>
      </c>
      <c r="K16" s="92">
        <f t="shared" ca="1" si="29"/>
        <v>4515.3220229885055</v>
      </c>
      <c r="L16" s="92">
        <f t="shared" ca="1" si="29"/>
        <v>4515.3220229885055</v>
      </c>
      <c r="M16" s="92">
        <f t="shared" ca="1" si="29"/>
        <v>4515.3220229885055</v>
      </c>
      <c r="N16" s="92">
        <f t="shared" ca="1" si="29"/>
        <v>4515.3220229885055</v>
      </c>
      <c r="O16" s="92">
        <f t="shared" ca="1" si="29"/>
        <v>4515.3220229885055</v>
      </c>
      <c r="P16" s="92">
        <f t="shared" ca="1" si="29"/>
        <v>4515.3220229885055</v>
      </c>
      <c r="Q16" s="92">
        <f t="shared" ca="1" si="29"/>
        <v>4515.3220229885055</v>
      </c>
      <c r="R16" s="92">
        <f t="shared" ca="1" si="29"/>
        <v>4515.3220229885055</v>
      </c>
      <c r="S16" s="92">
        <f t="shared" ca="1" si="29"/>
        <v>4515.3220229885055</v>
      </c>
      <c r="T16" s="92">
        <f t="shared" ca="1" si="29"/>
        <v>4515.3220229885055</v>
      </c>
      <c r="U16" s="92">
        <f t="shared" ca="1" si="29"/>
        <v>4515.3220229885055</v>
      </c>
      <c r="V16" s="92">
        <f t="shared" ca="1" si="29"/>
        <v>4515.3220229885055</v>
      </c>
    </row>
    <row r="17" spans="1:22" x14ac:dyDescent="0.55000000000000004">
      <c r="A17" s="88"/>
      <c r="B17" s="89" t="s">
        <v>114</v>
      </c>
      <c r="C17" s="88"/>
      <c r="D17" s="88"/>
      <c r="E17" s="91">
        <f ca="1">+E16/E10</f>
        <v>0.61804649277925128</v>
      </c>
      <c r="F17" s="91">
        <f t="shared" ref="F17:L17" ca="1" si="30">+F16/F10</f>
        <v>0.80902324638962564</v>
      </c>
      <c r="G17" s="91">
        <f t="shared" ca="1" si="30"/>
        <v>0.86358803313544685</v>
      </c>
      <c r="H17" s="91">
        <f t="shared" ca="1" si="30"/>
        <v>0.90451162319481282</v>
      </c>
      <c r="I17" s="91">
        <f t="shared" ca="1" si="30"/>
        <v>0.90451162319481282</v>
      </c>
      <c r="J17" s="91">
        <f t="shared" ca="1" si="30"/>
        <v>0.90451162319481282</v>
      </c>
      <c r="K17" s="91">
        <f t="shared" ca="1" si="30"/>
        <v>0.90451162319481282</v>
      </c>
      <c r="L17" s="91">
        <f t="shared" ca="1" si="30"/>
        <v>0.90451162319481282</v>
      </c>
      <c r="M17" s="91">
        <f t="shared" ref="M17:T17" ca="1" si="31">+M16/M10</f>
        <v>0.90451162319481282</v>
      </c>
      <c r="N17" s="91">
        <f t="shared" ca="1" si="31"/>
        <v>0.90451162319481282</v>
      </c>
      <c r="O17" s="91">
        <f t="shared" ca="1" si="31"/>
        <v>0.90451162319481282</v>
      </c>
      <c r="P17" s="91">
        <f t="shared" ca="1" si="31"/>
        <v>0.90451162319481282</v>
      </c>
      <c r="Q17" s="91">
        <f t="shared" ca="1" si="31"/>
        <v>0.90451162319481282</v>
      </c>
      <c r="R17" s="91">
        <f t="shared" ca="1" si="31"/>
        <v>0.90451162319481282</v>
      </c>
      <c r="S17" s="91">
        <f t="shared" ca="1" si="31"/>
        <v>0.90451162319481282</v>
      </c>
      <c r="T17" s="91">
        <f t="shared" ca="1" si="31"/>
        <v>0.90451162319481282</v>
      </c>
      <c r="U17" s="91">
        <f t="shared" ref="U17:V17" ca="1" si="32">+U16/U10</f>
        <v>0.90451162319481282</v>
      </c>
      <c r="V17" s="91">
        <f t="shared" ca="1" si="32"/>
        <v>0.90451162319481282</v>
      </c>
    </row>
    <row r="18" spans="1:22" x14ac:dyDescent="0.55000000000000004">
      <c r="A18" s="88"/>
    </row>
    <row r="19" spans="1:22" x14ac:dyDescent="0.55000000000000004">
      <c r="B19" s="163" t="s">
        <v>199</v>
      </c>
      <c r="E19" s="165">
        <f>'Revenue Build'!$D$36</f>
        <v>1397.7537517241378</v>
      </c>
      <c r="F19" s="165">
        <f>'Revenue Build'!$D$36</f>
        <v>1397.7537517241378</v>
      </c>
      <c r="G19" s="165">
        <f>'Revenue Build'!$D$36</f>
        <v>1397.7537517241378</v>
      </c>
      <c r="H19" s="165">
        <f>'Revenue Build'!$D$36</f>
        <v>1397.7537517241378</v>
      </c>
      <c r="I19" s="165">
        <f>'Revenue Build'!$D$36</f>
        <v>1397.7537517241378</v>
      </c>
      <c r="J19" s="165">
        <f>'Revenue Build'!$D$36</f>
        <v>1397.7537517241378</v>
      </c>
      <c r="K19" s="165">
        <f>'Revenue Build'!$D$36</f>
        <v>1397.7537517241378</v>
      </c>
      <c r="L19" s="165">
        <f>'Revenue Build'!$D$36</f>
        <v>1397.7537517241378</v>
      </c>
      <c r="M19" s="165">
        <f>'Revenue Build'!$D$36</f>
        <v>1397.7537517241378</v>
      </c>
      <c r="N19" s="165">
        <f>'Revenue Build'!$D$36</f>
        <v>1397.7537517241378</v>
      </c>
      <c r="O19" s="165">
        <f>'Revenue Build'!$D$36</f>
        <v>1397.7537517241378</v>
      </c>
      <c r="P19" s="165">
        <f>'Revenue Build'!$D$36</f>
        <v>1397.7537517241378</v>
      </c>
      <c r="Q19" s="165">
        <f>'Revenue Build'!$D$36</f>
        <v>1397.7537517241378</v>
      </c>
      <c r="R19" s="165">
        <f>'Revenue Build'!$D$36</f>
        <v>1397.7537517241378</v>
      </c>
      <c r="S19" s="165">
        <f>'Revenue Build'!$D$36</f>
        <v>1397.7537517241378</v>
      </c>
      <c r="T19" s="165">
        <f>'Revenue Build'!$D$36</f>
        <v>1397.7537517241378</v>
      </c>
      <c r="U19" s="165">
        <f>'Revenue Build'!$D$36</f>
        <v>1397.7537517241378</v>
      </c>
      <c r="V19" s="165">
        <f>'Revenue Build'!$D$36</f>
        <v>1397.7537517241378</v>
      </c>
    </row>
    <row r="20" spans="1:22" x14ac:dyDescent="0.55000000000000004">
      <c r="B20" s="89" t="s">
        <v>114</v>
      </c>
      <c r="E20" s="153">
        <f>'Retail Sales'!$G$16</f>
        <v>0.19927704450487491</v>
      </c>
      <c r="F20" s="153">
        <f>'Retail Sales'!$G$16</f>
        <v>0.19927704450487491</v>
      </c>
      <c r="G20" s="153">
        <f>'Retail Sales'!$G$16</f>
        <v>0.19927704450487491</v>
      </c>
      <c r="H20" s="153">
        <f>'Retail Sales'!$G$16</f>
        <v>0.19927704450487491</v>
      </c>
      <c r="I20" s="153">
        <f>'Retail Sales'!$G$16</f>
        <v>0.19927704450487491</v>
      </c>
      <c r="J20" s="153">
        <f>'Retail Sales'!$G$16</f>
        <v>0.19927704450487491</v>
      </c>
      <c r="K20" s="153">
        <f>'Retail Sales'!$G$16</f>
        <v>0.19927704450487491</v>
      </c>
      <c r="L20" s="153">
        <f>'Retail Sales'!$G$16</f>
        <v>0.19927704450487491</v>
      </c>
      <c r="M20" s="153">
        <f>'Retail Sales'!$G$16</f>
        <v>0.19927704450487491</v>
      </c>
      <c r="N20" s="153">
        <f>'Retail Sales'!$G$16</f>
        <v>0.19927704450487491</v>
      </c>
      <c r="O20" s="153">
        <f>'Retail Sales'!$G$16</f>
        <v>0.19927704450487491</v>
      </c>
      <c r="P20" s="153">
        <f>'Retail Sales'!$G$16</f>
        <v>0.19927704450487491</v>
      </c>
      <c r="Q20" s="153">
        <f>'Retail Sales'!$G$16</f>
        <v>0.19927704450487491</v>
      </c>
      <c r="R20" s="153">
        <f>'Retail Sales'!$G$16</f>
        <v>0.19927704450487491</v>
      </c>
      <c r="S20" s="153">
        <f>'Retail Sales'!$G$16</f>
        <v>0.19927704450487491</v>
      </c>
      <c r="T20" s="153">
        <f>'Retail Sales'!$G$16</f>
        <v>0.19927704450487491</v>
      </c>
      <c r="U20" s="153">
        <f>'Retail Sales'!$G$16</f>
        <v>0.19927704450487491</v>
      </c>
      <c r="V20" s="153">
        <f>'Retail Sales'!$G$16</f>
        <v>0.19927704450487491</v>
      </c>
    </row>
    <row r="21" spans="1:22" x14ac:dyDescent="0.55000000000000004">
      <c r="B21" s="89"/>
      <c r="C21" s="88"/>
      <c r="D21" s="88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</row>
    <row r="22" spans="1:22" x14ac:dyDescent="0.55000000000000004">
      <c r="B22" s="32" t="s">
        <v>115</v>
      </c>
      <c r="E22" s="93">
        <v>-100</v>
      </c>
      <c r="F22" s="94">
        <f>+E22</f>
        <v>-100</v>
      </c>
      <c r="G22" s="94">
        <f t="shared" ref="G22:L22" si="33">+F22</f>
        <v>-100</v>
      </c>
      <c r="H22" s="94">
        <f t="shared" si="33"/>
        <v>-100</v>
      </c>
      <c r="I22" s="94">
        <f t="shared" si="33"/>
        <v>-100</v>
      </c>
      <c r="J22" s="94">
        <f t="shared" si="33"/>
        <v>-100</v>
      </c>
      <c r="K22" s="94">
        <f t="shared" si="33"/>
        <v>-100</v>
      </c>
      <c r="L22" s="94">
        <f t="shared" si="33"/>
        <v>-100</v>
      </c>
      <c r="M22" s="94">
        <f t="shared" ref="M22" si="34">+L22</f>
        <v>-100</v>
      </c>
      <c r="N22" s="94">
        <f t="shared" ref="N22" si="35">+M22</f>
        <v>-100</v>
      </c>
      <c r="O22" s="94">
        <f t="shared" ref="O22" si="36">+N22</f>
        <v>-100</v>
      </c>
      <c r="P22" s="94">
        <f t="shared" ref="P22" si="37">+O22</f>
        <v>-100</v>
      </c>
      <c r="Q22" s="94">
        <f t="shared" ref="Q22" si="38">+P22</f>
        <v>-100</v>
      </c>
      <c r="R22" s="94">
        <f t="shared" ref="R22" si="39">+Q22</f>
        <v>-100</v>
      </c>
      <c r="S22" s="94">
        <f t="shared" ref="S22" si="40">+R22</f>
        <v>-100</v>
      </c>
      <c r="T22" s="94">
        <f t="shared" ref="T22" si="41">+S22</f>
        <v>-100</v>
      </c>
      <c r="U22" s="94">
        <f t="shared" ref="U22" si="42">+T22</f>
        <v>-100</v>
      </c>
      <c r="V22" s="94">
        <f t="shared" ref="V22" si="43">+U22</f>
        <v>-100</v>
      </c>
    </row>
    <row r="23" spans="1:22" x14ac:dyDescent="0.55000000000000004">
      <c r="B23" s="32"/>
      <c r="E23" s="95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</row>
    <row r="24" spans="1:22" x14ac:dyDescent="0.55000000000000004">
      <c r="B24" s="1" t="s">
        <v>116</v>
      </c>
      <c r="E24" s="87">
        <f ca="1">+E16+E19+E22</f>
        <v>2069.0757747126436</v>
      </c>
      <c r="F24" s="87">
        <f t="shared" ref="F24:V24" ca="1" si="44">+F16+F19+F22</f>
        <v>3317.0757747126436</v>
      </c>
      <c r="G24" s="87">
        <f t="shared" ca="1" si="44"/>
        <v>4315.4757747126432</v>
      </c>
      <c r="H24" s="87">
        <f t="shared" ca="1" si="44"/>
        <v>5813.0757747126436</v>
      </c>
      <c r="I24" s="87">
        <f t="shared" ca="1" si="44"/>
        <v>5813.0757747126436</v>
      </c>
      <c r="J24" s="87">
        <f t="shared" ca="1" si="44"/>
        <v>5813.0757747126436</v>
      </c>
      <c r="K24" s="87">
        <f t="shared" ca="1" si="44"/>
        <v>5813.0757747126436</v>
      </c>
      <c r="L24" s="87">
        <f t="shared" ca="1" si="44"/>
        <v>5813.0757747126436</v>
      </c>
      <c r="M24" s="87">
        <f t="shared" ca="1" si="44"/>
        <v>5813.0757747126436</v>
      </c>
      <c r="N24" s="87">
        <f t="shared" ca="1" si="44"/>
        <v>5813.0757747126436</v>
      </c>
      <c r="O24" s="87">
        <f t="shared" ca="1" si="44"/>
        <v>5813.0757747126436</v>
      </c>
      <c r="P24" s="87">
        <f t="shared" ca="1" si="44"/>
        <v>5813.0757747126436</v>
      </c>
      <c r="Q24" s="87">
        <f t="shared" ca="1" si="44"/>
        <v>5813.0757747126436</v>
      </c>
      <c r="R24" s="87">
        <f t="shared" ca="1" si="44"/>
        <v>5813.0757747126436</v>
      </c>
      <c r="S24" s="87">
        <f t="shared" ca="1" si="44"/>
        <v>5813.0757747126436</v>
      </c>
      <c r="T24" s="87">
        <f t="shared" ca="1" si="44"/>
        <v>5813.0757747126436</v>
      </c>
      <c r="U24" s="87">
        <f t="shared" ca="1" si="44"/>
        <v>5813.0757747126436</v>
      </c>
      <c r="V24" s="87">
        <f t="shared" ca="1" si="44"/>
        <v>5813.0757747126436</v>
      </c>
    </row>
    <row r="25" spans="1:22" x14ac:dyDescent="0.55000000000000004">
      <c r="B25" s="1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x14ac:dyDescent="0.55000000000000004">
      <c r="B26" s="1"/>
      <c r="C26" s="60" t="s">
        <v>117</v>
      </c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x14ac:dyDescent="0.55000000000000004">
      <c r="B27" s="96" t="s">
        <v>118</v>
      </c>
      <c r="C27" s="69">
        <v>0.06</v>
      </c>
      <c r="E27" s="94">
        <f t="shared" ref="E27:V27" ca="1" si="45">+MIN(E24*-$C$27,0)</f>
        <v>-124.14454648275861</v>
      </c>
      <c r="F27" s="94">
        <f t="shared" ca="1" si="45"/>
        <v>-199.02454648275861</v>
      </c>
      <c r="G27" s="94">
        <f t="shared" ca="1" si="45"/>
        <v>-258.92854648275858</v>
      </c>
      <c r="H27" s="94">
        <f t="shared" ca="1" si="45"/>
        <v>-348.78454648275863</v>
      </c>
      <c r="I27" s="94">
        <f t="shared" ca="1" si="45"/>
        <v>-348.78454648275863</v>
      </c>
      <c r="J27" s="94">
        <f t="shared" ca="1" si="45"/>
        <v>-348.78454648275863</v>
      </c>
      <c r="K27" s="94">
        <f t="shared" ca="1" si="45"/>
        <v>-348.78454648275863</v>
      </c>
      <c r="L27" s="94">
        <f t="shared" ca="1" si="45"/>
        <v>-348.78454648275863</v>
      </c>
      <c r="M27" s="94">
        <f t="shared" ca="1" si="45"/>
        <v>-348.78454648275863</v>
      </c>
      <c r="N27" s="94">
        <f t="shared" ca="1" si="45"/>
        <v>-348.78454648275863</v>
      </c>
      <c r="O27" s="94">
        <f t="shared" ca="1" si="45"/>
        <v>-348.78454648275863</v>
      </c>
      <c r="P27" s="94">
        <f t="shared" ca="1" si="45"/>
        <v>-348.78454648275863</v>
      </c>
      <c r="Q27" s="94">
        <f t="shared" ca="1" si="45"/>
        <v>-348.78454648275863</v>
      </c>
      <c r="R27" s="94">
        <f t="shared" ca="1" si="45"/>
        <v>-348.78454648275863</v>
      </c>
      <c r="S27" s="94">
        <f t="shared" ca="1" si="45"/>
        <v>-348.78454648275863</v>
      </c>
      <c r="T27" s="94">
        <f t="shared" ca="1" si="45"/>
        <v>-348.78454648275863</v>
      </c>
      <c r="U27" s="94">
        <f t="shared" ca="1" si="45"/>
        <v>-348.78454648275863</v>
      </c>
      <c r="V27" s="94">
        <f t="shared" ca="1" si="45"/>
        <v>-348.78454648275863</v>
      </c>
    </row>
    <row r="28" spans="1:22" x14ac:dyDescent="0.55000000000000004">
      <c r="B28" s="1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x14ac:dyDescent="0.55000000000000004">
      <c r="B29" s="1" t="s">
        <v>119</v>
      </c>
      <c r="E29" s="87">
        <f ca="1">+E24+E27</f>
        <v>1944.9312282298849</v>
      </c>
      <c r="F29" s="87">
        <f t="shared" ref="F29:L29" ca="1" si="46">+F24+F27</f>
        <v>3118.0512282298851</v>
      </c>
      <c r="G29" s="87">
        <f t="shared" ca="1" si="46"/>
        <v>4056.5472282298847</v>
      </c>
      <c r="H29" s="87">
        <f t="shared" ca="1" si="46"/>
        <v>5464.2912282298848</v>
      </c>
      <c r="I29" s="87">
        <f t="shared" ca="1" si="46"/>
        <v>5464.2912282298848</v>
      </c>
      <c r="J29" s="87">
        <f t="shared" ca="1" si="46"/>
        <v>5464.2912282298848</v>
      </c>
      <c r="K29" s="87">
        <f t="shared" ca="1" si="46"/>
        <v>5464.2912282298848</v>
      </c>
      <c r="L29" s="87">
        <f t="shared" ca="1" si="46"/>
        <v>5464.2912282298848</v>
      </c>
      <c r="M29" s="87">
        <f t="shared" ref="M29:T29" ca="1" si="47">+M24+M27</f>
        <v>5464.2912282298848</v>
      </c>
      <c r="N29" s="87">
        <f t="shared" ca="1" si="47"/>
        <v>5464.2912282298848</v>
      </c>
      <c r="O29" s="87">
        <f t="shared" ca="1" si="47"/>
        <v>5464.2912282298848</v>
      </c>
      <c r="P29" s="87">
        <f t="shared" ca="1" si="47"/>
        <v>5464.2912282298848</v>
      </c>
      <c r="Q29" s="87">
        <f t="shared" ca="1" si="47"/>
        <v>5464.2912282298848</v>
      </c>
      <c r="R29" s="87">
        <f t="shared" ca="1" si="47"/>
        <v>5464.2912282298848</v>
      </c>
      <c r="S29" s="87">
        <f t="shared" ca="1" si="47"/>
        <v>5464.2912282298848</v>
      </c>
      <c r="T29" s="87">
        <f t="shared" ca="1" si="47"/>
        <v>5464.2912282298848</v>
      </c>
      <c r="U29" s="87">
        <f t="shared" ref="U29:V29" ca="1" si="48">+U24+U27</f>
        <v>5464.2912282298848</v>
      </c>
      <c r="V29" s="87">
        <f t="shared" ca="1" si="48"/>
        <v>5464.2912282298848</v>
      </c>
    </row>
    <row r="30" spans="1:22" x14ac:dyDescent="0.55000000000000004">
      <c r="B30" s="89" t="s">
        <v>113</v>
      </c>
      <c r="E30" s="91">
        <f t="shared" ref="E30:V30" ca="1" si="49">+E29/E10</f>
        <v>1.5584384841585617</v>
      </c>
      <c r="F30" s="91">
        <f t="shared" ca="1" si="49"/>
        <v>1.2492192420792809</v>
      </c>
      <c r="G30" s="91">
        <f t="shared" ca="1" si="49"/>
        <v>1.1608708871994864</v>
      </c>
      <c r="H30" s="91">
        <f t="shared" ca="1" si="49"/>
        <v>1.0946096210396403</v>
      </c>
      <c r="I30" s="91">
        <f t="shared" ca="1" si="49"/>
        <v>1.0946096210396403</v>
      </c>
      <c r="J30" s="91">
        <f t="shared" ca="1" si="49"/>
        <v>1.0946096210396403</v>
      </c>
      <c r="K30" s="91">
        <f t="shared" ca="1" si="49"/>
        <v>1.0946096210396403</v>
      </c>
      <c r="L30" s="91">
        <f t="shared" ca="1" si="49"/>
        <v>1.0946096210396403</v>
      </c>
      <c r="M30" s="91">
        <f t="shared" ca="1" si="49"/>
        <v>1.0946096210396403</v>
      </c>
      <c r="N30" s="91">
        <f t="shared" ca="1" si="49"/>
        <v>1.0946096210396403</v>
      </c>
      <c r="O30" s="91">
        <f t="shared" ca="1" si="49"/>
        <v>1.0946096210396403</v>
      </c>
      <c r="P30" s="91">
        <f t="shared" ca="1" si="49"/>
        <v>1.0946096210396403</v>
      </c>
      <c r="Q30" s="91">
        <f t="shared" ca="1" si="49"/>
        <v>1.0946096210396403</v>
      </c>
      <c r="R30" s="91">
        <f t="shared" ca="1" si="49"/>
        <v>1.0946096210396403</v>
      </c>
      <c r="S30" s="91">
        <f t="shared" ca="1" si="49"/>
        <v>1.0946096210396403</v>
      </c>
      <c r="T30" s="91">
        <f t="shared" ca="1" si="49"/>
        <v>1.0946096210396403</v>
      </c>
      <c r="U30" s="91">
        <f t="shared" ca="1" si="49"/>
        <v>1.0946096210396403</v>
      </c>
      <c r="V30" s="91">
        <f t="shared" ca="1" si="49"/>
        <v>1.0946096210396403</v>
      </c>
    </row>
    <row r="31" spans="1:22" x14ac:dyDescent="0.55000000000000004">
      <c r="A31" s="1"/>
      <c r="B31" s="89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</row>
    <row r="32" spans="1:22" x14ac:dyDescent="0.55000000000000004">
      <c r="B32" s="67" t="s">
        <v>109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</row>
    <row r="33" spans="2:22" x14ac:dyDescent="0.55000000000000004">
      <c r="B33" s="13" t="s">
        <v>182</v>
      </c>
      <c r="C33" s="13"/>
      <c r="D33" s="57">
        <v>0</v>
      </c>
      <c r="E33" s="57">
        <f>+D33+1</f>
        <v>1</v>
      </c>
      <c r="F33" s="57">
        <f t="shared" ref="F33:L33" si="50">+E33+1</f>
        <v>2</v>
      </c>
      <c r="G33" s="57">
        <f t="shared" si="50"/>
        <v>3</v>
      </c>
      <c r="H33" s="57">
        <f t="shared" si="50"/>
        <v>4</v>
      </c>
      <c r="I33" s="57">
        <f t="shared" si="50"/>
        <v>5</v>
      </c>
      <c r="J33" s="57">
        <f t="shared" si="50"/>
        <v>6</v>
      </c>
      <c r="K33" s="57">
        <f t="shared" si="50"/>
        <v>7</v>
      </c>
      <c r="L33" s="57">
        <f t="shared" si="50"/>
        <v>8</v>
      </c>
      <c r="M33" s="57">
        <f t="shared" ref="M33" si="51">+L33+1</f>
        <v>9</v>
      </c>
      <c r="N33" s="57">
        <f t="shared" ref="N33" si="52">+M33+1</f>
        <v>10</v>
      </c>
      <c r="O33" s="57">
        <f t="shared" ref="O33" si="53">+N33+1</f>
        <v>11</v>
      </c>
      <c r="P33" s="57">
        <f t="shared" ref="P33" si="54">+O33+1</f>
        <v>12</v>
      </c>
      <c r="Q33" s="57">
        <f t="shared" ref="Q33" si="55">+P33+1</f>
        <v>13</v>
      </c>
      <c r="R33" s="57">
        <f t="shared" ref="R33" si="56">+Q33+1</f>
        <v>14</v>
      </c>
      <c r="S33" s="57">
        <f t="shared" ref="S33" si="57">+R33+1</f>
        <v>15</v>
      </c>
      <c r="T33" s="57">
        <f t="shared" ref="T33" si="58">+S33+1</f>
        <v>16</v>
      </c>
      <c r="U33" s="57">
        <f t="shared" ref="U33" si="59">+T33+1</f>
        <v>17</v>
      </c>
      <c r="V33" s="57">
        <f t="shared" ref="V33" si="60">+U33+1</f>
        <v>18</v>
      </c>
    </row>
    <row r="34" spans="2:22" x14ac:dyDescent="0.55000000000000004">
      <c r="B34" s="98" t="s">
        <v>120</v>
      </c>
      <c r="D34" s="104">
        <f>+-'Cost Calculator'!E64</f>
        <v>-10774</v>
      </c>
    </row>
    <row r="35" spans="2:22" x14ac:dyDescent="0.55000000000000004">
      <c r="B35" t="str">
        <f>+B29</f>
        <v>Net Income (Profit after tax)</v>
      </c>
      <c r="E35" s="99">
        <f ca="1">+E29</f>
        <v>1944.9312282298849</v>
      </c>
      <c r="F35" s="99">
        <f t="shared" ref="F35:L35" ca="1" si="61">+F29</f>
        <v>3118.0512282298851</v>
      </c>
      <c r="G35" s="99">
        <f t="shared" ca="1" si="61"/>
        <v>4056.5472282298847</v>
      </c>
      <c r="H35" s="99">
        <f t="shared" ca="1" si="61"/>
        <v>5464.2912282298848</v>
      </c>
      <c r="I35" s="99">
        <f t="shared" ca="1" si="61"/>
        <v>5464.2912282298848</v>
      </c>
      <c r="J35" s="99">
        <f t="shared" ca="1" si="61"/>
        <v>5464.2912282298848</v>
      </c>
      <c r="K35" s="99">
        <f t="shared" ca="1" si="61"/>
        <v>5464.2912282298848</v>
      </c>
      <c r="L35" s="99">
        <f t="shared" ca="1" si="61"/>
        <v>5464.2912282298848</v>
      </c>
      <c r="M35" s="99">
        <f t="shared" ref="M35:T35" ca="1" si="62">+M29</f>
        <v>5464.2912282298848</v>
      </c>
      <c r="N35" s="99">
        <f t="shared" ca="1" si="62"/>
        <v>5464.2912282298848</v>
      </c>
      <c r="O35" s="99">
        <f t="shared" ca="1" si="62"/>
        <v>5464.2912282298848</v>
      </c>
      <c r="P35" s="99">
        <f t="shared" ca="1" si="62"/>
        <v>5464.2912282298848</v>
      </c>
      <c r="Q35" s="99">
        <f t="shared" ca="1" si="62"/>
        <v>5464.2912282298848</v>
      </c>
      <c r="R35" s="99">
        <f t="shared" ca="1" si="62"/>
        <v>5464.2912282298848</v>
      </c>
      <c r="S35" s="99">
        <f t="shared" ca="1" si="62"/>
        <v>5464.2912282298848</v>
      </c>
      <c r="T35" s="99">
        <f t="shared" ca="1" si="62"/>
        <v>5464.2912282298848</v>
      </c>
      <c r="U35" s="99">
        <f t="shared" ref="U35:V35" ca="1" si="63">+U29</f>
        <v>5464.2912282298848</v>
      </c>
      <c r="V35" s="99">
        <f t="shared" ca="1" si="63"/>
        <v>5464.2912282298848</v>
      </c>
    </row>
    <row r="36" spans="2:22" x14ac:dyDescent="0.55000000000000004">
      <c r="B36" s="1" t="s">
        <v>121</v>
      </c>
      <c r="D36" s="100">
        <f>+SUM(D34:D35)</f>
        <v>-10774</v>
      </c>
      <c r="E36" s="100">
        <f ca="1">+D36+SUM(E34:E35)</f>
        <v>-8829.0687717701148</v>
      </c>
      <c r="F36" s="100">
        <f t="shared" ref="F36:L36" ca="1" si="64">+E36+SUM(F34:F35)</f>
        <v>-5711.0175435402298</v>
      </c>
      <c r="G36" s="100">
        <f t="shared" ca="1" si="64"/>
        <v>-1654.4703153103451</v>
      </c>
      <c r="H36" s="100">
        <f t="shared" ca="1" si="64"/>
        <v>3809.8209129195398</v>
      </c>
      <c r="I36" s="100">
        <f t="shared" ca="1" si="64"/>
        <v>9274.1121411494241</v>
      </c>
      <c r="J36" s="100">
        <f t="shared" ca="1" si="64"/>
        <v>14738.40336937931</v>
      </c>
      <c r="K36" s="100">
        <f t="shared" ca="1" si="64"/>
        <v>20202.694597609196</v>
      </c>
      <c r="L36" s="100">
        <f t="shared" ca="1" si="64"/>
        <v>25666.985825839081</v>
      </c>
      <c r="M36" s="100">
        <f t="shared" ref="M36" ca="1" si="65">+L36+SUM(M34:M35)</f>
        <v>31131.277054068967</v>
      </c>
      <c r="N36" s="100">
        <f t="shared" ref="N36" ca="1" si="66">+M36+SUM(N34:N35)</f>
        <v>36595.568282298853</v>
      </c>
      <c r="O36" s="100">
        <f t="shared" ref="O36" ca="1" si="67">+N36+SUM(O34:O35)</f>
        <v>42059.859510528739</v>
      </c>
      <c r="P36" s="100">
        <f t="shared" ref="P36" ca="1" si="68">+O36+SUM(P34:P35)</f>
        <v>47524.150738758624</v>
      </c>
      <c r="Q36" s="100">
        <f t="shared" ref="Q36" ca="1" si="69">+P36+SUM(Q34:Q35)</f>
        <v>52988.44196698851</v>
      </c>
      <c r="R36" s="100">
        <f t="shared" ref="R36" ca="1" si="70">+Q36+SUM(R34:R35)</f>
        <v>58452.733195218396</v>
      </c>
      <c r="S36" s="100">
        <f t="shared" ref="S36" ca="1" si="71">+R36+SUM(S34:S35)</f>
        <v>63917.024423448282</v>
      </c>
      <c r="T36" s="100">
        <f t="shared" ref="T36" ca="1" si="72">+S36+SUM(T34:T35)</f>
        <v>69381.31565167816</v>
      </c>
      <c r="U36" s="100">
        <f t="shared" ref="U36" ca="1" si="73">+T36+SUM(U34:U35)</f>
        <v>74845.606879908039</v>
      </c>
      <c r="V36" s="100">
        <f t="shared" ref="V36" ca="1" si="74">+U36+SUM(V34:V35)</f>
        <v>80309.898108137917</v>
      </c>
    </row>
    <row r="37" spans="2:22" x14ac:dyDescent="0.55000000000000004">
      <c r="B37" s="89" t="s">
        <v>122</v>
      </c>
      <c r="D37" s="101" t="str">
        <f>+IF(D36&lt;0,"",D33)</f>
        <v/>
      </c>
      <c r="E37" s="101" t="str">
        <f t="shared" ref="E37:L37" ca="1" si="75">+IF(E36&lt;0,"",E33)</f>
        <v/>
      </c>
      <c r="F37" s="101" t="str">
        <f t="shared" ca="1" si="75"/>
        <v/>
      </c>
      <c r="G37" s="101" t="str">
        <f t="shared" ca="1" si="75"/>
        <v/>
      </c>
      <c r="H37" s="101">
        <f t="shared" ca="1" si="75"/>
        <v>4</v>
      </c>
      <c r="I37" s="101">
        <f t="shared" ca="1" si="75"/>
        <v>5</v>
      </c>
      <c r="J37" s="101">
        <f t="shared" ca="1" si="75"/>
        <v>6</v>
      </c>
      <c r="K37" s="101">
        <f t="shared" ca="1" si="75"/>
        <v>7</v>
      </c>
      <c r="L37" s="101">
        <f t="shared" ca="1" si="75"/>
        <v>8</v>
      </c>
      <c r="M37" s="101">
        <f t="shared" ref="M37:T37" ca="1" si="76">+IF(M36&lt;0,"",M33)</f>
        <v>9</v>
      </c>
      <c r="N37" s="101">
        <f t="shared" ca="1" si="76"/>
        <v>10</v>
      </c>
      <c r="O37" s="101">
        <f t="shared" ca="1" si="76"/>
        <v>11</v>
      </c>
      <c r="P37" s="101">
        <f t="shared" ca="1" si="76"/>
        <v>12</v>
      </c>
      <c r="Q37" s="101">
        <f t="shared" ca="1" si="76"/>
        <v>13</v>
      </c>
      <c r="R37" s="101">
        <f t="shared" ca="1" si="76"/>
        <v>14</v>
      </c>
      <c r="S37" s="101">
        <f t="shared" ca="1" si="76"/>
        <v>15</v>
      </c>
      <c r="T37" s="101">
        <f t="shared" ca="1" si="76"/>
        <v>16</v>
      </c>
      <c r="U37" s="101">
        <f t="shared" ref="U37:V37" ca="1" si="77">+IF(U36&lt;0,"",U33)</f>
        <v>17</v>
      </c>
      <c r="V37" s="101">
        <f t="shared" ca="1" si="77"/>
        <v>18</v>
      </c>
    </row>
    <row r="39" spans="2:22" x14ac:dyDescent="0.55000000000000004">
      <c r="B39" s="102" t="s">
        <v>190</v>
      </c>
      <c r="C39" s="103">
        <f ca="1">+MIN(D37:P37)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AA06-0A38-4FD9-90FD-5AF8E77CF5E2}">
  <dimension ref="A4:V48"/>
  <sheetViews>
    <sheetView showGridLines="0" zoomScale="55" zoomScaleNormal="55" workbookViewId="0">
      <selection activeCell="P32" sqref="P32"/>
    </sheetView>
  </sheetViews>
  <sheetFormatPr defaultRowHeight="14.4" x14ac:dyDescent="0.55000000000000004"/>
  <cols>
    <col min="3" max="3" width="27.26171875" customWidth="1"/>
    <col min="4" max="4" width="10.83984375" bestFit="1" customWidth="1"/>
    <col min="7" max="7" width="10.68359375" customWidth="1"/>
    <col min="9" max="9" width="9.83984375" customWidth="1"/>
    <col min="12" max="12" width="10.83984375" customWidth="1"/>
    <col min="14" max="14" width="9.15625" customWidth="1"/>
  </cols>
  <sheetData>
    <row r="4" spans="2:15" x14ac:dyDescent="0.55000000000000004">
      <c r="B4" s="1"/>
    </row>
    <row r="5" spans="2:15" x14ac:dyDescent="0.55000000000000004">
      <c r="B5" s="32"/>
    </row>
    <row r="7" spans="2:15" x14ac:dyDescent="0.55000000000000004">
      <c r="B7" t="s">
        <v>33</v>
      </c>
    </row>
    <row r="9" spans="2:15" x14ac:dyDescent="0.55000000000000004">
      <c r="B9" s="168" t="s">
        <v>97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</row>
    <row r="11" spans="2:15" x14ac:dyDescent="0.55000000000000004">
      <c r="C11" t="s">
        <v>106</v>
      </c>
      <c r="D11" s="74">
        <f>'Cost Calculator'!E31</f>
        <v>3</v>
      </c>
      <c r="I11" s="14"/>
      <c r="J11" s="14"/>
      <c r="K11" s="14"/>
      <c r="L11" s="14"/>
    </row>
    <row r="12" spans="2:15" x14ac:dyDescent="0.55000000000000004">
      <c r="C12" t="s">
        <v>104</v>
      </c>
      <c r="D12" s="54">
        <v>8</v>
      </c>
      <c r="F12" s="73"/>
      <c r="I12" s="62" t="s">
        <v>100</v>
      </c>
      <c r="J12" s="62" t="s">
        <v>80</v>
      </c>
      <c r="K12" s="62" t="s">
        <v>95</v>
      </c>
      <c r="L12" s="62" t="s">
        <v>96</v>
      </c>
    </row>
    <row r="13" spans="2:15" x14ac:dyDescent="0.55000000000000004">
      <c r="C13" s="32" t="s">
        <v>105</v>
      </c>
      <c r="D13" s="56">
        <f>'Cost Calculator'!E31*'Revenue Build'!D12</f>
        <v>24</v>
      </c>
      <c r="H13" s="75" t="s">
        <v>102</v>
      </c>
      <c r="I13" s="54">
        <v>11</v>
      </c>
      <c r="J13" s="54">
        <v>11</v>
      </c>
      <c r="K13" s="54">
        <v>11</v>
      </c>
      <c r="L13" s="54">
        <v>6</v>
      </c>
    </row>
    <row r="14" spans="2:15" x14ac:dyDescent="0.55000000000000004">
      <c r="C14" s="32"/>
      <c r="D14" s="29"/>
      <c r="E14" s="55"/>
      <c r="H14" s="75" t="s">
        <v>103</v>
      </c>
      <c r="I14" s="76">
        <v>0.5</v>
      </c>
      <c r="J14" s="54">
        <v>0.6</v>
      </c>
      <c r="K14" s="54">
        <v>0.8</v>
      </c>
      <c r="L14" s="54">
        <v>0.7</v>
      </c>
    </row>
    <row r="15" spans="2:15" x14ac:dyDescent="0.55000000000000004">
      <c r="L15" s="62"/>
    </row>
    <row r="16" spans="2:15" x14ac:dyDescent="0.55000000000000004">
      <c r="C16" s="57"/>
      <c r="D16" s="57" t="s">
        <v>76</v>
      </c>
      <c r="E16" s="57" t="s">
        <v>77</v>
      </c>
      <c r="F16" s="57" t="s">
        <v>78</v>
      </c>
      <c r="G16" s="57" t="s">
        <v>79</v>
      </c>
      <c r="H16" s="57" t="s">
        <v>80</v>
      </c>
      <c r="I16" s="57" t="s">
        <v>81</v>
      </c>
      <c r="J16" s="57" t="s">
        <v>82</v>
      </c>
    </row>
    <row r="17" spans="2:10" ht="5.25" customHeight="1" x14ac:dyDescent="0.55000000000000004"/>
    <row r="18" spans="2:10" x14ac:dyDescent="0.55000000000000004">
      <c r="C18" s="32" t="s">
        <v>99</v>
      </c>
      <c r="D18" s="55">
        <f>+$I13</f>
        <v>11</v>
      </c>
      <c r="E18" s="55">
        <f>+$I13</f>
        <v>11</v>
      </c>
      <c r="F18" s="55">
        <f>+$I13</f>
        <v>11</v>
      </c>
      <c r="G18" s="55">
        <f>+$I13</f>
        <v>11</v>
      </c>
      <c r="H18" s="55">
        <f>+J13</f>
        <v>11</v>
      </c>
      <c r="I18" s="55">
        <f>+K13</f>
        <v>11</v>
      </c>
      <c r="J18" s="55">
        <f>+L13</f>
        <v>6</v>
      </c>
    </row>
    <row r="19" spans="2:10" x14ac:dyDescent="0.55000000000000004">
      <c r="C19" s="58" t="s">
        <v>98</v>
      </c>
      <c r="D19" s="59">
        <f>+$I$14*$D$13</f>
        <v>12</v>
      </c>
      <c r="E19" s="59">
        <f>+$I$14*$D$13</f>
        <v>12</v>
      </c>
      <c r="F19" s="59">
        <f>+$I$14*$D$13</f>
        <v>12</v>
      </c>
      <c r="G19" s="59">
        <f>+$I$14*$D$13</f>
        <v>12</v>
      </c>
      <c r="H19" s="59">
        <f>+J$14*$D$13</f>
        <v>14.399999999999999</v>
      </c>
      <c r="I19" s="59">
        <f>+K$14*$D$13</f>
        <v>19.200000000000003</v>
      </c>
      <c r="J19" s="59">
        <f>+L$14*$D$13</f>
        <v>16.799999999999997</v>
      </c>
    </row>
    <row r="20" spans="2:10" x14ac:dyDescent="0.55000000000000004">
      <c r="C20" s="1" t="s">
        <v>107</v>
      </c>
      <c r="D20" s="60">
        <f>+D18*D19</f>
        <v>132</v>
      </c>
      <c r="E20" s="60">
        <f t="shared" ref="E20:J20" si="0">+E18*E19</f>
        <v>132</v>
      </c>
      <c r="F20" s="60">
        <f t="shared" si="0"/>
        <v>132</v>
      </c>
      <c r="G20" s="60">
        <f t="shared" si="0"/>
        <v>132</v>
      </c>
      <c r="H20" s="60">
        <f t="shared" si="0"/>
        <v>158.39999999999998</v>
      </c>
      <c r="I20" s="60">
        <f t="shared" si="0"/>
        <v>211.20000000000005</v>
      </c>
      <c r="J20" s="60">
        <f t="shared" si="0"/>
        <v>100.79999999999998</v>
      </c>
    </row>
    <row r="22" spans="2:10" x14ac:dyDescent="0.55000000000000004">
      <c r="C22" s="1" t="s">
        <v>101</v>
      </c>
      <c r="D22" s="61">
        <f>+SUM(D20:J20)</f>
        <v>998.4</v>
      </c>
      <c r="E22" t="s">
        <v>83</v>
      </c>
    </row>
    <row r="23" spans="2:10" x14ac:dyDescent="0.55000000000000004">
      <c r="C23" s="1"/>
      <c r="D23" s="62"/>
    </row>
    <row r="24" spans="2:10" x14ac:dyDescent="0.55000000000000004">
      <c r="D24" s="60" t="s">
        <v>84</v>
      </c>
      <c r="E24" s="1" t="s">
        <v>85</v>
      </c>
      <c r="F24" s="1" t="s">
        <v>86</v>
      </c>
    </row>
    <row r="25" spans="2:10" x14ac:dyDescent="0.55000000000000004">
      <c r="B25" s="63" t="s">
        <v>87</v>
      </c>
      <c r="C25" s="63"/>
      <c r="D25" s="54">
        <v>2</v>
      </c>
      <c r="E25" s="64">
        <f ca="1">+OFFSET(E25,$D$25,)</f>
        <v>5</v>
      </c>
      <c r="F25" s="32" t="str">
        <f ca="1">+OFFSET(C25,D25,,)</f>
        <v>Expected</v>
      </c>
    </row>
    <row r="26" spans="2:10" x14ac:dyDescent="0.55000000000000004">
      <c r="B26" s="55"/>
      <c r="C26" t="s">
        <v>88</v>
      </c>
      <c r="D26" s="55">
        <v>1</v>
      </c>
      <c r="E26" s="65">
        <v>2.5</v>
      </c>
    </row>
    <row r="27" spans="2:10" x14ac:dyDescent="0.55000000000000004">
      <c r="B27" s="55"/>
      <c r="C27" s="41" t="s">
        <v>89</v>
      </c>
      <c r="D27" s="55">
        <f>+D26+1</f>
        <v>2</v>
      </c>
      <c r="E27" s="65">
        <v>5</v>
      </c>
      <c r="H27" s="106"/>
    </row>
    <row r="28" spans="2:10" x14ac:dyDescent="0.55000000000000004">
      <c r="B28" s="55"/>
      <c r="C28" t="s">
        <v>90</v>
      </c>
      <c r="D28" s="55">
        <f t="shared" ref="D28:D29" si="1">+D27+1</f>
        <v>3</v>
      </c>
      <c r="E28" s="65">
        <v>8</v>
      </c>
    </row>
    <row r="29" spans="2:10" x14ac:dyDescent="0.55000000000000004">
      <c r="B29" s="55"/>
      <c r="C29" t="s">
        <v>91</v>
      </c>
      <c r="D29" s="55">
        <f t="shared" si="1"/>
        <v>4</v>
      </c>
      <c r="E29" s="65">
        <v>1</v>
      </c>
    </row>
    <row r="31" spans="2:10" x14ac:dyDescent="0.55000000000000004">
      <c r="C31" s="3" t="s">
        <v>186</v>
      </c>
      <c r="D31" s="66">
        <f ca="1">+D22*E25-D22*E25*I31</f>
        <v>4854.72</v>
      </c>
      <c r="E31" t="s">
        <v>129</v>
      </c>
      <c r="G31" t="s">
        <v>128</v>
      </c>
      <c r="I31" s="105">
        <f>card_fee</f>
        <v>2.75E-2</v>
      </c>
    </row>
    <row r="32" spans="2:10" x14ac:dyDescent="0.55000000000000004">
      <c r="C32" s="3" t="s">
        <v>130</v>
      </c>
      <c r="D32" s="77">
        <f ca="1">+D31*avg_wk</f>
        <v>21118.031999999999</v>
      </c>
      <c r="E32" t="s">
        <v>196</v>
      </c>
      <c r="I32" s="164"/>
    </row>
    <row r="35" spans="1:22" x14ac:dyDescent="0.55000000000000004">
      <c r="E35" s="5"/>
    </row>
    <row r="36" spans="1:22" x14ac:dyDescent="0.55000000000000004">
      <c r="C36" s="3" t="s">
        <v>187</v>
      </c>
      <c r="D36" s="159">
        <f>D37/avg_wk</f>
        <v>1397.7537517241378</v>
      </c>
      <c r="E36" s="5"/>
    </row>
    <row r="37" spans="1:22" x14ac:dyDescent="0.55000000000000004">
      <c r="C37" s="158" t="s">
        <v>188</v>
      </c>
      <c r="D37" s="160">
        <f>'Retail Sales'!U6+'Retail Sales'!S11+'Retail Sales'!S12</f>
        <v>6080.2288199999994</v>
      </c>
      <c r="E37" s="5"/>
    </row>
    <row r="38" spans="1:22" x14ac:dyDescent="0.55000000000000004">
      <c r="C38" t="s">
        <v>189</v>
      </c>
      <c r="E38" s="5"/>
    </row>
    <row r="43" spans="1:22" x14ac:dyDescent="0.55000000000000004">
      <c r="B43" s="67" t="s">
        <v>92</v>
      </c>
      <c r="C43" s="67"/>
      <c r="D43" s="67"/>
      <c r="E43" s="67"/>
      <c r="F43" s="67"/>
      <c r="G43" s="67"/>
      <c r="H43" s="67"/>
      <c r="I43" s="67"/>
      <c r="J43" s="67"/>
      <c r="K43" s="67"/>
    </row>
    <row r="44" spans="1:22" x14ac:dyDescent="0.55000000000000004">
      <c r="A44" s="68"/>
      <c r="B44" s="1" t="s">
        <v>93</v>
      </c>
      <c r="D44" s="69">
        <v>0.5</v>
      </c>
      <c r="E44" s="70"/>
      <c r="F44" s="70"/>
      <c r="G44" s="70"/>
      <c r="H44" s="70"/>
      <c r="I44" s="70"/>
      <c r="J44" s="70"/>
      <c r="K44" s="70"/>
    </row>
    <row r="45" spans="1:22" x14ac:dyDescent="0.55000000000000004">
      <c r="B45" s="1" t="s">
        <v>183</v>
      </c>
      <c r="D45" s="54">
        <v>2</v>
      </c>
    </row>
    <row r="47" spans="1:22" x14ac:dyDescent="0.55000000000000004">
      <c r="A47" s="1"/>
      <c r="B47" s="13" t="s">
        <v>182</v>
      </c>
      <c r="C47" s="13"/>
      <c r="D47" s="57">
        <v>0</v>
      </c>
      <c r="E47" s="57">
        <f>+D47+1</f>
        <v>1</v>
      </c>
      <c r="F47" s="57">
        <f>+E47+1</f>
        <v>2</v>
      </c>
      <c r="G47" s="57">
        <f t="shared" ref="G47:K47" si="2">+F47+1</f>
        <v>3</v>
      </c>
      <c r="H47" s="57">
        <f t="shared" si="2"/>
        <v>4</v>
      </c>
      <c r="I47" s="57">
        <f t="shared" si="2"/>
        <v>5</v>
      </c>
      <c r="J47" s="57">
        <f t="shared" si="2"/>
        <v>6</v>
      </c>
      <c r="K47" s="57">
        <f t="shared" si="2"/>
        <v>7</v>
      </c>
      <c r="L47" s="57">
        <f t="shared" ref="L47" si="3">+K47+1</f>
        <v>8</v>
      </c>
      <c r="M47" s="57">
        <f t="shared" ref="M47" si="4">+L47+1</f>
        <v>9</v>
      </c>
      <c r="N47" s="57">
        <f t="shared" ref="N47" si="5">+M47+1</f>
        <v>10</v>
      </c>
      <c r="O47" s="57">
        <f t="shared" ref="O47" si="6">+N47+1</f>
        <v>11</v>
      </c>
      <c r="P47" s="57">
        <f t="shared" ref="P47" si="7">+O47+1</f>
        <v>12</v>
      </c>
      <c r="Q47" s="57">
        <f t="shared" ref="Q47" si="8">+P47+1</f>
        <v>13</v>
      </c>
      <c r="R47" s="57">
        <f t="shared" ref="R47" si="9">+Q47+1</f>
        <v>14</v>
      </c>
      <c r="S47" s="57">
        <f t="shared" ref="S47" si="10">+R47+1</f>
        <v>15</v>
      </c>
      <c r="T47" s="57">
        <f t="shared" ref="T47" si="11">+S47+1</f>
        <v>16</v>
      </c>
      <c r="U47" s="57">
        <f t="shared" ref="U47" si="12">+T47+1</f>
        <v>17</v>
      </c>
      <c r="V47" s="57">
        <f t="shared" ref="V47" si="13">+U47+1</f>
        <v>18</v>
      </c>
    </row>
    <row r="48" spans="1:22" x14ac:dyDescent="0.55000000000000004">
      <c r="B48" s="71" t="s">
        <v>94</v>
      </c>
      <c r="E48" s="72">
        <f>IF(E47&lt;=$D$45,MIN($D$44/$D$45*E47,0.5),D48+0.2)</f>
        <v>0.25</v>
      </c>
      <c r="F48" s="72">
        <f>IF(F47&lt;=$D$45,MIN($D$44/$D$45*F47,0.5),E48+0.2)</f>
        <v>0.5</v>
      </c>
      <c r="G48" s="72">
        <f>IF(G47&lt;=$D$45,MIN($D$44/$D$45*G47,0.5),F48+0.2)</f>
        <v>0.7</v>
      </c>
      <c r="H48" s="72">
        <f>1</f>
        <v>1</v>
      </c>
      <c r="I48" s="72">
        <f>1</f>
        <v>1</v>
      </c>
      <c r="J48" s="72">
        <f>1</f>
        <v>1</v>
      </c>
      <c r="K48" s="72">
        <f>1</f>
        <v>1</v>
      </c>
      <c r="L48" s="72">
        <f>1</f>
        <v>1</v>
      </c>
      <c r="M48" s="72">
        <f>1</f>
        <v>1</v>
      </c>
      <c r="N48" s="72">
        <f>1</f>
        <v>1</v>
      </c>
      <c r="O48" s="72">
        <f>1</f>
        <v>1</v>
      </c>
      <c r="P48" s="72">
        <f>1</f>
        <v>1</v>
      </c>
      <c r="Q48" s="72">
        <f>1</f>
        <v>1</v>
      </c>
      <c r="R48" s="72">
        <f>1</f>
        <v>1</v>
      </c>
      <c r="S48" s="72">
        <f>1</f>
        <v>1</v>
      </c>
      <c r="T48" s="72">
        <f>1</f>
        <v>1</v>
      </c>
      <c r="U48" s="72">
        <f>1</f>
        <v>1</v>
      </c>
      <c r="V48" s="72">
        <f>1</f>
        <v>1</v>
      </c>
    </row>
  </sheetData>
  <mergeCells count="1">
    <mergeCell ref="B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B913-5356-4420-BF57-E7E4738E87AE}">
  <dimension ref="B2:U17"/>
  <sheetViews>
    <sheetView showGridLines="0" workbookViewId="0">
      <selection activeCell="K17" sqref="K17"/>
    </sheetView>
  </sheetViews>
  <sheetFormatPr defaultRowHeight="14.4" x14ac:dyDescent="0.55000000000000004"/>
  <cols>
    <col min="2" max="2" width="14.26171875" customWidth="1"/>
    <col min="3" max="3" width="17" customWidth="1"/>
    <col min="4" max="4" width="3.26171875" customWidth="1"/>
    <col min="5" max="5" width="12.41796875" customWidth="1"/>
    <col min="6" max="6" width="3.578125" customWidth="1"/>
    <col min="7" max="7" width="12.41796875" customWidth="1"/>
    <col min="8" max="8" width="2.68359375" customWidth="1"/>
    <col min="9" max="9" width="12.68359375" customWidth="1"/>
    <col min="10" max="10" width="3" customWidth="1"/>
    <col min="11" max="11" width="10.15625" customWidth="1"/>
    <col min="12" max="12" width="4.68359375" customWidth="1"/>
    <col min="13" max="13" width="12" customWidth="1"/>
    <col min="14" max="14" width="3.68359375" customWidth="1"/>
    <col min="15" max="15" width="10.578125" customWidth="1"/>
    <col min="16" max="16" width="6" customWidth="1"/>
    <col min="17" max="17" width="19" customWidth="1"/>
    <col min="18" max="18" width="3.578125" customWidth="1"/>
    <col min="19" max="19" width="14" customWidth="1"/>
    <col min="20" max="20" width="5.41796875" customWidth="1"/>
    <col min="21" max="21" width="13" customWidth="1"/>
    <col min="22" max="22" width="3.41796875" customWidth="1"/>
  </cols>
  <sheetData>
    <row r="2" spans="2:21" x14ac:dyDescent="0.55000000000000004">
      <c r="B2" s="169" t="s">
        <v>131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</row>
    <row r="4" spans="2:21" x14ac:dyDescent="0.55000000000000004">
      <c r="B4" s="1" t="s">
        <v>181</v>
      </c>
    </row>
    <row r="5" spans="2:21" x14ac:dyDescent="0.55000000000000004">
      <c r="B5" s="143" t="s">
        <v>135</v>
      </c>
      <c r="C5" s="143" t="s">
        <v>139</v>
      </c>
      <c r="D5" s="143"/>
      <c r="E5" s="143" t="s">
        <v>132</v>
      </c>
      <c r="F5" s="143"/>
      <c r="G5" s="143" t="s">
        <v>133</v>
      </c>
      <c r="H5" s="143"/>
      <c r="I5" s="143" t="s">
        <v>134</v>
      </c>
      <c r="J5" s="143"/>
      <c r="K5" s="143" t="s">
        <v>138</v>
      </c>
      <c r="L5" s="143"/>
      <c r="M5" s="145" t="s">
        <v>136</v>
      </c>
      <c r="N5" s="144"/>
      <c r="O5" s="144" t="s">
        <v>141</v>
      </c>
      <c r="P5" s="144"/>
      <c r="Q5" s="144" t="s">
        <v>191</v>
      </c>
      <c r="R5" s="149"/>
      <c r="S5" s="144" t="s">
        <v>180</v>
      </c>
      <c r="T5" s="144"/>
      <c r="U5" s="144" t="s">
        <v>173</v>
      </c>
    </row>
    <row r="6" spans="2:21" x14ac:dyDescent="0.55000000000000004">
      <c r="B6" s="107">
        <v>1</v>
      </c>
      <c r="C6" s="107" t="s">
        <v>140</v>
      </c>
      <c r="D6" s="107"/>
      <c r="E6" s="107" t="s">
        <v>137</v>
      </c>
      <c r="F6" s="107"/>
      <c r="G6" s="107">
        <v>400</v>
      </c>
      <c r="H6" s="107"/>
      <c r="I6" s="109">
        <v>2.5</v>
      </c>
      <c r="J6" s="109"/>
      <c r="K6" s="110">
        <v>200</v>
      </c>
      <c r="L6" s="110"/>
      <c r="M6" s="110">
        <f>SUM(PRODUCT(I6,G6),K6)</f>
        <v>1200</v>
      </c>
      <c r="O6" s="110">
        <v>25</v>
      </c>
      <c r="Q6" s="161">
        <f>(O6-(M6/G6))/O6</f>
        <v>0.88</v>
      </c>
      <c r="R6" s="110"/>
      <c r="S6" s="107">
        <v>150</v>
      </c>
      <c r="T6" s="151"/>
      <c r="U6" s="157">
        <f>S6*O6-M6/G6</f>
        <v>3747</v>
      </c>
    </row>
    <row r="7" spans="2:21" x14ac:dyDescent="0.55000000000000004">
      <c r="B7" s="107"/>
      <c r="C7" s="107"/>
      <c r="D7" s="107"/>
      <c r="E7" s="107"/>
      <c r="F7" s="107"/>
      <c r="G7" s="107"/>
      <c r="H7" s="107"/>
      <c r="I7" s="109"/>
      <c r="J7" s="109"/>
      <c r="K7" s="108"/>
      <c r="L7" s="108"/>
      <c r="M7" s="110"/>
      <c r="N7" s="110"/>
      <c r="O7" s="110"/>
      <c r="P7" s="110"/>
      <c r="T7" s="151"/>
      <c r="U7" s="150"/>
    </row>
    <row r="8" spans="2:21" x14ac:dyDescent="0.55000000000000004">
      <c r="B8" s="107"/>
      <c r="C8" s="107"/>
      <c r="D8" s="107"/>
      <c r="E8" s="107"/>
      <c r="F8" s="107"/>
      <c r="G8" s="107"/>
      <c r="H8" s="107"/>
      <c r="I8" s="109"/>
      <c r="J8" s="109"/>
      <c r="K8" s="108"/>
      <c r="L8" s="108"/>
      <c r="M8" s="110"/>
      <c r="N8" s="110"/>
      <c r="O8" s="110"/>
      <c r="P8" s="110"/>
      <c r="T8" s="151"/>
      <c r="U8" s="150"/>
    </row>
    <row r="9" spans="2:21" x14ac:dyDescent="0.55000000000000004">
      <c r="B9" s="142" t="s">
        <v>177</v>
      </c>
      <c r="C9" s="107"/>
      <c r="D9" s="107"/>
      <c r="E9" s="75"/>
      <c r="F9" s="75"/>
      <c r="G9" s="107"/>
      <c r="H9" s="107"/>
      <c r="I9" s="109"/>
      <c r="J9" s="109"/>
      <c r="K9" s="108"/>
      <c r="L9" s="108"/>
      <c r="M9" s="110"/>
      <c r="N9" s="110"/>
      <c r="O9" s="110"/>
      <c r="P9" s="110"/>
      <c r="Q9" s="110"/>
      <c r="R9" s="110"/>
      <c r="S9" s="151"/>
      <c r="T9" s="151"/>
    </row>
    <row r="10" spans="2:21" ht="15.6" x14ac:dyDescent="0.6">
      <c r="B10" s="148" t="s">
        <v>178</v>
      </c>
      <c r="C10" s="147" t="s">
        <v>179</v>
      </c>
      <c r="D10" s="147"/>
      <c r="E10" s="147" t="s">
        <v>166</v>
      </c>
      <c r="F10" s="147"/>
      <c r="G10" s="147" t="s">
        <v>167</v>
      </c>
      <c r="H10" s="147"/>
      <c r="I10" s="147" t="s">
        <v>169</v>
      </c>
      <c r="J10" s="147"/>
      <c r="K10" s="147" t="s">
        <v>170</v>
      </c>
      <c r="L10" s="147"/>
      <c r="M10" s="147" t="s">
        <v>168</v>
      </c>
      <c r="N10" s="144"/>
      <c r="O10" s="147" t="s">
        <v>174</v>
      </c>
      <c r="P10" s="147"/>
      <c r="Q10" s="148" t="s">
        <v>191</v>
      </c>
      <c r="R10" s="144"/>
      <c r="S10" s="147" t="s">
        <v>173</v>
      </c>
      <c r="T10" s="144"/>
    </row>
    <row r="11" spans="2:21" ht="15.6" x14ac:dyDescent="0.6">
      <c r="B11" s="146" t="s">
        <v>171</v>
      </c>
      <c r="C11" s="115">
        <v>6</v>
      </c>
      <c r="D11" s="146"/>
      <c r="E11" s="154">
        <f>'Computer Parts Build'!M18</f>
        <v>1191.19</v>
      </c>
      <c r="F11" s="154"/>
      <c r="G11" s="152">
        <v>0.2</v>
      </c>
      <c r="H11" s="152"/>
      <c r="I11" s="146">
        <v>5</v>
      </c>
      <c r="J11" s="146"/>
      <c r="K11" s="109">
        <v>12</v>
      </c>
      <c r="L11" s="109"/>
      <c r="M11" s="155">
        <f>E11+(E11*G11)+I11*K11</f>
        <v>1489.4280000000001</v>
      </c>
      <c r="N11" s="107"/>
      <c r="O11" s="156">
        <f>(M11-M11*C15)-E11</f>
        <v>257.27873</v>
      </c>
      <c r="P11" s="156"/>
      <c r="Q11" s="133">
        <f>(M11-E11)/M11</f>
        <v>0.20023660089645154</v>
      </c>
      <c r="S11" s="109">
        <f>O11*C11</f>
        <v>1543.67238</v>
      </c>
      <c r="T11" s="151"/>
    </row>
    <row r="12" spans="2:21" ht="15.6" x14ac:dyDescent="0.6">
      <c r="B12" s="146" t="s">
        <v>172</v>
      </c>
      <c r="C12" s="115">
        <v>2</v>
      </c>
      <c r="D12" s="146"/>
      <c r="E12" s="154">
        <f>'Computer Parts Build'!M31</f>
        <v>1944.6599999999999</v>
      </c>
      <c r="F12" s="154"/>
      <c r="G12" s="152">
        <v>0.2</v>
      </c>
      <c r="H12" s="152"/>
      <c r="I12" s="146">
        <v>6</v>
      </c>
      <c r="J12" s="146"/>
      <c r="K12" s="109">
        <v>12</v>
      </c>
      <c r="L12" s="109"/>
      <c r="M12" s="155">
        <f>E12+(E12*G12)+I12*K12</f>
        <v>2405.5919999999996</v>
      </c>
      <c r="N12" s="107"/>
      <c r="O12" s="156">
        <f>(M12-M12*C15)-E12</f>
        <v>394.77821999999969</v>
      </c>
      <c r="P12" s="156"/>
      <c r="Q12" s="133">
        <f>(M12-E12)/M12</f>
        <v>0.19160855207366828</v>
      </c>
      <c r="S12" s="109">
        <f>O12*C12</f>
        <v>789.55643999999938</v>
      </c>
      <c r="T12" s="151"/>
    </row>
    <row r="13" spans="2:21" ht="15.6" x14ac:dyDescent="0.6">
      <c r="B13" s="146"/>
      <c r="C13" s="115"/>
      <c r="D13" s="146"/>
      <c r="E13" s="146"/>
      <c r="F13" s="146"/>
      <c r="G13" s="146"/>
      <c r="H13" s="146"/>
      <c r="I13" s="135"/>
      <c r="J13" s="135"/>
      <c r="K13" s="135"/>
      <c r="L13" s="135"/>
      <c r="M13" s="135"/>
      <c r="N13" s="135"/>
      <c r="O13" s="135"/>
      <c r="P13" s="135"/>
      <c r="R13" s="121"/>
      <c r="S13" s="135"/>
      <c r="T13" s="121"/>
      <c r="U13" s="121"/>
    </row>
    <row r="14" spans="2:21" x14ac:dyDescent="0.55000000000000004">
      <c r="B14" s="75"/>
      <c r="C14" s="75"/>
      <c r="D14" s="75"/>
      <c r="E14" s="75"/>
      <c r="F14" s="75"/>
      <c r="G14" s="75"/>
      <c r="H14" s="75"/>
      <c r="I14" s="108"/>
      <c r="J14" s="108"/>
      <c r="K14" s="108"/>
      <c r="L14" s="108"/>
      <c r="M14" s="110"/>
      <c r="N14" s="110"/>
    </row>
    <row r="15" spans="2:21" x14ac:dyDescent="0.55000000000000004">
      <c r="B15" t="s">
        <v>128</v>
      </c>
      <c r="C15" s="105">
        <f>card_fee</f>
        <v>2.75E-2</v>
      </c>
      <c r="E15" s="75"/>
      <c r="F15" s="167" t="s">
        <v>197</v>
      </c>
      <c r="G15" s="75"/>
      <c r="H15" s="75"/>
      <c r="L15" s="108"/>
      <c r="M15" s="110"/>
      <c r="N15" s="110"/>
    </row>
    <row r="16" spans="2:21" x14ac:dyDescent="0.55000000000000004">
      <c r="B16" s="75"/>
      <c r="C16" s="75"/>
      <c r="D16" s="75"/>
      <c r="E16" s="75"/>
      <c r="F16" s="75"/>
      <c r="G16" s="166">
        <f>((O6+M11+M12)-((M6/G6)+E11+E12))/(O6+M11+M12)</f>
        <v>0.19927704450487491</v>
      </c>
      <c r="H16" s="75"/>
      <c r="J16" s="108"/>
      <c r="K16" s="75"/>
      <c r="L16" s="75"/>
    </row>
    <row r="17" spans="2:12" x14ac:dyDescent="0.55000000000000004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</row>
  </sheetData>
  <mergeCells count="1">
    <mergeCell ref="B2:U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F1A3-0255-4065-9BE1-FE73A422DA16}">
  <dimension ref="B1:V82"/>
  <sheetViews>
    <sheetView showGridLines="0" topLeftCell="A19" zoomScale="85" zoomScaleNormal="85" workbookViewId="0">
      <selection activeCell="E34" sqref="E34"/>
    </sheetView>
  </sheetViews>
  <sheetFormatPr defaultRowHeight="14.4" x14ac:dyDescent="0.55000000000000004"/>
  <cols>
    <col min="4" max="4" width="12.578125" bestFit="1" customWidth="1"/>
    <col min="5" max="5" width="11.578125" bestFit="1" customWidth="1"/>
    <col min="7" max="7" width="9.15625" customWidth="1"/>
    <col min="10" max="10" width="11.26171875" customWidth="1"/>
  </cols>
  <sheetData>
    <row r="1" spans="2:22" x14ac:dyDescent="0.55000000000000004">
      <c r="B1" s="5"/>
      <c r="C1" s="5"/>
      <c r="D1" s="5"/>
      <c r="E1" s="5"/>
      <c r="F1" s="5"/>
      <c r="G1" s="5"/>
      <c r="H1" s="5"/>
    </row>
    <row r="2" spans="2:22" x14ac:dyDescent="0.55000000000000004">
      <c r="B2" s="1"/>
      <c r="C2" s="1"/>
    </row>
    <row r="3" spans="2:22" x14ac:dyDescent="0.55000000000000004">
      <c r="B3" s="32"/>
      <c r="C3" s="32"/>
      <c r="D3" s="32"/>
    </row>
    <row r="4" spans="2:22" x14ac:dyDescent="0.55000000000000004">
      <c r="Q4" s="5"/>
      <c r="R4" s="5"/>
      <c r="S4" s="5"/>
      <c r="T4" s="5"/>
      <c r="U4" s="5"/>
      <c r="V4" s="5"/>
    </row>
    <row r="5" spans="2:22" x14ac:dyDescent="0.55000000000000004">
      <c r="B5" t="s">
        <v>33</v>
      </c>
      <c r="K5" s="11" t="s">
        <v>34</v>
      </c>
      <c r="L5" s="18"/>
      <c r="M5" s="18"/>
      <c r="N5" s="18"/>
      <c r="O5" s="19"/>
      <c r="Q5" s="5"/>
      <c r="R5" s="5"/>
      <c r="S5" s="5"/>
      <c r="T5" s="5"/>
      <c r="U5" s="5"/>
      <c r="V5" s="5"/>
    </row>
    <row r="6" spans="2:22" x14ac:dyDescent="0.55000000000000004">
      <c r="K6" s="6" t="s">
        <v>35</v>
      </c>
      <c r="L6" s="5"/>
      <c r="M6" s="5" t="s">
        <v>36</v>
      </c>
      <c r="N6" s="5"/>
      <c r="O6" s="7"/>
      <c r="Q6" s="5"/>
      <c r="R6" s="5"/>
      <c r="S6" s="5"/>
      <c r="T6" s="5"/>
      <c r="U6" s="5"/>
      <c r="V6" s="5"/>
    </row>
    <row r="7" spans="2:22" x14ac:dyDescent="0.55000000000000004">
      <c r="B7" s="13" t="s">
        <v>27</v>
      </c>
      <c r="C7" s="13"/>
      <c r="D7" s="14"/>
      <c r="E7" s="14"/>
      <c r="F7" s="14"/>
      <c r="G7" s="14"/>
      <c r="H7" s="14"/>
      <c r="I7" s="14"/>
      <c r="J7" s="23"/>
      <c r="K7" s="6" t="s">
        <v>37</v>
      </c>
      <c r="L7" s="5"/>
      <c r="M7" s="5" t="s">
        <v>38</v>
      </c>
      <c r="N7" s="5"/>
      <c r="O7" s="7"/>
      <c r="Q7" s="5"/>
      <c r="R7" s="5"/>
      <c r="S7" s="5"/>
      <c r="T7" s="5"/>
      <c r="U7" s="5"/>
      <c r="V7" s="5"/>
    </row>
    <row r="8" spans="2:22" x14ac:dyDescent="0.55000000000000004">
      <c r="B8" s="3" t="s">
        <v>17</v>
      </c>
      <c r="C8" s="30">
        <v>4</v>
      </c>
      <c r="D8" s="10" t="s">
        <v>20</v>
      </c>
      <c r="E8" s="2" t="s">
        <v>24</v>
      </c>
      <c r="F8" s="2"/>
      <c r="G8" s="2"/>
      <c r="H8" s="2"/>
      <c r="I8" s="9"/>
      <c r="K8" s="6" t="s">
        <v>39</v>
      </c>
      <c r="L8" s="5"/>
      <c r="M8" s="5" t="s">
        <v>40</v>
      </c>
      <c r="N8" s="5"/>
      <c r="O8" s="7"/>
      <c r="Q8" s="5"/>
      <c r="R8" s="5"/>
      <c r="S8" s="5"/>
      <c r="T8" s="5"/>
      <c r="U8" s="5"/>
      <c r="V8" s="5"/>
    </row>
    <row r="9" spans="2:22" x14ac:dyDescent="0.55000000000000004">
      <c r="B9" s="3" t="s">
        <v>50</v>
      </c>
      <c r="C9" s="30">
        <f>72</f>
        <v>72</v>
      </c>
      <c r="D9" s="10" t="s">
        <v>21</v>
      </c>
      <c r="E9" s="2" t="s">
        <v>49</v>
      </c>
      <c r="F9" s="2"/>
      <c r="G9" s="2"/>
      <c r="H9" s="2"/>
      <c r="I9" s="9"/>
      <c r="K9" s="6" t="s">
        <v>41</v>
      </c>
      <c r="L9" s="5"/>
      <c r="M9" s="5" t="s">
        <v>42</v>
      </c>
      <c r="N9" s="5"/>
      <c r="O9" s="7"/>
      <c r="Q9" s="5"/>
      <c r="R9" s="5"/>
      <c r="S9" s="5"/>
      <c r="T9" s="5"/>
      <c r="U9" s="5"/>
      <c r="V9" s="5"/>
    </row>
    <row r="10" spans="2:22" x14ac:dyDescent="0.55000000000000004">
      <c r="B10" s="3" t="s">
        <v>51</v>
      </c>
      <c r="C10" s="31">
        <f>PRODUCT(C9,C11)</f>
        <v>313.2</v>
      </c>
      <c r="D10" s="10" t="s">
        <v>21</v>
      </c>
      <c r="E10" s="2" t="s">
        <v>23</v>
      </c>
      <c r="F10" s="2"/>
      <c r="G10" s="2"/>
      <c r="H10" s="2"/>
      <c r="I10" s="9"/>
      <c r="K10" s="6" t="s">
        <v>43</v>
      </c>
      <c r="L10" s="5"/>
      <c r="M10" s="5" t="s">
        <v>44</v>
      </c>
      <c r="N10" s="5"/>
      <c r="O10" s="7"/>
      <c r="Q10" s="5"/>
      <c r="R10" s="5"/>
      <c r="S10" s="5"/>
      <c r="T10" s="5"/>
      <c r="U10" s="5"/>
      <c r="V10" s="5"/>
    </row>
    <row r="11" spans="2:22" x14ac:dyDescent="0.55000000000000004">
      <c r="B11" s="3" t="s">
        <v>18</v>
      </c>
      <c r="C11" s="30">
        <v>4.3499999999999996</v>
      </c>
      <c r="D11" s="10" t="s">
        <v>22</v>
      </c>
      <c r="E11" s="2" t="s">
        <v>26</v>
      </c>
      <c r="F11" s="2"/>
      <c r="G11" s="2"/>
      <c r="H11" s="2"/>
      <c r="I11" s="9"/>
      <c r="K11" s="20" t="s">
        <v>45</v>
      </c>
      <c r="L11" s="14"/>
      <c r="M11" s="14" t="s">
        <v>46</v>
      </c>
      <c r="N11" s="14"/>
      <c r="O11" s="21"/>
      <c r="Q11" s="5"/>
      <c r="R11" s="5"/>
      <c r="S11" s="5"/>
      <c r="T11" s="5"/>
      <c r="U11" s="5"/>
      <c r="V11" s="5"/>
    </row>
    <row r="12" spans="2:22" x14ac:dyDescent="0.55000000000000004">
      <c r="B12" s="3" t="s">
        <v>19</v>
      </c>
      <c r="C12" s="31">
        <f>PRODUCT(C8:C9,C11)</f>
        <v>1252.8</v>
      </c>
      <c r="D12" s="10" t="s">
        <v>21</v>
      </c>
      <c r="E12" s="2" t="s">
        <v>25</v>
      </c>
      <c r="F12" s="2"/>
      <c r="G12" s="2"/>
      <c r="H12" s="2"/>
      <c r="I12" s="9"/>
      <c r="Q12" s="5"/>
      <c r="R12" s="5"/>
      <c r="S12" s="5"/>
      <c r="T12" s="5"/>
      <c r="U12" s="5"/>
      <c r="V12" s="5"/>
    </row>
    <row r="13" spans="2:22" x14ac:dyDescent="0.55000000000000004">
      <c r="B13" s="27" t="s">
        <v>28</v>
      </c>
      <c r="C13" s="30">
        <v>2.75E-2</v>
      </c>
      <c r="D13" s="26" t="s">
        <v>29</v>
      </c>
      <c r="E13" s="8" t="s">
        <v>30</v>
      </c>
      <c r="F13" s="2"/>
      <c r="G13" s="2"/>
      <c r="H13" s="2"/>
      <c r="I13" s="9"/>
      <c r="Q13" s="5"/>
      <c r="R13" s="5"/>
      <c r="S13" s="5"/>
      <c r="T13" s="5"/>
      <c r="U13" s="5"/>
      <c r="V13" s="5"/>
    </row>
    <row r="14" spans="2:22" x14ac:dyDescent="0.55000000000000004">
      <c r="B14" s="24" t="s">
        <v>31</v>
      </c>
      <c r="C14" s="30">
        <v>8.2500000000000004E-2</v>
      </c>
      <c r="D14" s="26" t="s">
        <v>29</v>
      </c>
      <c r="E14" s="25" t="s">
        <v>32</v>
      </c>
      <c r="F14" s="14"/>
      <c r="G14" s="14"/>
      <c r="H14" s="14"/>
      <c r="I14" s="21"/>
      <c r="Q14" s="5"/>
      <c r="R14" s="5"/>
      <c r="S14" s="5"/>
      <c r="T14" s="5"/>
      <c r="U14" s="5"/>
      <c r="V14" s="5"/>
    </row>
    <row r="15" spans="2:22" x14ac:dyDescent="0.55000000000000004">
      <c r="Q15" s="5"/>
      <c r="R15" s="5"/>
      <c r="S15" s="5"/>
      <c r="T15" s="5"/>
      <c r="U15" s="5"/>
      <c r="V15" s="5"/>
    </row>
    <row r="16" spans="2:22" x14ac:dyDescent="0.55000000000000004">
      <c r="F16" s="5"/>
      <c r="G16" s="5"/>
      <c r="H16" s="5"/>
      <c r="I16" s="5"/>
      <c r="J16" s="5"/>
      <c r="Q16" s="5"/>
      <c r="R16" s="5"/>
      <c r="S16" s="5"/>
      <c r="T16" s="5"/>
      <c r="U16" s="5"/>
      <c r="V16" s="5"/>
    </row>
    <row r="17" spans="2:22" x14ac:dyDescent="0.55000000000000004">
      <c r="B17" s="170" t="s">
        <v>0</v>
      </c>
      <c r="C17" s="170"/>
      <c r="D17" s="170"/>
      <c r="E17" s="170"/>
      <c r="F17" s="170"/>
      <c r="G17" s="170"/>
      <c r="H17" s="170"/>
      <c r="I17" s="170"/>
      <c r="J17" s="170"/>
      <c r="Q17" s="5"/>
      <c r="R17" s="5"/>
      <c r="S17" s="5"/>
      <c r="T17" s="5"/>
      <c r="U17" s="5"/>
      <c r="V17" s="5"/>
    </row>
    <row r="18" spans="2:22" x14ac:dyDescent="0.55000000000000004">
      <c r="B18" s="47" t="s">
        <v>70</v>
      </c>
      <c r="C18" s="42"/>
      <c r="D18" s="42"/>
      <c r="E18" s="42"/>
      <c r="G18" s="47" t="s">
        <v>126</v>
      </c>
      <c r="I18" s="47"/>
      <c r="J18" s="42"/>
      <c r="Q18" s="5"/>
      <c r="R18" s="5"/>
      <c r="S18" s="5"/>
      <c r="T18" s="5"/>
      <c r="U18" s="5"/>
      <c r="V18" s="5"/>
    </row>
    <row r="19" spans="2:22" ht="14.7" thickBot="1" x14ac:dyDescent="0.6">
      <c r="Q19" s="5"/>
      <c r="R19" s="5"/>
      <c r="S19" s="5"/>
      <c r="T19" s="5"/>
      <c r="U19" s="5"/>
      <c r="V19" s="5"/>
    </row>
    <row r="20" spans="2:22" ht="14.7" thickBot="1" x14ac:dyDescent="0.6">
      <c r="B20" s="13" t="s">
        <v>9</v>
      </c>
      <c r="C20" s="14"/>
      <c r="D20" s="14"/>
      <c r="E20" s="35">
        <f>E29*E31</f>
        <v>9600</v>
      </c>
      <c r="F20" s="5"/>
      <c r="G20" s="13" t="s">
        <v>60</v>
      </c>
      <c r="H20" s="13"/>
      <c r="I20" s="45"/>
      <c r="J20" s="52">
        <f>PRODUCT(J24,J28,hr_mo)</f>
        <v>1879.2000000000003</v>
      </c>
      <c r="Q20" s="5"/>
      <c r="T20" s="5"/>
      <c r="U20" s="5"/>
      <c r="V20" s="5"/>
    </row>
    <row r="21" spans="2:22" x14ac:dyDescent="0.55000000000000004">
      <c r="F21" s="5"/>
      <c r="G21" s="38" t="s">
        <v>62</v>
      </c>
      <c r="H21" s="4"/>
      <c r="I21" s="4"/>
      <c r="J21" s="4"/>
      <c r="Q21" s="5"/>
      <c r="T21" s="5"/>
      <c r="U21" s="5"/>
      <c r="V21" s="5"/>
    </row>
    <row r="22" spans="2:22" x14ac:dyDescent="0.55000000000000004">
      <c r="B22" s="5" t="s">
        <v>2</v>
      </c>
      <c r="C22" s="5"/>
      <c r="E22" s="15">
        <v>1500</v>
      </c>
      <c r="F22" s="5"/>
      <c r="G22" s="41"/>
      <c r="Q22" s="5"/>
      <c r="T22" s="5"/>
      <c r="U22" s="5"/>
      <c r="V22" s="5"/>
    </row>
    <row r="23" spans="2:22" x14ac:dyDescent="0.55000000000000004">
      <c r="B23" s="5" t="s">
        <v>3</v>
      </c>
      <c r="C23" s="5"/>
      <c r="E23" s="15">
        <v>1200</v>
      </c>
      <c r="F23" s="5"/>
      <c r="Q23" s="5"/>
    </row>
    <row r="24" spans="2:22" x14ac:dyDescent="0.55000000000000004">
      <c r="B24" s="5" t="s">
        <v>4</v>
      </c>
      <c r="C24" s="5"/>
      <c r="E24" s="15">
        <v>20</v>
      </c>
      <c r="F24" s="5"/>
      <c r="G24" t="s">
        <v>61</v>
      </c>
      <c r="J24" s="39">
        <v>10</v>
      </c>
    </row>
    <row r="25" spans="2:22" x14ac:dyDescent="0.55000000000000004">
      <c r="B25" s="5" t="s">
        <v>5</v>
      </c>
      <c r="C25" s="5"/>
      <c r="E25" s="15">
        <v>30</v>
      </c>
      <c r="F25" s="5"/>
      <c r="G25" t="s">
        <v>64</v>
      </c>
      <c r="J25" s="40">
        <v>3</v>
      </c>
    </row>
    <row r="26" spans="2:22" x14ac:dyDescent="0.55000000000000004">
      <c r="B26" s="5" t="s">
        <v>6</v>
      </c>
      <c r="C26" s="5"/>
      <c r="E26" s="15">
        <v>300</v>
      </c>
      <c r="F26" s="5"/>
      <c r="G26" t="s">
        <v>66</v>
      </c>
      <c r="I26" s="5"/>
      <c r="J26" s="40">
        <v>1.6</v>
      </c>
    </row>
    <row r="27" spans="2:22" x14ac:dyDescent="0.55000000000000004">
      <c r="B27" s="5" t="s">
        <v>7</v>
      </c>
      <c r="C27" s="5"/>
      <c r="D27" s="5"/>
      <c r="E27" s="15">
        <v>150</v>
      </c>
      <c r="F27" s="5"/>
    </row>
    <row r="28" spans="2:22" x14ac:dyDescent="0.55000000000000004">
      <c r="G28" t="s">
        <v>65</v>
      </c>
      <c r="J28" s="43">
        <f>J26-J29</f>
        <v>0.60000000000000009</v>
      </c>
    </row>
    <row r="29" spans="2:22" x14ac:dyDescent="0.55000000000000004">
      <c r="B29" s="4" t="s">
        <v>1</v>
      </c>
      <c r="C29" s="4"/>
      <c r="D29" s="5"/>
      <c r="E29" s="44">
        <f>SUM(E22:E27)</f>
        <v>3200</v>
      </c>
      <c r="F29" s="5"/>
      <c r="G29" s="41" t="s">
        <v>142</v>
      </c>
      <c r="J29" s="43">
        <v>1</v>
      </c>
    </row>
    <row r="30" spans="2:22" x14ac:dyDescent="0.55000000000000004">
      <c r="B30" s="5"/>
      <c r="C30" s="5"/>
      <c r="D30" s="5"/>
      <c r="E30" s="5"/>
      <c r="F30" s="5"/>
      <c r="G30" t="s">
        <v>63</v>
      </c>
      <c r="J30" s="10">
        <f>PRODUCT(J28,hr_wk)/J25</f>
        <v>14.4</v>
      </c>
    </row>
    <row r="31" spans="2:22" x14ac:dyDescent="0.55000000000000004">
      <c r="B31" s="12" t="s">
        <v>8</v>
      </c>
      <c r="C31" s="5"/>
      <c r="E31" s="17">
        <v>3</v>
      </c>
      <c r="F31" s="5"/>
      <c r="G31" t="s">
        <v>67</v>
      </c>
      <c r="J31" s="10">
        <f>PRODUCT(J29,hr_wk)/2</f>
        <v>36</v>
      </c>
    </row>
    <row r="32" spans="2:22" x14ac:dyDescent="0.55000000000000004">
      <c r="F32" s="5"/>
    </row>
    <row r="33" spans="2:12" ht="14.7" thickBot="1" x14ac:dyDescent="0.6">
      <c r="D33" s="5"/>
    </row>
    <row r="34" spans="2:12" ht="14.7" thickBot="1" x14ac:dyDescent="0.6">
      <c r="B34" s="13" t="s">
        <v>10</v>
      </c>
      <c r="C34" s="14"/>
      <c r="D34" s="14"/>
      <c r="E34" s="34">
        <f xml:space="preserve"> SUM(E39:E41)</f>
        <v>49</v>
      </c>
      <c r="G34" s="13" t="s">
        <v>16</v>
      </c>
      <c r="H34" s="13"/>
      <c r="I34" s="14"/>
      <c r="J34" s="37">
        <f>SUM(J36,PRODUCT(J44,J38))</f>
        <v>72.349199999999996</v>
      </c>
    </row>
    <row r="36" spans="2:12" x14ac:dyDescent="0.55000000000000004">
      <c r="B36" s="5" t="s">
        <v>14</v>
      </c>
      <c r="C36" s="5"/>
      <c r="D36" s="5"/>
      <c r="E36" s="22" t="s">
        <v>194</v>
      </c>
      <c r="G36" t="s">
        <v>54</v>
      </c>
      <c r="J36" s="22" t="s">
        <v>194</v>
      </c>
    </row>
    <row r="37" spans="2:12" x14ac:dyDescent="0.55000000000000004">
      <c r="B37" s="12" t="s">
        <v>15</v>
      </c>
      <c r="E37" s="22" t="s">
        <v>193</v>
      </c>
    </row>
    <row r="38" spans="2:12" x14ac:dyDescent="0.55000000000000004">
      <c r="G38" t="s">
        <v>52</v>
      </c>
      <c r="J38" s="22">
        <v>0.1</v>
      </c>
    </row>
    <row r="39" spans="2:12" x14ac:dyDescent="0.55000000000000004">
      <c r="B39" s="12" t="s">
        <v>13</v>
      </c>
      <c r="E39" s="15" t="s">
        <v>193</v>
      </c>
    </row>
    <row r="40" spans="2:12" x14ac:dyDescent="0.55000000000000004">
      <c r="B40" s="12" t="s">
        <v>12</v>
      </c>
      <c r="E40" s="15" t="s">
        <v>193</v>
      </c>
      <c r="G40" t="s">
        <v>47</v>
      </c>
      <c r="J40" s="16">
        <v>650</v>
      </c>
    </row>
    <row r="41" spans="2:12" x14ac:dyDescent="0.55000000000000004">
      <c r="B41" s="12" t="s">
        <v>11</v>
      </c>
      <c r="C41" s="5"/>
      <c r="D41" s="5"/>
      <c r="E41" s="15">
        <v>49</v>
      </c>
      <c r="G41" t="s">
        <v>48</v>
      </c>
      <c r="J41" s="16">
        <v>120</v>
      </c>
    </row>
    <row r="43" spans="2:12" ht="14.7" thickBot="1" x14ac:dyDescent="0.6">
      <c r="C43" s="5"/>
      <c r="G43" t="s">
        <v>53</v>
      </c>
      <c r="J43" s="10">
        <f>SUM(J40:J41)*E31</f>
        <v>2310</v>
      </c>
    </row>
    <row r="44" spans="2:12" ht="14.7" thickBot="1" x14ac:dyDescent="0.6">
      <c r="B44" s="13" t="s">
        <v>56</v>
      </c>
      <c r="C44" s="14"/>
      <c r="D44" s="46"/>
      <c r="E44" s="36">
        <f>SUM(E45:E50)</f>
        <v>825</v>
      </c>
      <c r="G44" t="s">
        <v>55</v>
      </c>
      <c r="J44" s="10">
        <f>(J43*hr_mo)/1000</f>
        <v>723.49199999999996</v>
      </c>
    </row>
    <row r="45" spans="2:12" x14ac:dyDescent="0.55000000000000004">
      <c r="B45" t="s">
        <v>57</v>
      </c>
      <c r="E45" s="22">
        <v>150</v>
      </c>
    </row>
    <row r="46" spans="2:12" ht="14.7" thickBot="1" x14ac:dyDescent="0.6">
      <c r="B46" t="s">
        <v>58</v>
      </c>
      <c r="E46" s="22">
        <v>75</v>
      </c>
    </row>
    <row r="47" spans="2:12" ht="14.7" thickBot="1" x14ac:dyDescent="0.6">
      <c r="B47" t="s">
        <v>59</v>
      </c>
      <c r="E47" s="22">
        <v>200</v>
      </c>
      <c r="G47" s="13" t="s">
        <v>125</v>
      </c>
      <c r="H47" s="14"/>
      <c r="I47" s="14"/>
      <c r="J47" s="36">
        <f>SUM(J48:J55)</f>
        <v>122</v>
      </c>
    </row>
    <row r="48" spans="2:12" x14ac:dyDescent="0.55000000000000004">
      <c r="B48" t="s">
        <v>192</v>
      </c>
      <c r="E48" s="22">
        <v>400</v>
      </c>
      <c r="G48" s="12" t="s">
        <v>68</v>
      </c>
      <c r="J48" s="48">
        <v>0</v>
      </c>
      <c r="K48" s="5"/>
      <c r="L48" s="5"/>
    </row>
    <row r="49" spans="2:12" x14ac:dyDescent="0.55000000000000004">
      <c r="E49" s="33"/>
      <c r="G49" s="12" t="s">
        <v>72</v>
      </c>
      <c r="J49" s="33">
        <v>12</v>
      </c>
      <c r="K49" s="5"/>
      <c r="L49" s="5"/>
    </row>
    <row r="50" spans="2:12" x14ac:dyDescent="0.55000000000000004">
      <c r="E50" s="33">
        <v>0</v>
      </c>
      <c r="G50" s="12" t="s">
        <v>108</v>
      </c>
      <c r="J50" s="33">
        <v>60</v>
      </c>
      <c r="K50" s="5"/>
      <c r="L50" s="5"/>
    </row>
    <row r="51" spans="2:12" x14ac:dyDescent="0.55000000000000004">
      <c r="G51" s="12" t="s">
        <v>127</v>
      </c>
      <c r="J51" s="33">
        <v>50</v>
      </c>
    </row>
    <row r="52" spans="2:12" ht="14.7" thickBot="1" x14ac:dyDescent="0.6">
      <c r="J52" s="33">
        <v>0</v>
      </c>
    </row>
    <row r="53" spans="2:12" ht="14.7" thickBot="1" x14ac:dyDescent="0.6">
      <c r="B53" s="13" t="s">
        <v>71</v>
      </c>
      <c r="C53" s="14"/>
      <c r="D53" s="14"/>
      <c r="E53" s="36">
        <f>SUM(E54:E61)</f>
        <v>300</v>
      </c>
      <c r="J53" s="33">
        <v>0</v>
      </c>
    </row>
    <row r="54" spans="2:12" x14ac:dyDescent="0.55000000000000004">
      <c r="B54" s="12" t="s">
        <v>69</v>
      </c>
      <c r="E54" s="48">
        <v>300</v>
      </c>
      <c r="J54" s="33">
        <v>0</v>
      </c>
    </row>
    <row r="55" spans="2:12" x14ac:dyDescent="0.55000000000000004">
      <c r="B55" s="12"/>
      <c r="E55" s="33">
        <v>0</v>
      </c>
      <c r="J55" s="33">
        <v>0</v>
      </c>
    </row>
    <row r="56" spans="2:12" x14ac:dyDescent="0.55000000000000004">
      <c r="B56" s="12"/>
      <c r="E56" s="33">
        <v>0</v>
      </c>
    </row>
    <row r="57" spans="2:12" ht="14.7" thickBot="1" x14ac:dyDescent="0.6">
      <c r="E57" s="33">
        <v>0</v>
      </c>
    </row>
    <row r="58" spans="2:12" ht="14.7" thickBot="1" x14ac:dyDescent="0.6">
      <c r="E58" s="33">
        <v>0</v>
      </c>
      <c r="G58" s="3" t="s">
        <v>195</v>
      </c>
      <c r="H58" s="2"/>
      <c r="I58" s="2"/>
      <c r="J58" s="51">
        <f>J59/avg_wk</f>
        <v>476.67797701149436</v>
      </c>
    </row>
    <row r="59" spans="2:12" ht="14.7" thickBot="1" x14ac:dyDescent="0.6">
      <c r="E59" s="33">
        <v>0</v>
      </c>
      <c r="G59" s="3" t="s">
        <v>73</v>
      </c>
      <c r="H59" s="2"/>
      <c r="I59" s="2"/>
      <c r="J59" s="51">
        <f>SUM(J20,J34,J47,)</f>
        <v>2073.5492000000004</v>
      </c>
    </row>
    <row r="60" spans="2:12" ht="14.7" thickBot="1" x14ac:dyDescent="0.6">
      <c r="E60" s="33">
        <v>0</v>
      </c>
      <c r="G60" s="3" t="s">
        <v>74</v>
      </c>
      <c r="H60" s="2"/>
      <c r="I60" s="2"/>
      <c r="J60" s="53">
        <f>PRODUCT(J59,op_mo)</f>
        <v>8294.1968000000015</v>
      </c>
    </row>
    <row r="61" spans="2:12" x14ac:dyDescent="0.55000000000000004">
      <c r="E61" s="33">
        <v>0</v>
      </c>
    </row>
    <row r="62" spans="2:12" x14ac:dyDescent="0.55000000000000004">
      <c r="G62" s="5"/>
      <c r="H62" s="5"/>
      <c r="I62" s="5"/>
      <c r="J62" s="5"/>
      <c r="K62" s="5"/>
      <c r="L62" s="5"/>
    </row>
    <row r="63" spans="2:12" ht="14.7" thickBot="1" x14ac:dyDescent="0.6">
      <c r="G63" s="5"/>
      <c r="H63" s="5"/>
    </row>
    <row r="64" spans="2:12" ht="14.7" thickBot="1" x14ac:dyDescent="0.6">
      <c r="B64" s="3" t="s">
        <v>75</v>
      </c>
      <c r="C64" s="2"/>
      <c r="D64" s="2"/>
      <c r="E64" s="51">
        <f>SUM(E53,E44,E34,E20)</f>
        <v>10774</v>
      </c>
      <c r="G64" s="5"/>
      <c r="H64" s="5"/>
    </row>
    <row r="67" spans="2:5" x14ac:dyDescent="0.55000000000000004">
      <c r="B67" s="28"/>
      <c r="C67" s="28"/>
      <c r="D67" s="28"/>
      <c r="E67" s="49"/>
    </row>
    <row r="68" spans="2:5" x14ac:dyDescent="0.55000000000000004">
      <c r="B68" s="28"/>
      <c r="C68" s="28"/>
      <c r="D68" s="28"/>
      <c r="E68" s="50"/>
    </row>
    <row r="69" spans="2:5" x14ac:dyDescent="0.55000000000000004">
      <c r="B69" s="28"/>
      <c r="C69" s="28"/>
      <c r="D69" s="28"/>
      <c r="E69" s="49"/>
    </row>
    <row r="70" spans="2:5" x14ac:dyDescent="0.55000000000000004">
      <c r="B70" s="28"/>
      <c r="C70" s="28"/>
      <c r="D70" s="28"/>
      <c r="E70" s="28"/>
    </row>
    <row r="82" spans="5:5" x14ac:dyDescent="0.55000000000000004">
      <c r="E82" s="5"/>
    </row>
  </sheetData>
  <mergeCells count="1">
    <mergeCell ref="B17:J17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8EBB-73B9-48C7-B78D-F75CEB35616C}">
  <dimension ref="A1:V75"/>
  <sheetViews>
    <sheetView showGridLines="0" topLeftCell="A10" zoomScale="70" zoomScaleNormal="70" workbookViewId="0">
      <selection activeCell="P33" sqref="P33"/>
    </sheetView>
  </sheetViews>
  <sheetFormatPr defaultRowHeight="25" customHeight="1" x14ac:dyDescent="0.55000000000000004"/>
  <cols>
    <col min="2" max="2" width="20.68359375" customWidth="1"/>
    <col min="3" max="3" width="22.26171875" customWidth="1"/>
    <col min="4" max="4" width="16" customWidth="1"/>
    <col min="5" max="5" width="16.83984375" customWidth="1"/>
    <col min="6" max="6" width="18.578125" customWidth="1"/>
    <col min="7" max="7" width="14" customWidth="1"/>
    <col min="8" max="8" width="17.68359375" customWidth="1"/>
    <col min="9" max="9" width="12.83984375" customWidth="1"/>
    <col min="10" max="10" width="7" customWidth="1"/>
    <col min="11" max="11" width="11.578125" customWidth="1"/>
    <col min="12" max="12" width="7" customWidth="1"/>
    <col min="13" max="13" width="12" customWidth="1"/>
    <col min="17" max="18" width="16.15625" customWidth="1"/>
  </cols>
  <sheetData>
    <row r="1" spans="1:22" ht="25" customHeight="1" x14ac:dyDescent="0.55000000000000004">
      <c r="S1" s="32"/>
      <c r="T1" s="32"/>
      <c r="U1" s="32"/>
      <c r="V1" s="32"/>
    </row>
    <row r="2" spans="1:22" ht="25" customHeight="1" x14ac:dyDescent="0.7">
      <c r="B2" s="136" t="s">
        <v>176</v>
      </c>
      <c r="C2" s="118"/>
      <c r="D2" s="32"/>
      <c r="E2" s="32"/>
      <c r="S2" s="32"/>
      <c r="T2" s="32"/>
      <c r="U2" s="32"/>
      <c r="V2" s="32"/>
    </row>
    <row r="3" spans="1:22" ht="25" customHeight="1" x14ac:dyDescent="0.7">
      <c r="B3" s="137">
        <f>'Retail Sales'!S11+'Retail Sales'!S12</f>
        <v>2333.2288199999994</v>
      </c>
      <c r="C3" s="118"/>
      <c r="D3" s="32"/>
      <c r="E3" s="32"/>
      <c r="S3" s="32"/>
      <c r="T3" s="32"/>
      <c r="U3" s="32"/>
      <c r="V3" s="32"/>
    </row>
    <row r="4" spans="1:22" ht="25" customHeight="1" x14ac:dyDescent="0.55000000000000004">
      <c r="D4" s="32"/>
      <c r="E4" s="32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32"/>
      <c r="S4" s="32"/>
      <c r="T4" s="32"/>
      <c r="U4" s="32"/>
      <c r="V4" s="32"/>
    </row>
    <row r="5" spans="1:22" ht="25" customHeight="1" x14ac:dyDescent="0.55000000000000004">
      <c r="B5" s="172" t="s">
        <v>154</v>
      </c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41"/>
      <c r="R5" s="141"/>
      <c r="S5" s="32"/>
      <c r="T5" s="32"/>
      <c r="U5" s="32"/>
      <c r="V5" s="32"/>
    </row>
    <row r="6" spans="1:22" ht="25" customHeight="1" x14ac:dyDescent="0.6">
      <c r="A6" s="5"/>
      <c r="B6" s="119" t="s">
        <v>162</v>
      </c>
      <c r="C6" s="118"/>
      <c r="D6" s="117"/>
      <c r="E6" s="118"/>
      <c r="F6" s="121"/>
      <c r="G6" s="121"/>
      <c r="H6" s="121"/>
      <c r="I6" s="121"/>
      <c r="J6" s="121"/>
      <c r="K6" s="121"/>
      <c r="L6" s="121"/>
      <c r="M6" s="121"/>
      <c r="N6" s="32"/>
      <c r="O6" s="121"/>
      <c r="S6" s="32"/>
      <c r="T6" s="32"/>
      <c r="U6" s="32"/>
      <c r="V6" s="32"/>
    </row>
    <row r="7" spans="1:22" ht="25" customHeight="1" thickBot="1" x14ac:dyDescent="0.65">
      <c r="A7" s="5"/>
      <c r="B7" s="122" t="s">
        <v>132</v>
      </c>
      <c r="C7" s="121"/>
      <c r="D7" s="121"/>
      <c r="E7" s="118"/>
      <c r="F7" s="121"/>
      <c r="G7" s="121"/>
      <c r="H7" s="121"/>
      <c r="I7" s="121"/>
      <c r="J7" s="121"/>
      <c r="K7" s="121"/>
      <c r="L7" s="121"/>
      <c r="M7" s="122" t="s">
        <v>155</v>
      </c>
      <c r="N7" s="123" t="s">
        <v>161</v>
      </c>
      <c r="O7" s="121"/>
      <c r="S7" s="32"/>
      <c r="T7" s="32"/>
      <c r="U7" s="32"/>
      <c r="V7" s="32"/>
    </row>
    <row r="8" spans="1:22" ht="31.5" customHeight="1" x14ac:dyDescent="0.55000000000000004">
      <c r="A8" s="5"/>
      <c r="B8" s="124" t="s">
        <v>143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5">
        <v>176.07</v>
      </c>
      <c r="N8" s="126">
        <v>1</v>
      </c>
      <c r="O8" s="124"/>
      <c r="S8" s="32"/>
      <c r="T8" s="32"/>
      <c r="U8" s="32"/>
      <c r="V8" s="32"/>
    </row>
    <row r="9" spans="1:22" ht="25" customHeight="1" x14ac:dyDescent="0.55000000000000004">
      <c r="A9" s="5"/>
      <c r="B9" s="124" t="s">
        <v>144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5">
        <v>84.99</v>
      </c>
      <c r="N9" s="126">
        <v>1</v>
      </c>
      <c r="O9" s="124"/>
      <c r="U9" s="32"/>
      <c r="V9" s="32"/>
    </row>
    <row r="10" spans="1:22" ht="33" customHeight="1" x14ac:dyDescent="0.55000000000000004">
      <c r="A10" s="5"/>
      <c r="B10" s="124" t="s">
        <v>153</v>
      </c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5">
        <v>399.89</v>
      </c>
      <c r="N10" s="126">
        <v>1</v>
      </c>
      <c r="O10" s="124"/>
      <c r="U10" s="32"/>
      <c r="V10" s="32"/>
    </row>
    <row r="11" spans="1:22" ht="35.25" customHeight="1" x14ac:dyDescent="0.6">
      <c r="A11" s="5"/>
      <c r="B11" s="127" t="s">
        <v>145</v>
      </c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5">
        <v>159.99</v>
      </c>
      <c r="N11" s="126">
        <v>1</v>
      </c>
      <c r="O11" s="127"/>
      <c r="U11" s="32"/>
      <c r="V11" s="32"/>
    </row>
    <row r="12" spans="1:22" ht="37.5" customHeight="1" x14ac:dyDescent="0.55000000000000004">
      <c r="A12" s="5"/>
      <c r="B12" s="124" t="s">
        <v>146</v>
      </c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5">
        <v>96.01</v>
      </c>
      <c r="N12" s="126">
        <v>1</v>
      </c>
      <c r="O12" s="124"/>
      <c r="S12" s="32"/>
      <c r="T12" s="32"/>
      <c r="U12" s="32"/>
      <c r="V12" s="32"/>
    </row>
    <row r="13" spans="1:22" ht="25" customHeight="1" x14ac:dyDescent="0.55000000000000004">
      <c r="A13" s="5"/>
      <c r="B13" s="124" t="s">
        <v>147</v>
      </c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5">
        <v>44.28</v>
      </c>
      <c r="N13" s="126">
        <v>1</v>
      </c>
      <c r="O13" s="124"/>
      <c r="S13" s="32"/>
      <c r="T13" s="32"/>
      <c r="U13" s="32"/>
      <c r="V13" s="32"/>
    </row>
    <row r="14" spans="1:22" ht="25" customHeight="1" x14ac:dyDescent="0.55000000000000004">
      <c r="A14" s="5"/>
      <c r="B14" s="124" t="s">
        <v>148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5">
        <v>59.99</v>
      </c>
      <c r="N14" s="126">
        <v>1</v>
      </c>
      <c r="O14" s="124"/>
      <c r="S14" s="32"/>
      <c r="T14" s="32"/>
      <c r="U14" s="32"/>
      <c r="V14" s="32"/>
    </row>
    <row r="15" spans="1:22" ht="25" customHeight="1" x14ac:dyDescent="0.55000000000000004">
      <c r="A15" s="5"/>
      <c r="B15" s="124" t="s">
        <v>149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5">
        <v>66.989999999999995</v>
      </c>
      <c r="N15" s="126">
        <v>1</v>
      </c>
      <c r="O15" s="124"/>
      <c r="S15" s="32"/>
      <c r="T15" s="32"/>
      <c r="U15" s="32"/>
      <c r="V15" s="32"/>
    </row>
    <row r="16" spans="1:22" ht="25" customHeight="1" x14ac:dyDescent="0.55000000000000004">
      <c r="A16" s="5"/>
      <c r="B16" s="124" t="s">
        <v>150</v>
      </c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5">
        <v>92.99</v>
      </c>
      <c r="N16" s="126">
        <v>1</v>
      </c>
      <c r="O16" s="124"/>
      <c r="S16" s="32"/>
      <c r="T16" s="32"/>
      <c r="U16" s="32"/>
      <c r="V16" s="32"/>
    </row>
    <row r="17" spans="2:22" ht="25" customHeight="1" x14ac:dyDescent="0.6">
      <c r="B17" s="124" t="s">
        <v>151</v>
      </c>
      <c r="C17" s="121"/>
      <c r="D17" s="121"/>
      <c r="E17" s="117"/>
      <c r="F17" s="121"/>
      <c r="G17" s="121"/>
      <c r="H17" s="121"/>
      <c r="I17" s="121"/>
      <c r="J17" s="121"/>
      <c r="K17" s="121"/>
      <c r="L17" s="121"/>
      <c r="M17" s="125">
        <v>9.99</v>
      </c>
      <c r="N17" s="126">
        <v>1</v>
      </c>
      <c r="O17" s="121"/>
      <c r="S17" s="32"/>
      <c r="T17" s="32"/>
      <c r="U17" s="32"/>
      <c r="V17" s="32"/>
    </row>
    <row r="18" spans="2:22" ht="25" customHeight="1" x14ac:dyDescent="0.6">
      <c r="C18" s="121"/>
      <c r="D18" s="121"/>
      <c r="E18" s="117"/>
      <c r="F18" s="121"/>
      <c r="G18" s="121"/>
      <c r="H18" s="121"/>
      <c r="I18" s="121"/>
      <c r="J18" s="121"/>
      <c r="K18" s="121"/>
      <c r="L18" s="128" t="s">
        <v>152</v>
      </c>
      <c r="M18" s="113">
        <f>SUM(M8:M17)</f>
        <v>1191.19</v>
      </c>
      <c r="N18" s="112"/>
      <c r="O18" s="121"/>
      <c r="S18" s="32"/>
      <c r="T18" s="32"/>
      <c r="U18" s="32"/>
      <c r="V18" s="32"/>
    </row>
    <row r="19" spans="2:22" ht="25" customHeight="1" x14ac:dyDescent="0.6">
      <c r="B19" s="117"/>
      <c r="C19" s="118"/>
      <c r="D19" s="117"/>
      <c r="E19" s="117"/>
      <c r="F19" s="121"/>
      <c r="G19" s="121"/>
      <c r="H19" s="121"/>
      <c r="I19" s="121"/>
      <c r="J19" s="121"/>
      <c r="K19" s="121"/>
      <c r="L19" s="121"/>
      <c r="M19" s="121"/>
      <c r="N19" s="32"/>
      <c r="O19" s="121"/>
      <c r="S19" s="32"/>
      <c r="T19" s="32"/>
      <c r="U19" s="32"/>
      <c r="V19" s="32"/>
    </row>
    <row r="20" spans="2:22" ht="25" customHeight="1" thickBot="1" x14ac:dyDescent="0.65">
      <c r="B20" s="120" t="s">
        <v>163</v>
      </c>
      <c r="C20" s="118"/>
      <c r="D20" s="118"/>
      <c r="E20" s="118"/>
      <c r="F20" s="121"/>
      <c r="G20" s="121"/>
      <c r="H20" s="121"/>
      <c r="I20" s="121"/>
      <c r="J20" s="121"/>
      <c r="K20" s="121"/>
      <c r="L20" s="121"/>
      <c r="M20" s="122" t="s">
        <v>155</v>
      </c>
      <c r="N20" s="123" t="s">
        <v>161</v>
      </c>
      <c r="O20" s="121"/>
      <c r="S20" s="32"/>
      <c r="T20" s="32"/>
      <c r="U20" s="32"/>
      <c r="V20" s="32"/>
    </row>
    <row r="21" spans="2:22" ht="25" customHeight="1" thickBot="1" x14ac:dyDescent="0.65">
      <c r="B21" s="122" t="s">
        <v>132</v>
      </c>
      <c r="C21" s="121"/>
      <c r="D21" s="121"/>
      <c r="E21" s="118"/>
      <c r="F21" s="121"/>
      <c r="G21" s="121"/>
      <c r="H21" s="121"/>
      <c r="I21" s="121"/>
      <c r="J21" s="121"/>
      <c r="K21" s="121"/>
      <c r="L21" s="121"/>
      <c r="M21" s="129">
        <v>347.89</v>
      </c>
      <c r="N21" s="130">
        <v>1</v>
      </c>
      <c r="O21" s="121"/>
      <c r="S21" s="32"/>
      <c r="T21" s="32"/>
      <c r="U21" s="32"/>
      <c r="V21" s="32"/>
    </row>
    <row r="22" spans="2:22" ht="25" customHeight="1" x14ac:dyDescent="0.6">
      <c r="B22" s="131" t="s">
        <v>156</v>
      </c>
      <c r="C22" s="121"/>
      <c r="D22" s="121"/>
      <c r="E22" s="118"/>
      <c r="F22" s="121"/>
      <c r="G22" s="121"/>
      <c r="H22" s="121"/>
      <c r="I22" s="121"/>
      <c r="J22" s="121"/>
      <c r="K22" s="121"/>
      <c r="L22" s="121"/>
      <c r="M22" s="129">
        <v>125.99</v>
      </c>
      <c r="N22" s="130">
        <v>1</v>
      </c>
      <c r="O22" s="121"/>
      <c r="S22" s="32"/>
      <c r="T22" s="32"/>
      <c r="U22" s="32"/>
      <c r="V22" s="32"/>
    </row>
    <row r="23" spans="2:22" ht="25" customHeight="1" x14ac:dyDescent="0.6">
      <c r="B23" s="131" t="s">
        <v>157</v>
      </c>
      <c r="C23" s="121"/>
      <c r="D23" s="121"/>
      <c r="E23" s="118"/>
      <c r="F23" s="121"/>
      <c r="G23" s="121"/>
      <c r="H23" s="121"/>
      <c r="I23" s="121"/>
      <c r="J23" s="121"/>
      <c r="K23" s="121"/>
      <c r="L23" s="121"/>
      <c r="M23" s="129">
        <v>159.99</v>
      </c>
      <c r="N23" s="130">
        <v>1</v>
      </c>
      <c r="O23" s="121"/>
      <c r="S23" s="32"/>
      <c r="T23" s="32"/>
      <c r="U23" s="32"/>
      <c r="V23" s="32"/>
    </row>
    <row r="24" spans="2:22" ht="25" customHeight="1" x14ac:dyDescent="0.6">
      <c r="B24" s="131" t="s">
        <v>145</v>
      </c>
      <c r="C24" s="121"/>
      <c r="D24" s="121"/>
      <c r="E24" s="118"/>
      <c r="F24" s="121"/>
      <c r="G24" s="121"/>
      <c r="H24" s="121"/>
      <c r="I24" s="121"/>
      <c r="J24" s="121"/>
      <c r="K24" s="121"/>
      <c r="L24" s="121"/>
      <c r="M24" s="129">
        <v>96.01</v>
      </c>
      <c r="N24" s="130">
        <v>1</v>
      </c>
      <c r="O24" s="121"/>
      <c r="S24" s="32"/>
      <c r="T24" s="32"/>
      <c r="U24" s="32"/>
      <c r="V24" s="32"/>
    </row>
    <row r="25" spans="2:22" ht="25" customHeight="1" x14ac:dyDescent="0.6">
      <c r="B25" s="131" t="s">
        <v>146</v>
      </c>
      <c r="C25" s="121"/>
      <c r="D25" s="121"/>
      <c r="E25" s="118"/>
      <c r="F25" s="121"/>
      <c r="G25" s="121"/>
      <c r="H25" s="121"/>
      <c r="I25" s="121"/>
      <c r="J25" s="121"/>
      <c r="K25" s="121"/>
      <c r="L25" s="121"/>
      <c r="M25" s="129">
        <v>44.28</v>
      </c>
      <c r="N25" s="130">
        <v>1</v>
      </c>
      <c r="O25" s="121"/>
      <c r="S25" s="32"/>
      <c r="T25" s="32"/>
      <c r="U25" s="32"/>
      <c r="V25" s="32"/>
    </row>
    <row r="26" spans="2:22" ht="25" customHeight="1" x14ac:dyDescent="0.6">
      <c r="B26" s="131" t="s">
        <v>147</v>
      </c>
      <c r="C26" s="121"/>
      <c r="D26" s="121"/>
      <c r="E26" s="118"/>
      <c r="F26" s="121"/>
      <c r="G26" s="121"/>
      <c r="H26" s="121"/>
      <c r="I26" s="121"/>
      <c r="J26" s="121"/>
      <c r="K26" s="121"/>
      <c r="L26" s="121"/>
      <c r="M26" s="129">
        <v>79.989999999999995</v>
      </c>
      <c r="N26" s="130">
        <v>1</v>
      </c>
      <c r="O26" s="121"/>
      <c r="S26" s="32"/>
      <c r="T26" s="32"/>
      <c r="U26" s="32"/>
      <c r="V26" s="32"/>
    </row>
    <row r="27" spans="2:22" ht="25" customHeight="1" x14ac:dyDescent="0.6">
      <c r="B27" s="131" t="s">
        <v>158</v>
      </c>
      <c r="C27" s="121"/>
      <c r="D27" s="121"/>
      <c r="E27" s="118"/>
      <c r="F27" s="121"/>
      <c r="G27" s="121"/>
      <c r="H27" s="121"/>
      <c r="I27" s="121"/>
      <c r="J27" s="121"/>
      <c r="K27" s="121"/>
      <c r="L27" s="121"/>
      <c r="M27" s="129">
        <v>88.99</v>
      </c>
      <c r="N27" s="130">
        <v>1</v>
      </c>
      <c r="O27" s="121"/>
      <c r="S27" s="32"/>
      <c r="T27" s="32"/>
      <c r="U27" s="32"/>
      <c r="V27" s="32"/>
    </row>
    <row r="28" spans="2:22" ht="25" customHeight="1" x14ac:dyDescent="0.6">
      <c r="B28" s="131" t="s">
        <v>159</v>
      </c>
      <c r="C28" s="121"/>
      <c r="D28" s="121"/>
      <c r="E28" s="118"/>
      <c r="F28" s="121"/>
      <c r="G28" s="121"/>
      <c r="H28" s="121"/>
      <c r="I28" s="121"/>
      <c r="J28" s="121"/>
      <c r="K28" s="121"/>
      <c r="L28" s="121"/>
      <c r="M28" s="129">
        <v>19.89</v>
      </c>
      <c r="N28" s="130">
        <v>1</v>
      </c>
      <c r="O28" s="121"/>
      <c r="S28" s="32"/>
      <c r="T28" s="32"/>
      <c r="U28" s="32"/>
      <c r="V28" s="32"/>
    </row>
    <row r="29" spans="2:22" ht="25" customHeight="1" x14ac:dyDescent="0.6">
      <c r="B29" s="131" t="s">
        <v>160</v>
      </c>
      <c r="C29" s="121"/>
      <c r="D29" s="121"/>
      <c r="E29" s="118"/>
      <c r="F29" s="121"/>
      <c r="G29" s="121"/>
      <c r="H29" s="121"/>
      <c r="I29" s="121"/>
      <c r="J29" s="121"/>
      <c r="K29" s="121"/>
      <c r="L29" s="121"/>
      <c r="M29" s="129">
        <v>92.99</v>
      </c>
      <c r="N29" s="130">
        <v>1</v>
      </c>
      <c r="O29" s="121"/>
      <c r="S29" s="32"/>
      <c r="T29" s="32"/>
      <c r="U29" s="32"/>
      <c r="V29" s="32"/>
    </row>
    <row r="30" spans="2:22" ht="25" customHeight="1" x14ac:dyDescent="0.6">
      <c r="B30" s="131" t="s">
        <v>150</v>
      </c>
      <c r="C30" s="121"/>
      <c r="D30" s="121"/>
      <c r="E30" s="118"/>
      <c r="F30" s="121"/>
      <c r="G30" s="121"/>
      <c r="H30" s="121"/>
      <c r="I30" s="121"/>
      <c r="J30" s="121"/>
      <c r="K30" s="121"/>
      <c r="L30" s="121"/>
      <c r="M30" s="129">
        <v>888.64</v>
      </c>
      <c r="N30" s="130">
        <v>1</v>
      </c>
      <c r="O30" s="121"/>
      <c r="S30" s="32"/>
      <c r="T30" s="32"/>
      <c r="U30" s="32"/>
      <c r="V30" s="32"/>
    </row>
    <row r="31" spans="2:22" ht="25" customHeight="1" x14ac:dyDescent="0.6">
      <c r="B31" s="131" t="s">
        <v>164</v>
      </c>
      <c r="C31" s="121"/>
      <c r="D31" s="121"/>
      <c r="E31" s="118"/>
      <c r="F31" s="121"/>
      <c r="G31" s="121"/>
      <c r="H31" s="121"/>
      <c r="I31" s="121"/>
      <c r="J31" s="121"/>
      <c r="K31" s="121"/>
      <c r="L31" s="132" t="s">
        <v>152</v>
      </c>
      <c r="M31" s="114">
        <f>SUM(M21:M30)</f>
        <v>1944.6599999999999</v>
      </c>
      <c r="N31" s="111"/>
      <c r="O31" s="121"/>
      <c r="S31" s="32"/>
      <c r="T31" s="32"/>
      <c r="U31" s="32"/>
      <c r="V31" s="32"/>
    </row>
    <row r="32" spans="2:22" ht="25" customHeight="1" x14ac:dyDescent="0.6">
      <c r="B32" s="121"/>
      <c r="C32" s="121"/>
      <c r="D32" s="121"/>
      <c r="E32" s="118"/>
      <c r="F32" s="121"/>
      <c r="G32" s="121"/>
      <c r="H32" s="121"/>
      <c r="I32" s="121"/>
      <c r="J32" s="121"/>
      <c r="K32" s="121"/>
      <c r="L32" s="121"/>
      <c r="M32" s="121"/>
      <c r="N32" s="32"/>
      <c r="O32" s="121"/>
      <c r="S32" s="32"/>
      <c r="T32" s="32"/>
      <c r="U32" s="32"/>
      <c r="V32" s="32"/>
    </row>
    <row r="33" spans="2:22" ht="25" customHeight="1" x14ac:dyDescent="0.6">
      <c r="B33" s="118"/>
      <c r="C33" s="118"/>
      <c r="D33" s="118"/>
      <c r="E33" s="118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32"/>
      <c r="S33" s="32"/>
      <c r="T33" s="32"/>
      <c r="U33" s="32"/>
      <c r="V33" s="32"/>
    </row>
    <row r="34" spans="2:22" ht="25" customHeight="1" x14ac:dyDescent="0.6">
      <c r="B34" s="118"/>
      <c r="C34" s="118"/>
      <c r="D34" s="118"/>
      <c r="E34" s="118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32"/>
      <c r="S34" s="32"/>
      <c r="T34" s="32"/>
      <c r="U34" s="32"/>
      <c r="V34" s="32"/>
    </row>
    <row r="35" spans="2:22" ht="25" customHeight="1" x14ac:dyDescent="0.55000000000000004">
      <c r="B35" s="171" t="s">
        <v>175</v>
      </c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38"/>
      <c r="P35" s="138"/>
      <c r="Q35" s="138"/>
      <c r="R35" s="138"/>
      <c r="S35" s="32"/>
      <c r="T35" s="32"/>
      <c r="U35" s="32"/>
      <c r="V35" s="32"/>
    </row>
    <row r="36" spans="2:22" ht="25" customHeight="1" x14ac:dyDescent="0.6">
      <c r="B36" s="118" t="s">
        <v>165</v>
      </c>
      <c r="C36" s="118"/>
      <c r="D36" s="118"/>
      <c r="E36" s="118"/>
      <c r="F36" s="121"/>
      <c r="G36" s="121"/>
      <c r="H36" s="121"/>
      <c r="I36" s="121"/>
      <c r="J36" s="121"/>
      <c r="K36" s="121"/>
      <c r="L36" s="121"/>
      <c r="M36" s="121"/>
      <c r="N36" s="121"/>
      <c r="O36" s="139"/>
      <c r="P36" s="139"/>
      <c r="Q36" s="139"/>
      <c r="R36" s="140"/>
      <c r="S36" s="32"/>
      <c r="T36" s="32"/>
      <c r="U36" s="32"/>
      <c r="V36" s="32"/>
    </row>
    <row r="37" spans="2:22" ht="25" customHeight="1" x14ac:dyDescent="0.6">
      <c r="B37" s="118"/>
      <c r="C37" s="118"/>
      <c r="D37" s="118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32"/>
      <c r="S37" s="32"/>
      <c r="T37" s="32"/>
      <c r="U37" s="32"/>
      <c r="V37" s="32"/>
    </row>
    <row r="38" spans="2:22" ht="25" customHeight="1" x14ac:dyDescent="0.55000000000000004">
      <c r="O38" s="121"/>
      <c r="P38" s="121"/>
      <c r="Q38" s="121"/>
      <c r="R38" s="32"/>
      <c r="S38" s="32"/>
      <c r="T38" s="32"/>
      <c r="U38" s="32"/>
      <c r="V38" s="32"/>
    </row>
    <row r="39" spans="2:22" ht="25" customHeight="1" x14ac:dyDescent="0.55000000000000004">
      <c r="O39" s="121"/>
      <c r="P39" s="121"/>
      <c r="Q39" s="121"/>
      <c r="R39" s="32"/>
      <c r="S39" s="32"/>
      <c r="T39" s="32"/>
      <c r="U39" s="32"/>
      <c r="V39" s="32"/>
    </row>
    <row r="40" spans="2:22" ht="25" customHeight="1" x14ac:dyDescent="0.55000000000000004">
      <c r="O40" s="121"/>
      <c r="P40" s="121"/>
      <c r="Q40" s="121"/>
      <c r="R40" s="32"/>
      <c r="S40" s="32"/>
      <c r="T40" s="32"/>
      <c r="U40" s="32"/>
      <c r="V40" s="32"/>
    </row>
    <row r="41" spans="2:22" ht="25" customHeight="1" x14ac:dyDescent="0.55000000000000004">
      <c r="O41" s="121"/>
      <c r="P41" s="121"/>
      <c r="Q41" s="121"/>
      <c r="R41" s="32"/>
      <c r="S41" s="32"/>
      <c r="T41" s="32"/>
      <c r="U41" s="32"/>
      <c r="V41" s="32"/>
    </row>
    <row r="42" spans="2:22" ht="25" customHeight="1" x14ac:dyDescent="0.6">
      <c r="B42" s="118"/>
      <c r="C42" s="118"/>
      <c r="D42" s="134"/>
      <c r="E42" s="115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32"/>
      <c r="S42" s="32"/>
      <c r="T42" s="32"/>
      <c r="U42" s="32"/>
      <c r="V42" s="32"/>
    </row>
    <row r="43" spans="2:22" ht="25" customHeight="1" x14ac:dyDescent="0.6">
      <c r="D43" s="118"/>
      <c r="E43" s="118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32"/>
      <c r="S43" s="32"/>
      <c r="T43" s="32"/>
      <c r="U43" s="32"/>
      <c r="V43" s="32"/>
    </row>
    <row r="44" spans="2:22" ht="25" customHeight="1" x14ac:dyDescent="0.6">
      <c r="D44" s="118"/>
      <c r="E44" s="118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32"/>
      <c r="S44" s="32"/>
      <c r="T44" s="32"/>
      <c r="U44" s="32"/>
      <c r="V44" s="32"/>
    </row>
    <row r="45" spans="2:22" ht="25" customHeight="1" x14ac:dyDescent="0.6">
      <c r="B45" s="118"/>
      <c r="C45" s="118"/>
      <c r="D45" s="118"/>
      <c r="E45" s="118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32"/>
      <c r="S45" s="32"/>
      <c r="T45" s="32"/>
      <c r="U45" s="32"/>
      <c r="V45" s="32"/>
    </row>
    <row r="46" spans="2:22" ht="25" customHeight="1" x14ac:dyDescent="0.6">
      <c r="B46" s="118"/>
      <c r="C46" s="118"/>
      <c r="D46" s="118"/>
      <c r="E46" s="118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32"/>
      <c r="S46" s="32"/>
      <c r="T46" s="32"/>
      <c r="U46" s="32"/>
      <c r="V46" s="32"/>
    </row>
    <row r="47" spans="2:22" ht="25" customHeight="1" x14ac:dyDescent="0.6">
      <c r="B47" s="118"/>
      <c r="C47" s="118"/>
      <c r="D47" s="118"/>
      <c r="E47" s="118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32"/>
      <c r="S47" s="32"/>
      <c r="T47" s="32"/>
      <c r="U47" s="32"/>
      <c r="V47" s="32"/>
    </row>
    <row r="48" spans="2:22" ht="25" customHeight="1" x14ac:dyDescent="0.6">
      <c r="B48" s="118"/>
      <c r="C48" s="118"/>
      <c r="D48" s="118"/>
      <c r="E48" s="118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32"/>
      <c r="S48" s="32"/>
      <c r="T48" s="32"/>
      <c r="U48" s="32"/>
      <c r="V48" s="32"/>
    </row>
    <row r="49" spans="2:22" ht="25" customHeight="1" x14ac:dyDescent="0.6">
      <c r="B49" s="118"/>
      <c r="C49" s="118"/>
      <c r="D49" s="118"/>
      <c r="E49" s="118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32"/>
      <c r="S49" s="32"/>
      <c r="T49" s="32"/>
      <c r="U49" s="32"/>
      <c r="V49" s="32"/>
    </row>
    <row r="50" spans="2:22" ht="25" customHeight="1" x14ac:dyDescent="0.6">
      <c r="B50" s="118"/>
      <c r="C50" s="118"/>
      <c r="D50" s="118"/>
      <c r="E50" s="118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32"/>
      <c r="S50" s="32"/>
      <c r="T50" s="32"/>
      <c r="U50" s="32"/>
      <c r="V50" s="32"/>
    </row>
    <row r="51" spans="2:22" ht="25" customHeight="1" x14ac:dyDescent="0.6">
      <c r="B51" s="118"/>
      <c r="C51" s="118"/>
      <c r="D51" s="118"/>
      <c r="E51" s="118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32"/>
      <c r="S51" s="32"/>
      <c r="T51" s="32"/>
      <c r="U51" s="32"/>
      <c r="V51" s="32"/>
    </row>
    <row r="52" spans="2:22" ht="25" customHeight="1" x14ac:dyDescent="0.6">
      <c r="B52" s="118"/>
      <c r="C52" s="118"/>
      <c r="D52" s="118"/>
      <c r="E52" s="118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32"/>
      <c r="S52" s="32"/>
      <c r="T52" s="32"/>
      <c r="U52" s="32"/>
      <c r="V52" s="32"/>
    </row>
    <row r="53" spans="2:22" ht="25" customHeight="1" x14ac:dyDescent="0.6">
      <c r="B53" s="118"/>
      <c r="C53" s="118"/>
      <c r="D53" s="118"/>
      <c r="E53" s="118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32"/>
      <c r="S53" s="32"/>
      <c r="T53" s="32"/>
      <c r="U53" s="32"/>
      <c r="V53" s="32"/>
    </row>
    <row r="54" spans="2:22" ht="25" customHeight="1" x14ac:dyDescent="0.6">
      <c r="B54" s="118"/>
      <c r="C54" s="118"/>
      <c r="D54" s="118"/>
      <c r="E54" s="118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32"/>
      <c r="S54" s="32"/>
      <c r="T54" s="32"/>
      <c r="U54" s="32"/>
      <c r="V54" s="32"/>
    </row>
    <row r="55" spans="2:22" ht="25" customHeight="1" x14ac:dyDescent="0.6">
      <c r="B55" s="118"/>
      <c r="C55" s="118"/>
      <c r="D55" s="118"/>
      <c r="E55" s="118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32"/>
      <c r="S55" s="32"/>
      <c r="T55" s="32"/>
      <c r="U55" s="32"/>
      <c r="V55" s="32"/>
    </row>
    <row r="56" spans="2:22" ht="25" customHeight="1" x14ac:dyDescent="0.6">
      <c r="B56" s="118"/>
      <c r="C56" s="118"/>
      <c r="D56" s="118"/>
      <c r="E56" s="118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32"/>
      <c r="S56" s="32"/>
      <c r="T56" s="32"/>
      <c r="U56" s="32"/>
      <c r="V56" s="32"/>
    </row>
    <row r="57" spans="2:22" ht="25" customHeight="1" x14ac:dyDescent="0.6">
      <c r="B57" s="118"/>
      <c r="C57" s="118"/>
      <c r="D57" s="118"/>
      <c r="E57" s="118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</row>
    <row r="58" spans="2:22" ht="25" customHeight="1" x14ac:dyDescent="0.6">
      <c r="B58" s="118"/>
      <c r="C58" s="118"/>
      <c r="D58" s="118"/>
      <c r="E58" s="118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</row>
    <row r="59" spans="2:22" ht="25" customHeight="1" x14ac:dyDescent="0.6">
      <c r="B59" s="118"/>
      <c r="C59" s="118"/>
      <c r="D59" s="118"/>
      <c r="E59" s="118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</row>
    <row r="60" spans="2:22" ht="25" customHeight="1" x14ac:dyDescent="0.6">
      <c r="B60" s="118"/>
      <c r="C60" s="118"/>
      <c r="D60" s="118"/>
      <c r="E60" s="118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2:22" ht="25" customHeight="1" x14ac:dyDescent="0.6">
      <c r="B61" s="118"/>
      <c r="C61" s="118"/>
      <c r="D61" s="118"/>
      <c r="E61" s="118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</row>
    <row r="62" spans="2:22" ht="25" customHeight="1" x14ac:dyDescent="0.6">
      <c r="B62" s="118"/>
      <c r="C62" s="118"/>
      <c r="D62" s="118"/>
      <c r="E62" s="118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2:22" ht="25" customHeight="1" x14ac:dyDescent="0.6">
      <c r="B63" s="118"/>
      <c r="C63" s="118"/>
      <c r="D63" s="118"/>
      <c r="E63" s="118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</row>
    <row r="64" spans="2:22" ht="25" customHeight="1" x14ac:dyDescent="0.6">
      <c r="B64" s="118"/>
      <c r="C64" s="118"/>
      <c r="D64" s="118"/>
      <c r="E64" s="118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</row>
    <row r="65" spans="2:17" ht="25" customHeight="1" x14ac:dyDescent="0.6">
      <c r="B65" s="118"/>
      <c r="C65" s="118"/>
      <c r="D65" s="118"/>
      <c r="E65" s="118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</row>
    <row r="66" spans="2:17" ht="25" customHeight="1" x14ac:dyDescent="0.6">
      <c r="B66" s="118"/>
      <c r="C66" s="118"/>
      <c r="D66" s="118"/>
      <c r="E66" s="118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</row>
    <row r="67" spans="2:17" ht="25" customHeight="1" x14ac:dyDescent="0.6">
      <c r="B67" s="118"/>
      <c r="C67" s="118"/>
      <c r="D67" s="118"/>
      <c r="E67" s="118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</row>
    <row r="68" spans="2:17" ht="25" customHeight="1" x14ac:dyDescent="0.6">
      <c r="B68" s="111"/>
      <c r="C68" s="111"/>
      <c r="D68" s="111"/>
      <c r="E68" s="111"/>
    </row>
    <row r="69" spans="2:17" ht="25" customHeight="1" x14ac:dyDescent="0.6">
      <c r="B69" s="111"/>
      <c r="C69" s="111"/>
      <c r="D69" s="111"/>
      <c r="E69" s="111"/>
    </row>
    <row r="70" spans="2:17" ht="25" customHeight="1" x14ac:dyDescent="0.6">
      <c r="B70" s="111"/>
      <c r="C70" s="111"/>
      <c r="D70" s="111"/>
      <c r="E70" s="111"/>
    </row>
    <row r="71" spans="2:17" ht="25" customHeight="1" x14ac:dyDescent="0.6">
      <c r="B71" s="111"/>
      <c r="C71" s="111"/>
      <c r="D71" s="111"/>
      <c r="E71" s="111"/>
    </row>
    <row r="72" spans="2:17" ht="25" customHeight="1" x14ac:dyDescent="0.6">
      <c r="B72" s="111"/>
      <c r="C72" s="111"/>
      <c r="D72" s="111"/>
      <c r="E72" s="111"/>
    </row>
    <row r="73" spans="2:17" ht="25" customHeight="1" x14ac:dyDescent="0.6">
      <c r="B73" s="111"/>
      <c r="C73" s="111"/>
      <c r="D73" s="111"/>
      <c r="E73" s="111"/>
    </row>
    <row r="74" spans="2:17" ht="25" customHeight="1" x14ac:dyDescent="0.6">
      <c r="B74" s="111"/>
      <c r="C74" s="111"/>
      <c r="D74" s="111"/>
      <c r="E74" s="111"/>
    </row>
    <row r="75" spans="2:17" ht="25" customHeight="1" x14ac:dyDescent="0.6">
      <c r="B75" s="111"/>
      <c r="C75" s="111"/>
      <c r="D75" s="111"/>
      <c r="E75" s="111"/>
    </row>
  </sheetData>
  <mergeCells count="2">
    <mergeCell ref="B35:N35"/>
    <mergeCell ref="B5:P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 VRTX Model</vt:lpstr>
      <vt:lpstr>Revenue Build</vt:lpstr>
      <vt:lpstr>Retail Sales</vt:lpstr>
      <vt:lpstr>Cost Calculator</vt:lpstr>
      <vt:lpstr>Computer Parts Build</vt:lpstr>
      <vt:lpstr>avg_wk</vt:lpstr>
      <vt:lpstr>Bays</vt:lpstr>
      <vt:lpstr>card_fee</vt:lpstr>
      <vt:lpstr>hr_mo</vt:lpstr>
      <vt:lpstr>hr_wk</vt:lpstr>
      <vt:lpstr>op_mo</vt:lpstr>
      <vt:lpstr>op_total</vt:lpstr>
      <vt:lpstr>op_wk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Catnip</dc:creator>
  <cp:lastModifiedBy>William Greenfield</cp:lastModifiedBy>
  <dcterms:created xsi:type="dcterms:W3CDTF">2018-03-24T07:24:10Z</dcterms:created>
  <dcterms:modified xsi:type="dcterms:W3CDTF">2018-10-13T20:11:39Z</dcterms:modified>
  <cp:contentStatus/>
</cp:coreProperties>
</file>