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oil" sheetId="1" state="visible" r:id="rId3"/>
    <sheet name="separator" sheetId="2" state="visible" r:id="rId4"/>
    <sheet name="anode" sheetId="3" state="visible" r:id="rId5"/>
    <sheet name="cathode" sheetId="4" state="visible" r:id="rId6"/>
    <sheet name="electrolyte" sheetId="5" state="visible" r:id="rId7"/>
    <sheet name="current_collector" sheetId="6" state="visible" r:id="rId8"/>
    <sheet name="Literature_screening" sheetId="7" state="visible" r:id="rId9"/>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0" authorId="0">
      <text>
        <r>
          <rPr>
            <sz val="10"/>
            <rFont val="Arial"/>
            <family val="2"/>
          </rPr>
          <t xml:space="preserve">Kühn, Johannes:
</t>
        </r>
        <r>
          <rPr>
            <sz val="11"/>
            <color rgb="FF000000"/>
            <rFont val="Segoe UI"/>
            <family val="2"/>
            <charset val="1"/>
          </rPr>
          <t xml:space="preserve">GGF. Material nehmen bei dem alle Parameter bekannt sind</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B10" authorId="0">
      <text>
        <r>
          <rPr>
            <sz val="10"/>
            <rFont val="Arial"/>
            <family val="2"/>
          </rPr>
          <t xml:space="preserve">Kühn, Johannes:
</t>
        </r>
        <r>
          <rPr>
            <sz val="11"/>
            <color rgb="FF000000"/>
            <rFont val="Segoe UI"/>
            <family val="2"/>
            <charset val="1"/>
          </rPr>
          <t xml:space="preserve">Datenblatt ergänzen</t>
        </r>
      </text>
    </comment>
    <comment ref="B13" authorId="0">
      <text>
        <r>
          <rPr>
            <sz val="10"/>
            <rFont val="Arial"/>
            <family val="2"/>
          </rPr>
          <t xml:space="preserve">Kühn, Johannes:
</t>
        </r>
        <r>
          <rPr>
            <sz val="11"/>
            <color rgb="FF000000"/>
            <rFont val="Segoe UI"/>
            <family val="2"/>
            <charset val="1"/>
          </rPr>
          <t xml:space="preserve">Datenblatt ergänzen</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8" authorId="0">
      <text>
        <r>
          <rPr>
            <sz val="10"/>
            <rFont val="Arial"/>
            <family val="2"/>
          </rPr>
          <t xml:space="preserve">Kühn, Johannes:
</t>
        </r>
        <r>
          <rPr>
            <sz val="11"/>
            <color rgb="FF000000"/>
            <rFont val="Segoe UI"/>
            <family val="2"/>
            <charset val="1"/>
          </rPr>
          <t xml:space="preserve">Zeile korrigiert restliche überprüfen</t>
        </r>
      </text>
    </comment>
    <comment ref="A11" authorId="0">
      <text>
        <r>
          <rPr>
            <sz val="10"/>
            <rFont val="Arial"/>
            <family val="2"/>
          </rPr>
          <t xml:space="preserve">Kühn, Johannes:
</t>
        </r>
        <r>
          <rPr>
            <sz val="11"/>
            <color rgb="FF000000"/>
            <rFont val="Segoe UI"/>
            <family val="2"/>
            <charset val="1"/>
          </rPr>
          <t xml:space="preserve">wurde von ILK nicht mechanisch charakterisiert</t>
        </r>
      </text>
    </comment>
    <comment ref="C5" authorId="0">
      <text>
        <r>
          <rPr>
            <sz val="10"/>
            <rFont val="Arial"/>
            <family val="2"/>
          </rPr>
          <t xml:space="preserve">Passive Anteile berücksichtigen!?</t>
        </r>
      </text>
    </comment>
    <comment ref="D13" authorId="0">
      <text>
        <r>
          <rPr>
            <sz val="10"/>
            <rFont val="Arial"/>
            <family val="2"/>
          </rPr>
          <t xml:space="preserve">Kühn, Johannes:
</t>
        </r>
        <r>
          <rPr>
            <sz val="11"/>
            <color rgb="FF000000"/>
            <rFont val="Segoe UI"/>
            <family val="2"/>
            <charset val="1"/>
          </rPr>
          <t xml:space="preserve">Faserformel (3-1)</t>
        </r>
      </text>
    </comment>
    <comment ref="D14" authorId="0">
      <text>
        <r>
          <rPr>
            <sz val="10"/>
            <rFont val="Arial"/>
            <family val="2"/>
          </rPr>
          <t xml:space="preserve">Kühn, Johannes:
</t>
        </r>
        <r>
          <rPr>
            <sz val="11"/>
            <color rgb="FF000000"/>
            <rFont val="Segoe UI"/>
            <family val="2"/>
            <charset val="1"/>
          </rPr>
          <t xml:space="preserve">Faserformel (3-1)</t>
        </r>
      </text>
    </comment>
    <comment ref="D15" authorId="0">
      <text>
        <r>
          <rPr>
            <sz val="10"/>
            <rFont val="Arial"/>
            <family val="2"/>
          </rPr>
          <t xml:space="preserve">Kühn, Johannes:
</t>
        </r>
        <r>
          <rPr>
            <sz val="11"/>
            <color rgb="FF000000"/>
            <rFont val="Segoe UI"/>
            <family val="2"/>
            <charset val="1"/>
          </rPr>
          <t xml:space="preserve">Faserformel (3-1)</t>
        </r>
      </text>
    </comment>
    <comment ref="D16" authorId="0">
      <text>
        <r>
          <rPr>
            <sz val="10"/>
            <rFont val="Arial"/>
            <family val="2"/>
          </rPr>
          <t xml:space="preserve">Kühn, Johannes:
</t>
        </r>
        <r>
          <rPr>
            <sz val="11"/>
            <color rgb="FF000000"/>
            <rFont val="Segoe UI"/>
            <family val="2"/>
            <charset val="1"/>
          </rPr>
          <t xml:space="preserve">Faserformel (3-1)</t>
        </r>
      </text>
    </comment>
    <comment ref="D17" authorId="0">
      <text>
        <r>
          <rPr>
            <sz val="10"/>
            <rFont val="Arial"/>
            <family val="2"/>
          </rPr>
          <t xml:space="preserve">Kühn, Johannes:
</t>
        </r>
        <r>
          <rPr>
            <sz val="11"/>
            <color rgb="FF000000"/>
            <rFont val="Segoe UI"/>
            <family val="2"/>
            <charset val="1"/>
          </rPr>
          <t xml:space="preserve">Faserformel (3-1)</t>
        </r>
      </text>
    </comment>
    <comment ref="E23" authorId="0">
      <text>
        <r>
          <rPr>
            <sz val="10"/>
            <rFont val="Arial"/>
            <family val="2"/>
          </rPr>
          <t xml:space="preserve">Kühn, Johannes:
</t>
        </r>
        <r>
          <rPr>
            <sz val="11"/>
            <color rgb="FF000000"/>
            <rFont val="Segoe UI"/>
            <family val="2"/>
            <charset val="1"/>
          </rPr>
          <t xml:space="preserve">- Berechnung:
Fasergewicht: 2.3 mg/cm gespreizt auf 3cm breite</t>
        </r>
      </text>
    </comment>
    <comment ref="F12" authorId="0">
      <text>
        <r>
          <rPr>
            <sz val="10"/>
            <rFont val="Arial"/>
            <family val="2"/>
          </rPr>
          <t xml:space="preserve">Kühn, Johannes:
</t>
        </r>
        <r>
          <rPr>
            <sz val="11"/>
            <color rgb="FF000000"/>
            <rFont val="Segoe UI"/>
            <family val="2"/>
            <charset val="1"/>
          </rPr>
          <t xml:space="preserve">Reinheit IWS</t>
        </r>
      </text>
    </comment>
    <comment ref="F13" authorId="0">
      <text>
        <r>
          <rPr>
            <sz val="10"/>
            <rFont val="Arial"/>
            <family val="2"/>
          </rPr>
          <t xml:space="preserve">Kühn, Johannes:
</t>
        </r>
        <r>
          <rPr>
            <sz val="11"/>
            <color rgb="FF000000"/>
            <rFont val="Segoe UI"/>
            <family val="2"/>
            <charset val="1"/>
          </rPr>
          <t xml:space="preserve">entspricht Faservolumenanteil: ~60%
</t>
        </r>
      </text>
    </comment>
    <comment ref="F14" authorId="0">
      <text>
        <r>
          <rPr>
            <sz val="10"/>
            <rFont val="Arial"/>
            <family val="2"/>
          </rPr>
          <t xml:space="preserve">Kühn, Johannes:
</t>
        </r>
        <r>
          <rPr>
            <sz val="11"/>
            <color rgb="FF000000"/>
            <rFont val="Segoe UI"/>
            <family val="2"/>
            <charset val="1"/>
          </rPr>
          <t xml:space="preserve">entspricht Faservolumenanteil: ~60%
</t>
        </r>
      </text>
    </comment>
    <comment ref="F15" authorId="0">
      <text>
        <r>
          <rPr>
            <sz val="10"/>
            <rFont val="Arial"/>
            <family val="2"/>
          </rPr>
          <t xml:space="preserve">Kühn, Johannes:
</t>
        </r>
        <r>
          <rPr>
            <sz val="11"/>
            <color rgb="FF000000"/>
            <rFont val="Segoe UI"/>
            <family val="2"/>
            <charset val="1"/>
          </rPr>
          <t xml:space="preserve">entspricht Faservolumenanteil: ~60%
</t>
        </r>
      </text>
    </comment>
    <comment ref="F16" authorId="0">
      <text>
        <r>
          <rPr>
            <sz val="10"/>
            <rFont val="Arial"/>
            <family val="2"/>
          </rPr>
          <t xml:space="preserve">Kühn, Johannes:
</t>
        </r>
        <r>
          <rPr>
            <sz val="11"/>
            <color rgb="FF000000"/>
            <rFont val="Segoe UI"/>
            <family val="2"/>
            <charset val="1"/>
          </rPr>
          <t xml:space="preserve">entspricht Faservolumenanteil: ~60%
</t>
        </r>
      </text>
    </comment>
    <comment ref="F17" authorId="0">
      <text>
        <r>
          <rPr>
            <sz val="10"/>
            <rFont val="Arial"/>
            <family val="2"/>
          </rPr>
          <t xml:space="preserve">Kühn, Johannes:
</t>
        </r>
        <r>
          <rPr>
            <sz val="11"/>
            <color rgb="FF000000"/>
            <rFont val="Segoe UI"/>
            <family val="2"/>
            <charset val="1"/>
          </rPr>
          <t xml:space="preserve">entspricht Faservolumenanteil: ~60%
</t>
        </r>
      </text>
    </comment>
    <comment ref="F23" authorId="0">
      <text>
        <r>
          <rPr>
            <sz val="10"/>
            <rFont val="Arial"/>
            <family val="2"/>
          </rPr>
          <t xml:space="preserve">Kühn, Johannes:
</t>
        </r>
        <r>
          <rPr>
            <sz val="11"/>
            <color rgb="FF000000"/>
            <rFont val="Segoe UI"/>
            <family val="2"/>
            <charset val="1"/>
          </rPr>
          <t xml:space="preserve">Berechnung unter Annahme:
- Faservolumenanteil 18%
- SBE Volumenanteil 82%
Faserdichte: 1.81g/cm³
SBE-dichte: 1.123 g/cm³</t>
        </r>
      </text>
    </comment>
    <comment ref="G12" authorId="0">
      <text>
        <r>
          <rPr>
            <sz val="10"/>
            <rFont val="Arial"/>
            <family val="2"/>
          </rPr>
          <t xml:space="preserve">Kühn, Johannes:
</t>
        </r>
        <r>
          <rPr>
            <sz val="11"/>
            <color rgb="FF000000"/>
            <rFont val="Segoe UI"/>
            <family val="2"/>
            <charset val="1"/>
          </rPr>
          <t xml:space="preserve">Literaturwert
</t>
        </r>
      </text>
    </comment>
    <comment ref="H6" authorId="0">
      <text>
        <r>
          <rPr>
            <sz val="10"/>
            <rFont val="Arial"/>
            <family val="2"/>
          </rPr>
          <t xml:space="preserve">Fachbezeichnung klären!</t>
        </r>
      </text>
    </comment>
    <comment ref="H12" authorId="0">
      <text>
        <r>
          <rPr>
            <sz val="10"/>
            <rFont val="Arial"/>
            <family val="2"/>
          </rPr>
          <t xml:space="preserve">Kühn, Johannes:
</t>
        </r>
        <r>
          <rPr>
            <sz val="11"/>
            <color rgb="FF000000"/>
            <rFont val="Segoe UI"/>
            <family val="2"/>
            <charset val="1"/>
          </rPr>
          <t xml:space="preserve">Bestimmt für 50um Lithium folie</t>
        </r>
      </text>
    </comment>
    <comment ref="N6" authorId="0">
      <text>
        <r>
          <rPr>
            <sz val="10"/>
            <rFont val="Arial"/>
            <family val="2"/>
          </rPr>
          <t xml:space="preserve">Kühn, Johannes:
</t>
        </r>
        <r>
          <rPr>
            <sz val="11"/>
            <color rgb="FF000000"/>
            <rFont val="Segoe UI"/>
            <family val="2"/>
            <charset val="1"/>
          </rPr>
          <t xml:space="preserve">Welche dichte soll das sein? 
Gesamtdichte oder Dichte der Beschichtung auf der Folie (letzteres steht in der Spalte)</t>
        </r>
      </text>
    </comment>
    <comment ref="N13" authorId="0">
      <text>
        <r>
          <rPr>
            <sz val="10"/>
            <rFont val="Arial"/>
            <family val="2"/>
          </rPr>
          <t xml:space="preserve">Kühn, Johannes:
</t>
        </r>
        <r>
          <rPr>
            <sz val="11"/>
            <color rgb="FF000000"/>
            <rFont val="Segoe UI"/>
            <family val="2"/>
            <charset val="1"/>
          </rPr>
          <t xml:space="preserve">bisher nur skelettdichte
</t>
        </r>
      </text>
    </comment>
    <comment ref="N14" authorId="0">
      <text>
        <r>
          <rPr>
            <sz val="10"/>
            <rFont val="Arial"/>
            <family val="2"/>
          </rPr>
          <t xml:space="preserve">Kühn, Johannes:
</t>
        </r>
        <r>
          <rPr>
            <sz val="11"/>
            <color rgb="FF000000"/>
            <rFont val="Segoe UI"/>
            <family val="2"/>
            <charset val="1"/>
          </rPr>
          <t xml:space="preserve">skelettdichte (experimentell circa 0.7)</t>
        </r>
      </text>
    </comment>
    <comment ref="N15" authorId="0">
      <text>
        <r>
          <rPr>
            <sz val="10"/>
            <rFont val="Arial"/>
            <family val="2"/>
          </rPr>
          <t xml:space="preserve">Kühn, Johannes:
</t>
        </r>
        <r>
          <rPr>
            <sz val="11"/>
            <color rgb="FF000000"/>
            <rFont val="Segoe UI"/>
            <family val="2"/>
            <charset val="1"/>
          </rPr>
          <t xml:space="preserve">skelettdichte (experimentell circa 0.7)</t>
        </r>
      </text>
    </comment>
    <comment ref="N16" authorId="0">
      <text>
        <r>
          <rPr>
            <sz val="10"/>
            <rFont val="Arial"/>
            <family val="2"/>
          </rPr>
          <t xml:space="preserve">Kühn, Johannes:
</t>
        </r>
        <r>
          <rPr>
            <sz val="11"/>
            <color rgb="FF000000"/>
            <rFont val="Segoe UI"/>
            <family val="2"/>
            <charset val="1"/>
          </rPr>
          <t xml:space="preserve">skelettdichte (experimentell circa 0.7)</t>
        </r>
      </text>
    </comment>
    <comment ref="N17" authorId="0">
      <text>
        <r>
          <rPr>
            <sz val="10"/>
            <rFont val="Arial"/>
            <family val="2"/>
          </rPr>
          <t xml:space="preserve">Kühn, Johannes:
</t>
        </r>
        <r>
          <rPr>
            <sz val="11"/>
            <color rgb="FF000000"/>
            <rFont val="Segoe UI"/>
            <family val="2"/>
            <charset val="1"/>
          </rPr>
          <t xml:space="preserve">skelettdichte (experimentell circa 0.7)</t>
        </r>
      </text>
    </comment>
    <comment ref="N18" authorId="0">
      <text>
        <r>
          <rPr>
            <sz val="10"/>
            <rFont val="Arial"/>
            <family val="2"/>
          </rPr>
          <t xml:space="preserve">Kühn, Johannes:
</t>
        </r>
        <r>
          <rPr>
            <sz val="11"/>
            <color rgb="FF000000"/>
            <rFont val="Segoe UI"/>
            <family val="2"/>
            <charset val="1"/>
          </rPr>
          <t xml:space="preserve">skelettdichte (experimentell circa 0.7)</t>
        </r>
      </text>
    </comment>
    <comment ref="P6" authorId="0">
      <text>
        <r>
          <rPr>
            <sz val="10"/>
            <rFont val="Arial"/>
            <family val="2"/>
          </rPr>
          <t xml:space="preserve">Kühn, Johannes:
</t>
        </r>
        <r>
          <rPr>
            <sz val="11"/>
            <color rgb="FF000000"/>
            <rFont val="Segoe UI"/>
            <family val="2"/>
            <charset val="1"/>
          </rPr>
          <t xml:space="preserve">hier ist glaube ein Fehler:
areal mass = Gesamtgewicht je cm² (Aktivmaterial + Passivmaterial+Substrat</t>
        </r>
      </text>
    </comment>
    <comment ref="Q6" authorId="0">
      <text>
        <r>
          <rPr>
            <sz val="10"/>
            <rFont val="Arial"/>
            <family val="2"/>
          </rPr>
          <t xml:space="preserve">Kühn, Johannes:
</t>
        </r>
        <r>
          <rPr>
            <sz val="11"/>
            <color rgb="FF000000"/>
            <rFont val="Segoe UI"/>
            <family val="2"/>
            <charset val="1"/>
          </rPr>
          <t xml:space="preserve">Hier ist glaube auch etwas nicht richtig:
active material areal mass (Spalte E) ist der Wert an Aktivmaterial (=95.7%) auf einer Seite
-&gt; wenn du jetzt für beide Seiten das ausrechnen willst ist es lediglich 2* Spalte E</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A12" authorId="0">
      <text>
        <r>
          <rPr>
            <sz val="10"/>
            <rFont val="Arial"/>
            <family val="2"/>
          </rPr>
          <t xml:space="preserve">Kühn, Johannes:
</t>
        </r>
        <r>
          <rPr>
            <sz val="11"/>
            <color rgb="FF000000"/>
            <rFont val="Segoe UI"/>
            <family val="2"/>
            <charset val="1"/>
          </rPr>
          <t xml:space="preserve">System als Cathode nicht nachprüfbar (Gewicht der Fasern + Flüssigkeit nicht ermittelbar)
-&gt; Gesamtzelle aber zum Vergleich nutzen
</t>
        </r>
      </text>
    </comment>
    <comment ref="B9" authorId="0">
      <text>
        <r>
          <rPr>
            <sz val="10"/>
            <rFont val="Arial"/>
            <family val="2"/>
          </rPr>
          <t xml:space="preserve">Kühn, Johannes:
</t>
        </r>
        <r>
          <rPr>
            <sz val="11"/>
            <color rgb="FF000000"/>
            <rFont val="Segoe UI"/>
            <family val="2"/>
            <charset val="1"/>
          </rPr>
          <t xml:space="preserve">Kann das weg weil wichtige Daten fehlen? Wurde das für die Berechnung genutzt?</t>
        </r>
      </text>
    </comment>
    <comment ref="B16" authorId="0">
      <text>
        <r>
          <rPr>
            <sz val="10"/>
            <rFont val="Arial"/>
            <family val="2"/>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Informationen über Activmaterial beladung sehr gering</t>
        </r>
      </text>
    </comment>
    <comment ref="D5" authorId="0">
      <text>
        <r>
          <rPr>
            <sz val="10"/>
            <rFont val="Arial"/>
            <family val="2"/>
          </rPr>
          <t xml:space="preserve">Kühn, Johannes:
</t>
        </r>
        <r>
          <rPr>
            <sz val="11"/>
            <color rgb="FF000000"/>
            <rFont val="Segoe UI"/>
            <family val="2"/>
            <charset val="1"/>
          </rPr>
          <t xml:space="preserve">bezieht sich erneut auf nur eine Lage bei doppelseitigen elektroden</t>
        </r>
      </text>
    </comment>
    <comment ref="E5" authorId="0">
      <text>
        <r>
          <rPr>
            <sz val="10"/>
            <rFont val="Arial"/>
            <family val="2"/>
          </rPr>
          <t xml:space="preserve">Kühn, Johannes:
</t>
        </r>
        <r>
          <rPr>
            <sz val="11"/>
            <color rgb="FF000000"/>
            <rFont val="Segoe UI"/>
            <family val="2"/>
            <charset val="1"/>
          </rPr>
          <t xml:space="preserve">Berechnung ist unterschiedlich je nachdem was im Datenblatt gegeben ist.
wenn die Masse an Beschichtung und die Gesamtmasse gegeben ist kann man das Gewicht des Stromkollektors ausrechnen 
wenn die Flächenkapazität (Spalte H) gegeben ist kann man diese nutzen um mit der theo. capazität (Spalte G) die Masse an aktivmaterial je cm² zu bestimmen (allerdings ist der Fehler größer da der theo. Wert nicht dem realen entspricht)</t>
        </r>
      </text>
    </comment>
    <comment ref="H6" authorId="0">
      <text>
        <r>
          <rPr>
            <sz val="10"/>
            <rFont val="Arial"/>
            <family val="2"/>
          </rPr>
          <t xml:space="preserve">Kühn, Johannes:
</t>
        </r>
        <r>
          <rPr>
            <sz val="11"/>
            <color rgb="FF000000"/>
            <rFont val="Segoe UI"/>
            <family val="2"/>
            <charset val="1"/>
          </rPr>
          <t xml:space="preserve">die areal capacity bezieht sich immer auf eine Seite falls Doppelseitige Elektroden vorliegen</t>
        </r>
      </text>
    </comment>
    <comment ref="L8" authorId="0">
      <text>
        <r>
          <rPr>
            <sz val="10"/>
            <rFont val="Arial"/>
            <family val="2"/>
          </rPr>
          <t xml:space="preserve">Kühn, Johannes:
</t>
        </r>
        <r>
          <rPr>
            <sz val="11"/>
            <color rgb="FF000000"/>
            <rFont val="Segoe UI"/>
            <family val="2"/>
            <charset val="1"/>
          </rPr>
          <t xml:space="preserve">das Datenblatt gibt eine Beschichtungs-Masse von 47.20mg/cm² (+/-2%) an</t>
        </r>
      </text>
    </comment>
    <comment ref="L11" authorId="0">
      <text>
        <r>
          <rPr>
            <sz val="10"/>
            <rFont val="Arial"/>
            <family val="2"/>
          </rPr>
          <t xml:space="preserve">Kühn, Johannes:
</t>
        </r>
        <r>
          <rPr>
            <sz val="11"/>
            <color rgb="FF000000"/>
            <rFont val="Segoe UI"/>
            <family val="2"/>
            <charset val="1"/>
          </rPr>
          <t xml:space="preserve">das Datenblatt gibt eine Beschichtungs-Masse von 47.20mg/cm² (+/-2%) an</t>
        </r>
      </text>
    </comment>
    <comment ref="N6" authorId="0">
      <text>
        <r>
          <rPr>
            <sz val="10"/>
            <rFont val="Arial"/>
            <family val="2"/>
          </rPr>
          <t xml:space="preserve">Kühn, Johannes:
</t>
        </r>
        <r>
          <rPr>
            <sz val="11"/>
            <color rgb="FF000000"/>
            <rFont val="Segoe UI"/>
            <family val="2"/>
            <charset val="1"/>
          </rPr>
          <t xml:space="preserve">das ist die Gesamtdichte inkl. Al Folie</t>
        </r>
      </text>
    </comment>
    <comment ref="N16" authorId="0">
      <text>
        <r>
          <rPr>
            <sz val="10"/>
            <rFont val="Arial"/>
            <family val="2"/>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Density of single filament </t>
        </r>
      </text>
    </comment>
    <comment ref="P6" authorId="0">
      <text>
        <r>
          <rPr>
            <sz val="10"/>
            <rFont val="Arial"/>
            <family val="2"/>
          </rPr>
          <t xml:space="preserve">Kühn, Johannes:
</t>
        </r>
        <r>
          <rPr>
            <sz val="11"/>
            <color rgb="FF000000"/>
            <rFont val="Segoe UI"/>
            <family val="2"/>
            <charset val="1"/>
          </rPr>
          <t xml:space="preserve">wir sollten uns auf eine Einheit festlegen in den sheets zuvor wurden SI Einheiten genutzt jetzt nicht mehr</t>
        </r>
      </text>
    </comment>
    <comment ref="Q6" authorId="0">
      <text>
        <r>
          <rPr>
            <sz val="10"/>
            <rFont val="Arial"/>
            <family val="2"/>
          </rPr>
          <t xml:space="preserve">Kühn, Johannes:
</t>
        </r>
        <r>
          <rPr>
            <sz val="11"/>
            <color rgb="FF000000"/>
            <rFont val="Segoe UI"/>
            <family val="2"/>
            <charset val="1"/>
          </rPr>
          <t xml:space="preserve">Wird das benötigt für die Berechnung?</t>
        </r>
      </text>
    </comment>
    <comment ref="S14" authorId="0">
      <text>
        <r>
          <rPr>
            <sz val="10"/>
            <rFont val="Arial"/>
            <family val="2"/>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Graph entnommen</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8" authorId="0">
      <text>
        <r>
          <rPr>
            <sz val="10"/>
            <rFont val="Arial"/>
            <family val="2"/>
          </rPr>
          <t xml:space="preserve">Kühn, Johannes:
</t>
        </r>
        <r>
          <rPr>
            <sz val="11"/>
            <color rgb="FF000000"/>
            <rFont val="Segoe UI"/>
            <family val="2"/>
            <charset val="1"/>
          </rPr>
          <t xml:space="preserve">Polymere als Matrix für einen flüssigen Elektrolyt (siehe Gel-Elektrolyt)
Die Eigenschaften sind abhängig vom Verhältnis zwischen Polymer und Flüssigkeit </t>
        </r>
      </text>
    </comment>
    <comment ref="Y5" authorId="0">
      <text>
        <r>
          <rPr>
            <sz val="10"/>
            <rFont val="Arial"/>
            <family val="2"/>
          </rPr>
          <t xml:space="preserve">Kühn, Johannes:
</t>
        </r>
        <r>
          <rPr>
            <sz val="11"/>
            <color rgb="FF000000"/>
            <rFont val="Segoe UI"/>
            <family val="2"/>
            <charset val="1"/>
          </rPr>
          <t xml:space="preserve">aus paper berechnete vor/nachteile </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Passive Anteile berücksichtigen!?</t>
        </r>
      </text>
    </comment>
    <comment ref="E6" authorId="0">
      <text>
        <r>
          <rPr>
            <sz val="10"/>
            <rFont val="Arial"/>
            <family val="2"/>
          </rPr>
          <t xml:space="preserve">Kühn, Johannes:
</t>
        </r>
        <r>
          <rPr>
            <sz val="11"/>
            <color rgb="FF000000"/>
            <rFont val="Segoe UI"/>
            <family val="2"/>
            <charset val="1"/>
          </rPr>
          <t xml:space="preserve">Welche dichte soll das sein? 
Gesamtdichte oder Dichte der Beschichtung auf der Folie (letzteres steht in der Spalte)</t>
        </r>
      </text>
    </comment>
    <comment ref="G6" authorId="0">
      <text>
        <r>
          <rPr>
            <sz val="10"/>
            <rFont val="Arial"/>
            <family val="2"/>
          </rPr>
          <t xml:space="preserve">Kühn, Johannes:
</t>
        </r>
        <r>
          <rPr>
            <sz val="11"/>
            <color rgb="FF000000"/>
            <rFont val="Segoe UI"/>
            <family val="2"/>
            <charset val="1"/>
          </rPr>
          <t xml:space="preserve">hier ist glaube ein Fehler:
areal mass = Gesamtgewicht je cm² (Aktivmaterial + Passivmaterial+Substrat</t>
        </r>
      </text>
    </comment>
    <comment ref="H6" authorId="0">
      <text>
        <r>
          <rPr>
            <sz val="10"/>
            <rFont val="Arial"/>
            <family val="2"/>
          </rPr>
          <t xml:space="preserve">Kühn, Johannes:
</t>
        </r>
        <r>
          <rPr>
            <sz val="11"/>
            <color rgb="FF000000"/>
            <rFont val="Segoe UI"/>
            <family val="2"/>
            <charset val="1"/>
          </rPr>
          <t xml:space="preserve">Hier ist glaube auch etwas nicht richtig:
active material areal mass (Spalte E) ist der Wert an Aktivmaterial (=95.7%) auf einer Seite
-&gt; wenn du jetzt für beide Seiten das ausrechnen willst ist es lediglich 2* Spalte E</t>
        </r>
      </text>
    </comment>
  </commentList>
</comments>
</file>

<file path=xl/sharedStrings.xml><?xml version="1.0" encoding="utf-8"?>
<sst xmlns="http://schemas.openxmlformats.org/spreadsheetml/2006/main" count="767" uniqueCount="389">
  <si>
    <t xml:space="preserve">Imaginärer Wert</t>
  </si>
  <si>
    <t xml:space="preserve">Literaturwert/Datenblatt</t>
  </si>
  <si>
    <t xml:space="preserve">Experimentell bestimmt (+/-Fehler) </t>
  </si>
  <si>
    <t xml:space="preserve">layers</t>
  </si>
  <si>
    <t xml:space="preserve">berechnet</t>
  </si>
  <si>
    <t xml:space="preserve">outer layer</t>
  </si>
  <si>
    <t xml:space="preserve">inner layer</t>
  </si>
  <si>
    <t xml:space="preserve">tensile modulus</t>
  </si>
  <si>
    <t xml:space="preserve">tensile strength</t>
  </si>
  <si>
    <t xml:space="preserve">Bruchdehnung</t>
  </si>
  <si>
    <t xml:space="preserve">1. layer</t>
  </si>
  <si>
    <t xml:space="preserve">2. layer</t>
  </si>
  <si>
    <t xml:space="preserve">3. layer</t>
  </si>
  <si>
    <t xml:space="preserve">4. layer</t>
  </si>
  <si>
    <t xml:space="preserve">name</t>
  </si>
  <si>
    <t xml:space="preserve">description</t>
  </si>
  <si>
    <t xml:space="preserve">material</t>
  </si>
  <si>
    <t xml:space="preserve">thickness</t>
  </si>
  <si>
    <t xml:space="preserve">areal mass</t>
  </si>
  <si>
    <t xml:space="preserve">density</t>
  </si>
  <si>
    <t xml:space="preserve">percentage passive material</t>
  </si>
  <si>
    <t xml:space="preserve">E_t_xx</t>
  </si>
  <si>
    <t xml:space="preserve">E_t_yy</t>
  </si>
  <si>
    <t xml:space="preserve">E_t_xy</t>
  </si>
  <si>
    <t xml:space="preserve">R_t_xx</t>
  </si>
  <si>
    <t xml:space="preserve">R_t_yy</t>
  </si>
  <si>
    <t xml:space="preserve">R_t_xy</t>
  </si>
  <si>
    <t xml:space="preserve">nu_xy</t>
  </si>
  <si>
    <t xml:space="preserve">G_xy</t>
  </si>
  <si>
    <t xml:space="preserve">eps_xx</t>
  </si>
  <si>
    <t xml:space="preserve">sources</t>
  </si>
  <si>
    <t xml:space="preserve">Comment</t>
  </si>
  <si>
    <t xml:space="preserve">µm</t>
  </si>
  <si>
    <t xml:space="preserve">kg/m^2</t>
  </si>
  <si>
    <t xml:space="preserve">kg/m^3</t>
  </si>
  <si>
    <t xml:space="preserve">%</t>
  </si>
  <si>
    <t xml:space="preserve">GPa</t>
  </si>
  <si>
    <t xml:space="preserve">MPa</t>
  </si>
  <si>
    <t xml:space="preserve">ElViS_p_1</t>
  </si>
  <si>
    <t xml:space="preserve">Showa Denko 111 µm
Aluminium-Kunststoff-Verbund</t>
  </si>
  <si>
    <t xml:space="preserve">PET</t>
  </si>
  <si>
    <t xml:space="preserve">Nylon ON</t>
  </si>
  <si>
    <t xml:space="preserve">Al </t>
  </si>
  <si>
    <t xml:space="preserve">Cast PP</t>
  </si>
  <si>
    <t xml:space="preserve">110(+/-0.8)</t>
  </si>
  <si>
    <t xml:space="preserve">3.325(+/-0.46)</t>
  </si>
  <si>
    <t xml:space="preserve">91.6(+/-5.8)</t>
  </si>
  <si>
    <t xml:space="preserve">https://matweb.com/search/DataSheet.aspx?MatGUID=b1aa69c0528a40729478403542a8c94a</t>
  </si>
  <si>
    <t xml:space="preserve">ElViS_p_2</t>
  </si>
  <si>
    <t xml:space="preserve">DNP 65 µm
Aluminium-Kunststoff-Verbund</t>
  </si>
  <si>
    <t xml:space="preserve">DL</t>
  </si>
  <si>
    <t xml:space="preserve">PP</t>
  </si>
  <si>
    <t xml:space="preserve">63(+/-0.5)</t>
  </si>
  <si>
    <t xml:space="preserve">5.493(+/-1.11)</t>
  </si>
  <si>
    <t xml:space="preserve">79.5(+/-4.1)</t>
  </si>
  <si>
    <t xml:space="preserve">ElViS_p_3</t>
  </si>
  <si>
    <t xml:space="preserve">T300 - laminate AC220127 - Carbon Woven Fabric Plain 200g/m2 +   low-temperature cure
two-part bisphenol-A based epoxy resin (resin-105 and hardener_x0002_206 supplied by West System)</t>
  </si>
  <si>
    <t xml:space="preserve">T300</t>
  </si>
  <si>
    <t xml:space="preserve">-</t>
  </si>
  <si>
    <t xml:space="preserve">Epoxy</t>
  </si>
  <si>
    <t xml:space="preserve">10.1016/j.matdes.2019.108228</t>
  </si>
  <si>
    <t xml:space="preserve">&gt; Compression strength + shear modulus + shear strength given
&gt; thickness not given</t>
  </si>
  <si>
    <t xml:space="preserve">ElViS_p_4</t>
  </si>
  <si>
    <t xml:space="preserve">Glassfiberweave (0/90) with epoxy</t>
  </si>
  <si>
    <t xml:space="preserve">Glassfiber</t>
  </si>
  <si>
    <t xml:space="preserve">10.1088/2399-7532/ab3bdd
http://www.performance-composites.com/carbonfibre/mechanicalproperties_2.asp</t>
  </si>
  <si>
    <t xml:space="preserve">ElViS_p_5</t>
  </si>
  <si>
    <t xml:space="preserve">T800 - laminate</t>
  </si>
  <si>
    <t xml:space="preserve">ElViS_p_6</t>
  </si>
  <si>
    <t xml:space="preserve">ultrathin CF-PEAK foil</t>
  </si>
  <si>
    <t xml:space="preserve">8.4(+/-0.4)</t>
  </si>
  <si>
    <t xml:space="preserve">37(+/-4.5)</t>
  </si>
  <si>
    <t xml:space="preserve">10.2514/6.2020-0206</t>
  </si>
  <si>
    <t xml:space="preserve">MD Bruchdehnung</t>
  </si>
  <si>
    <t xml:space="preserve">TD Bruchdehnung</t>
  </si>
  <si>
    <t xml:space="preserve">porosity</t>
  </si>
  <si>
    <t xml:space="preserve">eps_yy</t>
  </si>
  <si>
    <t xml:space="preserve">comment</t>
  </si>
  <si>
    <t xml:space="preserve">ElViS_s_1</t>
  </si>
  <si>
    <t xml:space="preserve">T 12µm
PP-Separator</t>
  </si>
  <si>
    <t xml:space="preserve">11(+/-0.4)</t>
  </si>
  <si>
    <t xml:space="preserve">0.927(+/-0.094)</t>
  </si>
  <si>
    <t xml:space="preserve">138(+/-4.2)</t>
  </si>
  <si>
    <t xml:space="preserve">10.1149/1945-7111/ab8a99
MaterialData.pdf</t>
  </si>
  <si>
    <t xml:space="preserve">measured ILK</t>
  </si>
  <si>
    <t xml:space="preserve">ElViS_s_2</t>
  </si>
  <si>
    <t xml:space="preserve">Celgard 2400
PP-Separator</t>
  </si>
  <si>
    <t xml:space="preserve">26(+/-0.4)</t>
  </si>
  <si>
    <t xml:space="preserve">0.902(+/-0.117)</t>
  </si>
  <si>
    <t xml:space="preserve">127(+/-3.9)</t>
  </si>
  <si>
    <t xml:space="preserve">58(+/-8.9)</t>
  </si>
  <si>
    <t xml:space="preserve">ElViS_s_3</t>
  </si>
  <si>
    <t xml:space="preserve">Whatman GF/C 260µ separator</t>
  </si>
  <si>
    <t xml:space="preserve">Glasfaser</t>
  </si>
  <si>
    <t xml:space="preserve">0.014 (+/- 0.029)</t>
  </si>
  <si>
    <t xml:space="preserve">0.6 (+/- 0.2)</t>
  </si>
  <si>
    <t xml:space="preserve">10.1002/aesr.202000093</t>
  </si>
  <si>
    <t xml:space="preserve">ElViS_s_4</t>
  </si>
  <si>
    <t xml:space="preserve">Marubeni SEMCORP PE + ALOX HS7T22</t>
  </si>
  <si>
    <t xml:space="preserve">PE + ALOX</t>
  </si>
  <si>
    <t xml:space="preserve">0.1328 (+/- 0.095)</t>
  </si>
  <si>
    <t xml:space="preserve">176.23(+/-18)</t>
  </si>
  <si>
    <t xml:space="preserve">127.7 (+/- 33.9)</t>
  </si>
  <si>
    <t xml:space="preserve">165.05(+/-27)</t>
  </si>
  <si>
    <t xml:space="preserve">89(+/-8)</t>
  </si>
  <si>
    <t xml:space="preserve">109(+/-6)</t>
  </si>
  <si>
    <t xml:space="preserve">ElViS_s_5</t>
  </si>
  <si>
    <t xml:space="preserve">Celgard ES1208
PP-Separator</t>
  </si>
  <si>
    <t xml:space="preserve">1.5 (+/- 0.13)</t>
  </si>
  <si>
    <t xml:space="preserve">131.7 (+/- 14.9)</t>
  </si>
  <si>
    <t xml:space="preserve">ElViS_s_6</t>
  </si>
  <si>
    <t xml:space="preserve">0 /90 
woven GF fabric (GF plain weave, style 1086), with a by Gividi Fabrics s.r.l., Italy,
and supplied by Isola Group, Europe</t>
  </si>
  <si>
    <t xml:space="preserve">25.4(+/-3.3)</t>
  </si>
  <si>
    <t xml:space="preserve">13.3(+/-0.7)</t>
  </si>
  <si>
    <t xml:space="preserve">ElViS_s_7</t>
  </si>
  <si>
    <t xml:space="preserve">BN/PVdF separator</t>
  </si>
  <si>
    <t xml:space="preserve">PVDF</t>
  </si>
  <si>
    <t xml:space="preserve">1.2(+/-0.2)</t>
  </si>
  <si>
    <t xml:space="preserve">13.1(+/-1.2)</t>
  </si>
  <si>
    <t xml:space="preserve">10.1016/j.ensm.2020.08.018</t>
  </si>
  <si>
    <t xml:space="preserve">thickness not given</t>
  </si>
  <si>
    <t xml:space="preserve">#sollte nochmal überprüft werden</t>
  </si>
  <si>
    <t xml:space="preserve">active layer</t>
  </si>
  <si>
    <t xml:space="preserve">substrate layer</t>
  </si>
  <si>
    <t xml:space="preserve"> {'rate': {'value': 0.1, 'unit': 'C’}</t>
  </si>
  <si>
    <t xml:space="preserve"> {'rate': {'value': 0.5, 'unit': 'C’}</t>
  </si>
  <si>
    <t xml:space="preserve">areal mass active material</t>
  </si>
  <si>
    <t xml:space="preserve">mass percentage active material</t>
  </si>
  <si>
    <t xml:space="preserve">theoretical capacity active material</t>
  </si>
  <si>
    <t xml:space="preserve">areal capacity</t>
  </si>
  <si>
    <t xml:space="preserve">areal mass passive material </t>
  </si>
  <si>
    <t xml:space="preserve">weight percentage passive material</t>
  </si>
  <si>
    <t xml:space="preserve">potential vs Li</t>
  </si>
  <si>
    <t xml:space="preserve">specific capacity</t>
  </si>
  <si>
    <t xml:space="preserve">mg/cm^2</t>
  </si>
  <si>
    <t xml:space="preserve">mAh/g</t>
  </si>
  <si>
    <t xml:space="preserve">mAh/cm^2</t>
  </si>
  <si>
    <t xml:space="preserve">g/cm^3</t>
  </si>
  <si>
    <t xml:space="preserve">V</t>
  </si>
  <si>
    <t xml:space="preserve">mA.h/g</t>
  </si>
  <si>
    <t xml:space="preserve">ELVIS_a_1</t>
  </si>
  <si>
    <t xml:space="preserve">CCI_871 (4078), 
Doppeltbeschichtete Cu-Folie Graphit </t>
  </si>
  <si>
    <t xml:space="preserve">Graphit</t>
  </si>
  <si>
    <t xml:space="preserve">Cu blanc</t>
  </si>
  <si>
    <t xml:space="preserve">206(+/-0.5)</t>
  </si>
  <si>
    <t xml:space="preserve">3.563(+/-0.18)</t>
  </si>
  <si>
    <t xml:space="preserve">22.1(+/-0.14)</t>
  </si>
  <si>
    <t xml:space="preserve">6.26(+/-0.83)</t>
  </si>
  <si>
    <t xml:space="preserve">10.1016/j.ijengsci.2020.103232
https://matweb.com/search/DataSheet.aspx?MatGUID=1980eb23287a4408adc404dd39293942</t>
  </si>
  <si>
    <t xml:space="preserve">ELVIS_a_2</t>
  </si>
  <si>
    <t xml:space="preserve">CCI_872 (4078), 
Einseitigbeschichtete Cu-Folie Graphit</t>
  </si>
  <si>
    <t xml:space="preserve">71(+/-0.5)</t>
  </si>
  <si>
    <t xml:space="preserve">14.036(+/-0.4)</t>
  </si>
  <si>
    <t xml:space="preserve">65.8(+/-0.36)</t>
  </si>
  <si>
    <t xml:space="preserve">5.85(+/-1.02)</t>
  </si>
  <si>
    <t xml:space="preserve">ELVIS_a_3</t>
  </si>
  <si>
    <t xml:space="preserve">CCI_870 (4078), 
Einseitigbeschichtete Cu-Folie Graphit</t>
  </si>
  <si>
    <t xml:space="preserve">110(+/-1.1)</t>
  </si>
  <si>
    <t xml:space="preserve">8.396(+/-1.22)</t>
  </si>
  <si>
    <t xml:space="preserve">38.6(+/-0.22)</t>
  </si>
  <si>
    <t xml:space="preserve">5.2(+/-0.9)</t>
  </si>
  <si>
    <t xml:space="preserve">ELVIS_a_4</t>
  </si>
  <si>
    <t xml:space="preserve">CCl_A-1599, 
Doppeltbeschichtete Cu-Folie Graphit </t>
  </si>
  <si>
    <t xml:space="preserve">nat. Graphit</t>
  </si>
  <si>
    <t xml:space="preserve">96(+/-2.8)</t>
  </si>
  <si>
    <t xml:space="preserve">ELVIS_a_5</t>
  </si>
  <si>
    <t xml:space="preserve">IWS Li-Metal</t>
  </si>
  <si>
    <t xml:space="preserve">Li-Metal</t>
  </si>
  <si>
    <t xml:space="preserve">https://www.periodensystem-online.de/index.php?id=modify&amp;el=3
https://link.springer.com/article/10.1007/s10853-018-2971-3</t>
  </si>
  <si>
    <t xml:space="preserve">ELVIS_a_6</t>
  </si>
  <si>
    <t xml:space="preserve">T300B 1K 50B</t>
  </si>
  <si>
    <t xml:space="preserve">fiber</t>
  </si>
  <si>
    <t xml:space="preserve">10.1149/2.0041609jes</t>
  </si>
  <si>
    <t xml:space="preserve">&gt;potential muss spezifiziert werden 
&gt;faserdichte ist nicht gleich der Dichte eines Geleges</t>
  </si>
  <si>
    <t xml:space="preserve">ELVIS_a_7</t>
  </si>
  <si>
    <t xml:space="preserve">T300 unsized</t>
  </si>
  <si>
    <t xml:space="preserve">ELVIS_a_8</t>
  </si>
  <si>
    <t xml:space="preserve">T800 40B</t>
  </si>
  <si>
    <t xml:space="preserve">ELVIS_a_9</t>
  </si>
  <si>
    <t xml:space="preserve">IMS65  E23</t>
  </si>
  <si>
    <t xml:space="preserve">ELVIS_a_10</t>
  </si>
  <si>
    <t xml:space="preserve">IMS65  unsized</t>
  </si>
  <si>
    <t xml:space="preserve">ELVIS_a_11</t>
  </si>
  <si>
    <t xml:space="preserve">T300 fiber with Li-metal
(desized for 400°C for 15min)</t>
  </si>
  <si>
    <t xml:space="preserve">carbon fiber + Li metal</t>
  </si>
  <si>
    <t xml:space="preserve">4.5(+/-0.6)</t>
  </si>
  <si>
    <t xml:space="preserve">53(+/-7)</t>
  </si>
  <si>
    <t xml:space="preserve">10.1016/j.ensm.2020.08.018
10.1021/acs.nanolett.8b04106</t>
  </si>
  <si>
    <t xml:space="preserve">&gt; Fasergewebe + Lithium keine areal mass beschrieben (Johannes hat Supporting Material angefragt)</t>
  </si>
  <si>
    <t xml:space="preserve">ELVIS_a_12</t>
  </si>
  <si>
    <t xml:space="preserve">Graphite/Fiber/Cellulose Anode
(40/40/20)</t>
  </si>
  <si>
    <t xml:space="preserve">Graphite/Fiber</t>
  </si>
  <si>
    <t xml:space="preserve">10.1016/j.compscitech.2013.07.029 
10.1016/j.compscitech.2012.01.006</t>
  </si>
  <si>
    <t xml:space="preserve">850 S/m + tensile  strength + eps aus graphen lesen:  http://dx.doi.org/10.1016/j.compscitech.2012.01.006</t>
  </si>
  <si>
    <t xml:space="preserve">ELVIS_a_13</t>
  </si>
  <si>
    <t xml:space="preserve">rGo/Si/BANF
(40/50/10)</t>
  </si>
  <si>
    <t xml:space="preserve">Si + rGo</t>
  </si>
  <si>
    <t xml:space="preserve">6.2(+/-0.4)</t>
  </si>
  <si>
    <t xml:space="preserve">37(+/-3)</t>
  </si>
  <si>
    <t xml:space="preserve">0.7(+/-0.1)</t>
  </si>
  <si>
    <t xml:space="preserve">https://doi.org/10.1021/acsami.1c06413?urlappend=%3Fref%3DPDF&amp;jav=VoR&amp;rel=cite-as</t>
  </si>
  <si>
    <t xml:space="preserve">mechanical properties in Supporting information</t>
  </si>
  <si>
    <t xml:space="preserve">ELVIS_a_14</t>
  </si>
  <si>
    <t xml:space="preserve">Si-CNT</t>
  </si>
  <si>
    <t xml:space="preserve">Si </t>
  </si>
  <si>
    <t xml:space="preserve">47(+/-2)</t>
  </si>
  <si>
    <t xml:space="preserve">https://doi.org/10.1021/nn303393p</t>
  </si>
  <si>
    <t xml:space="preserve">Tensile modulus aus graph extrahieren</t>
  </si>
  <si>
    <t xml:space="preserve">ELVIS_a_15</t>
  </si>
  <si>
    <t xml:space="preserve">Si-PAA/PAA/AB
(78/2/20)</t>
  </si>
  <si>
    <t xml:space="preserve">Si</t>
  </si>
  <si>
    <t xml:space="preserve">45(+/-2)</t>
  </si>
  <si>
    <t xml:space="preserve">1.0(+/-0.12)</t>
  </si>
  <si>
    <t xml:space="preserve">https://doi.org/10.1002/cssc.201701281</t>
  </si>
  <si>
    <t xml:space="preserve">Tensile modulus/ elongation / TS aus graph extrahieren</t>
  </si>
  <si>
    <t xml:space="preserve">ELVIS_a_16</t>
  </si>
  <si>
    <t xml:space="preserve">T800-Fiber + SBE 
</t>
  </si>
  <si>
    <t xml:space="preserve">T800 fiber</t>
  </si>
  <si>
    <t xml:space="preserve">44(+/-7)</t>
  </si>
  <si>
    <t xml:space="preserve">232(+/-26)</t>
  </si>
  <si>
    <t xml:space="preserve">47(+/-5)</t>
  </si>
  <si>
    <t xml:space="preserve">1.7(+/-0.3)</t>
  </si>
  <si>
    <t xml:space="preserve">680(+/-88)</t>
  </si>
  <si>
    <t xml:space="preserve">12.1(+/-1.6)</t>
  </si>
  <si>
    <t xml:space="preserve">0.36(+/-0.01)</t>
  </si>
  <si>
    <t xml:space="preserve">1.5(+/-0.2)</t>
  </si>
  <si>
    <r>
      <rPr>
        <sz val="10"/>
        <color rgb="FFFF0000"/>
        <rFont val="Source Sans 3"/>
        <family val="0"/>
        <charset val="1"/>
      </rPr>
      <t xml:space="preserve">10.1016/j.compscitech.2018.08.044
</t>
    </r>
    <r>
      <rPr>
        <sz val="10"/>
        <rFont val="Source Sans 3"/>
        <family val="2"/>
        <charset val="1"/>
      </rPr>
      <t xml:space="preserve">10.1088/2399-7532/ab3bdd</t>
    </r>
  </si>
  <si>
    <t xml:space="preserve">fiberdensity 1.81 / SBE density of 1.123 g/cm³</t>
  </si>
  <si>
    <t xml:space="preserve">ELVIS_a_17</t>
  </si>
  <si>
    <t xml:space="preserve">ElViS_E_001 YSH Pitch fibre desized on 8µm Cu primer with graphite slurry</t>
  </si>
  <si>
    <t xml:space="preserve">18.6 (+/- 2.6)</t>
  </si>
  <si>
    <t xml:space="preserve">45.2 (+/- 2.1)</t>
  </si>
  <si>
    <t xml:space="preserve">Zugprüfung ohne Aufleimer und Delamination von Slurry und Primerfolie --&gt; nicht aussagekräftige Werte</t>
  </si>
  <si>
    <t xml:space="preserve">ELVIS_a_18</t>
  </si>
  <si>
    <t xml:space="preserve">ElViS_E_002 YSH Pitch fibre sized on 8µm Cu primer with graphite slurry</t>
  </si>
  <si>
    <t xml:space="preserve">9.2 (+/- 5.9)</t>
  </si>
  <si>
    <t xml:space="preserve">47.4 (+/- 11.8)</t>
  </si>
  <si>
    <t xml:space="preserve">ELVIS_a_19</t>
  </si>
  <si>
    <t xml:space="preserve">ElViS_E_003 PX-35 UD fabric on 12µm Cu primer</t>
  </si>
  <si>
    <t xml:space="preserve">PX35 fiber </t>
  </si>
  <si>
    <t xml:space="preserve">16.9 (+/- 20.9)</t>
  </si>
  <si>
    <t xml:space="preserve">58.5 (+/- 23.5)</t>
  </si>
  <si>
    <t xml:space="preserve">ELVIS_a_20</t>
  </si>
  <si>
    <t xml:space="preserve">ElViS_E_004 PX-35 UD fabric on 12µm Cu primer with hardcarbon slurry</t>
  </si>
  <si>
    <t xml:space="preserve">PX35 fiber  + HC</t>
  </si>
  <si>
    <t xml:space="preserve">14.2 (+/- 4.0)</t>
  </si>
  <si>
    <t xml:space="preserve">44.3 (+/- 7.0)</t>
  </si>
  <si>
    <t xml:space="preserve">passive areal mass</t>
  </si>
  <si>
    <t xml:space="preserve">ElVis_c_1</t>
  </si>
  <si>
    <t xml:space="preserve">CCI_804/2_NMC622 bzw. CCI_805/1_NMC622, 
Doppeltbeschichtete Al-Folie NMC </t>
  </si>
  <si>
    <t xml:space="preserve">NMC622</t>
  </si>
  <si>
    <t xml:space="preserve">Al blanc</t>
  </si>
  <si>
    <t xml:space="preserve">177(+/-2.4)</t>
  </si>
  <si>
    <t xml:space="preserve">53.8(+/-0.5)</t>
  </si>
  <si>
    <t xml:space="preserve">4.763(+/-0.396)</t>
  </si>
  <si>
    <t xml:space="preserve">23.2(+/-1.4)</t>
  </si>
  <si>
    <t xml:space="preserve">0.6(+/-0.16)</t>
  </si>
  <si>
    <t xml:space="preserve">ElVis_c_2</t>
  </si>
  <si>
    <t xml:space="preserve">EnvitesEnergy_LFP, 
Doppeltbeschichtete Al-Folie LFP </t>
  </si>
  <si>
    <t xml:space="preserve">LFP</t>
  </si>
  <si>
    <t xml:space="preserve">Al</t>
  </si>
  <si>
    <t xml:space="preserve">5.292(+/-0.757)</t>
  </si>
  <si>
    <t xml:space="preserve">25.1(+/-0.11)</t>
  </si>
  <si>
    <t xml:space="preserve">1.4(+/-0.6)</t>
  </si>
  <si>
    <t xml:space="preserve">ElVis_c_3</t>
  </si>
  <si>
    <t xml:space="preserve">IWS Slurry Kathode E_CS_1591</t>
  </si>
  <si>
    <t xml:space="preserve">S</t>
  </si>
  <si>
    <t xml:space="preserve">212.93 (+/-12.6)</t>
  </si>
  <si>
    <t xml:space="preserve">0.419 (+/- 0.164)</t>
  </si>
  <si>
    <t xml:space="preserve">4.4 (+/-0.66)</t>
  </si>
  <si>
    <t xml:space="preserve">ElVis_c_4</t>
  </si>
  <si>
    <t xml:space="preserve">CCl K-1606,
Doppeltbeschichtete Al-Folie NMC </t>
  </si>
  <si>
    <t xml:space="preserve">Al pre coated</t>
  </si>
  <si>
    <t xml:space="preserve">.</t>
  </si>
  <si>
    <t xml:space="preserve">102(+/-2.0)</t>
  </si>
  <si>
    <t xml:space="preserve">30.4(+/-0.2)</t>
  </si>
  <si>
    <t xml:space="preserve">ElVis_c_5</t>
  </si>
  <si>
    <t xml:space="preserve">carbon fabric (T300, 3 K) with 1 M polysulfide catholyte
(desized at 500°C for 2h)</t>
  </si>
  <si>
    <t xml:space="preserve">Li2S8</t>
  </si>
  <si>
    <t xml:space="preserve">ElVis_c_6</t>
  </si>
  <si>
    <t xml:space="preserve">PANI/BANF/CNT
(15/73/12)</t>
  </si>
  <si>
    <t xml:space="preserve">Anilin</t>
  </si>
  <si>
    <t xml:space="preserve">4.0(+/-0.5)</t>
  </si>
  <si>
    <t xml:space="preserve">40(+/-4)</t>
  </si>
  <si>
    <t xml:space="preserve">1.7(+/-0.2)</t>
  </si>
  <si>
    <t xml:space="preserve">10.1039/d0nr04573j</t>
  </si>
  <si>
    <t xml:space="preserve">ElVis_c_7</t>
  </si>
  <si>
    <t xml:space="preserve">LFP/GO/BANF
(80/15/5)</t>
  </si>
  <si>
    <t xml:space="preserve">5(+/-0.4)</t>
  </si>
  <si>
    <t xml:space="preserve">46(+/-4)</t>
  </si>
  <si>
    <t xml:space="preserve">ElVis_c_8</t>
  </si>
  <si>
    <t xml:space="preserve">V2O5 + 10% P3HT-b-PEO</t>
  </si>
  <si>
    <t xml:space="preserve">V2O5</t>
  </si>
  <si>
    <t xml:space="preserve">33.3(+/-8.3)</t>
  </si>
  <si>
    <t xml:space="preserve">https://doi.org/10.1038/srep14166
https://www.azom.com/properties.aspx?ArticleID=1676</t>
  </si>
  <si>
    <t xml:space="preserve">ElVis_c_9</t>
  </si>
  <si>
    <t xml:space="preserve">LFP / CB / PVDF coated CF
(88/6/6) of fiber was 50% coated
(Hexcel 12k
Hextow AS4, Hexcel Cambridge UK))</t>
  </si>
  <si>
    <t xml:space="preserve">6.74mg/cm</t>
  </si>
  <si>
    <t xml:space="preserve">0.44484 mAh/cm</t>
  </si>
  <si>
    <t xml:space="preserve">10.1016/j.compscitech.2018.04.041</t>
  </si>
  <si>
    <t xml:space="preserve">solid phase</t>
  </si>
  <si>
    <t xml:space="preserve">liquid phase</t>
  </si>
  <si>
    <t xml:space="preserve">mass</t>
  </si>
  <si>
    <t xml:space="preserve">polymer molar weight</t>
  </si>
  <si>
    <t xml:space="preserve">ionic conductivity</t>
  </si>
  <si>
    <t xml:space="preserve">volume per capacity</t>
  </si>
  <si>
    <t xml:space="preserve">electrolyte mass per capacity</t>
  </si>
  <si>
    <t xml:space="preserve">attributes</t>
  </si>
  <si>
    <t xml:space="preserve">g/mol</t>
  </si>
  <si>
    <t xml:space="preserve">S/cm</t>
  </si>
  <si>
    <t xml:space="preserve">µL/mAh</t>
  </si>
  <si>
    <t xml:space="preserve">g/ml</t>
  </si>
  <si>
    <t xml:space="preserve">g/mAh</t>
  </si>
  <si>
    <t xml:space="preserve">ElViS_e_1</t>
  </si>
  <si>
    <t xml:space="preserve">PVDF-HFP Matrix with 1 M
lithium difluoro(oxalato)borate (LiDFOB) 0.4 m lithium tetrafluoroborate
(LiBF4) in fluoroethylene carbonate (FEC)–diethyl
carbonate (DEC) (1:2, v/v) liquid electrolyte</t>
  </si>
  <si>
    <t xml:space="preserve">PVDF-HFP polymer</t>
  </si>
  <si>
    <t xml:space="preserve">1 M LiDFOB 
0.4M LiBF4  
FEC:DEC (1:2, v/v) </t>
  </si>
  <si>
    <t xml:space="preserve">7.5(+/-2.5)</t>
  </si>
  <si>
    <t xml:space="preserve">[
{'flexural_modulus': {'value':  1100.0, 'unit': '%'}},
{'energy_density': {'value':  -3.0, 'unit': '%'}} 
]</t>
  </si>
  <si>
    <t xml:space="preserve">10.1002/aenm.202100997
10.1126/science.aat9513
10.1002/app.46711</t>
  </si>
  <si>
    <t xml:space="preserve">ElViS_e_2</t>
  </si>
  <si>
    <t xml:space="preserve">PVDF </t>
  </si>
  <si>
    <t xml:space="preserve">PVDF polymer</t>
  </si>
  <si>
    <t xml:space="preserve">10.1002/app.46711</t>
  </si>
  <si>
    <t xml:space="preserve">ElViS_e_3</t>
  </si>
  <si>
    <t xml:space="preserve"> Bisphenol A
ethoxylate dimethacrylate (Mn: 540 g mol 1)   liquid (PC)
(EC)
(LiTf ) (LiBoB) </t>
  </si>
  <si>
    <t xml:space="preserve">Bisphenol A
ethoxylate dimethacrylate</t>
  </si>
  <si>
    <t xml:space="preserve">0.4M LiBoB
0.6M LiTf 
EC:PC (50:50 wt%)</t>
  </si>
  <si>
    <t xml:space="preserve">ElViS_e_4</t>
  </si>
  <si>
    <t xml:space="preserve">LiClo4 in EC/PC +PAN</t>
  </si>
  <si>
    <t xml:space="preserve">PAN</t>
  </si>
  <si>
    <t xml:space="preserve">10.1016/j.est.2021.102747</t>
  </si>
  <si>
    <t xml:space="preserve">ElViS_e_5</t>
  </si>
  <si>
    <t xml:space="preserve">Poly-(ethylenglykol)-methylether-methacrylat + LiTf</t>
  </si>
  <si>
    <t xml:space="preserve">Poly-(ethylenglykol)-methylether-methacrylat</t>
  </si>
  <si>
    <t xml:space="preserve">http://dx.doi.org/10.1016/j.compscitech.2013.09.026</t>
  </si>
  <si>
    <t xml:space="preserve">ElViS_e_6</t>
  </si>
  <si>
    <t xml:space="preserve">Epoxy / Liquid-electrolyte</t>
  </si>
  <si>
    <t xml:space="preserve">10.1016/j.compscitech.2017.04.031</t>
  </si>
  <si>
    <t xml:space="preserve">ElViS_e_7</t>
  </si>
  <si>
    <t xml:space="preserve">Polypoly(ethylene oxide)-methacrylate</t>
  </si>
  <si>
    <t xml:space="preserve">https://doi.org/10.1016/j.ssi.2013.01.019</t>
  </si>
  <si>
    <t xml:space="preserve">ElViS_e_8</t>
  </si>
  <si>
    <t xml:space="preserve">LP30 + additives</t>
  </si>
  <si>
    <t xml:space="preserve">active material areal mass</t>
  </si>
  <si>
    <t xml:space="preserve">passive material areal mass</t>
  </si>
  <si>
    <t xml:space="preserve">ElViS_CC_1</t>
  </si>
  <si>
    <t xml:space="preserve">Tailormade Energystorage Solutions Anode 95.7 (Copper only)</t>
  </si>
  <si>
    <t xml:space="preserve">Cu</t>
  </si>
  <si>
    <t xml:space="preserve">57.5 (+/- 7.1)</t>
  </si>
  <si>
    <t xml:space="preserve">297.5 (+/- 2.4)</t>
  </si>
  <si>
    <t xml:space="preserve">Robert bereits gemessen</t>
  </si>
  <si>
    <t xml:space="preserve">ElViS_CC_2</t>
  </si>
  <si>
    <t xml:space="preserve">IWS CNT S1-4</t>
  </si>
  <si>
    <t xml:space="preserve">CNT</t>
  </si>
  <si>
    <t xml:space="preserve">2.3 (+/- 0.4)</t>
  </si>
  <si>
    <t xml:space="preserve">45.3 (+/- 8.5)</t>
  </si>
  <si>
    <t xml:space="preserve">10.1016/j.cartre.2022.100245 (no mechanical data)
10.1016/j.est.2021.102747</t>
  </si>
  <si>
    <t xml:space="preserve">Wird durch Robert gemessen</t>
  </si>
  <si>
    <t xml:space="preserve">Ni-Cu + PET CC</t>
  </si>
  <si>
    <t xml:space="preserve">10.1039/c8ee01879k</t>
  </si>
  <si>
    <t xml:space="preserve">ID</t>
  </si>
  <si>
    <t xml:space="preserve">Authors</t>
  </si>
  <si>
    <t xml:space="preserve">Year</t>
  </si>
  <si>
    <t xml:space="preserve">DOI</t>
  </si>
  <si>
    <t xml:space="preserve">Anode</t>
  </si>
  <si>
    <t xml:space="preserve">Separator</t>
  </si>
  <si>
    <t xml:space="preserve">Electrolyte</t>
  </si>
  <si>
    <t xml:space="preserve">Cathode</t>
  </si>
  <si>
    <t xml:space="preserve">Elastic modulus [GPa]</t>
  </si>
  <si>
    <t xml:space="preserve">Tensile strength [MPa]</t>
  </si>
  <si>
    <t xml:space="preserve">E [Wh/kg]</t>
  </si>
  <si>
    <t xml:space="preserve">Reference Battery</t>
  </si>
  <si>
    <t xml:space="preserve">Asp</t>
  </si>
  <si>
    <t xml:space="preserve">CF</t>
  </si>
  <si>
    <t xml:space="preserve">GF-fabric</t>
  </si>
  <si>
    <t xml:space="preserve">SBE Hybrid polymer + LE</t>
  </si>
  <si>
    <t xml:space="preserve">Review SB</t>
  </si>
  <si>
    <t xml:space="preserve">Kalnaus</t>
  </si>
  <si>
    <t xml:space="preserve">Wong</t>
  </si>
  <si>
    <t xml:space="preserve">Army Research Laboratory</t>
  </si>
  <si>
    <t xml:space="preserve">Metal-mesh coated</t>
  </si>
  <si>
    <t xml:space="preserve">Liu</t>
  </si>
  <si>
    <t xml:space="preserve">10.1016/j.jpowsour.2008.09.082</t>
  </si>
  <si>
    <t xml:space="preserve">Kathode</t>
  </si>
  <si>
    <t xml:space="preserve">Sun</t>
  </si>
  <si>
    <t xml:space="preserve">10.1016/j.jpowsour.2011.03.045</t>
  </si>
  <si>
    <t xml:space="preserve">Anode - Fibers</t>
  </si>
  <si>
    <t xml:space="preserve">Hagberg</t>
  </si>
</sst>
</file>

<file path=xl/styles.xml><?xml version="1.0" encoding="utf-8"?>
<styleSheet xmlns="http://schemas.openxmlformats.org/spreadsheetml/2006/main">
  <numFmts count="5">
    <numFmt numFmtId="164" formatCode="General"/>
    <numFmt numFmtId="165" formatCode="0.00"/>
    <numFmt numFmtId="166" formatCode="0.000"/>
    <numFmt numFmtId="167" formatCode="0"/>
    <numFmt numFmtId="168" formatCode="0.0000"/>
  </numFmts>
  <fonts count="21">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name val="Source Sans 3"/>
      <family val="2"/>
      <charset val="1"/>
    </font>
    <font>
      <b val="true"/>
      <sz val="10"/>
      <color rgb="FF000000"/>
      <name val="Source Sans 3"/>
      <family val="2"/>
      <charset val="1"/>
    </font>
    <font>
      <b val="true"/>
      <sz val="10"/>
      <name val="Source Sans 3"/>
      <family val="2"/>
      <charset val="1"/>
    </font>
    <font>
      <sz val="10"/>
      <color rgb="FF000000"/>
      <name val="Source Sans 3"/>
      <family val="2"/>
      <charset val="1"/>
    </font>
    <font>
      <sz val="10"/>
      <color rgb="FF000000"/>
      <name val="Source Sans 3"/>
      <family val="0"/>
      <charset val="1"/>
    </font>
    <font>
      <sz val="10"/>
      <color rgb="FF0000FF"/>
      <name val="Source Sans 3"/>
      <family val="2"/>
      <charset val="1"/>
    </font>
    <font>
      <u val="single"/>
      <sz val="10"/>
      <color rgb="FF0563C1"/>
      <name val="Arial"/>
      <family val="2"/>
      <charset val="1"/>
    </font>
    <font>
      <sz val="8"/>
      <color rgb="FF000000"/>
      <name val="Tahoma"/>
      <family val="2"/>
      <charset val="1"/>
    </font>
    <font>
      <sz val="10"/>
      <name val="Arial"/>
      <family val="2"/>
    </font>
    <font>
      <sz val="11"/>
      <color rgb="FF000000"/>
      <name val="Segoe UI"/>
      <family val="2"/>
      <charset val="1"/>
    </font>
    <font>
      <sz val="10"/>
      <color rgb="FFFF0000"/>
      <name val="Source Sans 3"/>
      <family val="2"/>
      <charset val="1"/>
    </font>
    <font>
      <b val="true"/>
      <sz val="10"/>
      <color rgb="FF70AD47"/>
      <name val="Source Sans 3"/>
      <family val="0"/>
      <charset val="1"/>
    </font>
    <font>
      <sz val="10"/>
      <color rgb="FFFF0000"/>
      <name val="Source Sans 3"/>
      <family val="0"/>
      <charset val="1"/>
    </font>
    <font>
      <b val="true"/>
      <sz val="10"/>
      <name val="Source Sans 3"/>
      <family val="0"/>
      <charset val="1"/>
    </font>
    <font>
      <b val="true"/>
      <sz val="10"/>
      <name val="Arial"/>
      <family val="2"/>
      <charset val="1"/>
    </font>
    <font>
      <sz val="10"/>
      <name val="Source Sans 3"/>
      <family val="0"/>
      <charset val="1"/>
    </font>
  </fonts>
  <fills count="15">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rgb="FF92D050"/>
        <bgColor rgb="FF70AD47"/>
      </patternFill>
    </fill>
    <fill>
      <patternFill patternType="solid">
        <fgColor rgb="FF00B0F0"/>
        <bgColor rgb="FF33CCCC"/>
      </patternFill>
    </fill>
    <fill>
      <patternFill patternType="solid">
        <fgColor rgb="FFE2F0D9"/>
        <bgColor rgb="FFFFF2CC"/>
      </patternFill>
    </fill>
    <fill>
      <patternFill patternType="solid">
        <fgColor rgb="FFFFF2CC"/>
        <bgColor rgb="FFE2F0D9"/>
      </patternFill>
    </fill>
    <fill>
      <patternFill patternType="solid">
        <fgColor rgb="FF7030A0"/>
        <bgColor rgb="FF333399"/>
      </patternFill>
    </fill>
    <fill>
      <patternFill patternType="solid">
        <fgColor rgb="FFD0CECE"/>
        <bgColor rgb="FFD9D9D9"/>
      </patternFill>
    </fill>
    <fill>
      <patternFill patternType="solid">
        <fgColor theme="0" tint="-0.15"/>
        <bgColor rgb="FFD0CECE"/>
      </patternFill>
    </fill>
    <fill>
      <patternFill patternType="solid">
        <fgColor rgb="FFA1467E"/>
        <bgColor rgb="FF7030A0"/>
      </patternFill>
    </fill>
    <fill>
      <patternFill patternType="solid">
        <fgColor rgb="FFA6A6A6"/>
        <bgColor rgb="FF9999FF"/>
      </patternFill>
    </fill>
    <fill>
      <patternFill patternType="solid">
        <fgColor rgb="FFB4C7E7"/>
        <bgColor rgb="FF99CCFF"/>
      </patternFill>
    </fill>
    <fill>
      <patternFill patternType="solid">
        <fgColor rgb="FFF4B183"/>
        <bgColor rgb="FFFF99CC"/>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8" fillId="6"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9" fillId="4" borderId="0" xfId="0" applyFont="true" applyBorder="false" applyAlignment="true" applyProtection="false">
      <alignment horizontal="center" vertical="bottom" textRotation="0" wrapText="true" indent="0" shrinkToFit="false"/>
      <protection locked="true" hidden="false"/>
    </xf>
    <xf numFmtId="165" fontId="9" fillId="3"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true" indent="0" shrinkToFit="false"/>
      <protection locked="true" hidden="false"/>
    </xf>
    <xf numFmtId="164" fontId="11" fillId="0" borderId="0" xfId="20" applyFont="true" applyBorder="true" applyAlignment="true" applyProtection="tru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8"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6" fontId="5" fillId="2"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9" borderId="0" xfId="0" applyFont="true" applyBorder="false" applyAlignment="true" applyProtection="false">
      <alignment horizontal="center" vertical="bottom" textRotation="0" wrapText="tru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true" indent="0" shrinkToFit="false"/>
      <protection locked="true" hidden="false"/>
    </xf>
    <xf numFmtId="165" fontId="5"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6" fontId="5" fillId="5" borderId="0" xfId="0" applyFont="true" applyBorder="false" applyAlignment="true" applyProtection="false">
      <alignment horizontal="center" vertical="bottom" textRotation="0" wrapText="false" indent="0" shrinkToFit="false"/>
      <protection locked="true" hidden="false"/>
    </xf>
    <xf numFmtId="164" fontId="5" fillId="10" borderId="0" xfId="0" applyFont="true" applyBorder="false" applyAlignment="true" applyProtection="false">
      <alignment horizontal="center" vertical="bottom" textRotation="0" wrapText="true" indent="0" shrinkToFit="false"/>
      <protection locked="true" hidden="false"/>
    </xf>
    <xf numFmtId="164" fontId="5" fillId="11" borderId="0" xfId="0" applyFont="true" applyBorder="false" applyAlignment="true" applyProtection="false">
      <alignment horizontal="center" vertical="bottom" textRotation="0" wrapText="false" indent="0" shrinkToFit="false"/>
      <protection locked="true" hidden="false"/>
    </xf>
    <xf numFmtId="167" fontId="5" fillId="5" borderId="0" xfId="0" applyFont="true" applyBorder="false" applyAlignment="true" applyProtection="false">
      <alignment horizontal="center" vertical="bottom" textRotation="0" wrapText="false" indent="0" shrinkToFit="false"/>
      <protection locked="true" hidden="false"/>
    </xf>
    <xf numFmtId="165" fontId="5" fillId="5" borderId="0" xfId="0" applyFont="true" applyBorder="false" applyAlignment="true" applyProtection="false">
      <alignment horizontal="center" vertical="bottom" textRotation="0" wrapText="false" indent="0" shrinkToFit="false"/>
      <protection locked="true" hidden="false"/>
    </xf>
    <xf numFmtId="164" fontId="15" fillId="8" borderId="0" xfId="0" applyFont="true" applyBorder="false" applyAlignment="true" applyProtection="false">
      <alignment horizontal="center" vertical="bottom" textRotation="0" wrapText="false" indent="0" shrinkToFit="false"/>
      <protection locked="true" hidden="false"/>
    </xf>
    <xf numFmtId="165" fontId="5" fillId="3"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8" fontId="5" fillId="5"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5" fontId="8" fillId="4"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false" applyAlignment="true" applyProtection="false">
      <alignment horizontal="center" vertical="bottom" textRotation="0" wrapText="false" indent="0" shrinkToFit="false"/>
      <protection locked="true" hidden="false"/>
    </xf>
    <xf numFmtId="165" fontId="5" fillId="11"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true" indent="0" shrinkToFit="false"/>
      <protection locked="true" hidden="false"/>
    </xf>
    <xf numFmtId="168" fontId="5" fillId="3" borderId="0" xfId="0" applyFont="true" applyBorder="false" applyAlignment="true" applyProtection="false">
      <alignment horizontal="center" vertical="bottom" textRotation="0" wrapText="false" indent="0" shrinkToFit="false"/>
      <protection locked="true" hidden="false"/>
    </xf>
    <xf numFmtId="168" fontId="15" fillId="8" borderId="0" xfId="0" applyFont="true" applyBorder="false" applyAlignment="true" applyProtection="false">
      <alignment horizontal="center" vertical="bottom" textRotation="0" wrapText="false" indent="0" shrinkToFit="false"/>
      <protection locked="true" hidden="false"/>
    </xf>
    <xf numFmtId="164" fontId="8" fillId="12" borderId="0" xfId="0" applyFont="true" applyBorder="false" applyAlignment="true" applyProtection="false">
      <alignment horizontal="center" vertical="bottom" textRotation="0" wrapText="false" indent="0" shrinkToFit="false"/>
      <protection locked="true" hidden="false"/>
    </xf>
    <xf numFmtId="164" fontId="11" fillId="0" borderId="0" xfId="20" applyFont="true" applyBorder="true" applyAlignment="true" applyProtection="true">
      <alignment horizontal="center"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false" indent="0" shrinkToFit="false"/>
      <protection locked="true" hidden="false"/>
    </xf>
    <xf numFmtId="164" fontId="5" fillId="3"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6" fontId="5" fillId="0" borderId="0" xfId="0" applyFont="true" applyBorder="false" applyAlignment="true" applyProtection="false">
      <alignment horizontal="center" vertical="top" textRotation="0" wrapText="false" indent="0" shrinkToFit="false"/>
      <protection locked="true" hidden="false"/>
    </xf>
    <xf numFmtId="165" fontId="8" fillId="3"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4" fontId="5" fillId="5" borderId="0" xfId="0" applyFont="true" applyBorder="false" applyAlignment="true" applyProtection="false">
      <alignment horizontal="center" vertical="top"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rd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A1467E"/>
      <rgbColor rgb="FFFFF2CC"/>
      <rgbColor rgb="FFD9D9D9"/>
      <rgbColor rgb="FF660066"/>
      <rgbColor rgb="FFFF8080"/>
      <rgbColor rgb="FF0563C1"/>
      <rgbColor rgb="FFB4C7E7"/>
      <rgbColor rgb="FF000080"/>
      <rgbColor rgb="FFFF00FF"/>
      <rgbColor rgb="FFFFFF00"/>
      <rgbColor rgb="FF00FFFF"/>
      <rgbColor rgb="FF800080"/>
      <rgbColor rgb="FF800000"/>
      <rgbColor rgb="FF008080"/>
      <rgbColor rgb="FF0000FF"/>
      <rgbColor rgb="FF00B0F0"/>
      <rgbColor rgb="FFCCFFFF"/>
      <rgbColor rgb="FFE2F0D9"/>
      <rgbColor rgb="FFFFFF99"/>
      <rgbColor rgb="FF99CCFF"/>
      <rgbColor rgb="FFFF99CC"/>
      <rgbColor rgb="FFCC99FF"/>
      <rgbColor rgb="FFF4B183"/>
      <rgbColor rgb="FF3366FF"/>
      <rgbColor rgb="FF33CCCC"/>
      <rgbColor rgb="FF92D050"/>
      <rgbColor rgb="FFFFCC00"/>
      <rgbColor rgb="FFFF9900"/>
      <rgbColor rgb="FFFF6600"/>
      <rgbColor rgb="FF666699"/>
      <rgbColor rgb="FFA6A6A6"/>
      <rgbColor rgb="FF003366"/>
      <rgbColor rgb="FF70AD47"/>
      <rgbColor rgb="FF003300"/>
      <rgbColor rgb="FF333300"/>
      <rgbColor rgb="FF993300"/>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atweb.com/search/DataSheet.aspx?MatGUID=b1aa69c0528a40729478403542a8c94a" TargetMode="External"/><Relationship Id="rId3" Type="http://schemas.openxmlformats.org/officeDocument/2006/relationships/hyperlink" Target="https://matweb.com/search/DataSheet.aspx?MatGUID=b1aa69c0528a40729478403542a8c94a" TargetMode="Externa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matweb.com/search/DataSheet.aspx?MatGUID=1980eb23287a4408adc404dd39293942" TargetMode="External"/><Relationship Id="rId3" Type="http://schemas.openxmlformats.org/officeDocument/2006/relationships/hyperlink" Target="https://matweb.com/search/DataSheet.aspx?MatGUID=1980eb23287a4408adc404dd39293942" TargetMode="External"/><Relationship Id="rId4" Type="http://schemas.openxmlformats.org/officeDocument/2006/relationships/hyperlink" Target="https://matweb.com/search/DataSheet.aspx?MatGUID=1980eb23287a4408adc404dd39293942" TargetMode="External"/><Relationship Id="rId5" Type="http://schemas.openxmlformats.org/officeDocument/2006/relationships/hyperlink" Target="https://matweb.com/search/DataSheet.aspx?MatGUID=1980eb23287a4408adc404dd39293942" TargetMode="External"/><Relationship Id="rId6" Type="http://schemas.openxmlformats.org/officeDocument/2006/relationships/hyperlink" Target="https://doi.org/10.1021/acsami.1c06413?urlappend=%3Fref%3DPDF&amp;jav=VoR&amp;rel=cite-as" TargetMode="External"/><Relationship Id="rId7" Type="http://schemas.openxmlformats.org/officeDocument/2006/relationships/hyperlink" Target="https://doi.org/10.1021/nn303393p" TargetMode="External"/><Relationship Id="rId8"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matweb.com/search/DataSheet.aspx?MatGUID=b1aa69c0528a40729478403542a8c94a" TargetMode="External"/><Relationship Id="rId3" Type="http://schemas.openxmlformats.org/officeDocument/2006/relationships/hyperlink" Target="https://matweb.com/search/DataSheet.aspx?MatGUID=b1aa69c0528a40729478403542a8c94a" TargetMode="External"/><Relationship Id="rId4"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x.doi.org/10.1016/j.compscitech.2013.09.026" TargetMode="External"/><Relationship Id="rId3"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7" topLeftCell="I8" activePane="bottomRight" state="frozen"/>
      <selection pane="topLeft" activeCell="A1" activeCellId="0" sqref="A1"/>
      <selection pane="topRight" activeCell="I1" activeCellId="0" sqref="I1"/>
      <selection pane="bottomLeft" activeCell="A8" activeCellId="0" sqref="A8"/>
      <selection pane="bottomRight" activeCell="O16" activeCellId="0" sqref="O16"/>
    </sheetView>
  </sheetViews>
  <sheetFormatPr defaultColWidth="11.5703125" defaultRowHeight="12.75" zeroHeight="false" outlineLevelRow="0" outlineLevelCol="0"/>
  <cols>
    <col collapsed="false" customWidth="true" hidden="false" outlineLevel="0" max="1" min="1" style="1" width="21.71"/>
    <col collapsed="false" customWidth="true" hidden="false" outlineLevel="0" max="2" min="2" style="1" width="55.86"/>
    <col collapsed="false" customWidth="true" hidden="false" outlineLevel="0" max="3" min="3" style="1" width="9.86"/>
    <col collapsed="false" customWidth="true" hidden="false" outlineLevel="0" max="4" min="4" style="1" width="9.14"/>
    <col collapsed="false" customWidth="true" hidden="false" outlineLevel="0" max="5" min="5" style="1" width="8.71"/>
    <col collapsed="false" customWidth="true" hidden="false" outlineLevel="0" max="6" min="6" style="1" width="9.14"/>
    <col collapsed="false" customWidth="true" hidden="false" outlineLevel="0" max="7" min="7" style="1" width="8.57"/>
    <col collapsed="false" customWidth="true" hidden="false" outlineLevel="0" max="8" min="8" style="1" width="9.14"/>
    <col collapsed="false" customWidth="true" hidden="false" outlineLevel="0" max="9" min="9" style="1" width="9.57"/>
    <col collapsed="false" customWidth="true" hidden="false" outlineLevel="0" max="10" min="10" style="1" width="9.14"/>
    <col collapsed="false" customWidth="true" hidden="false" outlineLevel="0" max="11" min="11" style="1" width="9.29"/>
    <col collapsed="false" customWidth="true" hidden="false" outlineLevel="0" max="13" min="12" style="1" width="7.57"/>
    <col collapsed="false" customWidth="true" hidden="false" outlineLevel="0" max="14" min="14" style="1" width="24.57"/>
    <col collapsed="false" customWidth="true" hidden="false" outlineLevel="0" max="15" min="15" style="1" width="13.29"/>
    <col collapsed="false" customWidth="true" hidden="false" outlineLevel="0" max="16" min="16" style="1" width="7.15"/>
    <col collapsed="false" customWidth="true" hidden="false" outlineLevel="0" max="17" min="17" style="1" width="7"/>
    <col collapsed="false" customWidth="true" hidden="false" outlineLevel="0" max="18" min="18" style="1" width="12.86"/>
    <col collapsed="false" customWidth="true" hidden="false" outlineLevel="0" max="19" min="19" style="1" width="7.29"/>
    <col collapsed="false" customWidth="true" hidden="false" outlineLevel="0" max="20" min="20" style="1" width="7.15"/>
    <col collapsed="false" customWidth="true" hidden="false" outlineLevel="0" max="21" min="21" style="1" width="6.29"/>
    <col collapsed="false" customWidth="true" hidden="false" outlineLevel="0" max="22" min="22" style="1" width="7.71"/>
    <col collapsed="false" customWidth="true" hidden="false" outlineLevel="0" max="23" min="23" style="1" width="12.86"/>
    <col collapsed="false" customWidth="true" hidden="false" outlineLevel="0" max="24" min="24" style="1" width="81"/>
    <col collapsed="false" customWidth="true" hidden="false" outlineLevel="0" max="25" min="25" style="1" width="54.14"/>
    <col collapsed="false" customWidth="false" hidden="false" outlineLevel="0" max="16384" min="26" style="1" width="11.57"/>
  </cols>
  <sheetData>
    <row r="1" customFormat="false" ht="12.75" hidden="false" customHeight="false" outlineLevel="0" collapsed="false">
      <c r="A1" s="2" t="s">
        <v>0</v>
      </c>
    </row>
    <row r="2" customFormat="false" ht="12.75" hidden="false" customHeight="false" outlineLevel="0" collapsed="false">
      <c r="A2" s="3" t="s">
        <v>1</v>
      </c>
    </row>
    <row r="3" customFormat="false" ht="26.85" hidden="false" customHeight="false" outlineLevel="0" collapsed="false">
      <c r="A3" s="4" t="s">
        <v>2</v>
      </c>
      <c r="F3" s="1" t="s">
        <v>3</v>
      </c>
    </row>
    <row r="4" customFormat="false" ht="12.75" hidden="false" customHeight="false" outlineLevel="0" collapsed="false">
      <c r="A4" s="5" t="s">
        <v>4</v>
      </c>
      <c r="C4" s="1" t="s">
        <v>5</v>
      </c>
      <c r="I4" s="1" t="s">
        <v>6</v>
      </c>
      <c r="O4" s="1" t="s">
        <v>7</v>
      </c>
      <c r="R4" s="1" t="s">
        <v>8</v>
      </c>
      <c r="W4" s="1" t="s">
        <v>9</v>
      </c>
    </row>
    <row r="5" s="6" customFormat="true" ht="12.75" hidden="false" customHeight="false" outlineLevel="0" collapsed="false">
      <c r="C5" s="6" t="s">
        <v>10</v>
      </c>
      <c r="D5" s="6" t="s">
        <v>10</v>
      </c>
      <c r="E5" s="6" t="s">
        <v>11</v>
      </c>
      <c r="F5" s="6" t="s">
        <v>11</v>
      </c>
      <c r="G5" s="6" t="s">
        <v>12</v>
      </c>
      <c r="H5" s="6" t="s">
        <v>12</v>
      </c>
      <c r="I5" s="6" t="s">
        <v>13</v>
      </c>
      <c r="J5" s="6" t="s">
        <v>13</v>
      </c>
    </row>
    <row r="6" s="6" customFormat="true" ht="12.75" hidden="false" customHeight="false" outlineLevel="0" collapsed="false">
      <c r="A6" s="6" t="s">
        <v>14</v>
      </c>
      <c r="B6" s="6" t="s">
        <v>15</v>
      </c>
      <c r="C6" s="6" t="s">
        <v>16</v>
      </c>
      <c r="D6" s="6" t="s">
        <v>17</v>
      </c>
      <c r="E6" s="6" t="s">
        <v>16</v>
      </c>
      <c r="F6" s="6" t="s">
        <v>17</v>
      </c>
      <c r="G6" s="6" t="s">
        <v>16</v>
      </c>
      <c r="H6" s="6" t="s">
        <v>17</v>
      </c>
      <c r="I6" s="6" t="s">
        <v>16</v>
      </c>
      <c r="J6" s="6" t="s">
        <v>17</v>
      </c>
      <c r="K6" s="6" t="s">
        <v>17</v>
      </c>
      <c r="L6" s="6" t="s">
        <v>18</v>
      </c>
      <c r="M6" s="6" t="s">
        <v>19</v>
      </c>
      <c r="N6" s="6" t="s">
        <v>20</v>
      </c>
      <c r="O6" s="6" t="s">
        <v>21</v>
      </c>
      <c r="P6" s="6" t="s">
        <v>22</v>
      </c>
      <c r="Q6" s="6" t="s">
        <v>23</v>
      </c>
      <c r="R6" s="6" t="s">
        <v>24</v>
      </c>
      <c r="S6" s="6" t="s">
        <v>25</v>
      </c>
      <c r="T6" s="6" t="s">
        <v>26</v>
      </c>
      <c r="U6" s="6" t="s">
        <v>27</v>
      </c>
      <c r="V6" s="6" t="s">
        <v>28</v>
      </c>
      <c r="W6" s="6" t="s">
        <v>29</v>
      </c>
      <c r="X6" s="6" t="s">
        <v>30</v>
      </c>
      <c r="Y6" s="6" t="s">
        <v>31</v>
      </c>
    </row>
    <row r="7" s="6" customFormat="true" ht="12.75" hidden="false" customHeight="false" outlineLevel="0" collapsed="false">
      <c r="D7" s="7" t="s">
        <v>32</v>
      </c>
      <c r="F7" s="7" t="s">
        <v>32</v>
      </c>
      <c r="H7" s="7" t="s">
        <v>32</v>
      </c>
      <c r="J7" s="7" t="s">
        <v>32</v>
      </c>
      <c r="K7" s="7" t="s">
        <v>32</v>
      </c>
      <c r="L7" s="8" t="s">
        <v>33</v>
      </c>
      <c r="M7" s="8" t="s">
        <v>34</v>
      </c>
      <c r="N7" s="6" t="s">
        <v>35</v>
      </c>
      <c r="O7" s="6" t="s">
        <v>36</v>
      </c>
      <c r="P7" s="6" t="s">
        <v>36</v>
      </c>
      <c r="Q7" s="6" t="s">
        <v>36</v>
      </c>
      <c r="R7" s="6" t="s">
        <v>37</v>
      </c>
      <c r="S7" s="6" t="s">
        <v>37</v>
      </c>
      <c r="T7" s="6" t="s">
        <v>37</v>
      </c>
      <c r="U7" s="6" t="n">
        <v>1</v>
      </c>
      <c r="V7" s="6" t="s">
        <v>36</v>
      </c>
      <c r="W7" s="6" t="s">
        <v>35</v>
      </c>
    </row>
    <row r="8" customFormat="false" ht="26.85" hidden="false" customHeight="false" outlineLevel="0" collapsed="false">
      <c r="A8" s="9" t="s">
        <v>38</v>
      </c>
      <c r="B8" s="10" t="s">
        <v>39</v>
      </c>
      <c r="C8" s="10" t="s">
        <v>40</v>
      </c>
      <c r="D8" s="10" t="n">
        <v>12</v>
      </c>
      <c r="E8" s="10" t="s">
        <v>41</v>
      </c>
      <c r="F8" s="10" t="n">
        <v>15</v>
      </c>
      <c r="G8" s="10" t="s">
        <v>42</v>
      </c>
      <c r="H8" s="10" t="n">
        <v>40</v>
      </c>
      <c r="I8" s="10" t="s">
        <v>43</v>
      </c>
      <c r="J8" s="10" t="n">
        <v>40</v>
      </c>
      <c r="K8" s="11" t="s">
        <v>44</v>
      </c>
      <c r="L8" s="11" t="n">
        <v>0.18</v>
      </c>
      <c r="M8" s="12" t="n">
        <v>1698.18</v>
      </c>
      <c r="N8" s="1" t="n">
        <v>100</v>
      </c>
      <c r="O8" s="13" t="s">
        <v>45</v>
      </c>
      <c r="R8" s="13" t="s">
        <v>46</v>
      </c>
      <c r="U8" s="14" t="n">
        <v>0.33</v>
      </c>
      <c r="V8" s="14" t="n">
        <f aca="false">26 / 69 * 3.325</f>
        <v>1.25289855072464</v>
      </c>
      <c r="W8" s="10" t="n">
        <v>5.8</v>
      </c>
      <c r="X8" s="15" t="s">
        <v>47</v>
      </c>
    </row>
    <row r="9" customFormat="false" ht="26.85" hidden="false" customHeight="false" outlineLevel="0" collapsed="false">
      <c r="A9" s="16" t="s">
        <v>48</v>
      </c>
      <c r="B9" s="10" t="s">
        <v>49</v>
      </c>
      <c r="C9" s="10" t="s">
        <v>41</v>
      </c>
      <c r="D9" s="10" t="n">
        <v>12</v>
      </c>
      <c r="E9" s="10" t="s">
        <v>50</v>
      </c>
      <c r="F9" s="10" t="n">
        <v>4</v>
      </c>
      <c r="G9" s="10" t="s">
        <v>42</v>
      </c>
      <c r="H9" s="10" t="n">
        <v>25</v>
      </c>
      <c r="I9" s="10" t="s">
        <v>51</v>
      </c>
      <c r="J9" s="10" t="n">
        <v>24</v>
      </c>
      <c r="K9" s="11" t="s">
        <v>52</v>
      </c>
      <c r="L9" s="11" t="n">
        <v>0.108</v>
      </c>
      <c r="M9" s="12" t="n">
        <v>1630.69</v>
      </c>
      <c r="N9" s="1" t="n">
        <v>100</v>
      </c>
      <c r="O9" s="13" t="s">
        <v>53</v>
      </c>
      <c r="R9" s="13" t="s">
        <v>54</v>
      </c>
      <c r="U9" s="14" t="n">
        <v>0.33</v>
      </c>
      <c r="V9" s="14" t="n">
        <f aca="false">26 / 69 * 5.493</f>
        <v>2.06982608695652</v>
      </c>
      <c r="W9" s="10" t="n">
        <v>4.1</v>
      </c>
      <c r="X9" s="17" t="s">
        <v>47</v>
      </c>
    </row>
    <row r="10" customFormat="false" ht="52.2" hidden="false" customHeight="false" outlineLevel="0" collapsed="false">
      <c r="A10" s="18" t="s">
        <v>55</v>
      </c>
      <c r="B10" s="10" t="s">
        <v>56</v>
      </c>
      <c r="C10" s="1" t="s">
        <v>57</v>
      </c>
      <c r="D10" s="1" t="s">
        <v>58</v>
      </c>
      <c r="E10" s="1" t="s">
        <v>59</v>
      </c>
      <c r="F10" s="1" t="s">
        <v>58</v>
      </c>
      <c r="G10" s="1" t="s">
        <v>58</v>
      </c>
      <c r="H10" s="1" t="s">
        <v>58</v>
      </c>
      <c r="I10" s="1" t="s">
        <v>58</v>
      </c>
      <c r="J10" s="1" t="s">
        <v>58</v>
      </c>
      <c r="K10" s="19" t="n">
        <v>750</v>
      </c>
      <c r="L10" s="5" t="n">
        <f aca="false">M10*K10/1000000</f>
        <v>1.1625</v>
      </c>
      <c r="M10" s="19" t="n">
        <v>1550</v>
      </c>
      <c r="N10" s="1" t="n">
        <v>100</v>
      </c>
      <c r="O10" s="19" t="n">
        <v>45</v>
      </c>
      <c r="R10" s="20"/>
      <c r="U10" s="20"/>
      <c r="V10" s="20"/>
      <c r="W10" s="20"/>
      <c r="X10" s="1" t="s">
        <v>60</v>
      </c>
      <c r="Y10" s="10" t="s">
        <v>61</v>
      </c>
    </row>
    <row r="11" customFormat="false" ht="26.85" hidden="false" customHeight="false" outlineLevel="0" collapsed="false">
      <c r="A11" s="18" t="s">
        <v>62</v>
      </c>
      <c r="B11" s="1" t="s">
        <v>63</v>
      </c>
      <c r="C11" s="1" t="s">
        <v>64</v>
      </c>
      <c r="D11" s="1" t="s">
        <v>58</v>
      </c>
      <c r="E11" s="1" t="s">
        <v>59</v>
      </c>
      <c r="F11" s="1" t="s">
        <v>58</v>
      </c>
      <c r="G11" s="1" t="s">
        <v>58</v>
      </c>
      <c r="H11" s="1" t="s">
        <v>58</v>
      </c>
      <c r="I11" s="1" t="s">
        <v>58</v>
      </c>
      <c r="J11" s="1" t="s">
        <v>58</v>
      </c>
      <c r="K11" s="19" t="n">
        <v>100</v>
      </c>
      <c r="L11" s="5" t="n">
        <f aca="false">M11*K11*10^(-6)</f>
        <v>0.19</v>
      </c>
      <c r="M11" s="19" t="n">
        <v>1900</v>
      </c>
      <c r="N11" s="1" t="n">
        <v>100</v>
      </c>
      <c r="O11" s="19" t="n">
        <v>25</v>
      </c>
      <c r="P11" s="19" t="n">
        <v>25</v>
      </c>
      <c r="R11" s="21" t="n">
        <v>350</v>
      </c>
      <c r="S11" s="21" t="n">
        <v>350</v>
      </c>
      <c r="U11" s="19" t="n">
        <v>0.2</v>
      </c>
      <c r="V11" s="19" t="n">
        <v>4</v>
      </c>
      <c r="W11" s="20"/>
      <c r="X11" s="10" t="s">
        <v>65</v>
      </c>
    </row>
    <row r="12" customFormat="false" ht="12.75" hidden="false" customHeight="false" outlineLevel="0" collapsed="false">
      <c r="A12" s="18" t="s">
        <v>66</v>
      </c>
      <c r="B12" s="1" t="s">
        <v>67</v>
      </c>
    </row>
    <row r="13" customFormat="false" ht="12.75" hidden="false" customHeight="false" outlineLevel="0" collapsed="false">
      <c r="A13" s="18" t="s">
        <v>68</v>
      </c>
      <c r="B13" s="1" t="s">
        <v>69</v>
      </c>
      <c r="K13" s="19" t="n">
        <v>35</v>
      </c>
      <c r="L13" s="19" t="n">
        <v>0.0192</v>
      </c>
      <c r="N13" s="1" t="n">
        <v>100</v>
      </c>
      <c r="O13" s="22" t="s">
        <v>70</v>
      </c>
      <c r="R13" s="22" t="s">
        <v>71</v>
      </c>
      <c r="U13" s="5" t="n">
        <v>0.26</v>
      </c>
      <c r="V13" s="5" t="n">
        <v>2.288</v>
      </c>
      <c r="W13" s="22" t="n">
        <v>2.1</v>
      </c>
      <c r="X13" s="1" t="s">
        <v>72</v>
      </c>
    </row>
  </sheetData>
  <hyperlinks>
    <hyperlink ref="X8" r:id="rId2" display="https://matweb.com/search/DataSheet.aspx?MatGUID=b1aa69c0528a40729478403542a8c94a"/>
    <hyperlink ref="X9" r:id="rId3" display="https://matweb.com/search/DataSheet.aspx?MatGUID=b1aa69c0528a40729478403542a8c94a"/>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7" topLeftCell="H8" activePane="bottomRight" state="frozen"/>
      <selection pane="topLeft" activeCell="A1" activeCellId="0" sqref="A1"/>
      <selection pane="topRight" activeCell="H1" activeCellId="0" sqref="H1"/>
      <selection pane="bottomLeft" activeCell="A8" activeCellId="0" sqref="A8"/>
      <selection pane="bottomRight" activeCell="K30" activeCellId="0" sqref="K30"/>
    </sheetView>
  </sheetViews>
  <sheetFormatPr defaultColWidth="11.5703125" defaultRowHeight="12.75" zeroHeight="false" outlineLevelRow="0" outlineLevelCol="0"/>
  <cols>
    <col collapsed="false" customWidth="true" hidden="false" outlineLevel="0" max="1" min="1" style="1" width="21.71"/>
    <col collapsed="false" customWidth="true" hidden="false" outlineLevel="0" max="2" min="2" style="1" width="36.42"/>
    <col collapsed="false" customWidth="true" hidden="false" outlineLevel="0" max="3" min="3" style="1" width="10.57"/>
    <col collapsed="false" customWidth="true" hidden="false" outlineLevel="0" max="4" min="4" style="1" width="9.14"/>
    <col collapsed="false" customWidth="true" hidden="false" outlineLevel="0" max="6" min="5" style="1" width="7.57"/>
    <col collapsed="false" customWidth="true" hidden="false" outlineLevel="0" max="7" min="7" style="1" width="8.15"/>
    <col collapsed="false" customWidth="true" hidden="false" outlineLevel="0" max="8" min="8" style="1" width="27.15"/>
    <col collapsed="false" customWidth="true" hidden="false" outlineLevel="0" max="9" min="9" style="1" width="15.71"/>
    <col collapsed="false" customWidth="true" hidden="false" outlineLevel="0" max="11" min="10" style="1" width="9.57"/>
    <col collapsed="false" customWidth="true" hidden="false" outlineLevel="0" max="13" min="12" style="1" width="12.86"/>
    <col collapsed="false" customWidth="true" hidden="false" outlineLevel="0" max="14" min="14" style="1" width="12"/>
    <col collapsed="false" customWidth="true" hidden="false" outlineLevel="0" max="15" min="15" style="1" width="7.15"/>
    <col collapsed="false" customWidth="true" hidden="false" outlineLevel="0" max="16" min="16" style="1" width="6.29"/>
    <col collapsed="false" customWidth="true" hidden="false" outlineLevel="0" max="17" min="17" style="1" width="7.71"/>
    <col collapsed="false" customWidth="true" hidden="false" outlineLevel="0" max="18" min="18" style="1" width="17.86"/>
    <col collapsed="false" customWidth="true" hidden="false" outlineLevel="0" max="19" min="19" style="1" width="17.42"/>
    <col collapsed="false" customWidth="true" hidden="false" outlineLevel="0" max="20" min="20" style="1" width="37.29"/>
    <col collapsed="false" customWidth="true" hidden="false" outlineLevel="0" max="21" min="21" style="1" width="17"/>
    <col collapsed="false" customWidth="false" hidden="false" outlineLevel="0" max="16384" min="22" style="1" width="11.57"/>
  </cols>
  <sheetData>
    <row r="1" customFormat="false" ht="12.75" hidden="false" customHeight="false" outlineLevel="0" collapsed="false">
      <c r="A1" s="2" t="s">
        <v>0</v>
      </c>
    </row>
    <row r="2" customFormat="false" ht="12.75" hidden="false" customHeight="false" outlineLevel="0" collapsed="false">
      <c r="A2" s="3" t="s">
        <v>1</v>
      </c>
    </row>
    <row r="3" customFormat="false" ht="26.85" hidden="false" customHeight="false" outlineLevel="0" collapsed="false">
      <c r="A3" s="4" t="s">
        <v>2</v>
      </c>
    </row>
    <row r="4" customFormat="false" ht="12.75" hidden="false" customHeight="false" outlineLevel="0" collapsed="false">
      <c r="A4" s="5" t="s">
        <v>4</v>
      </c>
      <c r="I4" s="1" t="s">
        <v>7</v>
      </c>
      <c r="L4" s="1" t="s">
        <v>8</v>
      </c>
      <c r="R4" s="7" t="s">
        <v>73</v>
      </c>
      <c r="S4" s="7" t="s">
        <v>74</v>
      </c>
    </row>
    <row r="5" s="6" customFormat="true" ht="12.75" hidden="false" customHeight="false" outlineLevel="0" collapsed="false"/>
    <row r="6" s="6" customFormat="true" ht="12.75" hidden="false" customHeight="false" outlineLevel="0" collapsed="false">
      <c r="A6" s="6" t="s">
        <v>14</v>
      </c>
      <c r="B6" s="6" t="s">
        <v>15</v>
      </c>
      <c r="C6" s="6" t="s">
        <v>16</v>
      </c>
      <c r="D6" s="6" t="s">
        <v>17</v>
      </c>
      <c r="E6" s="6" t="s">
        <v>18</v>
      </c>
      <c r="F6" s="6" t="s">
        <v>19</v>
      </c>
      <c r="G6" s="6" t="s">
        <v>75</v>
      </c>
      <c r="H6" s="6" t="s">
        <v>20</v>
      </c>
      <c r="I6" s="6" t="s">
        <v>21</v>
      </c>
      <c r="J6" s="6" t="s">
        <v>22</v>
      </c>
      <c r="K6" s="6" t="s">
        <v>23</v>
      </c>
      <c r="L6" s="23" t="s">
        <v>24</v>
      </c>
      <c r="M6" s="23"/>
      <c r="N6" s="6" t="s">
        <v>25</v>
      </c>
      <c r="O6" s="6" t="s">
        <v>26</v>
      </c>
      <c r="P6" s="6" t="s">
        <v>27</v>
      </c>
      <c r="Q6" s="6" t="s">
        <v>28</v>
      </c>
      <c r="R6" s="6" t="s">
        <v>29</v>
      </c>
      <c r="S6" s="6" t="s">
        <v>76</v>
      </c>
      <c r="T6" s="6" t="s">
        <v>30</v>
      </c>
      <c r="U6" s="6" t="s">
        <v>77</v>
      </c>
    </row>
    <row r="7" s="6" customFormat="true" ht="12.75" hidden="false" customHeight="false" outlineLevel="0" collapsed="false">
      <c r="D7" s="7" t="s">
        <v>32</v>
      </c>
      <c r="E7" s="8" t="s">
        <v>33</v>
      </c>
      <c r="F7" s="8" t="s">
        <v>34</v>
      </c>
      <c r="G7" s="6" t="s">
        <v>35</v>
      </c>
      <c r="H7" s="6" t="s">
        <v>35</v>
      </c>
      <c r="I7" s="6" t="s">
        <v>36</v>
      </c>
      <c r="J7" s="6" t="s">
        <v>36</v>
      </c>
      <c r="K7" s="6" t="s">
        <v>36</v>
      </c>
      <c r="L7" s="23" t="s">
        <v>37</v>
      </c>
      <c r="M7" s="23"/>
      <c r="N7" s="6" t="s">
        <v>37</v>
      </c>
      <c r="O7" s="6" t="s">
        <v>37</v>
      </c>
      <c r="Q7" s="6" t="s">
        <v>36</v>
      </c>
      <c r="R7" s="6" t="s">
        <v>35</v>
      </c>
    </row>
    <row r="8" customFormat="false" ht="26.85" hidden="false" customHeight="false" outlineLevel="0" collapsed="false">
      <c r="A8" s="16" t="s">
        <v>78</v>
      </c>
      <c r="B8" s="10" t="s">
        <v>79</v>
      </c>
      <c r="C8" s="10" t="s">
        <v>51</v>
      </c>
      <c r="D8" s="11" t="s">
        <v>80</v>
      </c>
      <c r="E8" s="11" t="n">
        <v>0.008</v>
      </c>
      <c r="F8" s="24" t="n">
        <v>686.84</v>
      </c>
      <c r="G8" s="19" t="n">
        <v>39</v>
      </c>
      <c r="H8" s="1" t="n">
        <v>100</v>
      </c>
      <c r="I8" s="13" t="s">
        <v>81</v>
      </c>
      <c r="J8" s="25" t="n">
        <f aca="false">485/955*0.927</f>
        <v>0.470780104712042</v>
      </c>
      <c r="L8" s="13" t="s">
        <v>82</v>
      </c>
      <c r="M8" s="13"/>
      <c r="N8" s="19" t="n">
        <v>116</v>
      </c>
      <c r="P8" s="14" t="n">
        <v>0.42</v>
      </c>
      <c r="Q8" s="25" t="n">
        <f aca="false">3/8*(0.927+J8)/2</f>
        <v>0.262083769633508</v>
      </c>
      <c r="R8" s="19" t="n">
        <v>134</v>
      </c>
      <c r="S8" s="19" t="n">
        <v>187</v>
      </c>
      <c r="T8" s="10" t="s">
        <v>83</v>
      </c>
      <c r="U8" s="1" t="s">
        <v>84</v>
      </c>
    </row>
    <row r="9" customFormat="false" ht="26.85" hidden="false" customHeight="false" outlineLevel="0" collapsed="false">
      <c r="A9" s="16" t="s">
        <v>85</v>
      </c>
      <c r="B9" s="10" t="s">
        <v>86</v>
      </c>
      <c r="C9" s="10" t="s">
        <v>51</v>
      </c>
      <c r="D9" s="11" t="s">
        <v>87</v>
      </c>
      <c r="E9" s="11" t="n">
        <v>0.015</v>
      </c>
      <c r="F9" s="1" t="n">
        <v>565.79</v>
      </c>
      <c r="G9" s="19" t="n">
        <v>41</v>
      </c>
      <c r="H9" s="1" t="n">
        <v>100</v>
      </c>
      <c r="I9" s="13" t="s">
        <v>88</v>
      </c>
      <c r="J9" s="25" t="n">
        <f aca="false">485/955*0.902</f>
        <v>0.458083769633508</v>
      </c>
      <c r="L9" s="13" t="s">
        <v>89</v>
      </c>
      <c r="M9" s="13"/>
      <c r="N9" s="19" t="n">
        <v>14</v>
      </c>
      <c r="P9" s="14" t="n">
        <v>0.42</v>
      </c>
      <c r="Q9" s="25" t="n">
        <f aca="false">3/8*(0.902+J9)/2</f>
        <v>0.255015706806283</v>
      </c>
      <c r="R9" s="13" t="s">
        <v>90</v>
      </c>
      <c r="S9" s="19" t="n">
        <v>525</v>
      </c>
      <c r="T9" s="10" t="s">
        <v>83</v>
      </c>
      <c r="U9" s="1" t="s">
        <v>84</v>
      </c>
    </row>
    <row r="10" customFormat="false" ht="12.75" hidden="false" customHeight="false" outlineLevel="0" collapsed="false">
      <c r="A10" s="18" t="s">
        <v>91</v>
      </c>
      <c r="B10" s="1" t="s">
        <v>92</v>
      </c>
      <c r="C10" s="1" t="s">
        <v>93</v>
      </c>
      <c r="D10" s="19" t="n">
        <v>260</v>
      </c>
      <c r="E10" s="19" t="n">
        <v>0.053</v>
      </c>
      <c r="F10" s="1" t="n">
        <f aca="false">E10/(D10/1000000)</f>
        <v>203.846153846154</v>
      </c>
      <c r="G10" s="20"/>
      <c r="H10" s="1" t="n">
        <v>100</v>
      </c>
      <c r="I10" s="26" t="s">
        <v>94</v>
      </c>
      <c r="J10" s="20"/>
      <c r="L10" s="26" t="s">
        <v>95</v>
      </c>
      <c r="M10" s="26"/>
      <c r="N10" s="20"/>
      <c r="P10" s="20"/>
      <c r="Q10" s="20"/>
      <c r="R10" s="20"/>
      <c r="S10" s="20"/>
      <c r="T10" s="27" t="s">
        <v>96</v>
      </c>
      <c r="U10" s="1" t="s">
        <v>84</v>
      </c>
    </row>
    <row r="11" customFormat="false" ht="12.75" hidden="false" customHeight="false" outlineLevel="0" collapsed="false">
      <c r="A11" s="18" t="s">
        <v>97</v>
      </c>
      <c r="B11" s="1" t="s">
        <v>98</v>
      </c>
      <c r="C11" s="1" t="s">
        <v>99</v>
      </c>
      <c r="D11" s="19" t="n">
        <v>11</v>
      </c>
      <c r="E11" s="19" t="n">
        <v>0.0112</v>
      </c>
      <c r="F11" s="1" t="n">
        <f aca="false">E11/(D11/1000000)</f>
        <v>1018.18181818182</v>
      </c>
      <c r="G11" s="20"/>
      <c r="H11" s="1" t="n">
        <v>100</v>
      </c>
      <c r="I11" s="26" t="s">
        <v>100</v>
      </c>
      <c r="J11" s="20"/>
      <c r="L11" s="19" t="s">
        <v>101</v>
      </c>
      <c r="M11" s="26" t="s">
        <v>102</v>
      </c>
      <c r="N11" s="19" t="s">
        <v>103</v>
      </c>
      <c r="P11" s="20"/>
      <c r="Q11" s="20"/>
      <c r="R11" s="19" t="s">
        <v>104</v>
      </c>
      <c r="S11" s="19" t="s">
        <v>105</v>
      </c>
      <c r="T11" s="27"/>
      <c r="U11" s="1" t="s">
        <v>84</v>
      </c>
    </row>
    <row r="12" customFormat="false" ht="26.85" hidden="false" customHeight="false" outlineLevel="0" collapsed="false">
      <c r="A12" s="18" t="s">
        <v>106</v>
      </c>
      <c r="B12" s="10" t="s">
        <v>107</v>
      </c>
      <c r="C12" s="1" t="s">
        <v>51</v>
      </c>
      <c r="D12" s="19" t="n">
        <v>12</v>
      </c>
      <c r="E12" s="19" t="n">
        <v>0.0059</v>
      </c>
      <c r="F12" s="1" t="n">
        <f aca="false">E12/(D12/1000000)</f>
        <v>491.666666666667</v>
      </c>
      <c r="G12" s="19" t="n">
        <v>52</v>
      </c>
      <c r="H12" s="1" t="n">
        <v>100</v>
      </c>
      <c r="I12" s="26" t="s">
        <v>108</v>
      </c>
      <c r="J12" s="20"/>
      <c r="L12" s="19" t="n">
        <v>176.52</v>
      </c>
      <c r="M12" s="26" t="s">
        <v>109</v>
      </c>
      <c r="N12" s="19" t="n">
        <v>12.75</v>
      </c>
      <c r="P12" s="14" t="n">
        <v>0.42</v>
      </c>
      <c r="Q12" s="20"/>
      <c r="R12" s="20"/>
      <c r="S12" s="20"/>
      <c r="T12" s="27"/>
      <c r="U12" s="1" t="s">
        <v>84</v>
      </c>
    </row>
    <row r="13" customFormat="false" ht="52.2" hidden="false" customHeight="false" outlineLevel="0" collapsed="false">
      <c r="A13" s="18" t="s">
        <v>110</v>
      </c>
      <c r="B13" s="10" t="s">
        <v>111</v>
      </c>
      <c r="C13" s="1" t="s">
        <v>93</v>
      </c>
      <c r="D13" s="19" t="n">
        <v>50</v>
      </c>
      <c r="E13" s="19" t="n">
        <f aca="false">53/1000</f>
        <v>0.053</v>
      </c>
      <c r="F13" s="5" t="n">
        <f aca="false">E13/(D13/1000000)</f>
        <v>1060</v>
      </c>
      <c r="G13" s="20"/>
      <c r="H13" s="1" t="n">
        <v>100</v>
      </c>
      <c r="I13" s="19" t="s">
        <v>112</v>
      </c>
      <c r="J13" s="19" t="s">
        <v>113</v>
      </c>
      <c r="K13" s="19"/>
      <c r="L13" s="19" t="n">
        <v>287</v>
      </c>
      <c r="M13" s="19"/>
      <c r="N13" s="19" t="n">
        <v>72</v>
      </c>
      <c r="P13" s="20"/>
      <c r="Q13" s="20"/>
      <c r="R13" s="20"/>
      <c r="S13" s="20"/>
      <c r="T13" s="27" t="s">
        <v>96</v>
      </c>
    </row>
    <row r="14" customFormat="false" ht="12.75" hidden="false" customHeight="false" outlineLevel="0" collapsed="false">
      <c r="A14" s="28" t="s">
        <v>114</v>
      </c>
      <c r="B14" s="1" t="s">
        <v>115</v>
      </c>
      <c r="C14" s="1" t="s">
        <v>116</v>
      </c>
      <c r="D14" s="20"/>
      <c r="E14" s="20"/>
      <c r="F14" s="20"/>
      <c r="G14" s="20"/>
      <c r="H14" s="20"/>
      <c r="I14" s="19" t="s">
        <v>117</v>
      </c>
      <c r="J14" s="19" t="s">
        <v>117</v>
      </c>
      <c r="K14" s="19" t="s">
        <v>117</v>
      </c>
      <c r="L14" s="19" t="s">
        <v>118</v>
      </c>
      <c r="M14" s="19"/>
      <c r="N14" s="20"/>
      <c r="O14" s="20"/>
      <c r="P14" s="20"/>
      <c r="Q14" s="20"/>
      <c r="R14" s="20"/>
      <c r="S14" s="20"/>
      <c r="T14" s="1" t="s">
        <v>119</v>
      </c>
      <c r="U14" s="1" t="s">
        <v>120</v>
      </c>
    </row>
  </sheetData>
  <mergeCells count="2">
    <mergeCell ref="L6:M6"/>
    <mergeCell ref="L7:M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7"/>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pane xSplit="2" ySplit="5" topLeftCell="I8" activePane="bottomRight" state="frozen"/>
      <selection pane="topLeft" activeCell="A3" activeCellId="0" sqref="A3"/>
      <selection pane="topRight" activeCell="I3" activeCellId="0" sqref="I3"/>
      <selection pane="bottomLeft" activeCell="A8" activeCellId="0" sqref="A8"/>
      <selection pane="bottomRight" activeCell="H13" activeCellId="0" sqref="H13"/>
    </sheetView>
  </sheetViews>
  <sheetFormatPr defaultColWidth="11.5703125" defaultRowHeight="12.75" zeroHeight="false" outlineLevelRow="0" outlineLevelCol="0"/>
  <cols>
    <col collapsed="false" customWidth="true" hidden="false" outlineLevel="0" max="1" min="1" style="1" width="21.71"/>
    <col collapsed="false" customWidth="true" hidden="false" outlineLevel="0" max="2" min="2" style="1" width="65.15"/>
    <col collapsed="false" customWidth="true" hidden="false" outlineLevel="0" max="3" min="3" style="1" width="19.57"/>
    <col collapsed="false" customWidth="true" hidden="false" outlineLevel="0" max="4" min="4" style="1" width="11.14"/>
    <col collapsed="false" customWidth="true" hidden="false" outlineLevel="0" max="5" min="5" style="1" width="25.29"/>
    <col collapsed="false" customWidth="true" hidden="false" outlineLevel="0" max="6" min="6" style="1" width="32.71"/>
    <col collapsed="false" customWidth="true" hidden="false" outlineLevel="0" max="7" min="7" style="1" width="33.57"/>
    <col collapsed="false" customWidth="true" hidden="false" outlineLevel="0" max="8" min="8" style="1" width="14.71"/>
    <col collapsed="false" customWidth="true" hidden="false" outlineLevel="0" max="9" min="9" style="1" width="11.14"/>
    <col collapsed="false" customWidth="true" hidden="false" outlineLevel="0" max="10" min="10" style="1" width="13.86"/>
    <col collapsed="false" customWidth="true" hidden="false" outlineLevel="0" max="11" min="11" style="1" width="28.57"/>
    <col collapsed="false" customWidth="true" hidden="false" outlineLevel="0" max="12" min="12" style="1" width="13.86"/>
    <col collapsed="false" customWidth="true" hidden="false" outlineLevel="0" max="13" min="13" style="1" width="9.29"/>
    <col collapsed="false" customWidth="true" hidden="false" outlineLevel="0" max="14" min="14" style="1" width="7.57"/>
    <col collapsed="false" customWidth="true" hidden="false" outlineLevel="0" max="15" min="15" style="1" width="8.29"/>
    <col collapsed="false" customWidth="true" hidden="false" outlineLevel="0" max="16" min="16" style="1" width="14.57"/>
    <col collapsed="false" customWidth="true" hidden="false" outlineLevel="0" max="17" min="17" style="1" width="25.29"/>
    <col collapsed="false" customWidth="true" hidden="false" outlineLevel="0" max="18" min="18" style="1" width="26.71"/>
    <col collapsed="false" customWidth="true" hidden="false" outlineLevel="0" max="19" min="19" style="1" width="34"/>
    <col collapsed="false" customWidth="true" hidden="false" outlineLevel="0" max="20" min="20" style="1" width="13.71"/>
    <col collapsed="false" customWidth="true" hidden="false" outlineLevel="0" max="21" min="21" style="1" width="28.14"/>
    <col collapsed="false" customWidth="true" hidden="false" outlineLevel="0" max="22" min="22" style="1" width="14.86"/>
    <col collapsed="false" customWidth="true" hidden="false" outlineLevel="0" max="23" min="23" style="1" width="13.29"/>
    <col collapsed="false" customWidth="true" hidden="false" outlineLevel="0" max="24" min="24" style="1" width="9.57"/>
    <col collapsed="false" customWidth="true" hidden="false" outlineLevel="0" max="25" min="25" style="1" width="7"/>
    <col collapsed="false" customWidth="true" hidden="false" outlineLevel="0" max="26" min="26" style="1" width="12.86"/>
    <col collapsed="false" customWidth="true" hidden="false" outlineLevel="0" max="27" min="27" style="1" width="10.57"/>
    <col collapsed="false" customWidth="true" hidden="false" outlineLevel="0" max="28" min="28" style="1" width="7"/>
    <col collapsed="false" customWidth="false" hidden="false" outlineLevel="0" max="29" min="29" style="1" width="11.57"/>
    <col collapsed="false" customWidth="true" hidden="false" outlineLevel="0" max="31" min="30" style="1" width="12.86"/>
    <col collapsed="false" customWidth="true" hidden="false" outlineLevel="0" max="32" min="32" style="1" width="70.86"/>
    <col collapsed="false" customWidth="true" hidden="false" outlineLevel="0" max="33" min="33" style="1" width="86.71"/>
    <col collapsed="false" customWidth="false" hidden="false" outlineLevel="0" max="16384" min="34" style="1" width="11.57"/>
  </cols>
  <sheetData>
    <row r="1" customFormat="false" ht="12.75" hidden="false" customHeight="false" outlineLevel="0" collapsed="false">
      <c r="A1" s="2" t="s">
        <v>0</v>
      </c>
    </row>
    <row r="2" customFormat="false" ht="12.75" hidden="false" customHeight="false" outlineLevel="0" collapsed="false">
      <c r="A2" s="3" t="s">
        <v>1</v>
      </c>
    </row>
    <row r="3" customFormat="false" ht="26.85" hidden="false" customHeight="false" outlineLevel="0" collapsed="false">
      <c r="A3" s="4" t="s">
        <v>2</v>
      </c>
    </row>
    <row r="4" customFormat="false" ht="12.75" hidden="false" customHeight="false" outlineLevel="0" collapsed="false">
      <c r="A4" s="5" t="s">
        <v>4</v>
      </c>
      <c r="K4" s="1" t="s">
        <v>121</v>
      </c>
      <c r="W4" s="1" t="s">
        <v>7</v>
      </c>
      <c r="Z4" s="1" t="s">
        <v>8</v>
      </c>
      <c r="AE4" s="1" t="s">
        <v>9</v>
      </c>
    </row>
    <row r="5" customFormat="false" ht="12.75" hidden="false" customHeight="false" outlineLevel="0" collapsed="false">
      <c r="A5" s="6"/>
      <c r="B5" s="6"/>
      <c r="C5" s="6" t="s">
        <v>122</v>
      </c>
      <c r="D5" s="6" t="s">
        <v>122</v>
      </c>
      <c r="E5" s="6" t="s">
        <v>122</v>
      </c>
      <c r="F5" s="6" t="s">
        <v>122</v>
      </c>
      <c r="G5" s="6" t="s">
        <v>122</v>
      </c>
      <c r="H5" s="6" t="s">
        <v>122</v>
      </c>
      <c r="I5" s="6" t="s">
        <v>122</v>
      </c>
      <c r="J5" s="6" t="s">
        <v>123</v>
      </c>
      <c r="K5" s="6" t="s">
        <v>123</v>
      </c>
      <c r="L5" s="6" t="s">
        <v>123</v>
      </c>
      <c r="M5" s="6"/>
      <c r="N5" s="6"/>
      <c r="O5" s="6"/>
      <c r="P5" s="6"/>
      <c r="Q5" s="6" t="s">
        <v>122</v>
      </c>
      <c r="R5" s="6"/>
      <c r="S5" s="6"/>
      <c r="T5" s="6"/>
      <c r="U5" s="6" t="s">
        <v>124</v>
      </c>
      <c r="V5" s="6" t="s">
        <v>125</v>
      </c>
      <c r="W5" s="6"/>
      <c r="X5" s="6"/>
      <c r="Y5" s="6"/>
      <c r="Z5" s="6"/>
      <c r="AA5" s="6"/>
      <c r="AB5" s="6"/>
      <c r="AC5" s="6"/>
      <c r="AD5" s="6"/>
      <c r="AE5" s="6"/>
    </row>
    <row r="6" customFormat="false" ht="12.75" hidden="false" customHeight="false" outlineLevel="0" collapsed="false">
      <c r="A6" s="6" t="s">
        <v>14</v>
      </c>
      <c r="B6" s="6" t="s">
        <v>15</v>
      </c>
      <c r="C6" s="6" t="s">
        <v>16</v>
      </c>
      <c r="D6" s="6" t="s">
        <v>17</v>
      </c>
      <c r="E6" s="6" t="s">
        <v>126</v>
      </c>
      <c r="F6" s="6" t="s">
        <v>127</v>
      </c>
      <c r="G6" s="6" t="s">
        <v>128</v>
      </c>
      <c r="H6" s="6" t="s">
        <v>129</v>
      </c>
      <c r="I6" s="6" t="s">
        <v>3</v>
      </c>
      <c r="J6" s="6" t="s">
        <v>16</v>
      </c>
      <c r="K6" s="6" t="s">
        <v>17</v>
      </c>
      <c r="L6" s="6" t="s">
        <v>18</v>
      </c>
      <c r="M6" s="6" t="s">
        <v>17</v>
      </c>
      <c r="N6" s="6" t="s">
        <v>19</v>
      </c>
      <c r="O6" s="6" t="s">
        <v>75</v>
      </c>
      <c r="P6" s="6" t="s">
        <v>18</v>
      </c>
      <c r="Q6" s="6" t="s">
        <v>18</v>
      </c>
      <c r="R6" s="6" t="s">
        <v>130</v>
      </c>
      <c r="S6" s="6" t="s">
        <v>131</v>
      </c>
      <c r="T6" s="6" t="s">
        <v>132</v>
      </c>
      <c r="U6" s="6" t="s">
        <v>133</v>
      </c>
      <c r="V6" s="6" t="s">
        <v>133</v>
      </c>
      <c r="W6" s="6" t="s">
        <v>21</v>
      </c>
      <c r="X6" s="6" t="s">
        <v>22</v>
      </c>
      <c r="Y6" s="6" t="s">
        <v>23</v>
      </c>
      <c r="Z6" s="6" t="s">
        <v>24</v>
      </c>
      <c r="AA6" s="6" t="s">
        <v>25</v>
      </c>
      <c r="AB6" s="6" t="s">
        <v>26</v>
      </c>
      <c r="AC6" s="6" t="s">
        <v>27</v>
      </c>
      <c r="AD6" s="6" t="s">
        <v>28</v>
      </c>
      <c r="AE6" s="6" t="s">
        <v>29</v>
      </c>
      <c r="AF6" s="6" t="s">
        <v>30</v>
      </c>
      <c r="AG6" s="1" t="s">
        <v>77</v>
      </c>
    </row>
    <row r="7" customFormat="false" ht="12.75" hidden="false" customHeight="false" outlineLevel="0" collapsed="false">
      <c r="A7" s="6"/>
      <c r="B7" s="6"/>
      <c r="C7" s="6"/>
      <c r="D7" s="7" t="s">
        <v>32</v>
      </c>
      <c r="E7" s="7" t="s">
        <v>134</v>
      </c>
      <c r="F7" s="6" t="s">
        <v>35</v>
      </c>
      <c r="G7" s="7" t="s">
        <v>135</v>
      </c>
      <c r="H7" s="7" t="s">
        <v>136</v>
      </c>
      <c r="I7" s="6"/>
      <c r="J7" s="6"/>
      <c r="K7" s="7" t="s">
        <v>32</v>
      </c>
      <c r="L7" s="6" t="s">
        <v>134</v>
      </c>
      <c r="M7" s="7" t="s">
        <v>32</v>
      </c>
      <c r="N7" s="6" t="s">
        <v>137</v>
      </c>
      <c r="O7" s="6" t="s">
        <v>35</v>
      </c>
      <c r="P7" s="6" t="s">
        <v>134</v>
      </c>
      <c r="Q7" s="6" t="s">
        <v>134</v>
      </c>
      <c r="R7" s="6" t="s">
        <v>134</v>
      </c>
      <c r="S7" s="6" t="s">
        <v>35</v>
      </c>
      <c r="T7" s="6" t="s">
        <v>138</v>
      </c>
      <c r="U7" s="6" t="s">
        <v>139</v>
      </c>
      <c r="V7" s="6" t="s">
        <v>139</v>
      </c>
      <c r="W7" s="6" t="s">
        <v>36</v>
      </c>
      <c r="X7" s="6" t="s">
        <v>36</v>
      </c>
      <c r="Y7" s="6" t="s">
        <v>36</v>
      </c>
      <c r="Z7" s="6" t="s">
        <v>37</v>
      </c>
      <c r="AA7" s="6" t="s">
        <v>37</v>
      </c>
      <c r="AB7" s="6" t="s">
        <v>37</v>
      </c>
      <c r="AC7" s="6" t="n">
        <v>1</v>
      </c>
      <c r="AD7" s="6" t="s">
        <v>36</v>
      </c>
      <c r="AE7" s="6" t="s">
        <v>35</v>
      </c>
    </row>
    <row r="8" customFormat="false" ht="26.85" hidden="false" customHeight="false" outlineLevel="0" collapsed="false">
      <c r="A8" s="16" t="s">
        <v>140</v>
      </c>
      <c r="B8" s="10" t="s">
        <v>141</v>
      </c>
      <c r="C8" s="10" t="s">
        <v>142</v>
      </c>
      <c r="D8" s="10" t="n">
        <v>90.5</v>
      </c>
      <c r="E8" s="29" t="n">
        <f aca="false">1000*H8/G8</f>
        <v>11.4285714285714</v>
      </c>
      <c r="F8" s="19" t="n">
        <v>95.7</v>
      </c>
      <c r="G8" s="19" t="n">
        <v>350</v>
      </c>
      <c r="H8" s="19" t="n">
        <v>4</v>
      </c>
      <c r="I8" s="1" t="n">
        <v>2</v>
      </c>
      <c r="J8" s="10" t="s">
        <v>143</v>
      </c>
      <c r="K8" s="19" t="n">
        <v>14</v>
      </c>
      <c r="L8" s="10" t="n">
        <v>12.42</v>
      </c>
      <c r="M8" s="30" t="s">
        <v>144</v>
      </c>
      <c r="N8" s="31" t="n">
        <v>1.801</v>
      </c>
      <c r="O8" s="19" t="n">
        <v>42</v>
      </c>
      <c r="P8" s="29" t="n">
        <f aca="false">(E8/F8 *100)*I8+L8</f>
        <v>36.3041618151963</v>
      </c>
      <c r="Q8" s="29" t="n">
        <f aca="false">(E8/F8 *100)</f>
        <v>11.9420809075981</v>
      </c>
      <c r="R8" s="29" t="n">
        <f aca="false">I8*E8*(100-F8)/100 +L8</f>
        <v>13.4028571428571</v>
      </c>
      <c r="S8" s="29" t="n">
        <f aca="false">R8/P8 * 100</f>
        <v>36.9182387713106</v>
      </c>
      <c r="T8" s="14" t="n">
        <v>0.1</v>
      </c>
      <c r="W8" s="13" t="s">
        <v>145</v>
      </c>
      <c r="Z8" s="13" t="s">
        <v>146</v>
      </c>
      <c r="AC8" s="14" t="n">
        <v>0.35</v>
      </c>
      <c r="AD8" s="25" t="n">
        <f aca="false">46/110*3.563</f>
        <v>1.48998181818182</v>
      </c>
      <c r="AE8" s="13" t="s">
        <v>147</v>
      </c>
      <c r="AF8" s="32" t="s">
        <v>148</v>
      </c>
    </row>
    <row r="9" customFormat="false" ht="26.85" hidden="false" customHeight="false" outlineLevel="0" collapsed="false">
      <c r="A9" s="16" t="s">
        <v>149</v>
      </c>
      <c r="B9" s="10" t="s">
        <v>150</v>
      </c>
      <c r="C9" s="10" t="s">
        <v>142</v>
      </c>
      <c r="D9" s="10" t="n">
        <v>52</v>
      </c>
      <c r="E9" s="29" t="n">
        <f aca="false">1000*H9/G9</f>
        <v>6.57142857142857</v>
      </c>
      <c r="F9" s="19" t="n">
        <v>95.7</v>
      </c>
      <c r="G9" s="19" t="n">
        <v>350</v>
      </c>
      <c r="H9" s="19" t="n">
        <v>2.3</v>
      </c>
      <c r="I9" s="1" t="n">
        <v>1</v>
      </c>
      <c r="J9" s="10" t="s">
        <v>143</v>
      </c>
      <c r="K9" s="19" t="n">
        <v>14</v>
      </c>
      <c r="L9" s="10" t="n">
        <v>12.42</v>
      </c>
      <c r="M9" s="30" t="s">
        <v>151</v>
      </c>
      <c r="N9" s="33" t="n">
        <f aca="false">(P9/1000)/(71/10000)</f>
        <v>2.7164361298407</v>
      </c>
      <c r="O9" s="19" t="n">
        <v>41</v>
      </c>
      <c r="P9" s="29" t="n">
        <f aca="false">(E9/F9 *100)*I9+L9</f>
        <v>19.2866965218689</v>
      </c>
      <c r="Q9" s="29" t="n">
        <f aca="false">(E9/F9 *100)</f>
        <v>6.86669652186894</v>
      </c>
      <c r="R9" s="29" t="n">
        <f aca="false">I9*E9*(100-F9)/100 +L9</f>
        <v>12.7025714285714</v>
      </c>
      <c r="S9" s="29" t="n">
        <f aca="false">R9/P9 * 100</f>
        <v>65.8618307918525</v>
      </c>
      <c r="T9" s="14" t="n">
        <v>0.1</v>
      </c>
      <c r="W9" s="13" t="s">
        <v>152</v>
      </c>
      <c r="Z9" s="13" t="s">
        <v>153</v>
      </c>
      <c r="AC9" s="14" t="n">
        <v>0.35</v>
      </c>
      <c r="AD9" s="25" t="n">
        <f aca="false">46/110*14.036</f>
        <v>5.8696</v>
      </c>
      <c r="AE9" s="13" t="s">
        <v>154</v>
      </c>
      <c r="AF9" s="32" t="s">
        <v>148</v>
      </c>
    </row>
    <row r="10" customFormat="false" ht="26.85" hidden="false" customHeight="false" outlineLevel="0" collapsed="false">
      <c r="A10" s="16" t="s">
        <v>155</v>
      </c>
      <c r="B10" s="10" t="s">
        <v>156</v>
      </c>
      <c r="C10" s="10" t="s">
        <v>142</v>
      </c>
      <c r="D10" s="10" t="n">
        <v>91</v>
      </c>
      <c r="E10" s="29" t="n">
        <f aca="false">1000*H10/G10</f>
        <v>11.4285714285714</v>
      </c>
      <c r="F10" s="19" t="n">
        <v>95.7</v>
      </c>
      <c r="G10" s="19" t="n">
        <v>350</v>
      </c>
      <c r="H10" s="19" t="n">
        <v>4</v>
      </c>
      <c r="I10" s="1" t="n">
        <v>1</v>
      </c>
      <c r="J10" s="10" t="s">
        <v>143</v>
      </c>
      <c r="K10" s="19" t="n">
        <v>14</v>
      </c>
      <c r="L10" s="10" t="n">
        <v>12.42</v>
      </c>
      <c r="M10" s="30" t="s">
        <v>157</v>
      </c>
      <c r="N10" s="19" t="n">
        <v>1.3</v>
      </c>
      <c r="O10" s="19" t="n">
        <v>43</v>
      </c>
      <c r="P10" s="29" t="n">
        <f aca="false">(E10/F10 *100)*I10+L10</f>
        <v>24.3620809075982</v>
      </c>
      <c r="Q10" s="29" t="n">
        <f aca="false">(E10/F10 *100)</f>
        <v>11.9420809075981</v>
      </c>
      <c r="R10" s="29" t="n">
        <f aca="false">I10*E10*(100-F10)/100 +L10</f>
        <v>12.9114285714286</v>
      </c>
      <c r="S10" s="29" t="n">
        <f aca="false">R10/P10 * 100</f>
        <v>52.9980530825743</v>
      </c>
      <c r="T10" s="14" t="n">
        <v>0.1</v>
      </c>
      <c r="W10" s="13" t="s">
        <v>158</v>
      </c>
      <c r="Z10" s="13" t="s">
        <v>159</v>
      </c>
      <c r="AC10" s="14" t="n">
        <v>0.35</v>
      </c>
      <c r="AD10" s="25" t="n">
        <f aca="false">46/110*8.369</f>
        <v>3.49976363636364</v>
      </c>
      <c r="AE10" s="13" t="s">
        <v>160</v>
      </c>
      <c r="AF10" s="32" t="s">
        <v>148</v>
      </c>
    </row>
    <row r="11" customFormat="false" ht="26.85" hidden="false" customHeight="false" outlineLevel="0" collapsed="false">
      <c r="A11" s="34" t="s">
        <v>161</v>
      </c>
      <c r="B11" s="10" t="s">
        <v>162</v>
      </c>
      <c r="C11" s="10" t="s">
        <v>163</v>
      </c>
      <c r="D11" s="26" t="n">
        <v>38</v>
      </c>
      <c r="E11" s="29" t="n">
        <f aca="false">1000*H11/G11</f>
        <v>6.57142857142857</v>
      </c>
      <c r="F11" s="19" t="n">
        <v>95</v>
      </c>
      <c r="G11" s="19" t="n">
        <v>350</v>
      </c>
      <c r="H11" s="19" t="n">
        <v>2.3</v>
      </c>
      <c r="I11" s="1" t="n">
        <v>2</v>
      </c>
      <c r="J11" s="10" t="s">
        <v>143</v>
      </c>
      <c r="K11" s="19" t="n">
        <v>14</v>
      </c>
      <c r="L11" s="10" t="n">
        <v>12.42</v>
      </c>
      <c r="M11" s="30" t="s">
        <v>164</v>
      </c>
      <c r="N11" s="19" t="n">
        <v>1.7</v>
      </c>
      <c r="O11" s="19" t="n">
        <v>23</v>
      </c>
      <c r="P11" s="29" t="n">
        <f aca="false">(E11/F11 *100)*I11+L11</f>
        <v>26.2545864661654</v>
      </c>
      <c r="Q11" s="29" t="n">
        <f aca="false">(E11/F11 *100)</f>
        <v>6.91729323308271</v>
      </c>
      <c r="R11" s="29" t="n">
        <f aca="false">I11*E11*(100-F11)/100 +L11</f>
        <v>13.0771428571429</v>
      </c>
      <c r="S11" s="29" t="n">
        <f aca="false">R11/P11 * 100</f>
        <v>49.808984323541</v>
      </c>
      <c r="T11" s="14" t="n">
        <v>0.1</v>
      </c>
      <c r="W11" s="35"/>
      <c r="Z11" s="35"/>
      <c r="AC11" s="35"/>
      <c r="AD11" s="35"/>
      <c r="AE11" s="35"/>
      <c r="AF11" s="32" t="s">
        <v>148</v>
      </c>
    </row>
    <row r="12" customFormat="false" ht="26.85" hidden="false" customHeight="false" outlineLevel="0" collapsed="false">
      <c r="A12" s="18" t="s">
        <v>165</v>
      </c>
      <c r="B12" s="10" t="s">
        <v>166</v>
      </c>
      <c r="C12" s="10" t="s">
        <v>167</v>
      </c>
      <c r="D12" s="19" t="n">
        <v>50</v>
      </c>
      <c r="E12" s="31" t="n">
        <v>2.39079403959992</v>
      </c>
      <c r="F12" s="19" t="n">
        <v>98</v>
      </c>
      <c r="G12" s="19" t="n">
        <v>3860</v>
      </c>
      <c r="H12" s="26" t="n">
        <v>9.23</v>
      </c>
      <c r="I12" s="1" t="n">
        <v>1</v>
      </c>
      <c r="J12" s="10" t="s">
        <v>58</v>
      </c>
      <c r="K12" s="1" t="n">
        <v>0</v>
      </c>
      <c r="L12" s="10" t="n">
        <v>0</v>
      </c>
      <c r="M12" s="19" t="n">
        <v>50</v>
      </c>
      <c r="N12" s="19" t="n">
        <v>0.535</v>
      </c>
      <c r="O12" s="19" t="s">
        <v>58</v>
      </c>
      <c r="P12" s="29" t="n">
        <f aca="false">(E12/F12 *100)*I12+L12</f>
        <v>2.4395857546938</v>
      </c>
      <c r="Q12" s="29" t="n">
        <f aca="false">(E12/F12 *100)</f>
        <v>2.4395857546938</v>
      </c>
      <c r="R12" s="29" t="n">
        <f aca="false">I12*E12*(100-F12)/100 +L12</f>
        <v>0.0478158807919984</v>
      </c>
      <c r="S12" s="29" t="n">
        <f aca="false">R12/P12 * 100</f>
        <v>1.96</v>
      </c>
      <c r="T12" s="19" t="n">
        <v>0</v>
      </c>
      <c r="W12" s="19" t="n">
        <v>4.91</v>
      </c>
      <c r="Z12" s="25" t="n">
        <f aca="false">0.73/7.82*4.91</f>
        <v>0.458350383631714</v>
      </c>
      <c r="AC12" s="19" t="n">
        <v>0.36</v>
      </c>
      <c r="AD12" s="25" t="n">
        <f aca="false">2.83/7.82*4.91</f>
        <v>1.7768925831202</v>
      </c>
      <c r="AE12" s="20"/>
      <c r="AF12" s="32" t="s">
        <v>168</v>
      </c>
    </row>
    <row r="13" customFormat="false" ht="26.85" hidden="false" customHeight="false" outlineLevel="0" collapsed="false">
      <c r="A13" s="18" t="s">
        <v>169</v>
      </c>
      <c r="B13" s="1" t="s">
        <v>170</v>
      </c>
      <c r="C13" s="10" t="s">
        <v>171</v>
      </c>
      <c r="D13" s="36" t="n">
        <f aca="false">(4/PI()) * (H13/(G13*F13/100 *1.79)) * 10000</f>
        <v>213.605708177758</v>
      </c>
      <c r="E13" s="37" t="n">
        <f aca="false">(H13/(G13/1000))/F13 *100</f>
        <v>30.03003003003</v>
      </c>
      <c r="F13" s="14" t="n">
        <v>60</v>
      </c>
      <c r="G13" s="19" t="n">
        <v>222</v>
      </c>
      <c r="H13" s="14" t="n">
        <v>4</v>
      </c>
      <c r="I13" s="1" t="n">
        <v>1</v>
      </c>
      <c r="J13" s="10" t="s">
        <v>58</v>
      </c>
      <c r="K13" s="1" t="n">
        <v>0</v>
      </c>
      <c r="L13" s="10" t="n">
        <v>0</v>
      </c>
      <c r="M13" s="36" t="n">
        <f aca="false">D13*I13+K13</f>
        <v>213.605708177758</v>
      </c>
      <c r="N13" s="33" t="n">
        <f aca="false">(P13/1000) / (M13/10000)</f>
        <v>1.40586271248143</v>
      </c>
      <c r="O13" s="38"/>
      <c r="P13" s="29" t="n">
        <f aca="false">E13*I13+L13</f>
        <v>30.03003003003</v>
      </c>
      <c r="Q13" s="29" t="n">
        <f aca="false">I13*E13*F13/100</f>
        <v>18.018018018018</v>
      </c>
      <c r="R13" s="29" t="n">
        <f aca="false">I13*E13*(100-F13)/100</f>
        <v>12.012012012012</v>
      </c>
      <c r="S13" s="29" t="n">
        <f aca="false">R13/P13 * 100</f>
        <v>40</v>
      </c>
      <c r="T13" s="14" t="n">
        <v>0.1</v>
      </c>
      <c r="U13" s="1" t="n">
        <v>222</v>
      </c>
      <c r="W13" s="19" t="n">
        <v>230</v>
      </c>
      <c r="Z13" s="19" t="n">
        <v>3530</v>
      </c>
      <c r="AC13" s="14" t="n">
        <v>0.3</v>
      </c>
      <c r="AD13" s="25" t="n">
        <f aca="false">4700/121000*230</f>
        <v>8.93388429752066</v>
      </c>
      <c r="AE13" s="20"/>
      <c r="AF13" s="32" t="s">
        <v>172</v>
      </c>
      <c r="AG13" s="10" t="s">
        <v>173</v>
      </c>
    </row>
    <row r="14" customFormat="false" ht="26.85" hidden="false" customHeight="false" outlineLevel="0" collapsed="false">
      <c r="A14" s="18" t="s">
        <v>174</v>
      </c>
      <c r="B14" s="1" t="s">
        <v>175</v>
      </c>
      <c r="C14" s="10" t="s">
        <v>171</v>
      </c>
      <c r="D14" s="36" t="n">
        <f aca="false">(4/PI()) * (H14/(G14*F14/100 *1.79)) * 10000</f>
        <v>191.985697228592</v>
      </c>
      <c r="E14" s="37" t="n">
        <f aca="false">(H14/(G14/1000))/F14 *100</f>
        <v>26.9905533063428</v>
      </c>
      <c r="F14" s="14" t="n">
        <v>60</v>
      </c>
      <c r="G14" s="19" t="n">
        <v>247</v>
      </c>
      <c r="H14" s="14" t="n">
        <v>4</v>
      </c>
      <c r="I14" s="1" t="n">
        <v>1</v>
      </c>
      <c r="J14" s="10" t="s">
        <v>58</v>
      </c>
      <c r="K14" s="1" t="n">
        <v>0</v>
      </c>
      <c r="L14" s="10" t="n">
        <v>0</v>
      </c>
      <c r="M14" s="36" t="n">
        <f aca="false">D14*I14+K14</f>
        <v>191.985697228592</v>
      </c>
      <c r="N14" s="33" t="n">
        <f aca="false">(P14/1000) / (M14/10000)</f>
        <v>1.40586271248143</v>
      </c>
      <c r="O14" s="38"/>
      <c r="P14" s="29" t="n">
        <f aca="false">E14*I14+L14</f>
        <v>26.9905533063428</v>
      </c>
      <c r="Q14" s="29" t="n">
        <f aca="false">I14*E14*F14/100</f>
        <v>16.1943319838057</v>
      </c>
      <c r="R14" s="29" t="n">
        <f aca="false">I14*E14*(100-F14)/100</f>
        <v>10.7962213225371</v>
      </c>
      <c r="S14" s="29" t="n">
        <f aca="false">R14/P14 * 100</f>
        <v>40</v>
      </c>
      <c r="T14" s="14" t="n">
        <v>0.1</v>
      </c>
      <c r="U14" s="1" t="n">
        <v>247</v>
      </c>
      <c r="W14" s="19" t="n">
        <v>230</v>
      </c>
      <c r="Z14" s="19" t="n">
        <v>3530</v>
      </c>
      <c r="AC14" s="14" t="n">
        <v>0.3</v>
      </c>
      <c r="AD14" s="25" t="n">
        <f aca="false">4700/121000*230</f>
        <v>8.93388429752066</v>
      </c>
      <c r="AE14" s="20"/>
      <c r="AF14" s="32" t="s">
        <v>172</v>
      </c>
      <c r="AG14" s="10" t="s">
        <v>173</v>
      </c>
    </row>
    <row r="15" customFormat="false" ht="14.15" hidden="false" customHeight="false" outlineLevel="0" collapsed="false">
      <c r="A15" s="18" t="s">
        <v>176</v>
      </c>
      <c r="B15" s="1" t="s">
        <v>177</v>
      </c>
      <c r="C15" s="10" t="s">
        <v>171</v>
      </c>
      <c r="D15" s="36" t="n">
        <f aca="false">(4/PI()) * (H15/(G15*F15/100 *1.81)) * 10000</f>
        <v>192.989646717317</v>
      </c>
      <c r="E15" s="37" t="n">
        <f aca="false">(H15/(G15/1000))/F15 *100</f>
        <v>27.4348422496571</v>
      </c>
      <c r="F15" s="14" t="n">
        <v>60</v>
      </c>
      <c r="G15" s="19" t="n">
        <v>243</v>
      </c>
      <c r="H15" s="14" t="n">
        <v>4</v>
      </c>
      <c r="I15" s="1" t="n">
        <v>1</v>
      </c>
      <c r="J15" s="10" t="s">
        <v>58</v>
      </c>
      <c r="K15" s="1" t="n">
        <v>0</v>
      </c>
      <c r="L15" s="10" t="n">
        <v>0</v>
      </c>
      <c r="M15" s="36" t="n">
        <f aca="false">D15*I15+K15</f>
        <v>192.989646717317</v>
      </c>
      <c r="N15" s="33" t="n">
        <f aca="false">(P15/1000) / (M15/10000)</f>
        <v>1.42157067574938</v>
      </c>
      <c r="O15" s="38"/>
      <c r="P15" s="29" t="n">
        <f aca="false">E15*I15+L15</f>
        <v>27.4348422496571</v>
      </c>
      <c r="Q15" s="29" t="n">
        <f aca="false">I15*E15*F15/100</f>
        <v>16.4609053497942</v>
      </c>
      <c r="R15" s="29" t="n">
        <f aca="false">I15*E15*(100-F15)/100</f>
        <v>10.9739368998628</v>
      </c>
      <c r="S15" s="29" t="n">
        <f aca="false">R15/P15 * 100</f>
        <v>40</v>
      </c>
      <c r="T15" s="14" t="n">
        <v>0.1</v>
      </c>
      <c r="U15" s="1" t="n">
        <v>243</v>
      </c>
      <c r="W15" s="19" t="n">
        <v>294</v>
      </c>
      <c r="Z15" s="19" t="n">
        <v>5490</v>
      </c>
      <c r="AC15" s="14" t="n">
        <v>0.3</v>
      </c>
      <c r="AD15" s="25" t="n">
        <f aca="false">4700/121000*294</f>
        <v>11.4198347107438</v>
      </c>
      <c r="AE15" s="20"/>
      <c r="AF15" s="32" t="s">
        <v>172</v>
      </c>
    </row>
    <row r="16" customFormat="false" ht="14.15" hidden="false" customHeight="false" outlineLevel="0" collapsed="false">
      <c r="A16" s="18" t="s">
        <v>178</v>
      </c>
      <c r="B16" s="1" t="s">
        <v>179</v>
      </c>
      <c r="C16" s="10" t="s">
        <v>171</v>
      </c>
      <c r="D16" s="36" t="n">
        <f aca="false">(4/PI()) * (H16/(G16*F16/100 *1.78)) * 10000</f>
        <v>224.9380864842</v>
      </c>
      <c r="E16" s="37" t="n">
        <f aca="false">(H16/(G16/1000))/F16 *100</f>
        <v>31.4465408805032</v>
      </c>
      <c r="F16" s="14" t="n">
        <v>60</v>
      </c>
      <c r="G16" s="19" t="n">
        <v>212</v>
      </c>
      <c r="H16" s="14" t="n">
        <v>4</v>
      </c>
      <c r="I16" s="1" t="n">
        <v>1</v>
      </c>
      <c r="J16" s="10" t="s">
        <v>58</v>
      </c>
      <c r="K16" s="1" t="n">
        <v>0</v>
      </c>
      <c r="L16" s="10" t="n">
        <v>0</v>
      </c>
      <c r="M16" s="36" t="n">
        <f aca="false">D16*I16+K16</f>
        <v>224.9380864842</v>
      </c>
      <c r="N16" s="33" t="n">
        <f aca="false">(P16/1000) / (M16/10000)</f>
        <v>1.39800873084746</v>
      </c>
      <c r="O16" s="38"/>
      <c r="P16" s="29" t="n">
        <f aca="false">E16*I16+L16</f>
        <v>31.4465408805032</v>
      </c>
      <c r="Q16" s="29" t="n">
        <f aca="false">I16*E16*F16/100</f>
        <v>18.8679245283019</v>
      </c>
      <c r="R16" s="29" t="n">
        <f aca="false">I16*E16*(100-F16)/100</f>
        <v>12.5786163522013</v>
      </c>
      <c r="S16" s="29" t="n">
        <f aca="false">R16/P16 * 100</f>
        <v>40</v>
      </c>
      <c r="T16" s="14" t="n">
        <v>0.1</v>
      </c>
      <c r="U16" s="1" t="n">
        <v>212</v>
      </c>
      <c r="W16" s="19" t="n">
        <v>290</v>
      </c>
      <c r="Z16" s="19" t="n">
        <v>6000</v>
      </c>
      <c r="AC16" s="14" t="n">
        <v>0.3</v>
      </c>
      <c r="AD16" s="25" t="n">
        <f aca="false">4700/121000*290</f>
        <v>11.2644628099174</v>
      </c>
      <c r="AE16" s="20"/>
      <c r="AF16" s="32" t="s">
        <v>172</v>
      </c>
    </row>
    <row r="17" customFormat="false" ht="14.15" hidden="false" customHeight="false" outlineLevel="0" collapsed="false">
      <c r="A17" s="18" t="s">
        <v>180</v>
      </c>
      <c r="B17" s="1" t="s">
        <v>181</v>
      </c>
      <c r="C17" s="10" t="s">
        <v>171</v>
      </c>
      <c r="D17" s="36" t="n">
        <f aca="false">(4/PI()) * (H17/(G17*F17/100 *1.78)) * 10000</f>
        <v>150.43178023549</v>
      </c>
      <c r="E17" s="37" t="n">
        <f aca="false">(H17/(G17/1000))/F17 *100</f>
        <v>21.0304942166141</v>
      </c>
      <c r="F17" s="14" t="n">
        <v>60</v>
      </c>
      <c r="G17" s="19" t="n">
        <v>317</v>
      </c>
      <c r="H17" s="14" t="n">
        <v>4</v>
      </c>
      <c r="I17" s="1" t="n">
        <v>1</v>
      </c>
      <c r="J17" s="10" t="s">
        <v>58</v>
      </c>
      <c r="K17" s="1" t="n">
        <v>0</v>
      </c>
      <c r="L17" s="10" t="n">
        <v>0</v>
      </c>
      <c r="M17" s="36" t="n">
        <f aca="false">D17*I17+K17</f>
        <v>150.43178023549</v>
      </c>
      <c r="N17" s="33" t="n">
        <f aca="false">(P17/1000) / (M17/10000)</f>
        <v>1.39800873084746</v>
      </c>
      <c r="O17" s="38"/>
      <c r="P17" s="29" t="n">
        <f aca="false">E17*I17+L17</f>
        <v>21.0304942166141</v>
      </c>
      <c r="Q17" s="29" t="n">
        <f aca="false">I17*E17*F17/100</f>
        <v>12.6182965299685</v>
      </c>
      <c r="R17" s="29" t="n">
        <f aca="false">I17*E17*(100-F17)/100</f>
        <v>8.41219768664564</v>
      </c>
      <c r="S17" s="29" t="n">
        <f aca="false">R17/P17 * 100</f>
        <v>40</v>
      </c>
      <c r="T17" s="14" t="n">
        <v>0.1</v>
      </c>
      <c r="U17" s="1" t="n">
        <v>317</v>
      </c>
      <c r="W17" s="19" t="n">
        <v>290</v>
      </c>
      <c r="Z17" s="19" t="n">
        <v>6000</v>
      </c>
      <c r="AC17" s="14"/>
      <c r="AD17" s="25" t="n">
        <f aca="false">4700/121000*290</f>
        <v>11.2644628099174</v>
      </c>
      <c r="AE17" s="20"/>
      <c r="AF17" s="32" t="s">
        <v>172</v>
      </c>
    </row>
    <row r="18" customFormat="false" ht="26.85" hidden="false" customHeight="false" outlineLevel="0" collapsed="false">
      <c r="A18" s="18" t="s">
        <v>182</v>
      </c>
      <c r="B18" s="10" t="s">
        <v>183</v>
      </c>
      <c r="C18" s="1" t="s">
        <v>184</v>
      </c>
      <c r="D18" s="19" t="n">
        <v>250</v>
      </c>
      <c r="E18" s="37" t="n">
        <f aca="false">(40/((1.6/2)^2 *PI())) /2</f>
        <v>9.94718394324346</v>
      </c>
      <c r="F18" s="1" t="n">
        <v>100</v>
      </c>
      <c r="G18" s="19" t="n">
        <v>3806</v>
      </c>
      <c r="H18" s="19" t="n">
        <v>4</v>
      </c>
      <c r="I18" s="1" t="n">
        <v>1</v>
      </c>
      <c r="J18" s="1" t="s">
        <v>58</v>
      </c>
      <c r="K18" s="1" t="n">
        <v>0</v>
      </c>
      <c r="L18" s="1" t="n">
        <v>0</v>
      </c>
      <c r="M18" s="5" t="n">
        <f aca="false">D18*I18+K18</f>
        <v>250</v>
      </c>
      <c r="N18" s="33" t="n">
        <f aca="false">(P18/1000) / (M18/10000)</f>
        <v>0.397887357729738</v>
      </c>
      <c r="O18" s="38"/>
      <c r="P18" s="29" t="n">
        <f aca="false">(E18/F18 *100)*I18+L18</f>
        <v>9.94718394324346</v>
      </c>
      <c r="Q18" s="29" t="n">
        <f aca="false">(E18/F18 *100)</f>
        <v>9.94718394324346</v>
      </c>
      <c r="R18" s="29" t="n">
        <f aca="false">I18*E18*(100-F18)/100 +L18</f>
        <v>0</v>
      </c>
      <c r="S18" s="29" t="n">
        <f aca="false">R18/P18 * 100</f>
        <v>0</v>
      </c>
      <c r="T18" s="14" t="n">
        <v>0</v>
      </c>
      <c r="W18" s="19" t="s">
        <v>185</v>
      </c>
      <c r="Z18" s="19" t="s">
        <v>186</v>
      </c>
      <c r="AC18" s="14" t="n">
        <v>0.3</v>
      </c>
      <c r="AD18" s="25" t="n">
        <f aca="false">4700/121000*4.5</f>
        <v>0.174793388429752</v>
      </c>
      <c r="AE18" s="20"/>
      <c r="AF18" s="10" t="s">
        <v>187</v>
      </c>
      <c r="AG18" s="1" t="s">
        <v>188</v>
      </c>
    </row>
    <row r="19" customFormat="false" ht="26.85" hidden="false" customHeight="false" outlineLevel="0" collapsed="false">
      <c r="A19" s="18" t="s">
        <v>189</v>
      </c>
      <c r="B19" s="10" t="s">
        <v>190</v>
      </c>
      <c r="C19" s="1" t="s">
        <v>191</v>
      </c>
      <c r="D19" s="33" t="n">
        <f aca="false">M19</f>
        <v>192.307692307692</v>
      </c>
      <c r="E19" s="39" t="n">
        <v>5</v>
      </c>
      <c r="F19" s="1" t="n">
        <v>80</v>
      </c>
      <c r="G19" s="19" t="n">
        <v>200</v>
      </c>
      <c r="H19" s="5" t="n">
        <f aca="false">E19/1000*G19</f>
        <v>1</v>
      </c>
      <c r="I19" s="1" t="n">
        <v>1</v>
      </c>
      <c r="J19" s="1" t="s">
        <v>58</v>
      </c>
      <c r="K19" s="1" t="n">
        <v>0</v>
      </c>
      <c r="L19" s="1" t="n">
        <v>0</v>
      </c>
      <c r="M19" s="33" t="n">
        <f aca="false">(P19/1000)/N19 *10000</f>
        <v>192.307692307692</v>
      </c>
      <c r="N19" s="19" t="n">
        <v>0.325</v>
      </c>
      <c r="O19" s="19" t="n">
        <v>83</v>
      </c>
      <c r="P19" s="29" t="n">
        <f aca="false">(E19/F19 *100)*I19+L19</f>
        <v>6.25</v>
      </c>
      <c r="Q19" s="29" t="n">
        <f aca="false">(E19/F19 *100)</f>
        <v>6.25</v>
      </c>
      <c r="R19" s="29" t="n">
        <f aca="false">I19*E19*(100-F19)/100 +L19</f>
        <v>1</v>
      </c>
      <c r="S19" s="29" t="n">
        <f aca="false">R19/P19 * 100</f>
        <v>16</v>
      </c>
      <c r="T19" s="14" t="n">
        <v>0.1</v>
      </c>
      <c r="W19" s="19" t="n">
        <v>550</v>
      </c>
      <c r="Z19" s="20"/>
      <c r="AC19" s="14" t="n">
        <v>0.3</v>
      </c>
      <c r="AD19" s="20"/>
      <c r="AE19" s="20"/>
      <c r="AF19" s="10" t="s">
        <v>192</v>
      </c>
      <c r="AG19" s="40" t="s">
        <v>193</v>
      </c>
    </row>
    <row r="20" customFormat="false" ht="26.85" hidden="false" customHeight="false" outlineLevel="0" collapsed="false">
      <c r="A20" s="18" t="s">
        <v>194</v>
      </c>
      <c r="B20" s="10" t="s">
        <v>195</v>
      </c>
      <c r="C20" s="1" t="s">
        <v>196</v>
      </c>
      <c r="D20" s="19" t="n">
        <v>8</v>
      </c>
      <c r="E20" s="19" t="n">
        <v>1.5</v>
      </c>
      <c r="F20" s="19" t="n">
        <v>90</v>
      </c>
      <c r="G20" s="19" t="n">
        <v>255</v>
      </c>
      <c r="H20" s="19" t="n">
        <v>0.4</v>
      </c>
      <c r="I20" s="19" t="n">
        <v>1</v>
      </c>
      <c r="J20" s="1" t="s">
        <v>58</v>
      </c>
      <c r="K20" s="1" t="n">
        <v>0</v>
      </c>
      <c r="L20" s="1" t="n">
        <v>0</v>
      </c>
      <c r="M20" s="5" t="n">
        <f aca="false">D20+K20</f>
        <v>8</v>
      </c>
      <c r="N20" s="19" t="n">
        <v>0.5</v>
      </c>
      <c r="O20" s="20"/>
      <c r="P20" s="29" t="n">
        <f aca="false">(E20/F20 *100)*I20+L20</f>
        <v>1.66666666666667</v>
      </c>
      <c r="Q20" s="29" t="n">
        <f aca="false">(E20/F20 *100)</f>
        <v>1.66666666666667</v>
      </c>
      <c r="R20" s="29" t="n">
        <f aca="false">I20*E20*(100-F20)/100 +L20</f>
        <v>0.15</v>
      </c>
      <c r="S20" s="29" t="n">
        <f aca="false">R20/P20 * 100</f>
        <v>9</v>
      </c>
      <c r="T20" s="14" t="n">
        <v>0.1</v>
      </c>
      <c r="W20" s="19" t="s">
        <v>197</v>
      </c>
      <c r="Z20" s="19" t="s">
        <v>198</v>
      </c>
      <c r="AC20" s="14" t="n">
        <v>0.3</v>
      </c>
      <c r="AD20" s="25" t="n">
        <f aca="false">4700/121000*6.2</f>
        <v>0.240826446280992</v>
      </c>
      <c r="AE20" s="19" t="s">
        <v>199</v>
      </c>
      <c r="AF20" s="17" t="s">
        <v>200</v>
      </c>
      <c r="AG20" s="1" t="s">
        <v>201</v>
      </c>
    </row>
    <row r="21" customFormat="false" ht="12.75" hidden="false" customHeight="false" outlineLevel="0" collapsed="false">
      <c r="A21" s="18" t="s">
        <v>202</v>
      </c>
      <c r="B21" s="1" t="s">
        <v>203</v>
      </c>
      <c r="C21" s="1" t="s">
        <v>204</v>
      </c>
      <c r="D21" s="19" t="n">
        <v>20</v>
      </c>
      <c r="E21" s="37" t="n">
        <f aca="false">((H21/G21 *1000)/47) *100</f>
        <v>2.50567015876445</v>
      </c>
      <c r="F21" s="19" t="s">
        <v>205</v>
      </c>
      <c r="G21" s="19" t="n">
        <v>985</v>
      </c>
      <c r="H21" s="19" t="n">
        <v>1.16</v>
      </c>
      <c r="I21" s="19" t="n">
        <v>1</v>
      </c>
      <c r="J21" s="1" t="s">
        <v>58</v>
      </c>
      <c r="K21" s="1" t="n">
        <v>0</v>
      </c>
      <c r="L21" s="1" t="n">
        <v>0</v>
      </c>
      <c r="M21" s="5" t="n">
        <f aca="false">D21+K21</f>
        <v>20</v>
      </c>
      <c r="N21" s="19" t="n">
        <v>1.3</v>
      </c>
      <c r="O21" s="20"/>
      <c r="P21" s="29" t="n">
        <f aca="false">(E21/47 *100)*I21+L21</f>
        <v>5.33121310375414</v>
      </c>
      <c r="Q21" s="29" t="n">
        <f aca="false">(E21/47 *100)</f>
        <v>5.33121310375414</v>
      </c>
      <c r="R21" s="29" t="n">
        <f aca="false">I21*E21*(100-47)/100 +L21</f>
        <v>1.32800518414516</v>
      </c>
      <c r="S21" s="29" t="n">
        <f aca="false">R21/P21 * 100</f>
        <v>24.91</v>
      </c>
      <c r="T21" s="14" t="n">
        <v>0.4</v>
      </c>
      <c r="W21" s="33" t="n">
        <v>19.5362692039106</v>
      </c>
      <c r="Z21" s="19" t="n">
        <v>90</v>
      </c>
      <c r="AC21" s="14" t="n">
        <v>0.3</v>
      </c>
      <c r="AD21" s="25" t="n">
        <f aca="false">4700/121000*19.53</f>
        <v>0.758603305785124</v>
      </c>
      <c r="AE21" s="19" t="n">
        <v>0.5</v>
      </c>
      <c r="AF21" s="17" t="s">
        <v>206</v>
      </c>
      <c r="AG21" s="40" t="s">
        <v>207</v>
      </c>
    </row>
    <row r="22" customFormat="false" ht="26.85" hidden="false" customHeight="false" outlineLevel="0" collapsed="false">
      <c r="A22" s="18" t="s">
        <v>208</v>
      </c>
      <c r="B22" s="10" t="s">
        <v>209</v>
      </c>
      <c r="C22" s="1" t="s">
        <v>210</v>
      </c>
      <c r="D22" s="19" t="s">
        <v>211</v>
      </c>
      <c r="E22" s="19" t="s">
        <v>212</v>
      </c>
      <c r="F22" s="19" t="n">
        <v>73</v>
      </c>
      <c r="G22" s="19" t="n">
        <v>3500</v>
      </c>
      <c r="H22" s="37" t="n">
        <f aca="false">(1*F22/100)/1000*G22</f>
        <v>2.555</v>
      </c>
      <c r="I22" s="1" t="n">
        <v>1</v>
      </c>
      <c r="J22" s="1" t="s">
        <v>58</v>
      </c>
      <c r="K22" s="1" t="n">
        <v>0</v>
      </c>
      <c r="L22" s="1" t="n">
        <v>0</v>
      </c>
      <c r="M22" s="5" t="n">
        <v>45</v>
      </c>
      <c r="N22" s="5" t="n">
        <f aca="false">(1/1000) / (M22/10000)</f>
        <v>0.222222222222222</v>
      </c>
      <c r="O22" s="20"/>
      <c r="P22" s="29" t="n">
        <f aca="false">(1/F22 *100)*I22+L22</f>
        <v>1.36986301369863</v>
      </c>
      <c r="Q22" s="29" t="n">
        <f aca="false">(1/F22 *100)</f>
        <v>1.36986301369863</v>
      </c>
      <c r="R22" s="29" t="n">
        <f aca="false">I22*1*(100-F22)/100 +L22</f>
        <v>0.27</v>
      </c>
      <c r="S22" s="29" t="n">
        <f aca="false">R22/P22 * 100</f>
        <v>19.71</v>
      </c>
      <c r="T22" s="14" t="n">
        <v>0.4</v>
      </c>
      <c r="W22" s="19" t="n">
        <v>7</v>
      </c>
      <c r="Z22" s="19" t="n">
        <v>1</v>
      </c>
      <c r="AC22" s="14" t="n">
        <v>0.3</v>
      </c>
      <c r="AD22" s="25" t="n">
        <f aca="false">123/230*7</f>
        <v>3.74347826086957</v>
      </c>
      <c r="AE22" s="19" t="n">
        <v>13</v>
      </c>
      <c r="AF22" s="1" t="s">
        <v>213</v>
      </c>
      <c r="AG22" s="1" t="s">
        <v>214</v>
      </c>
    </row>
    <row r="23" customFormat="false" ht="26.85" hidden="false" customHeight="false" outlineLevel="0" collapsed="false">
      <c r="A23" s="18" t="s">
        <v>215</v>
      </c>
      <c r="B23" s="10" t="s">
        <v>216</v>
      </c>
      <c r="C23" s="1" t="s">
        <v>217</v>
      </c>
      <c r="D23" s="19" t="s">
        <v>218</v>
      </c>
      <c r="E23" s="37" t="n">
        <f aca="false">2.23/3</f>
        <v>0.743333333333333</v>
      </c>
      <c r="F23" s="41" t="n">
        <f aca="false">18*1.81/(18*1.81+82*1.123)*100</f>
        <v>26.1338295926716</v>
      </c>
      <c r="G23" s="19" t="s">
        <v>219</v>
      </c>
      <c r="H23" s="37" t="n">
        <f aca="false">E23/1000*232</f>
        <v>0.172453333333333</v>
      </c>
      <c r="I23" s="1" t="n">
        <v>1</v>
      </c>
      <c r="J23" s="1" t="s">
        <v>58</v>
      </c>
      <c r="K23" s="1" t="n">
        <v>0</v>
      </c>
      <c r="L23" s="1" t="n">
        <v>0</v>
      </c>
      <c r="M23" s="5" t="n">
        <v>44</v>
      </c>
      <c r="N23" s="5" t="n">
        <f aca="false">(P23/1000) / (M23/10000)</f>
        <v>0.646439486950536</v>
      </c>
      <c r="O23" s="20"/>
      <c r="P23" s="29" t="n">
        <f aca="false">(E23/F23 *100)*I23+L23</f>
        <v>2.84433374258236</v>
      </c>
      <c r="Q23" s="29" t="n">
        <f aca="false">(E23/F23 *100)</f>
        <v>2.84433374258236</v>
      </c>
      <c r="R23" s="29" t="n">
        <f aca="false">I23*E23*(100-F23)/100 +L23</f>
        <v>0.549071866694474</v>
      </c>
      <c r="S23" s="29" t="n">
        <f aca="false">R23/P23 * 100</f>
        <v>19.3040591008836</v>
      </c>
      <c r="T23" s="14" t="n">
        <v>0.1</v>
      </c>
      <c r="W23" s="19" t="s">
        <v>220</v>
      </c>
      <c r="X23" s="19" t="s">
        <v>221</v>
      </c>
      <c r="Z23" s="19" t="s">
        <v>222</v>
      </c>
      <c r="AA23" s="19" t="s">
        <v>223</v>
      </c>
      <c r="AC23" s="19" t="s">
        <v>224</v>
      </c>
      <c r="AD23" s="19" t="s">
        <v>225</v>
      </c>
      <c r="AE23" s="20"/>
      <c r="AF23" s="42" t="s">
        <v>226</v>
      </c>
      <c r="AG23" s="1" t="s">
        <v>227</v>
      </c>
    </row>
    <row r="24" customFormat="false" ht="12.75" hidden="false" customHeight="false" outlineLevel="0" collapsed="false">
      <c r="A24" s="28" t="s">
        <v>228</v>
      </c>
      <c r="B24" s="1" t="s">
        <v>229</v>
      </c>
      <c r="W24" s="26" t="s">
        <v>230</v>
      </c>
      <c r="Z24" s="26" t="s">
        <v>231</v>
      </c>
      <c r="AG24" s="43" t="s">
        <v>232</v>
      </c>
    </row>
    <row r="25" customFormat="false" ht="12.75" hidden="false" customHeight="false" outlineLevel="0" collapsed="false">
      <c r="A25" s="28" t="s">
        <v>233</v>
      </c>
      <c r="B25" s="1" t="s">
        <v>234</v>
      </c>
      <c r="W25" s="26" t="s">
        <v>235</v>
      </c>
      <c r="Z25" s="26" t="s">
        <v>236</v>
      </c>
      <c r="AG25" s="43"/>
    </row>
    <row r="26" customFormat="false" ht="12.75" hidden="false" customHeight="false" outlineLevel="0" collapsed="false">
      <c r="A26" s="18" t="s">
        <v>237</v>
      </c>
      <c r="B26" s="1" t="s">
        <v>238</v>
      </c>
      <c r="C26" s="1" t="s">
        <v>239</v>
      </c>
      <c r="W26" s="26" t="s">
        <v>240</v>
      </c>
      <c r="Z26" s="26" t="s">
        <v>241</v>
      </c>
      <c r="AG26" s="43"/>
    </row>
    <row r="27" customFormat="false" ht="12.75" hidden="false" customHeight="false" outlineLevel="0" collapsed="false">
      <c r="A27" s="18" t="s">
        <v>242</v>
      </c>
      <c r="B27" s="1" t="s">
        <v>243</v>
      </c>
      <c r="C27" s="1" t="s">
        <v>244</v>
      </c>
      <c r="W27" s="26" t="s">
        <v>245</v>
      </c>
      <c r="Z27" s="26" t="s">
        <v>246</v>
      </c>
      <c r="AG27" s="43"/>
    </row>
  </sheetData>
  <mergeCells count="1">
    <mergeCell ref="AG24:AG27"/>
  </mergeCells>
  <hyperlinks>
    <hyperlink ref="AF8" r:id="rId2" display="10.1016/j.ijengsci.2020.103232&#10;https://matweb.com/search/DataSheet.aspx?MatGUID=1980eb23287a4408adc404dd39293942"/>
    <hyperlink ref="AF9" r:id="rId3" display="10.1016/j.ijengsci.2020.103232&#10;https://matweb.com/search/DataSheet.aspx?MatGUID=1980eb23287a4408adc404dd39293942"/>
    <hyperlink ref="AF10" r:id="rId4" display="10.1016/j.ijengsci.2020.103232&#10;https://matweb.com/search/DataSheet.aspx?MatGUID=1980eb23287a4408adc404dd39293942"/>
    <hyperlink ref="AF11" r:id="rId5" display="10.1016/j.ijengsci.2020.103232&#10;https://matweb.com/search/DataSheet.aspx?MatGUID=1980eb23287a4408adc404dd39293942"/>
    <hyperlink ref="AF20" r:id="rId6" display="https://doi.org/10.1021/acsami.1c06413?urlappend=%3Fref%3DPDF&amp;jav=VoR&amp;rel=cite-as"/>
    <hyperlink ref="AF21" r:id="rId7" display="https://doi.org/10.1021/nn303393p"/>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6" topLeftCell="X7" activePane="bottomRight" state="frozen"/>
      <selection pane="topLeft" activeCell="A1" activeCellId="0" sqref="A1"/>
      <selection pane="topRight" activeCell="X1" activeCellId="0" sqref="X1"/>
      <selection pane="bottomLeft" activeCell="A7" activeCellId="0" sqref="A7"/>
      <selection pane="bottomRight" activeCell="AB12" activeCellId="0" sqref="AB12"/>
    </sheetView>
  </sheetViews>
  <sheetFormatPr defaultColWidth="11.5703125" defaultRowHeight="12.75" zeroHeight="false" outlineLevelRow="0" outlineLevelCol="0"/>
  <cols>
    <col collapsed="false" customWidth="true" hidden="false" outlineLevel="0" max="1" min="1" style="1" width="25"/>
    <col collapsed="false" customWidth="true" hidden="false" outlineLevel="0" max="2" min="2" style="1" width="47.86"/>
    <col collapsed="false" customWidth="false" hidden="false" outlineLevel="0" max="3" min="3" style="1" width="11.57"/>
    <col collapsed="false" customWidth="true" hidden="false" outlineLevel="0" max="4" min="4" style="1" width="11.14"/>
    <col collapsed="false" customWidth="true" hidden="false" outlineLevel="0" max="5" min="5" style="1" width="25.29"/>
    <col collapsed="false" customWidth="true" hidden="false" outlineLevel="0" max="6" min="6" style="1" width="31"/>
    <col collapsed="false" customWidth="true" hidden="false" outlineLevel="0" max="7" min="7" style="1" width="33.57"/>
    <col collapsed="false" customWidth="true" hidden="false" outlineLevel="0" max="8" min="8" style="1" width="14.71"/>
    <col collapsed="false" customWidth="true" hidden="false" outlineLevel="0" max="9" min="9" style="1" width="11.14"/>
    <col collapsed="false" customWidth="true" hidden="false" outlineLevel="0" max="12" min="10" style="1" width="13.86"/>
    <col collapsed="false" customWidth="true" hidden="false" outlineLevel="0" max="13" min="13" style="1" width="14.14"/>
    <col collapsed="false" customWidth="true" hidden="false" outlineLevel="0" max="14" min="14" style="1" width="7.57"/>
    <col collapsed="false" customWidth="false" hidden="false" outlineLevel="0" max="15" min="15" style="1" width="11.57"/>
    <col collapsed="false" customWidth="true" hidden="false" outlineLevel="0" max="16" min="16" style="1" width="12"/>
    <col collapsed="false" customWidth="true" hidden="false" outlineLevel="0" max="17" min="17" style="1" width="18.29"/>
    <col collapsed="false" customWidth="true" hidden="false" outlineLevel="0" max="18" min="18" style="1" width="24.57"/>
    <col collapsed="false" customWidth="true" hidden="false" outlineLevel="0" max="19" min="19" style="1" width="13.15"/>
    <col collapsed="false" customWidth="true" hidden="false" outlineLevel="0" max="21" min="20" style="1" width="14.86"/>
    <col collapsed="false" customWidth="true" hidden="false" outlineLevel="0" max="22" min="22" style="1" width="13.29"/>
    <col collapsed="false" customWidth="true" hidden="false" outlineLevel="0" max="23" min="23" style="1" width="7.15"/>
    <col collapsed="false" customWidth="true" hidden="false" outlineLevel="0" max="24" min="24" style="1" width="7"/>
    <col collapsed="false" customWidth="true" hidden="false" outlineLevel="0" max="25" min="25" style="1" width="12.86"/>
    <col collapsed="false" customWidth="true" hidden="false" outlineLevel="0" max="26" min="26" style="1" width="7.29"/>
    <col collapsed="false" customWidth="true" hidden="false" outlineLevel="0" max="27" min="27" style="1" width="7.15"/>
    <col collapsed="false" customWidth="true" hidden="false" outlineLevel="0" max="28" min="28" style="1" width="6.29"/>
    <col collapsed="false" customWidth="true" hidden="false" outlineLevel="0" max="29" min="29" style="1" width="5.42"/>
    <col collapsed="false" customWidth="true" hidden="false" outlineLevel="0" max="30" min="30" style="1" width="12.86"/>
    <col collapsed="false" customWidth="true" hidden="false" outlineLevel="0" max="31" min="31" style="1" width="81"/>
    <col collapsed="false" customWidth="false" hidden="false" outlineLevel="0" max="16384" min="32" style="1" width="11.57"/>
  </cols>
  <sheetData>
    <row r="1" customFormat="false" ht="12.75" hidden="false" customHeight="false" outlineLevel="0" collapsed="false">
      <c r="A1" s="2" t="s">
        <v>0</v>
      </c>
    </row>
    <row r="2" customFormat="false" ht="12.75" hidden="false" customHeight="false" outlineLevel="0" collapsed="false">
      <c r="A2" s="3" t="s">
        <v>1</v>
      </c>
    </row>
    <row r="3" customFormat="false" ht="26.85" hidden="false" customHeight="false" outlineLevel="0" collapsed="false">
      <c r="A3" s="4" t="s">
        <v>2</v>
      </c>
    </row>
    <row r="4" customFormat="false" ht="12.75" hidden="false" customHeight="false" outlineLevel="0" collapsed="false">
      <c r="A4" s="5" t="s">
        <v>4</v>
      </c>
      <c r="V4" s="1" t="s">
        <v>7</v>
      </c>
      <c r="Y4" s="1" t="s">
        <v>8</v>
      </c>
      <c r="AD4" s="1" t="s">
        <v>9</v>
      </c>
    </row>
    <row r="5" s="6" customFormat="true" ht="12.75" hidden="false" customHeight="false" outlineLevel="0" collapsed="false">
      <c r="C5" s="6" t="s">
        <v>122</v>
      </c>
      <c r="D5" s="6" t="s">
        <v>122</v>
      </c>
      <c r="E5" s="6" t="s">
        <v>122</v>
      </c>
      <c r="F5" s="6" t="s">
        <v>122</v>
      </c>
      <c r="G5" s="6" t="s">
        <v>122</v>
      </c>
      <c r="H5" s="6" t="s">
        <v>122</v>
      </c>
      <c r="I5" s="6" t="s">
        <v>122</v>
      </c>
      <c r="J5" s="6" t="s">
        <v>123</v>
      </c>
      <c r="K5" s="6" t="s">
        <v>123</v>
      </c>
      <c r="L5" s="6" t="s">
        <v>123</v>
      </c>
      <c r="O5" s="6" t="s">
        <v>122</v>
      </c>
      <c r="T5" s="6" t="s">
        <v>124</v>
      </c>
      <c r="U5" s="6" t="s">
        <v>125</v>
      </c>
    </row>
    <row r="6" s="6" customFormat="true" ht="12.75" hidden="false" customHeight="false" outlineLevel="0" collapsed="false">
      <c r="A6" s="6" t="s">
        <v>14</v>
      </c>
      <c r="B6" s="6" t="s">
        <v>15</v>
      </c>
      <c r="C6" s="6" t="s">
        <v>16</v>
      </c>
      <c r="D6" s="6" t="s">
        <v>17</v>
      </c>
      <c r="E6" s="6" t="s">
        <v>126</v>
      </c>
      <c r="F6" s="6" t="s">
        <v>127</v>
      </c>
      <c r="G6" s="6" t="s">
        <v>128</v>
      </c>
      <c r="H6" s="6" t="s">
        <v>129</v>
      </c>
      <c r="I6" s="6" t="s">
        <v>3</v>
      </c>
      <c r="J6" s="6" t="s">
        <v>16</v>
      </c>
      <c r="K6" s="6" t="s">
        <v>17</v>
      </c>
      <c r="L6" s="6" t="s">
        <v>18</v>
      </c>
      <c r="M6" s="6" t="s">
        <v>17</v>
      </c>
      <c r="N6" s="6" t="s">
        <v>19</v>
      </c>
      <c r="O6" s="6" t="s">
        <v>75</v>
      </c>
      <c r="P6" s="6" t="s">
        <v>18</v>
      </c>
      <c r="Q6" s="6" t="s">
        <v>247</v>
      </c>
      <c r="R6" s="6" t="s">
        <v>20</v>
      </c>
      <c r="S6" s="6" t="s">
        <v>132</v>
      </c>
      <c r="T6" s="6" t="s">
        <v>133</v>
      </c>
      <c r="U6" s="6" t="s">
        <v>133</v>
      </c>
      <c r="V6" s="6" t="s">
        <v>21</v>
      </c>
      <c r="W6" s="6" t="s">
        <v>22</v>
      </c>
      <c r="X6" s="6" t="s">
        <v>23</v>
      </c>
      <c r="Y6" s="6" t="s">
        <v>24</v>
      </c>
      <c r="Z6" s="6" t="s">
        <v>25</v>
      </c>
      <c r="AA6" s="6" t="s">
        <v>26</v>
      </c>
      <c r="AB6" s="6" t="s">
        <v>27</v>
      </c>
      <c r="AC6" s="6" t="s">
        <v>28</v>
      </c>
      <c r="AD6" s="6" t="s">
        <v>29</v>
      </c>
      <c r="AE6" s="6" t="s">
        <v>30</v>
      </c>
    </row>
    <row r="7" s="6" customFormat="true" ht="12.75" hidden="false" customHeight="false" outlineLevel="0" collapsed="false">
      <c r="D7" s="7" t="s">
        <v>32</v>
      </c>
      <c r="E7" s="7" t="s">
        <v>134</v>
      </c>
      <c r="F7" s="6" t="s">
        <v>35</v>
      </c>
      <c r="G7" s="7" t="s">
        <v>135</v>
      </c>
      <c r="H7" s="7" t="s">
        <v>136</v>
      </c>
      <c r="K7" s="7" t="s">
        <v>32</v>
      </c>
      <c r="L7" s="6" t="s">
        <v>134</v>
      </c>
      <c r="M7" s="7" t="s">
        <v>32</v>
      </c>
      <c r="N7" s="6" t="s">
        <v>137</v>
      </c>
      <c r="O7" s="6" t="s">
        <v>35</v>
      </c>
      <c r="P7" s="6" t="s">
        <v>134</v>
      </c>
      <c r="Q7" s="6" t="s">
        <v>134</v>
      </c>
      <c r="R7" s="6" t="s">
        <v>35</v>
      </c>
      <c r="S7" s="6" t="s">
        <v>138</v>
      </c>
      <c r="T7" s="6" t="s">
        <v>135</v>
      </c>
      <c r="U7" s="6" t="s">
        <v>135</v>
      </c>
      <c r="V7" s="6" t="s">
        <v>36</v>
      </c>
      <c r="W7" s="6" t="s">
        <v>36</v>
      </c>
      <c r="X7" s="6" t="s">
        <v>36</v>
      </c>
      <c r="Y7" s="6" t="s">
        <v>37</v>
      </c>
      <c r="Z7" s="6" t="s">
        <v>37</v>
      </c>
      <c r="AA7" s="6" t="s">
        <v>37</v>
      </c>
      <c r="AC7" s="6" t="s">
        <v>36</v>
      </c>
      <c r="AD7" s="6" t="s">
        <v>35</v>
      </c>
    </row>
    <row r="8" customFormat="false" ht="26.85" hidden="false" customHeight="false" outlineLevel="0" collapsed="false">
      <c r="A8" s="9" t="s">
        <v>248</v>
      </c>
      <c r="B8" s="10" t="s">
        <v>249</v>
      </c>
      <c r="C8" s="10" t="s">
        <v>250</v>
      </c>
      <c r="D8" s="5" t="n">
        <f aca="false">(177-K8)/2</f>
        <v>81.85</v>
      </c>
      <c r="E8" s="5" t="n">
        <f aca="false">((53.8-L8)*F8/100)/I8</f>
        <v>22.892</v>
      </c>
      <c r="F8" s="19" t="n">
        <v>97</v>
      </c>
      <c r="G8" s="19" t="n">
        <v>175</v>
      </c>
      <c r="H8" s="37" t="n">
        <f aca="false">G8*((E8)/1000)</f>
        <v>4.0061</v>
      </c>
      <c r="I8" s="19" t="n">
        <v>2</v>
      </c>
      <c r="J8" s="10" t="s">
        <v>251</v>
      </c>
      <c r="K8" s="19" t="n">
        <v>13.3</v>
      </c>
      <c r="L8" s="41" t="n">
        <f aca="false">53.8-47.2</f>
        <v>6.59999999999999</v>
      </c>
      <c r="M8" s="13" t="s">
        <v>252</v>
      </c>
      <c r="N8" s="5" t="n">
        <v>3.049</v>
      </c>
      <c r="O8" s="19" t="n">
        <v>31</v>
      </c>
      <c r="P8" s="31" t="s">
        <v>253</v>
      </c>
      <c r="Q8" s="29" t="n">
        <f aca="false">I8*(1-E8/F8)+L8</f>
        <v>8.128</v>
      </c>
      <c r="R8" s="29" t="n">
        <f aca="false">Q8/53.8 * 100</f>
        <v>15.1078066914498</v>
      </c>
      <c r="S8" s="44" t="n">
        <v>3.7</v>
      </c>
      <c r="V8" s="45" t="s">
        <v>254</v>
      </c>
      <c r="Y8" s="45" t="s">
        <v>255</v>
      </c>
      <c r="AB8" s="14" t="n">
        <v>0.33</v>
      </c>
      <c r="AC8" s="25" t="n">
        <f aca="false">26 / 69 * 4.763</f>
        <v>1.79475362318841</v>
      </c>
      <c r="AD8" s="45" t="s">
        <v>256</v>
      </c>
      <c r="AE8" s="15" t="s">
        <v>47</v>
      </c>
    </row>
    <row r="9" customFormat="false" ht="26.85" hidden="false" customHeight="false" outlineLevel="0" collapsed="false">
      <c r="A9" s="46" t="s">
        <v>257</v>
      </c>
      <c r="B9" s="10" t="s">
        <v>258</v>
      </c>
      <c r="C9" s="10" t="s">
        <v>259</v>
      </c>
      <c r="D9" s="10" t="n">
        <v>50</v>
      </c>
      <c r="E9" s="35"/>
      <c r="F9" s="10"/>
      <c r="G9" s="10"/>
      <c r="H9" s="47"/>
      <c r="I9" s="19" t="n">
        <v>2</v>
      </c>
      <c r="J9" s="10" t="s">
        <v>260</v>
      </c>
      <c r="K9" s="19" t="n">
        <v>15</v>
      </c>
      <c r="L9" s="10"/>
      <c r="M9" s="13" t="n">
        <v>115</v>
      </c>
      <c r="N9" s="35"/>
      <c r="O9" s="35"/>
      <c r="P9" s="35"/>
      <c r="Q9" s="29" t="e">
        <f aca="false">I9*(1-E9/F9)+L9</f>
        <v>#DIV/0!</v>
      </c>
      <c r="R9" s="29" t="e">
        <f aca="false">Q9/P9 * 100</f>
        <v>#DIV/0!</v>
      </c>
      <c r="S9" s="44" t="n">
        <v>3.2</v>
      </c>
      <c r="V9" s="45" t="s">
        <v>261</v>
      </c>
      <c r="Y9" s="45" t="s">
        <v>262</v>
      </c>
      <c r="AB9" s="14" t="n">
        <v>0.33</v>
      </c>
      <c r="AC9" s="25" t="n">
        <f aca="false">26 / 69 * 5.292</f>
        <v>1.99408695652174</v>
      </c>
      <c r="AD9" s="45" t="s">
        <v>263</v>
      </c>
      <c r="AE9" s="15" t="s">
        <v>47</v>
      </c>
    </row>
    <row r="10" customFormat="false" ht="12.75" hidden="false" customHeight="false" outlineLevel="0" collapsed="false">
      <c r="A10" s="46" t="s">
        <v>264</v>
      </c>
      <c r="B10" s="10" t="s">
        <v>265</v>
      </c>
      <c r="C10" s="10" t="s">
        <v>266</v>
      </c>
      <c r="D10" s="5" t="n">
        <f aca="false">(212.93-K10)/I10</f>
        <v>102.465</v>
      </c>
      <c r="E10" s="19" t="n">
        <v>2.165</v>
      </c>
      <c r="F10" s="19" t="n">
        <v>60</v>
      </c>
      <c r="G10" s="19" t="n">
        <v>1672</v>
      </c>
      <c r="H10" s="37" t="n">
        <f aca="false">G10*((E10)/1000)</f>
        <v>3.61988</v>
      </c>
      <c r="I10" s="19" t="n">
        <v>2</v>
      </c>
      <c r="J10" s="48" t="s">
        <v>260</v>
      </c>
      <c r="K10" s="19" t="n">
        <v>8</v>
      </c>
      <c r="L10" s="49" t="n">
        <v>2.2</v>
      </c>
      <c r="M10" s="13" t="s">
        <v>267</v>
      </c>
      <c r="N10" s="33" t="n">
        <f aca="false">(P10/1000)/(212.93/10000)</f>
        <v>0.442242364470327</v>
      </c>
      <c r="O10" s="35"/>
      <c r="P10" s="33" t="n">
        <f aca="false">L10+((E10/F10) *100)*I10</f>
        <v>9.41666666666667</v>
      </c>
      <c r="Q10" s="29" t="n">
        <f aca="false">I10*(1-E10/F10)+L10</f>
        <v>4.12783333333333</v>
      </c>
      <c r="R10" s="29" t="n">
        <f aca="false">Q10/P10 * 100</f>
        <v>43.8353982300885</v>
      </c>
      <c r="S10" s="44" t="n">
        <v>2.1</v>
      </c>
      <c r="V10" s="26" t="s">
        <v>268</v>
      </c>
      <c r="Y10" s="26" t="s">
        <v>269</v>
      </c>
      <c r="AB10" s="14" t="n">
        <v>0.33</v>
      </c>
      <c r="AC10" s="25" t="n">
        <f aca="false">26 / 69 * 0.419</f>
        <v>0.157884057971014</v>
      </c>
      <c r="AD10" s="35"/>
    </row>
    <row r="11" customFormat="false" ht="26.85" hidden="false" customHeight="false" outlineLevel="0" collapsed="false">
      <c r="A11" s="46" t="s">
        <v>270</v>
      </c>
      <c r="B11" s="10" t="s">
        <v>271</v>
      </c>
      <c r="C11" s="10" t="s">
        <v>250</v>
      </c>
      <c r="D11" s="5" t="n">
        <f aca="false">(102-K11)/2</f>
        <v>43.5</v>
      </c>
      <c r="E11" s="5" t="n">
        <f aca="false">1000*(H11/G11)</f>
        <v>12.5</v>
      </c>
      <c r="F11" s="19" t="n">
        <v>95</v>
      </c>
      <c r="G11" s="19" t="n">
        <v>160</v>
      </c>
      <c r="H11" s="39" t="n">
        <v>2</v>
      </c>
      <c r="I11" s="19" t="n">
        <v>2</v>
      </c>
      <c r="J11" s="48" t="s">
        <v>272</v>
      </c>
      <c r="K11" s="19" t="n">
        <v>15</v>
      </c>
      <c r="L11" s="50" t="s">
        <v>273</v>
      </c>
      <c r="M11" s="13" t="s">
        <v>274</v>
      </c>
      <c r="N11" s="5" t="n">
        <v>2.978</v>
      </c>
      <c r="O11" s="19" t="n">
        <v>36</v>
      </c>
      <c r="P11" s="26" t="s">
        <v>275</v>
      </c>
      <c r="Q11" s="29" t="e">
        <f aca="false">I11*(1-E11/F11)+L11</f>
        <v>#VALUE!</v>
      </c>
      <c r="R11" s="29" t="e">
        <f aca="false">Q11/30.4 * 100</f>
        <v>#VALUE!</v>
      </c>
      <c r="S11" s="39" t="n">
        <v>3.7</v>
      </c>
      <c r="V11" s="35"/>
      <c r="Y11" s="35"/>
      <c r="AB11" s="35"/>
      <c r="AC11" s="35"/>
      <c r="AD11" s="35"/>
    </row>
    <row r="12" customFormat="false" ht="26.85" hidden="false" customHeight="false" outlineLevel="0" collapsed="false">
      <c r="A12" s="51" t="s">
        <v>276</v>
      </c>
      <c r="B12" s="10" t="s">
        <v>277</v>
      </c>
      <c r="C12" s="1" t="s">
        <v>278</v>
      </c>
      <c r="D12" s="1" t="n">
        <v>0</v>
      </c>
      <c r="E12" s="19" t="n">
        <v>1</v>
      </c>
      <c r="F12" s="37" t="n">
        <f aca="false">(100/(E12+L12)) * E12</f>
        <v>9.97008973080758</v>
      </c>
      <c r="G12" s="19" t="n">
        <v>1675</v>
      </c>
      <c r="H12" s="39" t="n">
        <v>4</v>
      </c>
      <c r="I12" s="19" t="n">
        <v>1</v>
      </c>
      <c r="J12" s="19" t="s">
        <v>57</v>
      </c>
      <c r="K12" s="19" t="n">
        <v>200</v>
      </c>
      <c r="L12" s="26" t="n">
        <v>9.03</v>
      </c>
      <c r="M12" s="19" t="n">
        <v>200</v>
      </c>
      <c r="N12" s="20"/>
      <c r="O12" s="20"/>
      <c r="P12" s="33" t="n">
        <f aca="false">L12+((E12/F12) *100)*I12</f>
        <v>19.06</v>
      </c>
      <c r="Q12" s="29" t="n">
        <f aca="false">I12*(1-E12/F12)+L12</f>
        <v>9.9297</v>
      </c>
      <c r="R12" s="29" t="n">
        <f aca="false">Q12/P12 * 100</f>
        <v>52.0970619097587</v>
      </c>
      <c r="S12" s="14" t="n">
        <v>2.1</v>
      </c>
      <c r="V12" s="19" t="n">
        <v>18.9</v>
      </c>
      <c r="Y12" s="19" t="n">
        <v>218.2</v>
      </c>
      <c r="AB12" s="14" t="n">
        <v>0.3</v>
      </c>
      <c r="AC12" s="14" t="n">
        <f aca="false">4700/121000*18.9</f>
        <v>0.734132231404959</v>
      </c>
      <c r="AD12" s="20"/>
      <c r="AE12" s="1" t="s">
        <v>119</v>
      </c>
    </row>
    <row r="13" customFormat="false" ht="26.85" hidden="false" customHeight="false" outlineLevel="0" collapsed="false">
      <c r="A13" s="46" t="s">
        <v>279</v>
      </c>
      <c r="B13" s="10" t="s">
        <v>280</v>
      </c>
      <c r="C13" s="1" t="s">
        <v>281</v>
      </c>
      <c r="D13" s="19" t="n">
        <v>15</v>
      </c>
      <c r="E13" s="5" t="n">
        <f aca="false">P13*F13/100</f>
        <v>0.3</v>
      </c>
      <c r="F13" s="5" t="n">
        <f aca="false">100-(73+12)</f>
        <v>15</v>
      </c>
      <c r="G13" s="19" t="n">
        <v>147</v>
      </c>
      <c r="H13" s="5" t="n">
        <f aca="false">(E13/1000)*G13</f>
        <v>0.0441</v>
      </c>
      <c r="I13" s="19" t="n">
        <v>1</v>
      </c>
      <c r="J13" s="1" t="s">
        <v>58</v>
      </c>
      <c r="K13" s="1" t="n">
        <v>0</v>
      </c>
      <c r="L13" s="1" t="n">
        <v>0</v>
      </c>
      <c r="M13" s="5" t="n">
        <f aca="false">D13*I13+K13</f>
        <v>15</v>
      </c>
      <c r="N13" s="37" t="n">
        <f aca="false">(P13/1000)/(M13/10000)</f>
        <v>1.33333333333333</v>
      </c>
      <c r="O13" s="20"/>
      <c r="P13" s="19" t="n">
        <v>2</v>
      </c>
      <c r="Q13" s="29" t="n">
        <f aca="false">I13*(1-E13/F13)+L13</f>
        <v>0.98</v>
      </c>
      <c r="R13" s="29" t="n">
        <f aca="false">Q13/P13 * 100</f>
        <v>49</v>
      </c>
      <c r="S13" s="19" t="n">
        <v>3.3</v>
      </c>
      <c r="V13" s="19" t="s">
        <v>282</v>
      </c>
      <c r="Y13" s="19" t="s">
        <v>283</v>
      </c>
      <c r="AB13" s="14" t="n">
        <v>0.41</v>
      </c>
      <c r="AC13" s="14" t="n">
        <f aca="false">0.56447/1.6*4</f>
        <v>1.411175</v>
      </c>
      <c r="AD13" s="19" t="s">
        <v>284</v>
      </c>
      <c r="AE13" s="1" t="s">
        <v>285</v>
      </c>
    </row>
    <row r="14" customFormat="false" ht="26.85" hidden="false" customHeight="false" outlineLevel="0" collapsed="false">
      <c r="A14" s="46" t="s">
        <v>286</v>
      </c>
      <c r="B14" s="10" t="s">
        <v>287</v>
      </c>
      <c r="C14" s="1" t="s">
        <v>259</v>
      </c>
      <c r="D14" s="19" t="n">
        <v>8</v>
      </c>
      <c r="E14" s="19" t="n">
        <v>1.7</v>
      </c>
      <c r="F14" s="19" t="n">
        <v>80</v>
      </c>
      <c r="G14" s="14" t="n">
        <v>160</v>
      </c>
      <c r="H14" s="19" t="n">
        <v>0.15</v>
      </c>
      <c r="I14" s="19" t="n">
        <v>1</v>
      </c>
      <c r="J14" s="1" t="s">
        <v>58</v>
      </c>
      <c r="K14" s="1" t="n">
        <v>0</v>
      </c>
      <c r="L14" s="1" t="n">
        <v>0</v>
      </c>
      <c r="M14" s="5" t="n">
        <f aca="false">D14*I14+K14</f>
        <v>8</v>
      </c>
      <c r="N14" s="19" t="n">
        <v>0.7</v>
      </c>
      <c r="O14" s="20"/>
      <c r="P14" s="33" t="n">
        <f aca="false">L14+((E14/F14) *100)*I14</f>
        <v>2.125</v>
      </c>
      <c r="Q14" s="29" t="n">
        <f aca="false">I14*(1-E14/F14)+L14</f>
        <v>0.97875</v>
      </c>
      <c r="R14" s="29" t="n">
        <f aca="false">Q14/P14 * 100</f>
        <v>46.0588235294118</v>
      </c>
      <c r="S14" s="19" t="n">
        <v>3.4</v>
      </c>
      <c r="V14" s="19" t="s">
        <v>288</v>
      </c>
      <c r="Y14" s="19" t="s">
        <v>289</v>
      </c>
      <c r="AB14" s="14" t="n">
        <v>0.3</v>
      </c>
      <c r="AC14" s="14" t="n">
        <f aca="false">0.56447/1.6*5</f>
        <v>1.76396875</v>
      </c>
      <c r="AD14" s="20"/>
      <c r="AE14" s="1" t="s">
        <v>200</v>
      </c>
    </row>
    <row r="15" customFormat="false" ht="23.85" hidden="false" customHeight="false" outlineLevel="0" collapsed="false">
      <c r="A15" s="46" t="s">
        <v>290</v>
      </c>
      <c r="B15" s="1" t="s">
        <v>291</v>
      </c>
      <c r="C15" s="1" t="s">
        <v>292</v>
      </c>
      <c r="D15" s="22" t="s">
        <v>293</v>
      </c>
      <c r="E15" s="37" t="n">
        <f aca="false">1.12 / ((1.2/2)^2 * PI())</f>
        <v>0.990297423682904</v>
      </c>
      <c r="F15" s="19" t="n">
        <v>90</v>
      </c>
      <c r="G15" s="19" t="n">
        <v>187.2</v>
      </c>
      <c r="H15" s="37" t="n">
        <f aca="false">E15/1000 *G15</f>
        <v>0.18538367771344</v>
      </c>
      <c r="I15" s="19" t="n">
        <v>1</v>
      </c>
      <c r="J15" s="1" t="s">
        <v>58</v>
      </c>
      <c r="K15" s="1" t="n">
        <v>0</v>
      </c>
      <c r="L15" s="1" t="n">
        <v>0</v>
      </c>
      <c r="M15" s="5" t="str">
        <f aca="false">D15</f>
        <v>33.3(+/-8.3)</v>
      </c>
      <c r="N15" s="37" t="n">
        <f aca="false">(P15/1000)/(33.3/10000)</f>
        <v>0.330429570798433</v>
      </c>
      <c r="O15" s="20"/>
      <c r="P15" s="33" t="n">
        <f aca="false">L15+((E15/F15) *100)*I15</f>
        <v>1.10033047075878</v>
      </c>
      <c r="Q15" s="29" t="n">
        <f aca="false">I15*(1-E15/F15)+L15</f>
        <v>0.988996695292412</v>
      </c>
      <c r="R15" s="29" t="n">
        <f aca="false">Q15/P15 * 100</f>
        <v>89.8817874788476</v>
      </c>
      <c r="S15" s="19" t="n">
        <v>3</v>
      </c>
      <c r="V15" s="19" t="n">
        <v>3.4</v>
      </c>
      <c r="Y15" s="19" t="n">
        <v>27.73</v>
      </c>
      <c r="AB15" s="14" t="n">
        <v>0.36</v>
      </c>
      <c r="AC15" s="14" t="n">
        <f aca="false">56/140*3.4</f>
        <v>1.36</v>
      </c>
      <c r="AD15" s="19" t="n">
        <v>2.02</v>
      </c>
      <c r="AE15" s="52" t="s">
        <v>294</v>
      </c>
    </row>
    <row r="16" customFormat="false" ht="52.2" hidden="false" customHeight="false" outlineLevel="0" collapsed="false">
      <c r="A16" s="46" t="s">
        <v>295</v>
      </c>
      <c r="B16" s="10" t="s">
        <v>296</v>
      </c>
      <c r="C16" s="1" t="s">
        <v>259</v>
      </c>
      <c r="D16" s="19" t="n">
        <v>50</v>
      </c>
      <c r="E16" s="14" t="s">
        <v>297</v>
      </c>
      <c r="F16" s="5" t="n">
        <f aca="false">50 * 0.88</f>
        <v>44</v>
      </c>
      <c r="G16" s="19" t="n">
        <v>66</v>
      </c>
      <c r="H16" s="5" t="s">
        <v>298</v>
      </c>
      <c r="I16" s="1" t="n">
        <v>1</v>
      </c>
      <c r="J16" s="1" t="s">
        <v>58</v>
      </c>
      <c r="K16" s="1" t="n">
        <v>0</v>
      </c>
      <c r="L16" s="1" t="n">
        <v>0</v>
      </c>
      <c r="M16" s="5" t="n">
        <f aca="false">D16</f>
        <v>50</v>
      </c>
      <c r="N16" s="14" t="n">
        <v>1.79</v>
      </c>
      <c r="O16" s="20"/>
      <c r="Q16" s="29" t="e">
        <f aca="false">I16*(1-E16/F16)+L16</f>
        <v>#VALUE!</v>
      </c>
      <c r="R16" s="29" t="e">
        <f aca="false">Q16/P16 * 100</f>
        <v>#VALUE!</v>
      </c>
      <c r="S16" s="19" t="n">
        <v>3.4</v>
      </c>
      <c r="W16" s="19" t="n">
        <v>2.4</v>
      </c>
      <c r="Z16" s="19" t="n">
        <v>25</v>
      </c>
      <c r="AB16" s="20"/>
      <c r="AC16" s="20"/>
      <c r="AD16" s="20"/>
      <c r="AE16" s="1" t="s">
        <v>299</v>
      </c>
    </row>
    <row r="26" customFormat="false" ht="12.75" hidden="false" customHeight="false" outlineLevel="0" collapsed="false">
      <c r="AE26" s="17"/>
    </row>
  </sheetData>
  <hyperlinks>
    <hyperlink ref="AE8" r:id="rId2" display="https://matweb.com/search/DataSheet.aspx?MatGUID=b1aa69c0528a40729478403542a8c94a"/>
    <hyperlink ref="AE9" r:id="rId3" display="https://matweb.com/search/DataSheet.aspx?MatGUID=b1aa69c0528a40729478403542a8c94a"/>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5"/>
  <sheetViews>
    <sheetView showFormulas="false" showGridLines="true" showRowColHeaders="true" showZeros="true" rightToLeft="false" tabSelected="false" showOutlineSymbols="true" defaultGridColor="true" view="normal" topLeftCell="P1" colorId="64" zoomScale="130" zoomScaleNormal="130" zoomScalePageLayoutView="100" workbookViewId="0">
      <selection pane="topLeft" activeCell="X14" activeCellId="0" sqref="X14"/>
    </sheetView>
  </sheetViews>
  <sheetFormatPr defaultColWidth="11.5703125" defaultRowHeight="12.75" zeroHeight="false" outlineLevelRow="0" outlineLevelCol="0"/>
  <cols>
    <col collapsed="false" customWidth="true" hidden="false" outlineLevel="0" max="1" min="1" style="1" width="21.71"/>
    <col collapsed="false" customWidth="true" hidden="false" outlineLevel="0" max="3" min="2" style="1" width="38.57"/>
    <col collapsed="false" customWidth="true" hidden="false" outlineLevel="0" max="4" min="4" style="1" width="7.57"/>
    <col collapsed="false" customWidth="true" hidden="false" outlineLevel="0" max="5" min="5" style="1" width="12.57"/>
    <col collapsed="false" customWidth="true" hidden="false" outlineLevel="0" max="6" min="6" style="1" width="8.15"/>
    <col collapsed="false" customWidth="true" hidden="false" outlineLevel="0" max="7" min="7" style="1" width="21.29"/>
    <col collapsed="false" customWidth="true" hidden="false" outlineLevel="0" max="8" min="8" style="1" width="13.29"/>
    <col collapsed="false" customWidth="true" hidden="false" outlineLevel="0" max="9" min="9" style="1" width="7.15"/>
    <col collapsed="false" customWidth="true" hidden="false" outlineLevel="0" max="10" min="10" style="1" width="7"/>
    <col collapsed="false" customWidth="true" hidden="false" outlineLevel="0" max="11" min="11" style="1" width="12.86"/>
    <col collapsed="false" customWidth="true" hidden="false" outlineLevel="0" max="12" min="12" style="1" width="7.29"/>
    <col collapsed="false" customWidth="true" hidden="false" outlineLevel="0" max="13" min="13" style="1" width="7.15"/>
    <col collapsed="false" customWidth="true" hidden="false" outlineLevel="0" max="14" min="14" style="1" width="6.29"/>
    <col collapsed="false" customWidth="true" hidden="false" outlineLevel="0" max="15" min="15" style="1" width="7.71"/>
    <col collapsed="false" customWidth="true" hidden="false" outlineLevel="0" max="16" min="16" style="1" width="17.86"/>
    <col collapsed="false" customWidth="true" hidden="false" outlineLevel="0" max="17" min="17" style="1" width="17.42"/>
    <col collapsed="false" customWidth="true" hidden="false" outlineLevel="0" max="18" min="18" style="1" width="21.85"/>
    <col collapsed="false" customWidth="true" hidden="false" outlineLevel="0" max="19" min="19" style="1" width="21.29"/>
    <col collapsed="false" customWidth="true" hidden="false" outlineLevel="0" max="20" min="20" style="1" width="9.29"/>
    <col collapsed="false" customWidth="false" hidden="false" outlineLevel="0" max="16384" min="21" style="1" width="11.57"/>
  </cols>
  <sheetData>
    <row r="1" customFormat="false" ht="12.75" hidden="false" customHeight="false" outlineLevel="0" collapsed="false">
      <c r="A1" s="2" t="s">
        <v>0</v>
      </c>
    </row>
    <row r="2" customFormat="false" ht="12.75" hidden="false" customHeight="false" outlineLevel="0" collapsed="false">
      <c r="A2" s="3" t="s">
        <v>1</v>
      </c>
    </row>
    <row r="3" customFormat="false" ht="26.85" hidden="false" customHeight="false" outlineLevel="0" collapsed="false">
      <c r="A3" s="4" t="s">
        <v>2</v>
      </c>
    </row>
    <row r="4" customFormat="false" ht="12.75" hidden="false" customHeight="false" outlineLevel="0" collapsed="false">
      <c r="A4" s="5" t="s">
        <v>4</v>
      </c>
      <c r="H4" s="1" t="s">
        <v>7</v>
      </c>
      <c r="K4" s="1" t="s">
        <v>8</v>
      </c>
      <c r="P4" s="7" t="s">
        <v>73</v>
      </c>
      <c r="Q4" s="7" t="s">
        <v>74</v>
      </c>
    </row>
    <row r="5" s="6" customFormat="true" ht="12.75" hidden="false" customHeight="false" outlineLevel="0" collapsed="false">
      <c r="C5" s="53" t="s">
        <v>300</v>
      </c>
      <c r="D5" s="53" t="s">
        <v>300</v>
      </c>
      <c r="E5" s="53" t="s">
        <v>300</v>
      </c>
      <c r="F5" s="53" t="s">
        <v>300</v>
      </c>
      <c r="G5" s="53" t="s">
        <v>300</v>
      </c>
      <c r="H5" s="53" t="s">
        <v>300</v>
      </c>
      <c r="I5" s="53" t="s">
        <v>300</v>
      </c>
      <c r="J5" s="53" t="s">
        <v>300</v>
      </c>
      <c r="K5" s="53" t="s">
        <v>300</v>
      </c>
      <c r="L5" s="53" t="s">
        <v>300</v>
      </c>
      <c r="M5" s="53" t="s">
        <v>300</v>
      </c>
      <c r="N5" s="53" t="s">
        <v>300</v>
      </c>
      <c r="O5" s="53" t="s">
        <v>300</v>
      </c>
      <c r="P5" s="53" t="s">
        <v>300</v>
      </c>
      <c r="Q5" s="53" t="s">
        <v>300</v>
      </c>
      <c r="R5" s="53" t="s">
        <v>301</v>
      </c>
      <c r="S5" s="53" t="s">
        <v>301</v>
      </c>
    </row>
    <row r="6" s="6" customFormat="true" ht="12.75" hidden="false" customHeight="false" outlineLevel="0" collapsed="false">
      <c r="A6" s="6" t="s">
        <v>14</v>
      </c>
      <c r="B6" s="6" t="s">
        <v>15</v>
      </c>
      <c r="C6" s="6" t="s">
        <v>16</v>
      </c>
      <c r="D6" s="6" t="s">
        <v>302</v>
      </c>
      <c r="E6" s="6" t="s">
        <v>19</v>
      </c>
      <c r="F6" s="6" t="s">
        <v>75</v>
      </c>
      <c r="G6" s="6" t="s">
        <v>303</v>
      </c>
      <c r="H6" s="6" t="s">
        <v>21</v>
      </c>
      <c r="I6" s="6" t="s">
        <v>22</v>
      </c>
      <c r="J6" s="6" t="s">
        <v>23</v>
      </c>
      <c r="K6" s="6" t="s">
        <v>24</v>
      </c>
      <c r="L6" s="6" t="s">
        <v>25</v>
      </c>
      <c r="M6" s="6" t="s">
        <v>26</v>
      </c>
      <c r="N6" s="6" t="s">
        <v>27</v>
      </c>
      <c r="O6" s="6" t="s">
        <v>28</v>
      </c>
      <c r="P6" s="6" t="s">
        <v>29</v>
      </c>
      <c r="Q6" s="6" t="s">
        <v>76</v>
      </c>
      <c r="R6" s="6" t="s">
        <v>16</v>
      </c>
      <c r="S6" s="6" t="s">
        <v>304</v>
      </c>
      <c r="T6" s="6" t="s">
        <v>17</v>
      </c>
      <c r="U6" s="6" t="s">
        <v>305</v>
      </c>
      <c r="V6" s="6" t="s">
        <v>19</v>
      </c>
      <c r="W6" s="6" t="s">
        <v>306</v>
      </c>
      <c r="Y6" s="6" t="s">
        <v>307</v>
      </c>
      <c r="Z6" s="6" t="s">
        <v>30</v>
      </c>
    </row>
    <row r="7" s="6" customFormat="true" ht="12.75" hidden="false" customHeight="false" outlineLevel="0" collapsed="false">
      <c r="D7" s="8" t="s">
        <v>33</v>
      </c>
      <c r="E7" s="8" t="s">
        <v>34</v>
      </c>
      <c r="F7" s="6" t="s">
        <v>35</v>
      </c>
      <c r="G7" s="6" t="s">
        <v>308</v>
      </c>
      <c r="H7" s="6" t="s">
        <v>36</v>
      </c>
      <c r="I7" s="6" t="s">
        <v>36</v>
      </c>
      <c r="J7" s="6" t="s">
        <v>36</v>
      </c>
      <c r="K7" s="6" t="s">
        <v>37</v>
      </c>
      <c r="L7" s="6" t="s">
        <v>37</v>
      </c>
      <c r="M7" s="6" t="s">
        <v>37</v>
      </c>
      <c r="O7" s="6" t="s">
        <v>36</v>
      </c>
      <c r="P7" s="6" t="s">
        <v>35</v>
      </c>
      <c r="S7" s="6" t="s">
        <v>309</v>
      </c>
      <c r="T7" s="7" t="s">
        <v>32</v>
      </c>
      <c r="U7" s="7" t="s">
        <v>310</v>
      </c>
      <c r="V7" s="54" t="s">
        <v>311</v>
      </c>
      <c r="W7" s="6" t="s">
        <v>312</v>
      </c>
      <c r="Y7" s="6" t="s">
        <v>35</v>
      </c>
    </row>
    <row r="8" s="27" customFormat="true" ht="48.75" hidden="false" customHeight="true" outlineLevel="0" collapsed="false">
      <c r="A8" s="55" t="s">
        <v>313</v>
      </c>
      <c r="B8" s="55" t="s">
        <v>314</v>
      </c>
      <c r="C8" s="55" t="s">
        <v>315</v>
      </c>
      <c r="D8" s="56" t="n">
        <v>0.03</v>
      </c>
      <c r="E8" s="56" t="n">
        <v>1.78</v>
      </c>
      <c r="F8" s="57" t="n">
        <v>50</v>
      </c>
      <c r="G8" s="57" t="n">
        <v>470000</v>
      </c>
      <c r="H8" s="58"/>
      <c r="I8" s="59"/>
      <c r="K8" s="60" t="n">
        <v>10</v>
      </c>
      <c r="O8" s="59"/>
      <c r="R8" s="55" t="s">
        <v>316</v>
      </c>
      <c r="S8" s="57"/>
      <c r="T8" s="61" t="s">
        <v>317</v>
      </c>
      <c r="Y8" s="62" t="s">
        <v>318</v>
      </c>
      <c r="Z8" s="55" t="s">
        <v>319</v>
      </c>
    </row>
    <row r="9" customFormat="false" ht="12.75" hidden="false" customHeight="false" outlineLevel="0" collapsed="false">
      <c r="A9" s="55" t="s">
        <v>320</v>
      </c>
      <c r="B9" s="1" t="s">
        <v>321</v>
      </c>
      <c r="C9" s="1" t="s">
        <v>322</v>
      </c>
      <c r="G9" s="19" t="n">
        <v>38000</v>
      </c>
      <c r="K9" s="19" t="n">
        <v>7</v>
      </c>
      <c r="R9" s="1" t="s">
        <v>58</v>
      </c>
      <c r="S9" s="19"/>
      <c r="T9" s="1" t="s">
        <v>58</v>
      </c>
      <c r="Y9" s="27"/>
      <c r="Z9" s="1" t="s">
        <v>323</v>
      </c>
    </row>
    <row r="10" s="27" customFormat="true" ht="64.9" hidden="false" customHeight="false" outlineLevel="0" collapsed="false">
      <c r="A10" s="55" t="s">
        <v>324</v>
      </c>
      <c r="B10" s="55" t="s">
        <v>325</v>
      </c>
      <c r="C10" s="55" t="s">
        <v>326</v>
      </c>
      <c r="G10" s="57" t="n">
        <v>540</v>
      </c>
      <c r="H10" s="57" t="n">
        <v>0.5</v>
      </c>
      <c r="R10" s="55" t="s">
        <v>327</v>
      </c>
      <c r="S10" s="57" t="n">
        <v>0.0002</v>
      </c>
      <c r="Z10" s="27" t="s">
        <v>96</v>
      </c>
    </row>
    <row r="11" customFormat="false" ht="12.75" hidden="false" customHeight="false" outlineLevel="0" collapsed="false">
      <c r="A11" s="55" t="s">
        <v>328</v>
      </c>
      <c r="B11" s="1" t="s">
        <v>329</v>
      </c>
      <c r="C11" s="1" t="s">
        <v>330</v>
      </c>
      <c r="S11" s="1" t="n">
        <v>0.002</v>
      </c>
      <c r="Z11" s="1" t="s">
        <v>331</v>
      </c>
    </row>
    <row r="12" customFormat="false" ht="12.75" hidden="false" customHeight="false" outlineLevel="0" collapsed="false">
      <c r="A12" s="55" t="s">
        <v>332</v>
      </c>
      <c r="B12" s="1" t="s">
        <v>333</v>
      </c>
      <c r="C12" s="1" t="s">
        <v>334</v>
      </c>
      <c r="Z12" s="17" t="s">
        <v>335</v>
      </c>
    </row>
    <row r="13" customFormat="false" ht="12.75" hidden="false" customHeight="false" outlineLevel="0" collapsed="false">
      <c r="A13" s="55" t="s">
        <v>336</v>
      </c>
      <c r="B13" s="1" t="s">
        <v>337</v>
      </c>
      <c r="C13" s="1" t="s">
        <v>59</v>
      </c>
      <c r="Z13" s="1" t="s">
        <v>338</v>
      </c>
    </row>
    <row r="14" customFormat="false" ht="12.75" hidden="false" customHeight="false" outlineLevel="0" collapsed="false">
      <c r="A14" s="55" t="s">
        <v>339</v>
      </c>
      <c r="B14" s="1" t="s">
        <v>340</v>
      </c>
      <c r="C14" s="1" t="s">
        <v>340</v>
      </c>
      <c r="D14" s="20"/>
      <c r="E14" s="1" t="n">
        <v>1.2</v>
      </c>
      <c r="F14" s="20"/>
      <c r="G14" s="20"/>
      <c r="H14" s="1" t="n">
        <v>2</v>
      </c>
      <c r="I14" s="20"/>
      <c r="J14" s="20"/>
      <c r="K14" s="20"/>
      <c r="L14" s="20"/>
      <c r="M14" s="20"/>
      <c r="N14" s="20"/>
      <c r="O14" s="20"/>
      <c r="P14" s="20"/>
      <c r="Q14" s="20"/>
      <c r="R14" s="20"/>
      <c r="S14" s="1" t="n">
        <v>1.2E-008</v>
      </c>
      <c r="T14" s="1" t="n">
        <v>1000</v>
      </c>
      <c r="Z14" s="1" t="s">
        <v>341</v>
      </c>
    </row>
    <row r="15" customFormat="false" ht="12.75" hidden="false" customHeight="false" outlineLevel="0" collapsed="false">
      <c r="A15" s="1" t="s">
        <v>342</v>
      </c>
      <c r="B15" s="1" t="s">
        <v>343</v>
      </c>
      <c r="U15" s="63" t="n">
        <v>6.7</v>
      </c>
      <c r="V15" s="63" t="n">
        <v>1.3</v>
      </c>
      <c r="W15" s="19" t="n">
        <f aca="false">U15/1000*V15</f>
        <v>0.00871</v>
      </c>
    </row>
  </sheetData>
  <hyperlinks>
    <hyperlink ref="Z12" r:id="rId2" display="http://dx.doi.org/10.1016/j.compscitech.2013.09.026"/>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0.71484375" defaultRowHeight="12.75" zeroHeight="false" outlineLevelRow="0" outlineLevelCol="0"/>
  <cols>
    <col collapsed="false" customWidth="true" hidden="false" outlineLevel="0" max="1" min="1" style="0" width="22.86"/>
    <col collapsed="false" customWidth="true" hidden="false" outlineLevel="0" max="2" min="2" style="0" width="58.57"/>
    <col collapsed="false" customWidth="true" hidden="false" outlineLevel="0" max="17" min="17" style="0" width="13.71"/>
    <col collapsed="false" customWidth="true" hidden="false" outlineLevel="0" max="23" min="23" style="0" width="18.29"/>
    <col collapsed="false" customWidth="true" hidden="false" outlineLevel="0" max="24" min="24" style="0" width="25.42"/>
  </cols>
  <sheetData>
    <row r="1" s="1" customFormat="true" ht="12.75" hidden="false" customHeight="false" outlineLevel="0" collapsed="false">
      <c r="A1" s="2" t="s">
        <v>0</v>
      </c>
    </row>
    <row r="2" s="1" customFormat="true" ht="12.75" hidden="false" customHeight="false" outlineLevel="0" collapsed="false">
      <c r="A2" s="3" t="s">
        <v>1</v>
      </c>
    </row>
    <row r="3" s="1" customFormat="true" ht="26.85" hidden="false" customHeight="false" outlineLevel="0" collapsed="false">
      <c r="A3" s="4" t="s">
        <v>2</v>
      </c>
    </row>
    <row r="4" s="1" customFormat="true" ht="12.75" hidden="false" customHeight="false" outlineLevel="0" collapsed="false">
      <c r="A4" s="5" t="s">
        <v>4</v>
      </c>
      <c r="N4" s="1" t="s">
        <v>7</v>
      </c>
      <c r="Q4" s="1" t="s">
        <v>8</v>
      </c>
      <c r="V4" s="1" t="s">
        <v>9</v>
      </c>
    </row>
    <row r="5" s="1" customFormat="true" ht="12.75" hidden="false" customHeight="false" outlineLevel="0" collapsed="false">
      <c r="A5" s="6"/>
      <c r="B5" s="6"/>
      <c r="C5" s="6"/>
      <c r="D5" s="6"/>
      <c r="E5" s="6"/>
      <c r="F5" s="6"/>
      <c r="G5" s="6"/>
      <c r="H5" s="6"/>
      <c r="I5" s="6"/>
      <c r="J5" s="6"/>
      <c r="K5" s="6"/>
      <c r="L5" s="6" t="s">
        <v>124</v>
      </c>
      <c r="M5" s="6" t="s">
        <v>125</v>
      </c>
      <c r="N5" s="6"/>
      <c r="O5" s="6"/>
      <c r="P5" s="6"/>
      <c r="Q5" s="6"/>
      <c r="R5" s="6"/>
      <c r="S5" s="6"/>
      <c r="T5" s="6"/>
      <c r="U5" s="6"/>
      <c r="V5" s="6"/>
    </row>
    <row r="6" s="1" customFormat="true" ht="12.75" hidden="false" customHeight="false" outlineLevel="0" collapsed="false">
      <c r="A6" s="6" t="s">
        <v>14</v>
      </c>
      <c r="B6" s="6" t="s">
        <v>15</v>
      </c>
      <c r="C6" s="6" t="s">
        <v>16</v>
      </c>
      <c r="D6" s="6" t="s">
        <v>17</v>
      </c>
      <c r="E6" s="6" t="s">
        <v>19</v>
      </c>
      <c r="F6" s="6" t="s">
        <v>75</v>
      </c>
      <c r="G6" s="6" t="s">
        <v>18</v>
      </c>
      <c r="H6" s="6" t="s">
        <v>344</v>
      </c>
      <c r="I6" s="6" t="s">
        <v>345</v>
      </c>
      <c r="J6" s="6" t="s">
        <v>131</v>
      </c>
      <c r="K6" s="6" t="s">
        <v>132</v>
      </c>
      <c r="L6" s="6" t="s">
        <v>133</v>
      </c>
      <c r="M6" s="6" t="s">
        <v>133</v>
      </c>
      <c r="N6" s="6" t="s">
        <v>21</v>
      </c>
      <c r="O6" s="6" t="s">
        <v>22</v>
      </c>
      <c r="P6" s="6" t="s">
        <v>23</v>
      </c>
      <c r="Q6" s="6" t="s">
        <v>24</v>
      </c>
      <c r="R6" s="6" t="s">
        <v>25</v>
      </c>
      <c r="S6" s="6" t="s">
        <v>26</v>
      </c>
      <c r="T6" s="6" t="s">
        <v>27</v>
      </c>
      <c r="U6" s="6" t="s">
        <v>28</v>
      </c>
      <c r="V6" s="6" t="s">
        <v>29</v>
      </c>
      <c r="W6" s="6" t="s">
        <v>30</v>
      </c>
      <c r="X6" s="6" t="s">
        <v>77</v>
      </c>
    </row>
    <row r="7" s="1" customFormat="true" ht="12.75" hidden="false" customHeight="false" outlineLevel="0" collapsed="false">
      <c r="A7" s="6"/>
      <c r="B7" s="6"/>
      <c r="C7" s="6"/>
      <c r="D7" s="7" t="s">
        <v>32</v>
      </c>
      <c r="E7" s="6" t="s">
        <v>137</v>
      </c>
      <c r="F7" s="6" t="s">
        <v>35</v>
      </c>
      <c r="G7" s="6" t="s">
        <v>134</v>
      </c>
      <c r="H7" s="6" t="s">
        <v>134</v>
      </c>
      <c r="I7" s="6" t="s">
        <v>134</v>
      </c>
      <c r="J7" s="6" t="s">
        <v>35</v>
      </c>
      <c r="K7" s="6" t="s">
        <v>138</v>
      </c>
      <c r="L7" s="6" t="s">
        <v>135</v>
      </c>
      <c r="M7" s="6" t="s">
        <v>135</v>
      </c>
      <c r="N7" s="6" t="s">
        <v>36</v>
      </c>
      <c r="O7" s="6" t="s">
        <v>36</v>
      </c>
      <c r="P7" s="6" t="s">
        <v>36</v>
      </c>
      <c r="Q7" s="6" t="s">
        <v>37</v>
      </c>
      <c r="R7" s="6" t="s">
        <v>37</v>
      </c>
      <c r="S7" s="6" t="s">
        <v>37</v>
      </c>
      <c r="T7" s="6"/>
      <c r="U7" s="6" t="s">
        <v>36</v>
      </c>
      <c r="V7" s="6" t="s">
        <v>35</v>
      </c>
    </row>
    <row r="8" s="1" customFormat="true" ht="12.75" hidden="false" customHeight="false" outlineLevel="0" collapsed="false">
      <c r="A8" s="10" t="s">
        <v>346</v>
      </c>
      <c r="B8" s="10" t="s">
        <v>347</v>
      </c>
      <c r="C8" s="64" t="s">
        <v>348</v>
      </c>
      <c r="D8" s="24" t="n">
        <v>14</v>
      </c>
      <c r="E8" s="6"/>
      <c r="F8" s="6"/>
      <c r="G8" s="6"/>
      <c r="H8" s="6"/>
      <c r="I8" s="6"/>
      <c r="J8" s="6"/>
      <c r="K8" s="6"/>
      <c r="L8" s="6"/>
      <c r="M8" s="6"/>
      <c r="N8" s="64" t="s">
        <v>349</v>
      </c>
      <c r="O8" s="6"/>
      <c r="P8" s="6"/>
      <c r="Q8" s="64" t="s">
        <v>350</v>
      </c>
      <c r="R8" s="6"/>
      <c r="S8" s="6"/>
      <c r="T8" s="6"/>
      <c r="U8" s="6"/>
      <c r="V8" s="6"/>
      <c r="X8" s="1" t="s">
        <v>351</v>
      </c>
    </row>
    <row r="9" s="1" customFormat="true" ht="64.9" hidden="false" customHeight="false" outlineLevel="0" collapsed="false">
      <c r="A9" s="18" t="s">
        <v>352</v>
      </c>
      <c r="B9" s="10" t="s">
        <v>353</v>
      </c>
      <c r="C9" s="10" t="s">
        <v>354</v>
      </c>
      <c r="D9" s="10" t="n">
        <v>12.3</v>
      </c>
      <c r="N9" s="1" t="s">
        <v>355</v>
      </c>
      <c r="Q9" s="1" t="s">
        <v>356</v>
      </c>
      <c r="W9" s="10" t="s">
        <v>357</v>
      </c>
      <c r="X9" s="1" t="s">
        <v>358</v>
      </c>
    </row>
    <row r="11" customFormat="false" ht="12.75" hidden="false" customHeight="false" outlineLevel="0" collapsed="false">
      <c r="B11" s="0" t="s">
        <v>359</v>
      </c>
      <c r="W11" s="0"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7" activeCellId="0" sqref="K7"/>
    </sheetView>
  </sheetViews>
  <sheetFormatPr defaultColWidth="10.71484375" defaultRowHeight="12.75" zeroHeight="false" outlineLevelRow="0" outlineLevelCol="0"/>
  <cols>
    <col collapsed="false" customWidth="true" hidden="false" outlineLevel="0" max="1" min="1" style="0" width="15.85"/>
    <col collapsed="false" customWidth="true" hidden="false" outlineLevel="0" max="4" min="4" style="0" width="27.57"/>
    <col collapsed="false" customWidth="true" hidden="false" outlineLevel="0" max="7" min="7" style="0" width="25"/>
    <col collapsed="false" customWidth="true" hidden="false" outlineLevel="0" max="8" min="8" style="0" width="17"/>
    <col collapsed="false" customWidth="true" hidden="false" outlineLevel="0" max="9" min="9" style="0" width="20.85"/>
    <col collapsed="false" customWidth="true" hidden="false" outlineLevel="0" max="10" min="10" style="0" width="21.43"/>
  </cols>
  <sheetData>
    <row r="1" customFormat="false" ht="12.75" hidden="false" customHeight="false" outlineLevel="0" collapsed="false">
      <c r="A1" s="65" t="s">
        <v>361</v>
      </c>
      <c r="B1" s="65" t="s">
        <v>362</v>
      </c>
      <c r="C1" s="65" t="s">
        <v>363</v>
      </c>
      <c r="D1" s="65" t="s">
        <v>364</v>
      </c>
      <c r="E1" s="65" t="s">
        <v>365</v>
      </c>
      <c r="F1" s="65" t="s">
        <v>366</v>
      </c>
      <c r="G1" s="65" t="s">
        <v>367</v>
      </c>
      <c r="H1" s="65" t="s">
        <v>368</v>
      </c>
      <c r="I1" s="65" t="s">
        <v>369</v>
      </c>
      <c r="J1" s="65" t="s">
        <v>370</v>
      </c>
      <c r="K1" s="65" t="s">
        <v>371</v>
      </c>
    </row>
    <row r="2" customFormat="false" ht="12.75" hidden="false" customHeight="false" outlineLevel="0" collapsed="false">
      <c r="A2" s="66" t="s">
        <v>372</v>
      </c>
      <c r="B2" s="0" t="s">
        <v>373</v>
      </c>
      <c r="C2" s="0" t="n">
        <v>2021</v>
      </c>
      <c r="D2" s="0" t="s">
        <v>96</v>
      </c>
      <c r="E2" s="0" t="s">
        <v>374</v>
      </c>
      <c r="F2" s="0" t="s">
        <v>375</v>
      </c>
      <c r="G2" s="0" t="s">
        <v>376</v>
      </c>
      <c r="H2" s="0" t="s">
        <v>259</v>
      </c>
      <c r="I2" s="0" t="n">
        <v>25</v>
      </c>
      <c r="J2" s="0" t="n">
        <v>300</v>
      </c>
      <c r="K2" s="0" t="n">
        <v>24</v>
      </c>
    </row>
    <row r="3" customFormat="false" ht="12.75" hidden="false" customHeight="false" outlineLevel="0" collapsed="false">
      <c r="A3" s="67" t="s">
        <v>377</v>
      </c>
      <c r="B3" s="0" t="s">
        <v>378</v>
      </c>
      <c r="C3" s="0" t="n">
        <v>2021</v>
      </c>
      <c r="D3" s="0" t="s">
        <v>331</v>
      </c>
    </row>
    <row r="4" customFormat="false" ht="12.75" hidden="false" customHeight="false" outlineLevel="0" collapsed="false">
      <c r="A4" s="66" t="s">
        <v>372</v>
      </c>
      <c r="B4" s="0" t="s">
        <v>379</v>
      </c>
      <c r="C4" s="0" t="n">
        <v>2007</v>
      </c>
      <c r="D4" s="0" t="s">
        <v>380</v>
      </c>
      <c r="E4" s="0" t="s">
        <v>374</v>
      </c>
      <c r="F4" s="0" t="s">
        <v>375</v>
      </c>
      <c r="G4" s="68"/>
      <c r="H4" s="0" t="s">
        <v>381</v>
      </c>
      <c r="I4" s="68"/>
      <c r="J4" s="68"/>
      <c r="K4" s="68"/>
    </row>
    <row r="5" customFormat="false" ht="12.75" hidden="false" customHeight="false" outlineLevel="0" collapsed="false">
      <c r="A5" s="66" t="s">
        <v>372</v>
      </c>
      <c r="B5" s="0" t="s">
        <v>382</v>
      </c>
      <c r="C5" s="0" t="n">
        <v>2008</v>
      </c>
      <c r="D5" s="0" t="s">
        <v>383</v>
      </c>
      <c r="E5" s="68"/>
      <c r="F5" s="68"/>
      <c r="G5" s="68"/>
      <c r="H5" s="68"/>
      <c r="I5" s="0" t="n">
        <v>3</v>
      </c>
      <c r="J5" s="68"/>
      <c r="K5" s="0" t="n">
        <v>35</v>
      </c>
    </row>
    <row r="6" customFormat="false" ht="12.75" hidden="false" customHeight="false" outlineLevel="0" collapsed="false">
      <c r="A6" s="69" t="s">
        <v>384</v>
      </c>
      <c r="B6" s="0" t="s">
        <v>385</v>
      </c>
      <c r="C6" s="0" t="n">
        <v>2011</v>
      </c>
      <c r="D6" s="0" t="s">
        <v>386</v>
      </c>
      <c r="I6" s="0" t="n">
        <v>29</v>
      </c>
      <c r="J6" s="0" t="n">
        <v>90</v>
      </c>
    </row>
    <row r="7" customFormat="false" ht="12.75" hidden="false" customHeight="false" outlineLevel="0" collapsed="false">
      <c r="A7" s="70" t="s">
        <v>387</v>
      </c>
      <c r="B7" s="0" t="s">
        <v>388</v>
      </c>
      <c r="C7" s="0" t="n">
        <v>2016</v>
      </c>
      <c r="D7" s="0" t="s">
        <v>172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1508</TotalTime>
  <Application>LibreOffice/24.8.3.2$Linux_X86_64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2023-03-21T10:16:00Z</dcterms:created>
  <dc:creator>Kühn, Johannes</dc:creator>
  <dc:description/>
  <dc:language>en-GB</dc:language>
  <cp:lastModifiedBy/>
  <dcterms:modified xsi:type="dcterms:W3CDTF">2025-01-25T12:53:24Z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file>