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state0-my.sharepoint.com/personal/williaau_upstate_edu/Documents/Manuscripts/Sustainability/Resubmission/"/>
    </mc:Choice>
  </mc:AlternateContent>
  <xr:revisionPtr revIDLastSave="276" documentId="8_{02B55981-20C8-D749-A465-801C4C6A37FB}" xr6:coauthVersionLast="47" xr6:coauthVersionMax="47" xr10:uidLastSave="{57E7969F-D19C-B544-A12B-DCA8C7C8A5FB}"/>
  <bookViews>
    <workbookView xWindow="29400" yWindow="500" windowWidth="15740" windowHeight="19200" firstSheet="3" activeTab="4" xr2:uid="{59E59ED2-45E6-6C4E-9AD8-0994AE63D43A}"/>
  </bookViews>
  <sheets>
    <sheet name="Table1" sheetId="6" r:id="rId1"/>
    <sheet name="Table2ERE" sheetId="1" r:id="rId2"/>
    <sheet name="Table2IEE" sheetId="2" r:id="rId3"/>
    <sheet name="Table2EREIEE" sheetId="3" r:id="rId4"/>
    <sheet name="Table2" sheetId="7" r:id="rId5"/>
    <sheet name="Table3EnergyEstimates" sheetId="5" r:id="rId6"/>
    <sheet name="Table3Extrapolation" sheetId="4" r:id="rId7"/>
    <sheet name="Table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7" l="1"/>
  <c r="H4" i="8"/>
  <c r="H5" i="8"/>
  <c r="H6" i="8"/>
  <c r="H3" i="8"/>
  <c r="G6" i="8"/>
  <c r="G4" i="8"/>
  <c r="G5" i="8"/>
  <c r="G3" i="8"/>
  <c r="H4" i="7"/>
  <c r="H5" i="7"/>
  <c r="H6" i="7"/>
  <c r="H7" i="7"/>
  <c r="H8" i="7"/>
  <c r="H9" i="7"/>
  <c r="H10" i="7"/>
  <c r="H11" i="7"/>
  <c r="H12" i="7"/>
  <c r="H13" i="7"/>
  <c r="H14" i="7"/>
  <c r="H15" i="7"/>
  <c r="H3" i="7"/>
  <c r="G8" i="7"/>
  <c r="G9" i="7"/>
  <c r="G10" i="7"/>
  <c r="G11" i="7"/>
  <c r="G12" i="7"/>
  <c r="G14" i="7"/>
  <c r="G15" i="7"/>
  <c r="G4" i="7"/>
  <c r="G5" i="7"/>
  <c r="G6" i="7"/>
  <c r="G7" i="7"/>
  <c r="G3" i="7"/>
  <c r="H2" i="5"/>
  <c r="I2" i="5" s="1"/>
  <c r="G4" i="5"/>
  <c r="D3" i="4" s="1"/>
  <c r="G3" i="5"/>
  <c r="B3" i="4" s="1"/>
  <c r="G2" i="2"/>
  <c r="F2" i="2"/>
  <c r="E2" i="2"/>
  <c r="D2" i="2"/>
  <c r="C2" i="2"/>
  <c r="G2" i="1"/>
  <c r="F2" i="1"/>
  <c r="E2" i="1"/>
  <c r="D2" i="1"/>
  <c r="C2" i="1"/>
  <c r="J2" i="5" l="1"/>
  <c r="J4" i="5"/>
  <c r="J3" i="5"/>
  <c r="D2" i="4"/>
  <c r="B2" i="4"/>
  <c r="C3" i="4" l="1"/>
  <c r="C2" i="4"/>
  <c r="E3" i="4"/>
  <c r="E2" i="4"/>
</calcChain>
</file>

<file path=xl/sharedStrings.xml><?xml version="1.0" encoding="utf-8"?>
<sst xmlns="http://schemas.openxmlformats.org/spreadsheetml/2006/main" count="95" uniqueCount="69">
  <si>
    <t>Factor</t>
  </si>
  <si>
    <t>Baseline</t>
  </si>
  <si>
    <t>Scenario 1: 5%</t>
  </si>
  <si>
    <t>Scenario 2: 25%</t>
  </si>
  <si>
    <t>Scenario 3: 50%</t>
  </si>
  <si>
    <t>Scenario 4: 75%</t>
  </si>
  <si>
    <t>Scenario 5: 100%</t>
  </si>
  <si>
    <t>Solar capacity (MW)</t>
  </si>
  <si>
    <t>Equivalent Homes Energy Savings</t>
  </si>
  <si>
    <t>Health Benefit - low</t>
  </si>
  <si>
    <t>Health benefit -high</t>
  </si>
  <si>
    <t>Scenario 6: 5%</t>
  </si>
  <si>
    <t>Scenario 7: 10%</t>
  </si>
  <si>
    <t>Scenario 8: 15%</t>
  </si>
  <si>
    <t>Scenario 9: 20%</t>
  </si>
  <si>
    <t>Scenario 10: 25%</t>
  </si>
  <si>
    <t>Energy efficiency (GWH)</t>
  </si>
  <si>
    <t>Equivalent Homes</t>
  </si>
  <si>
    <t>Health Benefit - Low</t>
  </si>
  <si>
    <t xml:space="preserve">Health Benefit - HIgh </t>
  </si>
  <si>
    <t xml:space="preserve">Factor </t>
  </si>
  <si>
    <t>Scenario 1 (5% solar) and Scenario 6 (5% energy efficiency)</t>
  </si>
  <si>
    <t>Scenario 3 (50% solar) and Scenario 8 (15% energy efficiency)</t>
  </si>
  <si>
    <t>Scenario 5 (100% solar) and Scenario 10 (25% energy efficiency)</t>
  </si>
  <si>
    <t>All Onondaga 100% Solar &amp; 25% energy efficency, combined Upstate extrapolation (Scenario 11)</t>
  </si>
  <si>
    <t>All Onondaga 100% Solar &amp; 25% energy efficency, paper extrapolation (Scenario 12)</t>
  </si>
  <si>
    <t>Hospital</t>
  </si>
  <si>
    <t>Bed # </t>
  </si>
  <si>
    <t>Sqr ft</t>
  </si>
  <si>
    <t>Total Energy Use - Electricity (MW) - known</t>
  </si>
  <si>
    <t>Energy Use - Electricity (MW) per bed#</t>
  </si>
  <si>
    <t>Energy Use - Electricity (MW) per squarefoot</t>
  </si>
  <si>
    <t>Extrapolated Energy Use - Electricity (MW) using combined Upstate MW/bed#</t>
  </si>
  <si>
    <t>Extrapolated Energy - Electricity (MW) using Bawaneh paper </t>
  </si>
  <si>
    <t>Extrapolated Energy Use per bed number using the paper (MW/bed)</t>
  </si>
  <si>
    <t>All NYS Hospitals</t>
  </si>
  <si>
    <t>All Onondaga County Hospitals</t>
  </si>
  <si>
    <t>Institution(s)</t>
  </si>
  <si>
    <t>Number of Beds</t>
  </si>
  <si>
    <t>Energy Use Estimates (MW/year)</t>
  </si>
  <si>
    <t>Method 1</t>
  </si>
  <si>
    <t>Method 2</t>
  </si>
  <si>
    <t>Focus Institution</t>
  </si>
  <si>
    <t>All Hospitals in Onondaga County, New York</t>
  </si>
  <si>
    <t>All Hospitals in New York State</t>
  </si>
  <si>
    <r>
      <t>38,514</t>
    </r>
    <r>
      <rPr>
        <sz val="8"/>
        <color theme="1"/>
        <rFont val="Aptos"/>
      </rPr>
      <t> </t>
    </r>
  </si>
  <si>
    <t>5.23*</t>
  </si>
  <si>
    <t xml:space="preserve">*Real observed data </t>
  </si>
  <si>
    <t>Focal Institution</t>
  </si>
  <si>
    <t>Extrapolated Energy Use - Electricity (MW) using papers extrapolated energy use/bed</t>
  </si>
  <si>
    <t>All NYS 100% Solar &amp; 25% energy efficency, combined Upstate extrapolation (Scenario 13)</t>
  </si>
  <si>
    <t>All NYS 100% Solar &amp; 25% energy efficency, paper extrapolation (Scenario 14)</t>
  </si>
  <si>
    <t>Energy Decision</t>
  </si>
  <si>
    <t>Scenario</t>
  </si>
  <si>
    <t>Health Benefits ($/year)</t>
  </si>
  <si>
    <r>
      <t>CO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Avoided (Tons/Year)</t>
    </r>
  </si>
  <si>
    <t>Climate Benefits ($/year)</t>
  </si>
  <si>
    <t>Low Estimate</t>
  </si>
  <si>
    <t>High Estimate</t>
  </si>
  <si>
    <t>ERE</t>
  </si>
  <si>
    <t>IEE</t>
  </si>
  <si>
    <t>ERE + IEE</t>
  </si>
  <si>
    <t>Low: 5% solar, 5% energy efficiency</t>
  </si>
  <si>
    <t>Mid: 50% solar, 15% energy efficiency</t>
  </si>
  <si>
    <t>High: 100% solar, 25% energy efficiency</t>
  </si>
  <si>
    <t>Total Benefits ($/year)</t>
  </si>
  <si>
    <t xml:space="preserve">Facilities </t>
  </si>
  <si>
    <t>Method</t>
  </si>
  <si>
    <t xml:space="preserve">All Hospitals in Onondaga County, New York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</si>
</sst>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color theme="1"/>
      <name val="Aptos"/>
    </font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readingOrder="1"/>
    </xf>
    <xf numFmtId="3" fontId="4" fillId="0" borderId="0" xfId="0" applyNumberFormat="1" applyFont="1" applyAlignment="1">
      <alignment readingOrder="1"/>
    </xf>
    <xf numFmtId="0" fontId="4" fillId="0" borderId="0" xfId="0" applyFont="1" applyAlignment="1">
      <alignment wrapText="1" readingOrder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/>
    <xf numFmtId="6" fontId="9" fillId="0" borderId="0" xfId="0" applyNumberFormat="1" applyFont="1"/>
    <xf numFmtId="6" fontId="2" fillId="0" borderId="0" xfId="0" applyNumberFormat="1" applyFont="1" applyAlignment="1">
      <alignment horizontal="center" vertical="center" wrapText="1"/>
    </xf>
    <xf numFmtId="6" fontId="2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6" fontId="7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6" fontId="7" fillId="0" borderId="2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6" fontId="7" fillId="0" borderId="0" xfId="0" applyNumberFormat="1" applyFont="1" applyBorder="1" applyAlignment="1">
      <alignment horizontal="center" vertical="center" wrapText="1"/>
    </xf>
    <xf numFmtId="6" fontId="7" fillId="2" borderId="0" xfId="0" applyNumberFormat="1" applyFont="1" applyFill="1" applyAlignment="1">
      <alignment horizontal="center" vertical="center" wrapText="1"/>
    </xf>
    <xf numFmtId="6" fontId="7" fillId="2" borderId="2" xfId="0" applyNumberFormat="1" applyFont="1" applyFill="1" applyBorder="1" applyAlignment="1">
      <alignment horizontal="center" vertical="center" wrapText="1"/>
    </xf>
    <xf numFmtId="6" fontId="7" fillId="2" borderId="3" xfId="0" applyNumberFormat="1" applyFont="1" applyFill="1" applyBorder="1" applyAlignment="1">
      <alignment horizontal="center" vertical="center" wrapText="1"/>
    </xf>
    <xf numFmtId="6" fontId="6" fillId="2" borderId="0" xfId="0" applyNumberFormat="1" applyFont="1" applyFill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6" fontId="7" fillId="2" borderId="1" xfId="0" applyNumberFormat="1" applyFont="1" applyFill="1" applyBorder="1" applyAlignment="1">
      <alignment horizontal="center" vertical="center" wrapText="1"/>
    </xf>
    <xf numFmtId="6" fontId="6" fillId="2" borderId="2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0A6-BB32-8D4C-857D-49582F7E5A95}">
  <dimension ref="A1:H6"/>
  <sheetViews>
    <sheetView workbookViewId="0">
      <selection activeCell="C17" sqref="C17"/>
    </sheetView>
  </sheetViews>
  <sheetFormatPr baseColWidth="10" defaultRowHeight="16" x14ac:dyDescent="0.2"/>
  <cols>
    <col min="1" max="1" width="30" customWidth="1"/>
  </cols>
  <sheetData>
    <row r="1" spans="1:8" ht="32" customHeight="1" x14ac:dyDescent="0.2">
      <c r="A1" s="23" t="s">
        <v>37</v>
      </c>
      <c r="B1" s="24" t="s">
        <v>38</v>
      </c>
      <c r="C1" s="24" t="s">
        <v>39</v>
      </c>
      <c r="D1" s="24"/>
    </row>
    <row r="2" spans="1:8" ht="17" x14ac:dyDescent="0.2">
      <c r="A2" s="23"/>
      <c r="B2" s="24"/>
      <c r="C2" s="15" t="s">
        <v>40</v>
      </c>
      <c r="D2" s="15" t="s">
        <v>41</v>
      </c>
    </row>
    <row r="3" spans="1:8" ht="34" customHeight="1" x14ac:dyDescent="0.2">
      <c r="A3" s="16" t="s">
        <v>42</v>
      </c>
      <c r="B3" s="14">
        <v>734</v>
      </c>
      <c r="C3" s="13" t="s">
        <v>46</v>
      </c>
      <c r="D3" s="14">
        <v>3.5</v>
      </c>
      <c r="F3" s="18"/>
      <c r="H3" s="11"/>
    </row>
    <row r="4" spans="1:8" ht="34" x14ac:dyDescent="0.2">
      <c r="A4" s="16" t="s">
        <v>43</v>
      </c>
      <c r="B4" s="17">
        <v>1175</v>
      </c>
      <c r="C4" s="52">
        <v>12.05</v>
      </c>
      <c r="D4" s="52">
        <v>8.07</v>
      </c>
    </row>
    <row r="5" spans="1:8" ht="17" x14ac:dyDescent="0.2">
      <c r="A5" s="16" t="s">
        <v>44</v>
      </c>
      <c r="B5" s="13" t="s">
        <v>45</v>
      </c>
      <c r="C5" s="52">
        <v>266.85000000000002</v>
      </c>
      <c r="D5" s="52">
        <v>178.65</v>
      </c>
    </row>
    <row r="6" spans="1:8" ht="17" x14ac:dyDescent="0.2">
      <c r="A6" s="16" t="s">
        <v>47</v>
      </c>
    </row>
  </sheetData>
  <mergeCells count="3">
    <mergeCell ref="A1:A2"/>
    <mergeCell ref="B1:B2"/>
    <mergeCell ref="C1: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8B5-BFE8-9540-8272-4DEBE86B89D1}">
  <dimension ref="A1:G6"/>
  <sheetViews>
    <sheetView workbookViewId="0">
      <selection activeCell="C2" sqref="C2"/>
    </sheetView>
  </sheetViews>
  <sheetFormatPr baseColWidth="10" defaultRowHeight="16" x14ac:dyDescent="0.2"/>
  <cols>
    <col min="1" max="1" width="28.1640625" bestFit="1" customWidth="1"/>
    <col min="3" max="3" width="13" bestFit="1" customWidth="1"/>
    <col min="4" max="6" width="14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 s="22">
        <f>5.229544202*0.05</f>
        <v>0.26147721009999997</v>
      </c>
      <c r="D2" s="22">
        <f>5.229544202*0.25</f>
        <v>1.3073860504999999</v>
      </c>
      <c r="E2" s="22">
        <f>5.229544202*0.5</f>
        <v>2.6147721009999998</v>
      </c>
      <c r="F2" s="22">
        <f>5.229544202*0.75</f>
        <v>3.9221581514999997</v>
      </c>
      <c r="G2" s="22">
        <f>5.229544202*1</f>
        <v>5.2295442019999996</v>
      </c>
    </row>
    <row r="3" spans="1:7" x14ac:dyDescent="0.2">
      <c r="A3" t="s">
        <v>8</v>
      </c>
      <c r="B3">
        <v>0</v>
      </c>
      <c r="C3" s="22">
        <v>35</v>
      </c>
      <c r="D3" s="22">
        <v>176</v>
      </c>
      <c r="E3" s="22">
        <v>352</v>
      </c>
      <c r="F3" s="22">
        <v>529</v>
      </c>
      <c r="G3" s="22">
        <v>705</v>
      </c>
    </row>
    <row r="4" spans="1:7" x14ac:dyDescent="0.2">
      <c r="A4" t="s">
        <v>9</v>
      </c>
      <c r="B4">
        <v>0</v>
      </c>
      <c r="C4" s="19">
        <v>15620</v>
      </c>
      <c r="D4" s="20">
        <v>80145</v>
      </c>
      <c r="E4" s="20">
        <v>159487</v>
      </c>
      <c r="F4" s="20">
        <v>240272</v>
      </c>
      <c r="G4" s="20">
        <v>318251</v>
      </c>
    </row>
    <row r="5" spans="1:7" x14ac:dyDescent="0.2">
      <c r="A5" t="s">
        <v>10</v>
      </c>
      <c r="B5">
        <v>0</v>
      </c>
      <c r="C5" s="21">
        <v>29099</v>
      </c>
      <c r="D5" s="20">
        <v>149106</v>
      </c>
      <c r="E5" s="20">
        <v>296640</v>
      </c>
      <c r="F5" s="20">
        <v>446787</v>
      </c>
      <c r="G5" s="20">
        <v>591575</v>
      </c>
    </row>
    <row r="6" spans="1:7" x14ac:dyDescent="0.2">
      <c r="C6" s="1">
        <v>0.05</v>
      </c>
      <c r="D6" s="1">
        <v>0.25</v>
      </c>
      <c r="E6" s="1">
        <v>0.5</v>
      </c>
      <c r="F6" s="1">
        <v>0.75</v>
      </c>
      <c r="G6" s="1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15D9-F0C1-CF47-B0C8-595B3FCDDF47}">
  <dimension ref="A1:G5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3" max="3" width="13" bestFit="1" customWidth="1"/>
    <col min="4" max="6" width="14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s="1" t="s">
        <v>11</v>
      </c>
      <c r="D1" s="1" t="s">
        <v>12</v>
      </c>
      <c r="E1" t="s">
        <v>13</v>
      </c>
      <c r="F1" t="s">
        <v>14</v>
      </c>
      <c r="G1" s="1" t="s">
        <v>15</v>
      </c>
    </row>
    <row r="2" spans="1:7" x14ac:dyDescent="0.2">
      <c r="A2" t="s">
        <v>16</v>
      </c>
      <c r="B2">
        <v>0</v>
      </c>
      <c r="C2">
        <f>45.81080722*0.05</f>
        <v>2.2905403610000001</v>
      </c>
      <c r="D2">
        <f>45.81080722*0.1</f>
        <v>4.5810807220000003</v>
      </c>
      <c r="E2">
        <f>45.81080722*0.15</f>
        <v>6.871621083</v>
      </c>
      <c r="F2">
        <f>45.81080722*0.2</f>
        <v>9.1621614440000005</v>
      </c>
      <c r="G2">
        <f>45.81080722*0.25</f>
        <v>11.452701805</v>
      </c>
    </row>
    <row r="3" spans="1:7" x14ac:dyDescent="0.2">
      <c r="A3" t="s">
        <v>17</v>
      </c>
      <c r="B3">
        <v>0</v>
      </c>
      <c r="C3">
        <v>238</v>
      </c>
      <c r="D3" s="3">
        <v>406</v>
      </c>
      <c r="E3">
        <v>609</v>
      </c>
      <c r="F3">
        <v>813</v>
      </c>
      <c r="G3" s="3">
        <v>1016</v>
      </c>
    </row>
    <row r="4" spans="1:7" x14ac:dyDescent="0.2">
      <c r="A4" t="s">
        <v>18</v>
      </c>
      <c r="B4">
        <v>0</v>
      </c>
      <c r="C4" s="2">
        <v>98311</v>
      </c>
      <c r="D4" s="2">
        <v>192814</v>
      </c>
      <c r="E4" s="2">
        <v>291405</v>
      </c>
      <c r="F4" s="2">
        <v>391357</v>
      </c>
      <c r="G4" s="2">
        <v>485636</v>
      </c>
    </row>
    <row r="5" spans="1:7" x14ac:dyDescent="0.2">
      <c r="A5" t="s">
        <v>19</v>
      </c>
      <c r="B5">
        <v>0</v>
      </c>
      <c r="C5" s="2">
        <v>183167</v>
      </c>
      <c r="D5" s="2">
        <v>358219</v>
      </c>
      <c r="E5" s="2">
        <v>541883</v>
      </c>
      <c r="F5" s="2">
        <v>728171</v>
      </c>
      <c r="G5" s="2">
        <v>903045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723F-85CC-A349-904C-653F0666772F}">
  <dimension ref="A1:D4"/>
  <sheetViews>
    <sheetView workbookViewId="0">
      <selection activeCell="D3" sqref="D3"/>
    </sheetView>
  </sheetViews>
  <sheetFormatPr baseColWidth="10" defaultRowHeight="16" x14ac:dyDescent="0.2"/>
  <cols>
    <col min="1" max="1" width="17.1640625" bestFit="1" customWidth="1"/>
    <col min="2" max="2" width="24.1640625" customWidth="1"/>
    <col min="3" max="3" width="27.1640625" customWidth="1"/>
    <col min="4" max="4" width="29.33203125" customWidth="1"/>
  </cols>
  <sheetData>
    <row r="1" spans="1:4" s="4" customFormat="1" ht="51" x14ac:dyDescent="0.2">
      <c r="A1" s="4" t="s">
        <v>20</v>
      </c>
      <c r="B1" s="4" t="s">
        <v>21</v>
      </c>
      <c r="C1" s="4" t="s">
        <v>22</v>
      </c>
      <c r="D1" s="4" t="s">
        <v>23</v>
      </c>
    </row>
    <row r="2" spans="1:4" x14ac:dyDescent="0.2">
      <c r="A2" t="s">
        <v>17</v>
      </c>
      <c r="B2">
        <v>234</v>
      </c>
      <c r="C2">
        <v>962</v>
      </c>
      <c r="D2" s="3">
        <v>1721</v>
      </c>
    </row>
    <row r="3" spans="1:4" x14ac:dyDescent="0.2">
      <c r="A3" t="s">
        <v>9</v>
      </c>
      <c r="B3" s="2">
        <v>112869</v>
      </c>
      <c r="C3" s="2">
        <v>450146</v>
      </c>
      <c r="D3" s="2">
        <v>806709</v>
      </c>
    </row>
    <row r="4" spans="1:4" x14ac:dyDescent="0.2">
      <c r="A4" t="s">
        <v>10</v>
      </c>
      <c r="B4" s="2">
        <v>210032</v>
      </c>
      <c r="C4" s="2">
        <v>836968</v>
      </c>
      <c r="D4" s="2">
        <v>1500549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FE4-F305-E94E-84D0-71917B2BB294}">
  <dimension ref="A1:H15"/>
  <sheetViews>
    <sheetView tabSelected="1" workbookViewId="0">
      <selection activeCell="F18" sqref="F18:G18"/>
    </sheetView>
  </sheetViews>
  <sheetFormatPr baseColWidth="10" defaultRowHeight="16" x14ac:dyDescent="0.2"/>
  <cols>
    <col min="4" max="4" width="14.5" customWidth="1"/>
    <col min="6" max="6" width="14.33203125" customWidth="1"/>
    <col min="7" max="7" width="12.83203125" style="18" customWidth="1"/>
    <col min="8" max="8" width="14.33203125" style="18" customWidth="1"/>
  </cols>
  <sheetData>
    <row r="1" spans="1:8" ht="32" customHeight="1" x14ac:dyDescent="0.2">
      <c r="A1" s="33" t="s">
        <v>52</v>
      </c>
      <c r="B1" s="33" t="s">
        <v>53</v>
      </c>
      <c r="C1" s="33" t="s">
        <v>54</v>
      </c>
      <c r="D1" s="33"/>
      <c r="E1" s="33" t="s">
        <v>55</v>
      </c>
      <c r="F1" s="33" t="s">
        <v>56</v>
      </c>
      <c r="G1" s="38" t="s">
        <v>65</v>
      </c>
      <c r="H1" s="38"/>
    </row>
    <row r="2" spans="1:8" ht="35" thickBot="1" x14ac:dyDescent="0.25">
      <c r="A2" s="34"/>
      <c r="B2" s="34"/>
      <c r="C2" s="25" t="s">
        <v>57</v>
      </c>
      <c r="D2" s="25" t="s">
        <v>58</v>
      </c>
      <c r="E2" s="34"/>
      <c r="F2" s="34"/>
      <c r="G2" s="25" t="s">
        <v>57</v>
      </c>
      <c r="H2" s="25" t="s">
        <v>58</v>
      </c>
    </row>
    <row r="3" spans="1:8" x14ac:dyDescent="0.2">
      <c r="A3" s="36" t="s">
        <v>59</v>
      </c>
      <c r="B3" s="26">
        <v>0.05</v>
      </c>
      <c r="C3" s="27">
        <v>15620</v>
      </c>
      <c r="D3" s="27">
        <v>29099</v>
      </c>
      <c r="E3" s="13">
        <v>210</v>
      </c>
      <c r="F3" s="43">
        <v>47223</v>
      </c>
      <c r="G3" s="43">
        <f>C3+F3</f>
        <v>62843</v>
      </c>
      <c r="H3" s="43">
        <f>D3+F3</f>
        <v>76322</v>
      </c>
    </row>
    <row r="4" spans="1:8" x14ac:dyDescent="0.2">
      <c r="A4" s="35"/>
      <c r="B4" s="26">
        <v>0.25</v>
      </c>
      <c r="C4" s="27">
        <v>80145</v>
      </c>
      <c r="D4" s="27">
        <v>149106</v>
      </c>
      <c r="E4" s="17">
        <v>1060</v>
      </c>
      <c r="F4" s="43">
        <v>238362</v>
      </c>
      <c r="G4" s="43">
        <f t="shared" ref="G4:G15" si="0">C4+F4</f>
        <v>318507</v>
      </c>
      <c r="H4" s="43">
        <f t="shared" ref="H4:H15" si="1">D4+F4</f>
        <v>387468</v>
      </c>
    </row>
    <row r="5" spans="1:8" x14ac:dyDescent="0.2">
      <c r="A5" s="35"/>
      <c r="B5" s="28">
        <v>0.5</v>
      </c>
      <c r="C5" s="27">
        <v>159487</v>
      </c>
      <c r="D5" s="27">
        <v>296640</v>
      </c>
      <c r="E5" s="17">
        <v>2130</v>
      </c>
      <c r="F5" s="43">
        <v>478973</v>
      </c>
      <c r="G5" s="43">
        <f t="shared" si="0"/>
        <v>638460</v>
      </c>
      <c r="H5" s="43">
        <f t="shared" si="1"/>
        <v>775613</v>
      </c>
    </row>
    <row r="6" spans="1:8" x14ac:dyDescent="0.2">
      <c r="A6" s="35"/>
      <c r="B6" s="28">
        <v>0.75</v>
      </c>
      <c r="C6" s="27">
        <v>240272</v>
      </c>
      <c r="D6" s="27">
        <v>446787</v>
      </c>
      <c r="E6" s="17">
        <v>3190</v>
      </c>
      <c r="F6" s="43">
        <v>717335</v>
      </c>
      <c r="G6" s="43">
        <f t="shared" si="0"/>
        <v>957607</v>
      </c>
      <c r="H6" s="43">
        <f t="shared" si="1"/>
        <v>1164122</v>
      </c>
    </row>
    <row r="7" spans="1:8" ht="17" thickBot="1" x14ac:dyDescent="0.25">
      <c r="A7" s="37"/>
      <c r="B7" s="29">
        <v>1</v>
      </c>
      <c r="C7" s="30">
        <v>318251</v>
      </c>
      <c r="D7" s="30">
        <v>591575</v>
      </c>
      <c r="E7" s="31">
        <v>4260</v>
      </c>
      <c r="F7" s="44">
        <v>957946</v>
      </c>
      <c r="G7" s="45">
        <f t="shared" si="0"/>
        <v>1276197</v>
      </c>
      <c r="H7" s="45">
        <f t="shared" si="1"/>
        <v>1549521</v>
      </c>
    </row>
    <row r="8" spans="1:8" x14ac:dyDescent="0.2">
      <c r="A8" s="36" t="s">
        <v>60</v>
      </c>
      <c r="B8" s="28">
        <v>0.05</v>
      </c>
      <c r="C8" s="27">
        <v>98311</v>
      </c>
      <c r="D8" s="27">
        <v>183167</v>
      </c>
      <c r="E8" s="17">
        <v>1210</v>
      </c>
      <c r="F8" s="43">
        <v>272093</v>
      </c>
      <c r="G8" s="43">
        <f t="shared" si="0"/>
        <v>370404</v>
      </c>
      <c r="H8" s="43">
        <f t="shared" si="1"/>
        <v>455260</v>
      </c>
    </row>
    <row r="9" spans="1:8" x14ac:dyDescent="0.2">
      <c r="A9" s="35"/>
      <c r="B9" s="28">
        <v>0.1</v>
      </c>
      <c r="C9" s="27">
        <v>192814</v>
      </c>
      <c r="D9" s="27">
        <v>358219</v>
      </c>
      <c r="E9" s="17">
        <v>2410</v>
      </c>
      <c r="F9" s="43">
        <v>541937</v>
      </c>
      <c r="G9" s="43">
        <f t="shared" si="0"/>
        <v>734751</v>
      </c>
      <c r="H9" s="43">
        <f t="shared" si="1"/>
        <v>900156</v>
      </c>
    </row>
    <row r="10" spans="1:8" x14ac:dyDescent="0.2">
      <c r="A10" s="35"/>
      <c r="B10" s="28">
        <v>0.15</v>
      </c>
      <c r="C10" s="27">
        <v>291405</v>
      </c>
      <c r="D10" s="27">
        <v>541883</v>
      </c>
      <c r="E10" s="17">
        <v>3620</v>
      </c>
      <c r="F10" s="43">
        <v>814029</v>
      </c>
      <c r="G10" s="43">
        <f t="shared" si="0"/>
        <v>1105434</v>
      </c>
      <c r="H10" s="43">
        <f t="shared" si="1"/>
        <v>1355912</v>
      </c>
    </row>
    <row r="11" spans="1:8" x14ac:dyDescent="0.2">
      <c r="A11" s="35"/>
      <c r="B11" s="28">
        <v>0.2</v>
      </c>
      <c r="C11" s="27">
        <v>391357</v>
      </c>
      <c r="D11" s="27">
        <v>728171</v>
      </c>
      <c r="E11" s="17">
        <v>4830</v>
      </c>
      <c r="F11" s="43">
        <v>1086122</v>
      </c>
      <c r="G11" s="43">
        <f t="shared" si="0"/>
        <v>1477479</v>
      </c>
      <c r="H11" s="43">
        <f t="shared" si="1"/>
        <v>1814293</v>
      </c>
    </row>
    <row r="12" spans="1:8" ht="17" thickBot="1" x14ac:dyDescent="0.25">
      <c r="A12" s="37"/>
      <c r="B12" s="29">
        <v>0.25</v>
      </c>
      <c r="C12" s="30">
        <v>485636</v>
      </c>
      <c r="D12" s="30">
        <v>903045</v>
      </c>
      <c r="E12" s="31">
        <v>6040</v>
      </c>
      <c r="F12" s="44">
        <v>1358215</v>
      </c>
      <c r="G12" s="45">
        <f t="shared" si="0"/>
        <v>1843851</v>
      </c>
      <c r="H12" s="45">
        <f t="shared" si="1"/>
        <v>2261260</v>
      </c>
    </row>
    <row r="13" spans="1:8" ht="68" x14ac:dyDescent="0.2">
      <c r="A13" s="36" t="s">
        <v>61</v>
      </c>
      <c r="B13" s="13" t="s">
        <v>62</v>
      </c>
      <c r="C13" s="27">
        <v>112869</v>
      </c>
      <c r="D13" s="27">
        <v>210032</v>
      </c>
      <c r="E13" s="17">
        <v>1420</v>
      </c>
      <c r="F13" s="43">
        <v>319315</v>
      </c>
      <c r="G13" s="43">
        <f t="shared" si="0"/>
        <v>432184</v>
      </c>
      <c r="H13" s="43">
        <f t="shared" si="1"/>
        <v>529347</v>
      </c>
    </row>
    <row r="14" spans="1:8" ht="68" x14ac:dyDescent="0.2">
      <c r="A14" s="35"/>
      <c r="B14" s="13" t="s">
        <v>63</v>
      </c>
      <c r="C14" s="27">
        <v>450146</v>
      </c>
      <c r="D14" s="27">
        <v>836968</v>
      </c>
      <c r="E14" s="17">
        <v>5750</v>
      </c>
      <c r="F14" s="43">
        <v>1293003</v>
      </c>
      <c r="G14" s="43">
        <f t="shared" si="0"/>
        <v>1743149</v>
      </c>
      <c r="H14" s="43">
        <f t="shared" si="1"/>
        <v>2129971</v>
      </c>
    </row>
    <row r="15" spans="1:8" ht="86" thickBot="1" x14ac:dyDescent="0.25">
      <c r="A15" s="37"/>
      <c r="B15" s="32" t="s">
        <v>64</v>
      </c>
      <c r="C15" s="30">
        <v>806709</v>
      </c>
      <c r="D15" s="30">
        <v>1500549</v>
      </c>
      <c r="E15" s="31">
        <v>10290</v>
      </c>
      <c r="F15" s="44">
        <v>2313912</v>
      </c>
      <c r="G15" s="45">
        <f t="shared" si="0"/>
        <v>3120621</v>
      </c>
      <c r="H15" s="45">
        <f t="shared" si="1"/>
        <v>3814461</v>
      </c>
    </row>
  </sheetData>
  <mergeCells count="9">
    <mergeCell ref="A8:A12"/>
    <mergeCell ref="A13:A15"/>
    <mergeCell ref="G1:H1"/>
    <mergeCell ref="A1:A2"/>
    <mergeCell ref="B1:B2"/>
    <mergeCell ref="C1:D1"/>
    <mergeCell ref="E1:E2"/>
    <mergeCell ref="F1:F2"/>
    <mergeCell ref="A3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99EF-EC2D-264C-A89B-A68E79F70B8B}">
  <dimension ref="A1:K8"/>
  <sheetViews>
    <sheetView topLeftCell="E1" workbookViewId="0">
      <selection activeCell="G11" sqref="G11"/>
    </sheetView>
  </sheetViews>
  <sheetFormatPr baseColWidth="10" defaultColWidth="11" defaultRowHeight="16" x14ac:dyDescent="0.2"/>
  <cols>
    <col min="1" max="1" width="14.6640625" style="4" customWidth="1"/>
    <col min="2" max="2" width="9" customWidth="1"/>
    <col min="3" max="3" width="7.6640625" bestFit="1" customWidth="1"/>
    <col min="4" max="4" width="17.33203125" customWidth="1"/>
    <col min="5" max="5" width="16" customWidth="1"/>
    <col min="6" max="6" width="16.6640625" customWidth="1"/>
    <col min="7" max="7" width="24.33203125" customWidth="1"/>
    <col min="8" max="8" width="20.33203125" customWidth="1"/>
    <col min="9" max="9" width="17" customWidth="1"/>
    <col min="10" max="10" width="19.1640625" customWidth="1"/>
  </cols>
  <sheetData>
    <row r="1" spans="1:11" s="4" customFormat="1" ht="76" x14ac:dyDescent="0.2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49</v>
      </c>
    </row>
    <row r="2" spans="1:11" x14ac:dyDescent="0.2">
      <c r="A2" s="12" t="s">
        <v>48</v>
      </c>
      <c r="B2" s="10">
        <v>734</v>
      </c>
      <c r="C2" s="11">
        <v>988710</v>
      </c>
      <c r="D2" s="10">
        <v>5.2295442039999998</v>
      </c>
      <c r="E2" s="10">
        <v>7.1247200000000002E-3</v>
      </c>
      <c r="F2" s="10">
        <v>5.2900000000000002E-6</v>
      </c>
      <c r="G2" s="10">
        <v>5.2295442039999998</v>
      </c>
      <c r="H2">
        <f>(334*0.001)*(1/8760)*(1/10.7639)*(C2)</f>
        <v>3.502205558483348</v>
      </c>
      <c r="I2" s="10">
        <f>H2/B2</f>
        <v>4.7713972186421635E-3</v>
      </c>
      <c r="J2" s="10">
        <f>I2*B2</f>
        <v>3.502205558483348</v>
      </c>
    </row>
    <row r="3" spans="1:11" ht="46" x14ac:dyDescent="0.2">
      <c r="A3" s="12" t="s">
        <v>36</v>
      </c>
      <c r="B3" s="11">
        <v>1175</v>
      </c>
      <c r="G3">
        <f>E2*B3</f>
        <v>8.3715460000000004</v>
      </c>
      <c r="J3">
        <f>I2*B3</f>
        <v>5.6063917319045418</v>
      </c>
      <c r="K3" s="10"/>
    </row>
    <row r="4" spans="1:11" ht="31" x14ac:dyDescent="0.2">
      <c r="A4" s="12" t="s">
        <v>35</v>
      </c>
      <c r="B4" s="11">
        <v>38514</v>
      </c>
      <c r="G4">
        <f>E2*B4</f>
        <v>274.40146608000003</v>
      </c>
      <c r="J4">
        <f>I2*B4</f>
        <v>183.7655924787843</v>
      </c>
      <c r="K4" s="10"/>
    </row>
    <row r="7" spans="1:11" x14ac:dyDescent="0.2">
      <c r="G7" s="10"/>
    </row>
    <row r="8" spans="1:11" x14ac:dyDescent="0.2">
      <c r="G8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849A-3BBD-804B-94F6-6687F14FAC4E}">
  <dimension ref="A1:E6"/>
  <sheetViews>
    <sheetView workbookViewId="0">
      <selection activeCell="E4" sqref="E4"/>
    </sheetView>
  </sheetViews>
  <sheetFormatPr baseColWidth="10" defaultRowHeight="16" x14ac:dyDescent="0.2"/>
  <cols>
    <col min="1" max="1" width="28.1640625" bestFit="1" customWidth="1"/>
    <col min="2" max="2" width="24.83203125" customWidth="1"/>
    <col min="3" max="3" width="20.6640625" customWidth="1"/>
    <col min="4" max="4" width="25.1640625" customWidth="1"/>
    <col min="5" max="5" width="25.5" customWidth="1"/>
  </cols>
  <sheetData>
    <row r="1" spans="1:5" s="4" customFormat="1" ht="73" customHeight="1" x14ac:dyDescent="0.2">
      <c r="A1" s="8" t="s">
        <v>0</v>
      </c>
      <c r="B1" s="8" t="s">
        <v>24</v>
      </c>
      <c r="C1" s="9" t="s">
        <v>25</v>
      </c>
      <c r="D1" s="8" t="s">
        <v>50</v>
      </c>
      <c r="E1" s="8" t="s">
        <v>51</v>
      </c>
    </row>
    <row r="2" spans="1:5" x14ac:dyDescent="0.2">
      <c r="A2" s="5" t="s">
        <v>7</v>
      </c>
      <c r="B2" s="5">
        <f>Table3EnergyEstimates!G3*1</f>
        <v>8.3715460000000004</v>
      </c>
      <c r="C2" s="6">
        <f>Table3EnergyEstimates!J3*1</f>
        <v>5.6063917319045418</v>
      </c>
      <c r="D2" s="6">
        <f>Table3EnergyEstimates!G4*1</f>
        <v>274.40146608000003</v>
      </c>
      <c r="E2" s="6">
        <f>Table3EnergyEstimates!J4*1</f>
        <v>183.7655924787843</v>
      </c>
    </row>
    <row r="3" spans="1:5" x14ac:dyDescent="0.2">
      <c r="A3" s="5" t="s">
        <v>16</v>
      </c>
      <c r="B3" s="6">
        <f>(Table3EnergyEstimates!G3)*0.001*8760*0.25</f>
        <v>18.33368574</v>
      </c>
      <c r="C3" s="6">
        <f>Table3EnergyEstimates!J3*0.001*8760*0.25</f>
        <v>12.277997892870946</v>
      </c>
      <c r="D3" s="6">
        <f>Table3EnergyEstimates!G4*0.001*8760*0.25</f>
        <v>600.93921071520015</v>
      </c>
      <c r="E3" s="6">
        <f>Table3EnergyEstimates!J4*0.001*8760*0.25</f>
        <v>402.4466475285376</v>
      </c>
    </row>
    <row r="4" spans="1:5" x14ac:dyDescent="0.2">
      <c r="A4" s="5" t="s">
        <v>8</v>
      </c>
      <c r="B4" s="5">
        <v>2755</v>
      </c>
      <c r="C4" s="5">
        <v>1845</v>
      </c>
      <c r="D4" s="7">
        <v>90288</v>
      </c>
      <c r="E4" s="7">
        <v>60466</v>
      </c>
    </row>
    <row r="5" spans="1:5" x14ac:dyDescent="0.2">
      <c r="A5" s="5" t="s">
        <v>9</v>
      </c>
      <c r="B5" s="7">
        <v>1370163</v>
      </c>
      <c r="C5" s="7">
        <v>915529</v>
      </c>
      <c r="D5" s="7">
        <v>44308296</v>
      </c>
      <c r="E5" s="7">
        <v>29864685</v>
      </c>
    </row>
    <row r="6" spans="1:5" x14ac:dyDescent="0.2">
      <c r="A6" s="5" t="s">
        <v>10</v>
      </c>
      <c r="B6" s="7">
        <v>2548217</v>
      </c>
      <c r="C6" s="7">
        <v>1702224</v>
      </c>
      <c r="D6" s="7">
        <v>82486376</v>
      </c>
      <c r="E6" s="7">
        <v>55547325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7E0-6BB3-C049-9D13-9063E2A471D9}">
  <dimension ref="A1:H7"/>
  <sheetViews>
    <sheetView workbookViewId="0">
      <selection activeCell="E6" sqref="E6"/>
    </sheetView>
  </sheetViews>
  <sheetFormatPr baseColWidth="10" defaultRowHeight="16" x14ac:dyDescent="0.2"/>
  <cols>
    <col min="3" max="3" width="13" customWidth="1"/>
    <col min="4" max="4" width="14.6640625" customWidth="1"/>
    <col min="6" max="6" width="16.33203125" customWidth="1"/>
    <col min="7" max="8" width="14.33203125" bestFit="1" customWidth="1"/>
  </cols>
  <sheetData>
    <row r="1" spans="1:8" ht="32" customHeight="1" x14ac:dyDescent="0.2">
      <c r="A1" s="33" t="s">
        <v>66</v>
      </c>
      <c r="B1" s="33" t="s">
        <v>67</v>
      </c>
      <c r="C1" s="33" t="s">
        <v>54</v>
      </c>
      <c r="D1" s="33"/>
      <c r="E1" s="33" t="s">
        <v>55</v>
      </c>
      <c r="F1" s="33" t="s">
        <v>56</v>
      </c>
      <c r="G1" s="38" t="s">
        <v>65</v>
      </c>
      <c r="H1" s="38"/>
    </row>
    <row r="2" spans="1:8" ht="35" thickBot="1" x14ac:dyDescent="0.25">
      <c r="A2" s="34"/>
      <c r="B2" s="34"/>
      <c r="C2" s="25" t="s">
        <v>57</v>
      </c>
      <c r="D2" s="25" t="s">
        <v>58</v>
      </c>
      <c r="E2" s="34"/>
      <c r="F2" s="34"/>
      <c r="G2" s="25" t="s">
        <v>57</v>
      </c>
      <c r="H2" s="25" t="s">
        <v>58</v>
      </c>
    </row>
    <row r="3" spans="1:8" ht="78" customHeight="1" x14ac:dyDescent="0.2">
      <c r="A3" s="36" t="s">
        <v>68</v>
      </c>
      <c r="B3" s="39" t="s">
        <v>40</v>
      </c>
      <c r="C3" s="46">
        <v>1370163</v>
      </c>
      <c r="D3" s="46">
        <v>2548217</v>
      </c>
      <c r="E3" s="47">
        <v>16470</v>
      </c>
      <c r="F3" s="48">
        <v>3703609</v>
      </c>
      <c r="G3" s="43">
        <f>C3+F3</f>
        <v>5073772</v>
      </c>
      <c r="H3" s="43">
        <f>D3+F3</f>
        <v>6251826</v>
      </c>
    </row>
    <row r="4" spans="1:8" ht="18" thickBot="1" x14ac:dyDescent="0.25">
      <c r="A4" s="37"/>
      <c r="B4" s="40" t="s">
        <v>41</v>
      </c>
      <c r="C4" s="44">
        <v>915529</v>
      </c>
      <c r="D4" s="49">
        <v>1702224</v>
      </c>
      <c r="E4" s="50">
        <v>11030</v>
      </c>
      <c r="F4" s="44">
        <v>2480316</v>
      </c>
      <c r="G4" s="45">
        <f t="shared" ref="G4:G5" si="0">C4+F4</f>
        <v>3395845</v>
      </c>
      <c r="H4" s="45">
        <f t="shared" ref="H4:H6" si="1">D4+F4</f>
        <v>4182540</v>
      </c>
    </row>
    <row r="5" spans="1:8" ht="46" customHeight="1" x14ac:dyDescent="0.2">
      <c r="A5" s="36" t="s">
        <v>44</v>
      </c>
      <c r="B5" s="14" t="s">
        <v>40</v>
      </c>
      <c r="C5" s="43">
        <v>44308296</v>
      </c>
      <c r="D5" s="43">
        <v>82486376</v>
      </c>
      <c r="E5" s="51">
        <v>538330</v>
      </c>
      <c r="F5" s="43">
        <v>121054267</v>
      </c>
      <c r="G5" s="43">
        <f t="shared" si="0"/>
        <v>165362563</v>
      </c>
      <c r="H5" s="43">
        <f t="shared" si="1"/>
        <v>203540643</v>
      </c>
    </row>
    <row r="6" spans="1:8" ht="18" thickBot="1" x14ac:dyDescent="0.25">
      <c r="A6" s="41"/>
      <c r="B6" s="40" t="s">
        <v>41</v>
      </c>
      <c r="C6" s="44">
        <v>29864685</v>
      </c>
      <c r="D6" s="44">
        <v>55547325</v>
      </c>
      <c r="E6" s="50">
        <v>361120</v>
      </c>
      <c r="F6" s="44">
        <v>81205054</v>
      </c>
      <c r="G6" s="45">
        <f>C6+F6</f>
        <v>111069739</v>
      </c>
      <c r="H6" s="45">
        <f t="shared" si="1"/>
        <v>136752379</v>
      </c>
    </row>
    <row r="7" spans="1:8" x14ac:dyDescent="0.2">
      <c r="G7" s="42"/>
      <c r="H7" s="42"/>
    </row>
  </sheetData>
  <mergeCells count="8">
    <mergeCell ref="A5:A6"/>
    <mergeCell ref="G1:H1"/>
    <mergeCell ref="A1:A2"/>
    <mergeCell ref="B1:B2"/>
    <mergeCell ref="C1:D1"/>
    <mergeCell ref="E1:E2"/>
    <mergeCell ref="F1:F2"/>
    <mergeCell ref="A3:A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f50a66-5e26-41dd-89f8-83cf73ffee98}" enabled="0" method="" siteId="{5cf50a66-5e26-41dd-89f8-83cf73ffee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Table2ERE</vt:lpstr>
      <vt:lpstr>Table2IEE</vt:lpstr>
      <vt:lpstr>Table2EREIEE</vt:lpstr>
      <vt:lpstr>Table2</vt:lpstr>
      <vt:lpstr>Table3EnergyEstimates</vt:lpstr>
      <vt:lpstr>Table3Extrapolation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 Williams</dc:creator>
  <cp:lastModifiedBy>Augusta Williams</cp:lastModifiedBy>
  <dcterms:created xsi:type="dcterms:W3CDTF">2025-04-18T17:11:05Z</dcterms:created>
  <dcterms:modified xsi:type="dcterms:W3CDTF">2025-04-18T20:18:08Z</dcterms:modified>
</cp:coreProperties>
</file>