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rif\Desktop\Website\Code\Excel\"/>
    </mc:Choice>
  </mc:AlternateContent>
  <xr:revisionPtr revIDLastSave="0" documentId="13_ncr:1_{31A10FFC-FF91-4EC0-B9A4-C7B7D1DE5173}" xr6:coauthVersionLast="47" xr6:coauthVersionMax="47" xr10:uidLastSave="{00000000-0000-0000-0000-000000000000}"/>
  <bookViews>
    <workbookView xWindow="-90" yWindow="-90" windowWidth="19380" windowHeight="11460" xr2:uid="{F557DD24-E523-4972-BBC9-5FFAF8AB05BB}"/>
  </bookViews>
  <sheets>
    <sheet name="Google Sheets Data" sheetId="2" r:id="rId1"/>
    <sheet name="Dashboard" sheetId="1" r:id="rId2"/>
    <sheet name="Transactions + Helper" sheetId="3" r:id="rId3"/>
  </sheets>
  <definedNames>
    <definedName name="ExternalData_1" localSheetId="0" hidden="1">'Google Sheets Data'!$A$1:$G$9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E3" i="1" s="1"/>
  <c r="H3" i="2"/>
  <c r="H4" i="2"/>
  <c r="E5" i="1" s="1"/>
  <c r="H5" i="2"/>
  <c r="E6" i="1" s="1"/>
  <c r="H6" i="2"/>
  <c r="E7" i="1" s="1"/>
  <c r="H7" i="2"/>
  <c r="H8" i="2"/>
  <c r="E9" i="1" s="1"/>
  <c r="H9" i="2"/>
  <c r="E10" i="1" s="1"/>
  <c r="E8" i="1"/>
  <c r="E4" i="1"/>
  <c r="G10" i="1"/>
  <c r="O10" i="1" s="1"/>
  <c r="G9" i="1"/>
  <c r="O9" i="1" s="1"/>
  <c r="G8" i="1"/>
  <c r="O8" i="1" s="1"/>
  <c r="G7" i="1"/>
  <c r="G6" i="1"/>
  <c r="O6" i="1" s="1"/>
  <c r="G5" i="1"/>
  <c r="G4" i="1"/>
  <c r="O4" i="1" s="1"/>
  <c r="G3" i="1"/>
  <c r="O3" i="1" s="1"/>
  <c r="O7" i="1"/>
  <c r="O5" i="1"/>
  <c r="H5" i="3"/>
  <c r="L5" i="3" s="1"/>
  <c r="H6" i="3"/>
  <c r="L6" i="3" s="1"/>
  <c r="H7" i="3"/>
  <c r="L7" i="3" s="1"/>
  <c r="H8" i="3"/>
  <c r="L8" i="3" s="1"/>
  <c r="H9" i="3"/>
  <c r="I9" i="3" s="1"/>
  <c r="H10" i="3"/>
  <c r="I10" i="3" s="1"/>
  <c r="H11" i="3"/>
  <c r="I11" i="3" s="1"/>
  <c r="H4" i="3"/>
  <c r="I4" i="3" s="1"/>
  <c r="F5" i="3"/>
  <c r="F6" i="3"/>
  <c r="F7" i="3"/>
  <c r="F8" i="3"/>
  <c r="F9" i="3"/>
  <c r="F10" i="3"/>
  <c r="F11" i="3"/>
  <c r="F4" i="3"/>
  <c r="E4" i="3"/>
  <c r="E5" i="3"/>
  <c r="E6" i="3"/>
  <c r="E7" i="3"/>
  <c r="E8" i="3"/>
  <c r="E9" i="3"/>
  <c r="E10" i="3"/>
  <c r="E11" i="3"/>
  <c r="P4" i="1"/>
  <c r="P5" i="1"/>
  <c r="P6" i="1"/>
  <c r="P7" i="1"/>
  <c r="P8" i="1"/>
  <c r="P9" i="1"/>
  <c r="P10" i="1"/>
  <c r="P3" i="1"/>
  <c r="H3" i="1"/>
  <c r="J4" i="1"/>
  <c r="J5" i="1"/>
  <c r="J6" i="1"/>
  <c r="J7" i="1"/>
  <c r="J8" i="1"/>
  <c r="J9" i="1"/>
  <c r="J10" i="1"/>
  <c r="J3" i="1"/>
  <c r="H4" i="1"/>
  <c r="H5" i="1"/>
  <c r="H6" i="1"/>
  <c r="H7" i="1"/>
  <c r="H8" i="1"/>
  <c r="H9" i="1"/>
  <c r="H10" i="1"/>
  <c r="C4" i="1"/>
  <c r="C5" i="1"/>
  <c r="C6" i="1"/>
  <c r="C7" i="1"/>
  <c r="C8" i="1"/>
  <c r="C9" i="1"/>
  <c r="C10" i="1"/>
  <c r="C3" i="1"/>
  <c r="B3" i="1"/>
  <c r="B10" i="1"/>
  <c r="B4" i="1"/>
  <c r="B5" i="1"/>
  <c r="B6" i="1"/>
  <c r="B7" i="1"/>
  <c r="B8" i="1"/>
  <c r="B9" i="1"/>
  <c r="I10" i="1" l="1"/>
  <c r="L11" i="3"/>
  <c r="L10" i="3"/>
  <c r="L9" i="3"/>
  <c r="L4" i="3"/>
  <c r="K10" i="1"/>
  <c r="K9" i="1"/>
  <c r="I8" i="1"/>
  <c r="I7" i="1"/>
  <c r="K8" i="1"/>
  <c r="I9" i="1"/>
  <c r="K7" i="1"/>
  <c r="I6" i="1"/>
  <c r="I5" i="1"/>
  <c r="K5" i="1"/>
  <c r="K6" i="1"/>
  <c r="I4" i="1"/>
  <c r="K4" i="1"/>
  <c r="K3" i="1"/>
  <c r="I3" i="1"/>
  <c r="O11" i="1"/>
  <c r="M15" i="1" s="1"/>
  <c r="M10" i="1" l="1"/>
  <c r="N10" i="1" s="1"/>
  <c r="M7" i="1"/>
  <c r="N7" i="1" s="1"/>
  <c r="M8" i="1"/>
  <c r="N8" i="1" s="1"/>
  <c r="M9" i="1"/>
  <c r="N9" i="1" s="1"/>
  <c r="M5" i="1"/>
  <c r="N5" i="1" s="1"/>
  <c r="M4" i="1"/>
  <c r="N4" i="1" s="1"/>
  <c r="I11" i="1"/>
  <c r="M6" i="1"/>
  <c r="N6" i="1" s="1"/>
  <c r="M3" i="1"/>
  <c r="K11" i="1"/>
  <c r="L6" i="1" s="1"/>
  <c r="C5" i="3" s="1"/>
  <c r="M14" i="1" l="1"/>
  <c r="N3" i="1"/>
  <c r="M11" i="1"/>
  <c r="L4" i="1"/>
  <c r="L10" i="1"/>
  <c r="C7" i="3" s="1"/>
  <c r="L9" i="1"/>
  <c r="L8" i="1"/>
  <c r="L3" i="1"/>
  <c r="L5" i="1"/>
  <c r="L7" i="1"/>
  <c r="P11" i="1" l="1"/>
  <c r="M16" i="1" s="1"/>
  <c r="C4" i="3"/>
  <c r="C6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C2DF14-8B9D-42C5-ACC6-7A1A5D02FCE3}" keepAlive="1" interval="1" name="Query - Google Stock Data" description="Connection to the 'Google Stock Data' query in the workbook." type="5" refreshedVersion="8" background="1" refreshOnLoad="1" saveData="1">
    <dbPr connection="Provider=Microsoft.Mashup.OleDb.1;Data Source=$Workbook$;Location=&quot;Google Stock Data&quot;;Extended Properties=&quot;&quot;" command="SELECT * FROM [Google Stock Data]"/>
  </connection>
</connections>
</file>

<file path=xl/sharedStrings.xml><?xml version="1.0" encoding="utf-8"?>
<sst xmlns="http://schemas.openxmlformats.org/spreadsheetml/2006/main" count="69" uniqueCount="56">
  <si>
    <t>Ticker</t>
  </si>
  <si>
    <t>Company Name</t>
  </si>
  <si>
    <t>Price</t>
  </si>
  <si>
    <t>Price Change</t>
  </si>
  <si>
    <t>Market Cap</t>
  </si>
  <si>
    <t>AAPL</t>
  </si>
  <si>
    <t>Apple Inc</t>
  </si>
  <si>
    <t>MSFT</t>
  </si>
  <si>
    <t>Microsoft Corp</t>
  </si>
  <si>
    <t>AMZN</t>
  </si>
  <si>
    <t>Amazon.com Inc</t>
  </si>
  <si>
    <t>GOOGL</t>
  </si>
  <si>
    <t>Alphabet Inc Class A</t>
  </si>
  <si>
    <t>TSLA</t>
  </si>
  <si>
    <t>Tesla Inc</t>
  </si>
  <si>
    <t>JNJ</t>
  </si>
  <si>
    <t>Johnson &amp; Johnson</t>
  </si>
  <si>
    <t>UNH</t>
  </si>
  <si>
    <t>UnitedHealth Group Inc</t>
  </si>
  <si>
    <t>PG</t>
  </si>
  <si>
    <t>Procter &amp; Gamble Co</t>
  </si>
  <si>
    <t>Allocation</t>
  </si>
  <si>
    <t>Price Paid per Share</t>
  </si>
  <si>
    <t>Cap Size</t>
  </si>
  <si>
    <t>Sector</t>
  </si>
  <si>
    <t>Name</t>
  </si>
  <si>
    <t>Symbol</t>
  </si>
  <si>
    <t>Technology</t>
  </si>
  <si>
    <t>Consumer Cyclical</t>
  </si>
  <si>
    <t>Communication Services</t>
  </si>
  <si>
    <t>Healthcare</t>
  </si>
  <si>
    <t>Consumer Defensive</t>
  </si>
  <si>
    <t>Market Cap (Billions)</t>
  </si>
  <si>
    <t>Total</t>
  </si>
  <si>
    <t>Current
Price</t>
  </si>
  <si>
    <t>Price Paid 
per Share</t>
  </si>
  <si>
    <t>Date of 
Purchase</t>
  </si>
  <si>
    <t>Total 
Cost</t>
  </si>
  <si>
    <t>Total 
Value</t>
  </si>
  <si>
    <t>Unrealised 
Gain / Loss</t>
  </si>
  <si>
    <t>Unrealised 
Gain / Loss (%)</t>
  </si>
  <si>
    <t>1 Day 
Return (%)</t>
  </si>
  <si>
    <t>1 Day 
Return</t>
  </si>
  <si>
    <t># of 
Shares</t>
  </si>
  <si>
    <t>Portfolio Summary</t>
  </si>
  <si>
    <t>Total Gain
/Loss ($)</t>
  </si>
  <si>
    <t>Daily Gain
/Loss ($)</t>
  </si>
  <si>
    <t>Daily Gain
/Loss (%)</t>
  </si>
  <si>
    <t>Company</t>
  </si>
  <si>
    <t># of Shares</t>
  </si>
  <si>
    <t>Price per Share</t>
  </si>
  <si>
    <t>Purchases</t>
  </si>
  <si>
    <t>Sales</t>
  </si>
  <si>
    <t>Dividends Received</t>
  </si>
  <si>
    <t>Column7</t>
  </si>
  <si>
    <t>Realised 
Gain/Loss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</si>
</sst>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2" borderId="4" xfId="0" applyFill="1" applyBorder="1"/>
    <xf numFmtId="0" fontId="0" fillId="2" borderId="5" xfId="0" applyFill="1" applyBorder="1"/>
    <xf numFmtId="0" fontId="0" fillId="3" borderId="5" xfId="0" applyFill="1" applyBorder="1"/>
    <xf numFmtId="164" fontId="0" fillId="2" borderId="5" xfId="0" applyNumberFormat="1" applyFill="1" applyBorder="1"/>
    <xf numFmtId="166" fontId="0" fillId="3" borderId="5" xfId="0" applyNumberFormat="1" applyFill="1" applyBorder="1"/>
    <xf numFmtId="165" fontId="0" fillId="3" borderId="5" xfId="0" applyNumberFormat="1" applyFill="1" applyBorder="1"/>
    <xf numFmtId="167" fontId="0" fillId="3" borderId="5" xfId="1" applyNumberFormat="1" applyFont="1" applyFill="1" applyBorder="1"/>
    <xf numFmtId="10" fontId="0" fillId="3" borderId="6" xfId="1" applyNumberFormat="1" applyFont="1" applyFill="1" applyBorder="1"/>
    <xf numFmtId="0" fontId="0" fillId="2" borderId="7" xfId="0" applyFill="1" applyBorder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7" fontId="0" fillId="3" borderId="0" xfId="1" applyNumberFormat="1" applyFont="1" applyFill="1" applyBorder="1"/>
    <xf numFmtId="10" fontId="0" fillId="3" borderId="8" xfId="1" applyNumberFormat="1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0" xfId="0" applyFill="1" applyBorder="1"/>
    <xf numFmtId="164" fontId="0" fillId="2" borderId="10" xfId="0" applyNumberFormat="1" applyFill="1" applyBorder="1"/>
    <xf numFmtId="166" fontId="0" fillId="3" borderId="10" xfId="0" applyNumberFormat="1" applyFill="1" applyBorder="1"/>
    <xf numFmtId="165" fontId="0" fillId="3" borderId="10" xfId="0" applyNumberFormat="1" applyFill="1" applyBorder="1"/>
    <xf numFmtId="167" fontId="0" fillId="3" borderId="10" xfId="1" applyNumberFormat="1" applyFont="1" applyFill="1" applyBorder="1"/>
    <xf numFmtId="10" fontId="0" fillId="3" borderId="11" xfId="1" applyNumberFormat="1" applyFont="1" applyFill="1" applyBorder="1"/>
    <xf numFmtId="0" fontId="2" fillId="0" borderId="1" xfId="0" applyFont="1" applyBorder="1"/>
    <xf numFmtId="0" fontId="0" fillId="0" borderId="2" xfId="0" applyBorder="1"/>
    <xf numFmtId="166" fontId="2" fillId="0" borderId="2" xfId="0" applyNumberFormat="1" applyFont="1" applyBorder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7" fontId="0" fillId="0" borderId="0" xfId="1" applyNumberFormat="1" applyFont="1"/>
    <xf numFmtId="0" fontId="2" fillId="4" borderId="2" xfId="0" applyFont="1" applyFill="1" applyBorder="1" applyAlignment="1">
      <alignment horizontal="center" vertical="center" wrapText="1"/>
    </xf>
    <xf numFmtId="166" fontId="2" fillId="4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0" fontId="2" fillId="0" borderId="0" xfId="1" applyNumberFormat="1" applyFont="1"/>
    <xf numFmtId="0" fontId="2" fillId="4" borderId="0" xfId="0" applyFont="1" applyFill="1" applyAlignment="1">
      <alignment horizontal="center" wrapText="1"/>
    </xf>
    <xf numFmtId="166" fontId="2" fillId="0" borderId="0" xfId="0" applyNumberFormat="1" applyFont="1"/>
    <xf numFmtId="10" fontId="2" fillId="0" borderId="3" xfId="1" applyNumberFormat="1" applyFont="1" applyBorder="1"/>
    <xf numFmtId="0" fontId="0" fillId="0" borderId="0" xfId="0" applyBorder="1"/>
    <xf numFmtId="165" fontId="0" fillId="0" borderId="0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5" fontId="0" fillId="0" borderId="18" xfId="0" applyNumberFormat="1" applyBorder="1"/>
    <xf numFmtId="0" fontId="0" fillId="0" borderId="19" xfId="0" applyBorder="1"/>
    <xf numFmtId="0" fontId="0" fillId="0" borderId="20" xfId="0" applyBorder="1"/>
    <xf numFmtId="165" fontId="0" fillId="0" borderId="20" xfId="0" applyNumberFormat="1" applyBorder="1"/>
    <xf numFmtId="165" fontId="0" fillId="0" borderId="21" xfId="0" applyNumberFormat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numFmt numFmtId="2" formatCode="0.00"/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ECFF"/>
      <color rgb="FFCCCCFF"/>
      <color rgb="FFCC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Portfolio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341-44CD-9343-18637AA4A4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41-44CD-9343-18637AA4A4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341-44CD-9343-18637AA4A4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41-44CD-9343-18637AA4A4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341-44CD-9343-18637AA4A4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41-44CD-9343-18637AA4A4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341-44CD-9343-18637AA4A4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341-44CD-9343-18637AA4A4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341-44CD-9343-18637AA4A4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341-44CD-9343-18637AA4A4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341-44CD-9343-18637AA4A4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341-44CD-9343-18637AA4A4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8341-44CD-9343-18637AA4A4C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341-44CD-9343-18637AA4A4C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341-44CD-9343-18637AA4A4C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341-44CD-9343-18637AA4A4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Dashboard!$B$3:$B$10</c:f>
              <c:strCache>
                <c:ptCount val="8"/>
                <c:pt idx="0">
                  <c:v>AAPL</c:v>
                </c:pt>
                <c:pt idx="1">
                  <c:v>MSFT</c:v>
                </c:pt>
                <c:pt idx="2">
                  <c:v>AMZN</c:v>
                </c:pt>
                <c:pt idx="3">
                  <c:v>GOOGL</c:v>
                </c:pt>
                <c:pt idx="4">
                  <c:v>TSLA</c:v>
                </c:pt>
                <c:pt idx="5">
                  <c:v>JNJ</c:v>
                </c:pt>
                <c:pt idx="6">
                  <c:v>UNH</c:v>
                </c:pt>
                <c:pt idx="7">
                  <c:v>PG</c:v>
                </c:pt>
              </c:strCache>
            </c:strRef>
          </c:cat>
          <c:val>
            <c:numRef>
              <c:f>Dashboard!$L$3:$L$10</c:f>
              <c:numCache>
                <c:formatCode>0.0%</c:formatCode>
                <c:ptCount val="8"/>
                <c:pt idx="0">
                  <c:v>0.2414966939013492</c:v>
                </c:pt>
                <c:pt idx="1">
                  <c:v>0.34475764187877728</c:v>
                </c:pt>
                <c:pt idx="2">
                  <c:v>7.9370131132153146E-2</c:v>
                </c:pt>
                <c:pt idx="3">
                  <c:v>3.830734764971791E-2</c:v>
                </c:pt>
                <c:pt idx="4">
                  <c:v>7.4405254452051608E-2</c:v>
                </c:pt>
                <c:pt idx="5">
                  <c:v>4.5128041482039742E-2</c:v>
                </c:pt>
                <c:pt idx="6">
                  <c:v>4.0446346657025477E-2</c:v>
                </c:pt>
                <c:pt idx="7">
                  <c:v>0.13608854284688576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1-44CD-9343-18637AA4A4C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SECTOR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5C-479D-AD03-F194763E3A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5C-479D-AD03-F194763E3A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5C-479D-AD03-F194763E3A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5C-479D-AD03-F194763E3A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45C-479D-AD03-F194763E3AE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45C-479D-AD03-F194763E3AE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45C-479D-AD03-F194763E3A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45C-479D-AD03-F194763E3AE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45C-479D-AD03-F194763E3AE9}"/>
                </c:ext>
              </c:extLst>
            </c:dLbl>
            <c:dLbl>
              <c:idx val="4"/>
              <c:layout>
                <c:manualLayout>
                  <c:x val="-1.452014608743589E-2"/>
                  <c:y val="3.67448290790647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5C-479D-AD03-F194763E3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'Transactions + Helper'!$B$3:$B$7</c:f>
              <c:strCache>
                <c:ptCount val="5"/>
                <c:pt idx="0">
                  <c:v>Technology</c:v>
                </c:pt>
                <c:pt idx="1">
                  <c:v>Consumer Cyclical</c:v>
                </c:pt>
                <c:pt idx="2">
                  <c:v>Communication Services</c:v>
                </c:pt>
                <c:pt idx="3">
                  <c:v>Healthcare</c:v>
                </c:pt>
                <c:pt idx="4">
                  <c:v>Consumer Defensive</c:v>
                </c:pt>
              </c:strCache>
            </c:strRef>
          </c:cat>
          <c:val>
            <c:numRef>
              <c:f>'Transactions + Helper'!$C$3:$C$7</c:f>
              <c:numCache>
                <c:formatCode>0.0%</c:formatCode>
                <c:ptCount val="5"/>
                <c:pt idx="0">
                  <c:v>0.58625433578012642</c:v>
                </c:pt>
                <c:pt idx="1">
                  <c:v>0.15377538558420475</c:v>
                </c:pt>
                <c:pt idx="2">
                  <c:v>3.830734764971791E-2</c:v>
                </c:pt>
                <c:pt idx="3">
                  <c:v>8.5574388139065219E-2</c:v>
                </c:pt>
                <c:pt idx="4">
                  <c:v>0.13608854284688576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5C-479D-AD03-F194763E3AE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93662</xdr:colOff>
      <xdr:row>11</xdr:row>
      <xdr:rowOff>9526</xdr:rowOff>
    </xdr:from>
    <xdr:to>
      <xdr:col>4</xdr:col>
      <xdr:colOff>527050</xdr:colOff>
      <xdr:row>21</xdr:row>
      <xdr:rowOff>170089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636DE-3C60-4008-54CC-48165CD44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11</xdr:row>
      <xdr:rowOff>7524</xdr:rowOff>
    </xdr:from>
    <xdr:to>
      <xdr:col>10</xdr:col>
      <xdr:colOff>379413</xdr:colOff>
      <xdr:row>21</xdr:row>
      <xdr:rowOff>162719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5A82BA-F53F-4267-B3D2-7B292961E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6A8F4C94-7C1E-4260-B758-AD0C4CA2FED9}" autoFormatId="16" applyNumberFormats="0" applyBorderFormats="0" applyFontFormats="0" applyPatternFormats="0" applyAlignmentFormats="0" applyWidthHeightFormats="0">
  <queryTableRefresh nextId="18" unboundColumnsRight="1">
    <queryTableFields count="8">
      <queryTableField id="1" name="Ticker" tableColumnId="1"/>
      <queryTableField id="2" name="Company Name" tableColumnId="2"/>
      <queryTableField id="3" name="Price" tableColumnId="3"/>
      <queryTableField id="4" name="Price Change" tableColumnId="4"/>
      <queryTableField id="5" name="Market Cap" tableColumnId="5"/>
      <queryTableField id="12" name="Price Paid per Share" tableColumnId="13"/>
      <queryTableField id="17" name="Column7" tableColumnId="11"/>
      <queryTableField id="6" dataBound="0" tableColumnId="7"/>
    </queryTableFields>
    <queryTableDeletedFields count="1"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6691A3-CC92-41FE-8692-00E84305BDF8}" name="Google_Stock_Data" displayName="Google_Stock_Data" ref="A1:H9" tableType="queryTable" totalsRowShown="0">
  <autoFilter ref="A1:H9" xr:uid="{DF6691A3-CC92-41FE-8692-00E84305BDF8}"/>
  <tableColumns count="8">
    <tableColumn id="1" xr3:uid="{E8AB7819-101F-48B6-B433-0DD8117CA42C}" uniqueName="1" name="Ticker" queryTableFieldId="1" dataDxfId="6"/>
    <tableColumn id="2" xr3:uid="{F184B8AD-D037-472C-9337-E22592838224}" uniqueName="2" name="Company Name" queryTableFieldId="2" dataDxfId="5"/>
    <tableColumn id="3" xr3:uid="{9CC9B8ED-4F16-4469-A59B-C4399B09B41B}" uniqueName="3" name="Price" queryTableFieldId="3"/>
    <tableColumn id="4" xr3:uid="{A1AB8A23-1DB1-4639-811B-EB25B666D41D}" uniqueName="4" name="Price Change" queryTableFieldId="4"/>
    <tableColumn id="5" xr3:uid="{A2616C0F-1F43-4E6C-9B5C-692361E06715}" uniqueName="5" name="Market Cap" queryTableFieldId="5"/>
    <tableColumn id="13" xr3:uid="{65DDBFD0-87F0-452B-9A6F-52E26561D7E9}" uniqueName="13" name="Price Paid per Share" queryTableFieldId="12"/>
    <tableColumn id="11" xr3:uid="{1F5B41AA-B309-4237-AA8C-732BA164D181}" uniqueName="11" name="Column7" queryTableFieldId="17"/>
    <tableColumn id="7" xr3:uid="{B7CCC7D4-249F-46F7-B162-DA38425C236C}" uniqueName="7" name="Market Cap (Billions)" queryTableFieldId="6" dataDxfId="0">
      <calculatedColumnFormula>E2 / 10^9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439F4-1830-451E-9C1D-9250B8B1ED8A}">
  <dimension ref="A1:H9"/>
  <sheetViews>
    <sheetView tabSelected="1" workbookViewId="0">
      <selection activeCell="I8" sqref="I8"/>
    </sheetView>
  </sheetViews>
  <sheetFormatPr defaultRowHeight="14.75" x14ac:dyDescent="0.75"/>
  <cols>
    <col min="1" max="1" width="7.953125" bestFit="1" customWidth="1"/>
    <col min="2" max="2" width="20.04296875" bestFit="1" customWidth="1"/>
    <col min="3" max="3" width="7.04296875" bestFit="1" customWidth="1"/>
    <col min="4" max="4" width="13.6796875" bestFit="1" customWidth="1"/>
    <col min="5" max="5" width="12.6328125" bestFit="1" customWidth="1"/>
    <col min="6" max="6" width="19.7265625" bestFit="1" customWidth="1"/>
    <col min="7" max="7" width="10.40625" bestFit="1" customWidth="1"/>
    <col min="8" max="13" width="20.58984375" bestFit="1" customWidth="1"/>
    <col min="14" max="14" width="19.7265625" bestFit="1" customWidth="1"/>
    <col min="15" max="15" width="20.58984375" bestFit="1" customWidth="1"/>
    <col min="16" max="16" width="14.6328125" bestFit="1" customWidth="1"/>
    <col min="17" max="17" width="20.58984375" bestFit="1" customWidth="1"/>
  </cols>
  <sheetData>
    <row r="1" spans="1: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54</v>
      </c>
      <c r="H1" t="s">
        <v>32</v>
      </c>
    </row>
    <row r="2" spans="1:8" x14ac:dyDescent="0.75">
      <c r="A2" t="s">
        <v>5</v>
      </c>
      <c r="B2" t="s">
        <v>6</v>
      </c>
      <c r="C2">
        <v>170.73</v>
      </c>
      <c r="D2">
        <v>1.73</v>
      </c>
      <c r="E2">
        <v>2636392106425</v>
      </c>
      <c r="F2">
        <v>148.84</v>
      </c>
      <c r="H2" s="1">
        <f t="shared" ref="H2:H9" si="0">E2 / 10^9</f>
        <v>2636.3921064249998</v>
      </c>
    </row>
    <row r="3" spans="1:8" x14ac:dyDescent="0.75">
      <c r="A3" t="s">
        <v>7</v>
      </c>
      <c r="B3" t="s">
        <v>8</v>
      </c>
      <c r="C3">
        <v>406.22</v>
      </c>
      <c r="D3">
        <v>-2.92</v>
      </c>
      <c r="E3">
        <v>3018392127210</v>
      </c>
      <c r="F3">
        <v>180.12</v>
      </c>
      <c r="H3" s="1">
        <f t="shared" si="0"/>
        <v>3018.3921272100001</v>
      </c>
    </row>
    <row r="4" spans="1:8" x14ac:dyDescent="0.75">
      <c r="A4" t="s">
        <v>9</v>
      </c>
      <c r="B4" t="s">
        <v>10</v>
      </c>
      <c r="C4">
        <v>175.35</v>
      </c>
      <c r="D4">
        <v>-1.47</v>
      </c>
      <c r="E4">
        <v>1821427146399</v>
      </c>
      <c r="F4">
        <v>103.65</v>
      </c>
      <c r="H4" s="1">
        <f t="shared" si="0"/>
        <v>1821.4271463990001</v>
      </c>
    </row>
    <row r="5" spans="1:8" x14ac:dyDescent="0.75">
      <c r="A5" t="s">
        <v>11</v>
      </c>
      <c r="B5" t="s">
        <v>12</v>
      </c>
      <c r="C5">
        <v>135.41</v>
      </c>
      <c r="D5">
        <v>1.03</v>
      </c>
      <c r="E5">
        <v>1688466604563</v>
      </c>
      <c r="F5">
        <v>88.49</v>
      </c>
      <c r="H5" s="1">
        <f t="shared" si="0"/>
        <v>1688.4666045629999</v>
      </c>
    </row>
    <row r="6" spans="1:8" x14ac:dyDescent="0.75">
      <c r="A6" t="s">
        <v>13</v>
      </c>
      <c r="B6" t="s">
        <v>14</v>
      </c>
      <c r="C6">
        <v>175.34</v>
      </c>
      <c r="D6">
        <v>-3.31</v>
      </c>
      <c r="E6">
        <v>549422618324</v>
      </c>
      <c r="F6">
        <v>200.84</v>
      </c>
      <c r="H6" s="1">
        <f t="shared" si="0"/>
        <v>549.42261832400004</v>
      </c>
    </row>
    <row r="7" spans="1:8" x14ac:dyDescent="0.75">
      <c r="A7" t="s">
        <v>15</v>
      </c>
      <c r="B7" t="s">
        <v>16</v>
      </c>
      <c r="C7">
        <v>159.52000000000001</v>
      </c>
      <c r="D7">
        <v>0.65</v>
      </c>
      <c r="E7">
        <v>384246362611</v>
      </c>
      <c r="F7">
        <v>161.6</v>
      </c>
      <c r="H7" s="1">
        <f t="shared" si="0"/>
        <v>384.246362611</v>
      </c>
    </row>
    <row r="8" spans="1:8" x14ac:dyDescent="0.75">
      <c r="A8" t="s">
        <v>17</v>
      </c>
      <c r="B8" t="s">
        <v>18</v>
      </c>
      <c r="C8">
        <v>476.57</v>
      </c>
      <c r="D8">
        <v>-0.33</v>
      </c>
      <c r="E8">
        <v>439366093132</v>
      </c>
      <c r="F8">
        <v>491.31</v>
      </c>
      <c r="H8" s="1">
        <f t="shared" si="0"/>
        <v>439.366093132</v>
      </c>
    </row>
    <row r="9" spans="1:8" x14ac:dyDescent="0.75">
      <c r="A9" t="s">
        <v>19</v>
      </c>
      <c r="B9" t="s">
        <v>20</v>
      </c>
      <c r="C9">
        <v>160.35</v>
      </c>
      <c r="D9">
        <v>-0.27</v>
      </c>
      <c r="E9">
        <v>377306931711</v>
      </c>
      <c r="F9">
        <v>138.51</v>
      </c>
      <c r="H9" s="1">
        <f t="shared" si="0"/>
        <v>377.306931711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19F8-4A30-4C74-8CCE-7848914523BF}">
  <dimension ref="B1:P16"/>
  <sheetViews>
    <sheetView showGridLines="0" zoomScale="90" zoomScaleNormal="90" workbookViewId="0">
      <selection activeCell="O19" sqref="O19"/>
    </sheetView>
  </sheetViews>
  <sheetFormatPr defaultRowHeight="14.75" x14ac:dyDescent="0.75"/>
  <cols>
    <col min="1" max="1" width="1.36328125" customWidth="1"/>
    <col min="3" max="3" width="20.04296875" bestFit="1" customWidth="1"/>
    <col min="4" max="4" width="20.6796875" bestFit="1" customWidth="1"/>
    <col min="6" max="6" width="10.5" bestFit="1" customWidth="1"/>
    <col min="7" max="7" width="6.26953125" bestFit="1" customWidth="1"/>
    <col min="9" max="9" width="9.453125" style="2" bestFit="1" customWidth="1"/>
    <col min="10" max="10" width="7.76953125" customWidth="1"/>
    <col min="11" max="11" width="10.81640625" customWidth="1"/>
    <col min="12" max="12" width="10.5" customWidth="1"/>
    <col min="13" max="13" width="9.54296875" customWidth="1"/>
    <col min="14" max="15" width="13.1328125" bestFit="1" customWidth="1"/>
    <col min="16" max="17" width="9.58984375" bestFit="1" customWidth="1"/>
  </cols>
  <sheetData>
    <row r="1" spans="2:16" ht="7.5" customHeight="1" thickBot="1" x14ac:dyDescent="0.9"/>
    <row r="2" spans="2:16" ht="26" customHeight="1" thickBot="1" x14ac:dyDescent="0.9">
      <c r="B2" s="30" t="s">
        <v>26</v>
      </c>
      <c r="C2" s="31" t="s">
        <v>25</v>
      </c>
      <c r="D2" s="31" t="s">
        <v>24</v>
      </c>
      <c r="E2" s="31" t="s">
        <v>23</v>
      </c>
      <c r="F2" s="33" t="s">
        <v>36</v>
      </c>
      <c r="G2" s="33" t="s">
        <v>43</v>
      </c>
      <c r="H2" s="33" t="s">
        <v>35</v>
      </c>
      <c r="I2" s="34" t="s">
        <v>37</v>
      </c>
      <c r="J2" s="33" t="s">
        <v>34</v>
      </c>
      <c r="K2" s="33" t="s">
        <v>38</v>
      </c>
      <c r="L2" s="31" t="s">
        <v>21</v>
      </c>
      <c r="M2" s="33" t="s">
        <v>39</v>
      </c>
      <c r="N2" s="33" t="s">
        <v>40</v>
      </c>
      <c r="O2" s="33" t="s">
        <v>42</v>
      </c>
      <c r="P2" s="35" t="s">
        <v>41</v>
      </c>
    </row>
    <row r="3" spans="2:16" x14ac:dyDescent="0.75">
      <c r="B3" s="3" t="str">
        <f>'Google Sheets Data'!A2</f>
        <v>AAPL</v>
      </c>
      <c r="C3" s="4" t="str">
        <f>'Google Sheets Data'!B2</f>
        <v>Apple Inc</v>
      </c>
      <c r="D3" s="4" t="s">
        <v>27</v>
      </c>
      <c r="E3" s="5" t="str">
        <f>IF('Google Sheets Data'!H2&gt;10,"Large",IF('Google Sheets Data'!H2&gt;2,"Mid","Small"))</f>
        <v>Large</v>
      </c>
      <c r="F3" s="6">
        <v>44711</v>
      </c>
      <c r="G3" s="4">
        <f>'Transactions + Helper'!G4 - 'Transactions + Helper'!J4</f>
        <v>500</v>
      </c>
      <c r="H3" s="5">
        <f>'Google Sheets Data'!F2</f>
        <v>148.84</v>
      </c>
      <c r="I3" s="7">
        <f>G3*H3</f>
        <v>74420</v>
      </c>
      <c r="J3" s="5">
        <f>'Google Sheets Data'!C2</f>
        <v>170.73</v>
      </c>
      <c r="K3" s="7">
        <f>G3*J3</f>
        <v>85365</v>
      </c>
      <c r="L3" s="9">
        <f>K3/$K$11</f>
        <v>0.2414966939013492</v>
      </c>
      <c r="M3" s="7">
        <f>K3-I3</f>
        <v>10945</v>
      </c>
      <c r="N3" s="9">
        <f>M3/I3</f>
        <v>0.14707067992475142</v>
      </c>
      <c r="O3" s="8">
        <f>'Google Sheets Data'!D2 * G3</f>
        <v>865</v>
      </c>
      <c r="P3" s="10">
        <f>'Google Sheets Data'!C2 / ('Google Sheets Data'!C2 - 'Google Sheets Data'!D2) - 1</f>
        <v>1.0236686390532546E-2</v>
      </c>
    </row>
    <row r="4" spans="2:16" x14ac:dyDescent="0.75">
      <c r="B4" s="11" t="str">
        <f>'Google Sheets Data'!A3</f>
        <v>MSFT</v>
      </c>
      <c r="C4" s="12" t="str">
        <f>'Google Sheets Data'!B3</f>
        <v>Microsoft Corp</v>
      </c>
      <c r="D4" s="12" t="s">
        <v>27</v>
      </c>
      <c r="E4" s="13" t="str">
        <f>IF('Google Sheets Data'!H3&gt;10,"Large",IF('Google Sheets Data'!H3&gt;2,"Mid","Small"))</f>
        <v>Large</v>
      </c>
      <c r="F4" s="14">
        <v>43865</v>
      </c>
      <c r="G4" s="12">
        <f>'Transactions + Helper'!G5 - 'Transactions + Helper'!J5</f>
        <v>300</v>
      </c>
      <c r="H4" s="13">
        <f>'Google Sheets Data'!F3</f>
        <v>180.12</v>
      </c>
      <c r="I4" s="15">
        <f t="shared" ref="I4:I10" si="0">G4*H4</f>
        <v>54036</v>
      </c>
      <c r="J4" s="13">
        <f>'Google Sheets Data'!C3</f>
        <v>406.22</v>
      </c>
      <c r="K4" s="15">
        <f t="shared" ref="K4:K10" si="1">G4*J4</f>
        <v>121866.00000000001</v>
      </c>
      <c r="L4" s="17">
        <f t="shared" ref="L4:L10" si="2">K4/$K$11</f>
        <v>0.34475764187877728</v>
      </c>
      <c r="M4" s="15">
        <f>K4-I4</f>
        <v>67830.000000000015</v>
      </c>
      <c r="N4" s="17">
        <f>M4/I4</f>
        <v>1.2552742616033759</v>
      </c>
      <c r="O4" s="16">
        <f>'Google Sheets Data'!D3 * G4</f>
        <v>-876</v>
      </c>
      <c r="P4" s="18">
        <f>'Google Sheets Data'!C3 / ('Google Sheets Data'!C3 - 'Google Sheets Data'!D3) - 1</f>
        <v>-7.1369213472161075E-3</v>
      </c>
    </row>
    <row r="5" spans="2:16" x14ac:dyDescent="0.75">
      <c r="B5" s="11" t="str">
        <f>'Google Sheets Data'!A4</f>
        <v>AMZN</v>
      </c>
      <c r="C5" s="12" t="str">
        <f>'Google Sheets Data'!B4</f>
        <v>Amazon.com Inc</v>
      </c>
      <c r="D5" s="12" t="s">
        <v>28</v>
      </c>
      <c r="E5" s="13" t="str">
        <f>IF('Google Sheets Data'!H4&gt;10,"Large",IF('Google Sheets Data'!H4&gt;2,"Mid","Small"))</f>
        <v>Large</v>
      </c>
      <c r="F5" s="14">
        <v>45049</v>
      </c>
      <c r="G5" s="12">
        <f>'Transactions + Helper'!G6 - 'Transactions + Helper'!J6</f>
        <v>160</v>
      </c>
      <c r="H5" s="13">
        <f>'Google Sheets Data'!F4</f>
        <v>103.65</v>
      </c>
      <c r="I5" s="15">
        <f t="shared" si="0"/>
        <v>16584</v>
      </c>
      <c r="J5" s="13">
        <f>'Google Sheets Data'!C4</f>
        <v>175.35</v>
      </c>
      <c r="K5" s="15">
        <f t="shared" si="1"/>
        <v>28056</v>
      </c>
      <c r="L5" s="17">
        <f t="shared" si="2"/>
        <v>7.9370131132153146E-2</v>
      </c>
      <c r="M5" s="15">
        <f>K5-I5</f>
        <v>11472</v>
      </c>
      <c r="N5" s="17">
        <f>M5/I5</f>
        <v>0.69175108538350216</v>
      </c>
      <c r="O5" s="16">
        <f>'Google Sheets Data'!D4 * G5</f>
        <v>-235.2</v>
      </c>
      <c r="P5" s="18">
        <f>'Google Sheets Data'!C4 / ('Google Sheets Data'!C4 - 'Google Sheets Data'!D4) - 1</f>
        <v>-8.3135391923990776E-3</v>
      </c>
    </row>
    <row r="6" spans="2:16" x14ac:dyDescent="0.75">
      <c r="B6" s="11" t="str">
        <f>'Google Sheets Data'!A5</f>
        <v>GOOGL</v>
      </c>
      <c r="C6" s="12" t="str">
        <f>'Google Sheets Data'!B5</f>
        <v>Alphabet Inc Class A</v>
      </c>
      <c r="D6" s="12" t="s">
        <v>29</v>
      </c>
      <c r="E6" s="13" t="str">
        <f>IF('Google Sheets Data'!H5&gt;10,"Large",IF('Google Sheets Data'!H5&gt;2,"Mid","Small"))</f>
        <v>Large</v>
      </c>
      <c r="F6" s="14">
        <v>44870</v>
      </c>
      <c r="G6" s="12">
        <f>'Transactions + Helper'!G7 - 'Transactions + Helper'!J7</f>
        <v>100</v>
      </c>
      <c r="H6" s="13">
        <f>'Google Sheets Data'!F5</f>
        <v>88.49</v>
      </c>
      <c r="I6" s="15">
        <f t="shared" si="0"/>
        <v>8849</v>
      </c>
      <c r="J6" s="13">
        <f>'Google Sheets Data'!C5</f>
        <v>135.41</v>
      </c>
      <c r="K6" s="15">
        <f t="shared" si="1"/>
        <v>13541</v>
      </c>
      <c r="L6" s="17">
        <f t="shared" si="2"/>
        <v>3.830734764971791E-2</v>
      </c>
      <c r="M6" s="15">
        <f>K6-I6</f>
        <v>4692</v>
      </c>
      <c r="N6" s="17">
        <f>M6/I6</f>
        <v>0.53022940445248046</v>
      </c>
      <c r="O6" s="16">
        <f>'Google Sheets Data'!D5 * G6</f>
        <v>103</v>
      </c>
      <c r="P6" s="18">
        <f>'Google Sheets Data'!C5 / ('Google Sheets Data'!C5 - 'Google Sheets Data'!D5) - 1</f>
        <v>7.6648310760529803E-3</v>
      </c>
    </row>
    <row r="7" spans="2:16" x14ac:dyDescent="0.75">
      <c r="B7" s="11" t="str">
        <f>'Google Sheets Data'!A6</f>
        <v>TSLA</v>
      </c>
      <c r="C7" s="12" t="str">
        <f>'Google Sheets Data'!B6</f>
        <v>Tesla Inc</v>
      </c>
      <c r="D7" s="12" t="s">
        <v>28</v>
      </c>
      <c r="E7" s="13" t="str">
        <f>IF('Google Sheets Data'!H6&gt;10,"Large",IF('Google Sheets Data'!H6&gt;2,"Mid","Small"))</f>
        <v>Large</v>
      </c>
      <c r="F7" s="14">
        <v>45230</v>
      </c>
      <c r="G7" s="12">
        <f>'Transactions + Helper'!G8 - 'Transactions + Helper'!J8</f>
        <v>150</v>
      </c>
      <c r="H7" s="13">
        <f>'Google Sheets Data'!F6</f>
        <v>200.84</v>
      </c>
      <c r="I7" s="15">
        <f t="shared" si="0"/>
        <v>30126</v>
      </c>
      <c r="J7" s="13">
        <f>'Google Sheets Data'!C6</f>
        <v>175.34</v>
      </c>
      <c r="K7" s="15">
        <f t="shared" si="1"/>
        <v>26301</v>
      </c>
      <c r="L7" s="17">
        <f t="shared" si="2"/>
        <v>7.4405254452051608E-2</v>
      </c>
      <c r="M7" s="15">
        <f>K7-I7</f>
        <v>-3825</v>
      </c>
      <c r="N7" s="17">
        <f>M7/I7</f>
        <v>-0.1269667396932882</v>
      </c>
      <c r="O7" s="16">
        <f>'Google Sheets Data'!D6 * G7</f>
        <v>-496.5</v>
      </c>
      <c r="P7" s="18">
        <f>'Google Sheets Data'!C6 / ('Google Sheets Data'!C6 - 'Google Sheets Data'!D6) - 1</f>
        <v>-1.8527847746991344E-2</v>
      </c>
    </row>
    <row r="8" spans="2:16" x14ac:dyDescent="0.75">
      <c r="B8" s="11" t="str">
        <f>'Google Sheets Data'!A7</f>
        <v>JNJ</v>
      </c>
      <c r="C8" s="12" t="str">
        <f>'Google Sheets Data'!B7</f>
        <v>Johnson &amp; Johnson</v>
      </c>
      <c r="D8" s="12" t="s">
        <v>30</v>
      </c>
      <c r="E8" s="13" t="str">
        <f>IF('Google Sheets Data'!H7&gt;10,"Large",IF('Google Sheets Data'!H7&gt;2,"Mid","Small"))</f>
        <v>Large</v>
      </c>
      <c r="F8" s="14">
        <v>45113</v>
      </c>
      <c r="G8" s="12">
        <f>'Transactions + Helper'!G9 - 'Transactions + Helper'!J9</f>
        <v>100</v>
      </c>
      <c r="H8" s="13">
        <f>'Google Sheets Data'!F7</f>
        <v>161.6</v>
      </c>
      <c r="I8" s="15">
        <f t="shared" si="0"/>
        <v>16160</v>
      </c>
      <c r="J8" s="13">
        <f>'Google Sheets Data'!C7</f>
        <v>159.52000000000001</v>
      </c>
      <c r="K8" s="15">
        <f t="shared" si="1"/>
        <v>15952.000000000002</v>
      </c>
      <c r="L8" s="17">
        <f t="shared" si="2"/>
        <v>4.5128041482039742E-2</v>
      </c>
      <c r="M8" s="15">
        <f>K8-I8</f>
        <v>-207.99999999999818</v>
      </c>
      <c r="N8" s="17">
        <f>M8/I8</f>
        <v>-1.287128712871276E-2</v>
      </c>
      <c r="O8" s="16">
        <f>'Google Sheets Data'!D7 * G8</f>
        <v>65</v>
      </c>
      <c r="P8" s="18">
        <f>'Google Sheets Data'!C7 / ('Google Sheets Data'!C7 - 'Google Sheets Data'!D7) - 1</f>
        <v>4.0913954805816832E-3</v>
      </c>
    </row>
    <row r="9" spans="2:16" x14ac:dyDescent="0.75">
      <c r="B9" s="11" t="str">
        <f>'Google Sheets Data'!A8</f>
        <v>UNH</v>
      </c>
      <c r="C9" s="12" t="str">
        <f>'Google Sheets Data'!B8</f>
        <v>UnitedHealth Group Inc</v>
      </c>
      <c r="D9" s="12" t="s">
        <v>30</v>
      </c>
      <c r="E9" s="13" t="str">
        <f>IF('Google Sheets Data'!H8&gt;10,"Large",IF('Google Sheets Data'!H8&gt;2,"Mid","Small"))</f>
        <v>Large</v>
      </c>
      <c r="F9" s="14">
        <v>44978</v>
      </c>
      <c r="G9" s="12">
        <f>'Transactions + Helper'!G10 - 'Transactions + Helper'!J10</f>
        <v>30</v>
      </c>
      <c r="H9" s="13">
        <f>'Google Sheets Data'!F8</f>
        <v>491.31</v>
      </c>
      <c r="I9" s="15">
        <f t="shared" si="0"/>
        <v>14739.3</v>
      </c>
      <c r="J9" s="13">
        <f>'Google Sheets Data'!C8</f>
        <v>476.57</v>
      </c>
      <c r="K9" s="15">
        <f t="shared" si="1"/>
        <v>14297.1</v>
      </c>
      <c r="L9" s="17">
        <f t="shared" si="2"/>
        <v>4.0446346657025477E-2</v>
      </c>
      <c r="M9" s="15">
        <f>K9-I9</f>
        <v>-442.19999999999891</v>
      </c>
      <c r="N9" s="17">
        <f>M9/I9</f>
        <v>-3.0001424762369919E-2</v>
      </c>
      <c r="O9" s="16">
        <f>'Google Sheets Data'!D8 * G9</f>
        <v>-9.9</v>
      </c>
      <c r="P9" s="18">
        <f>'Google Sheets Data'!C8 / ('Google Sheets Data'!C8 - 'Google Sheets Data'!D8) - 1</f>
        <v>-6.9196896624024173E-4</v>
      </c>
    </row>
    <row r="10" spans="2:16" ht="15.5" thickBot="1" x14ac:dyDescent="0.9">
      <c r="B10" s="19" t="str">
        <f>'Google Sheets Data'!A9</f>
        <v>PG</v>
      </c>
      <c r="C10" s="20" t="str">
        <f>'Google Sheets Data'!B9</f>
        <v>Procter &amp; Gamble Co</v>
      </c>
      <c r="D10" s="20" t="s">
        <v>31</v>
      </c>
      <c r="E10" s="21" t="str">
        <f>IF('Google Sheets Data'!H9&gt;10,"Large",IF('Google Sheets Data'!H9&gt;2,"Mid","Small"))</f>
        <v>Large</v>
      </c>
      <c r="F10" s="22">
        <v>44066</v>
      </c>
      <c r="G10" s="20">
        <f>'Transactions + Helper'!G11 - 'Transactions + Helper'!J11</f>
        <v>300</v>
      </c>
      <c r="H10" s="21">
        <f>'Google Sheets Data'!F9</f>
        <v>138.51</v>
      </c>
      <c r="I10" s="23">
        <f t="shared" si="0"/>
        <v>41553</v>
      </c>
      <c r="J10" s="21">
        <f>'Google Sheets Data'!C9</f>
        <v>160.35</v>
      </c>
      <c r="K10" s="23">
        <f t="shared" si="1"/>
        <v>48105</v>
      </c>
      <c r="L10" s="25">
        <f t="shared" si="2"/>
        <v>0.13608854284688576</v>
      </c>
      <c r="M10" s="23">
        <f>K10-I10</f>
        <v>6552</v>
      </c>
      <c r="N10" s="25">
        <f>M10/I10</f>
        <v>0.15767814598223956</v>
      </c>
      <c r="O10" s="24">
        <f>'Google Sheets Data'!D9 * G10</f>
        <v>-81</v>
      </c>
      <c r="P10" s="26">
        <f>'Google Sheets Data'!C9 / ('Google Sheets Data'!C9 - 'Google Sheets Data'!D9) - 1</f>
        <v>-1.6809861785581637E-3</v>
      </c>
    </row>
    <row r="11" spans="2:16" ht="15.5" thickBot="1" x14ac:dyDescent="0.9">
      <c r="B11" s="27" t="s">
        <v>33</v>
      </c>
      <c r="C11" s="28"/>
      <c r="D11" s="28"/>
      <c r="E11" s="28"/>
      <c r="F11" s="28"/>
      <c r="G11" s="28"/>
      <c r="H11" s="28"/>
      <c r="I11" s="29">
        <f>SUM(I3:I10)</f>
        <v>256467.3</v>
      </c>
      <c r="J11" s="28"/>
      <c r="K11" s="29">
        <f>SUM(K3:K10)</f>
        <v>353483.1</v>
      </c>
      <c r="L11" s="28"/>
      <c r="M11" s="29">
        <f>SUM(M3:M10)</f>
        <v>97015.800000000017</v>
      </c>
      <c r="N11" s="28"/>
      <c r="O11" s="29">
        <f>SUM(O3:O10)</f>
        <v>-665.6</v>
      </c>
      <c r="P11" s="40">
        <f>SUMPRODUCT(L3:L10,P3:P10)</f>
        <v>-1.8052927386551061E-3</v>
      </c>
    </row>
    <row r="13" spans="2:16" ht="14.9" customHeight="1" x14ac:dyDescent="0.75">
      <c r="L13" s="38" t="s">
        <v>44</v>
      </c>
      <c r="M13" s="38"/>
    </row>
    <row r="14" spans="2:16" ht="29.5" customHeight="1" x14ac:dyDescent="0.75">
      <c r="L14" s="36" t="s">
        <v>45</v>
      </c>
      <c r="M14" s="39">
        <f>SUM(M3:M10) + SUM('Transactions + Helper'!L4:L11)</f>
        <v>88368.300900000017</v>
      </c>
    </row>
    <row r="15" spans="2:16" ht="29.5" customHeight="1" x14ac:dyDescent="0.75">
      <c r="L15" s="36" t="s">
        <v>46</v>
      </c>
      <c r="M15" s="39">
        <f>O11</f>
        <v>-665.6</v>
      </c>
    </row>
    <row r="16" spans="2:16" ht="29.5" customHeight="1" x14ac:dyDescent="0.75">
      <c r="L16" s="36" t="s">
        <v>47</v>
      </c>
      <c r="M16" s="37">
        <f>P11</f>
        <v>-1.8052927386551061E-3</v>
      </c>
    </row>
  </sheetData>
  <mergeCells count="1">
    <mergeCell ref="L13:M13"/>
  </mergeCells>
  <conditionalFormatting sqref="M14:M16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M3:P11">
    <cfRule type="cellIs" dxfId="2" priority="3" operator="lessThan">
      <formula>0</formula>
    </cfRule>
    <cfRule type="cellIs" dxfId="1" priority="4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3BC1-1E50-41D7-9B30-909154471BE2}">
  <dimension ref="B2:L11"/>
  <sheetViews>
    <sheetView workbookViewId="0">
      <selection activeCell="J19" sqref="J19"/>
    </sheetView>
  </sheetViews>
  <sheetFormatPr defaultRowHeight="14.75" x14ac:dyDescent="0.75"/>
  <cols>
    <col min="2" max="2" width="20.6796875" bestFit="1" customWidth="1"/>
    <col min="3" max="3" width="8.81640625" bestFit="1" customWidth="1"/>
    <col min="6" max="6" width="20.04296875" bestFit="1" customWidth="1"/>
    <col min="7" max="7" width="9.58984375" bestFit="1" customWidth="1"/>
    <col min="8" max="8" width="13" bestFit="1" customWidth="1"/>
    <col min="9" max="9" width="16.5" bestFit="1" customWidth="1"/>
    <col min="10" max="10" width="9.58984375" bestFit="1" customWidth="1"/>
    <col min="11" max="11" width="13" bestFit="1" customWidth="1"/>
    <col min="12" max="12" width="15.90625" bestFit="1" customWidth="1"/>
  </cols>
  <sheetData>
    <row r="2" spans="2:12" x14ac:dyDescent="0.75">
      <c r="B2" t="s">
        <v>24</v>
      </c>
      <c r="C2" t="s">
        <v>21</v>
      </c>
      <c r="E2" s="43"/>
      <c r="F2" s="44"/>
      <c r="G2" s="54" t="s">
        <v>51</v>
      </c>
      <c r="H2" s="55"/>
      <c r="I2" s="56"/>
      <c r="J2" s="54" t="s">
        <v>52</v>
      </c>
      <c r="K2" s="56"/>
      <c r="L2" s="57" t="s">
        <v>55</v>
      </c>
    </row>
    <row r="3" spans="2:12" x14ac:dyDescent="0.75">
      <c r="B3" t="s">
        <v>27</v>
      </c>
      <c r="C3" s="32">
        <f>SUMIF(Dashboard!$D$3:$D$10,'Transactions + Helper'!B3,Dashboard!$L$3:$L$10)</f>
        <v>0.58625433578012642</v>
      </c>
      <c r="E3" s="51" t="s">
        <v>0</v>
      </c>
      <c r="F3" s="52" t="s">
        <v>48</v>
      </c>
      <c r="G3" s="51" t="s">
        <v>49</v>
      </c>
      <c r="H3" s="52" t="s">
        <v>50</v>
      </c>
      <c r="I3" s="53" t="s">
        <v>53</v>
      </c>
      <c r="J3" s="51" t="s">
        <v>49</v>
      </c>
      <c r="K3" s="53" t="s">
        <v>50</v>
      </c>
      <c r="L3" s="58"/>
    </row>
    <row r="4" spans="2:12" x14ac:dyDescent="0.75">
      <c r="B4" t="s">
        <v>28</v>
      </c>
      <c r="C4" s="32">
        <f>SUMIF(Dashboard!$D$3:$D$10,'Transactions + Helper'!B4,Dashboard!$L$3:$L$10)</f>
        <v>0.15377538558420475</v>
      </c>
      <c r="E4" s="45" t="str">
        <f>'Google Sheets Data'!A2</f>
        <v>AAPL</v>
      </c>
      <c r="F4" s="41" t="str">
        <f>'Google Sheets Data'!B2</f>
        <v>Apple Inc</v>
      </c>
      <c r="G4" s="45">
        <v>500</v>
      </c>
      <c r="H4" s="42">
        <f>'Google Sheets Data'!F2</f>
        <v>148.84</v>
      </c>
      <c r="I4" s="46">
        <f>H4*G4*0.0056</f>
        <v>416.75200000000001</v>
      </c>
      <c r="J4" s="45">
        <v>0</v>
      </c>
      <c r="K4" s="46">
        <v>0</v>
      </c>
      <c r="L4" s="46">
        <f>J4*(K4-H4)+I4</f>
        <v>416.75200000000001</v>
      </c>
    </row>
    <row r="5" spans="2:12" x14ac:dyDescent="0.75">
      <c r="B5" t="s">
        <v>29</v>
      </c>
      <c r="C5" s="32">
        <f>SUMIF(Dashboard!$D$3:$D$10,'Transactions + Helper'!B5,Dashboard!$L$3:$L$10)</f>
        <v>3.830734764971791E-2</v>
      </c>
      <c r="E5" s="45" t="str">
        <f>'Google Sheets Data'!A3</f>
        <v>MSFT</v>
      </c>
      <c r="F5" s="41" t="str">
        <f>'Google Sheets Data'!B3</f>
        <v>Microsoft Corp</v>
      </c>
      <c r="G5" s="45">
        <v>300</v>
      </c>
      <c r="H5" s="42">
        <f>'Google Sheets Data'!F3</f>
        <v>180.12</v>
      </c>
      <c r="I5" s="46">
        <v>0</v>
      </c>
      <c r="J5" s="45">
        <v>0</v>
      </c>
      <c r="K5" s="46">
        <v>0</v>
      </c>
      <c r="L5" s="46">
        <f t="shared" ref="L5:L11" si="0">J5*(K5-H5)+I5</f>
        <v>0</v>
      </c>
    </row>
    <row r="6" spans="2:12" x14ac:dyDescent="0.75">
      <c r="B6" t="s">
        <v>30</v>
      </c>
      <c r="C6" s="32">
        <f>SUMIF(Dashboard!$D$3:$D$10,'Transactions + Helper'!B6,Dashboard!$L$3:$L$10)</f>
        <v>8.5574388139065219E-2</v>
      </c>
      <c r="E6" s="45" t="str">
        <f>'Google Sheets Data'!A4</f>
        <v>AMZN</v>
      </c>
      <c r="F6" s="41" t="str">
        <f>'Google Sheets Data'!B4</f>
        <v>Amazon.com Inc</v>
      </c>
      <c r="G6" s="45">
        <v>200</v>
      </c>
      <c r="H6" s="42">
        <f>'Google Sheets Data'!F4</f>
        <v>103.65</v>
      </c>
      <c r="I6" s="46">
        <v>0</v>
      </c>
      <c r="J6" s="45">
        <v>40</v>
      </c>
      <c r="K6" s="46">
        <v>125.73</v>
      </c>
      <c r="L6" s="46">
        <f t="shared" si="0"/>
        <v>883.19999999999993</v>
      </c>
    </row>
    <row r="7" spans="2:12" x14ac:dyDescent="0.75">
      <c r="B7" t="s">
        <v>31</v>
      </c>
      <c r="C7" s="32">
        <f>SUMIF(Dashboard!$D$3:$D$10,'Transactions + Helper'!B7,Dashboard!$L$3:$L$10)</f>
        <v>0.13608854284688576</v>
      </c>
      <c r="E7" s="45" t="str">
        <f>'Google Sheets Data'!A5</f>
        <v>GOOGL</v>
      </c>
      <c r="F7" s="41" t="str">
        <f>'Google Sheets Data'!B5</f>
        <v>Alphabet Inc Class A</v>
      </c>
      <c r="G7" s="45">
        <v>100</v>
      </c>
      <c r="H7" s="42">
        <f>'Google Sheets Data'!F5</f>
        <v>88.49</v>
      </c>
      <c r="I7" s="46">
        <v>0</v>
      </c>
      <c r="J7" s="45">
        <v>0</v>
      </c>
      <c r="K7" s="46">
        <v>0</v>
      </c>
      <c r="L7" s="46">
        <f t="shared" si="0"/>
        <v>0</v>
      </c>
    </row>
    <row r="8" spans="2:12" x14ac:dyDescent="0.75">
      <c r="E8" s="45" t="str">
        <f>'Google Sheets Data'!A6</f>
        <v>TSLA</v>
      </c>
      <c r="F8" s="41" t="str">
        <f>'Google Sheets Data'!B6</f>
        <v>Tesla Inc</v>
      </c>
      <c r="G8" s="45">
        <v>150</v>
      </c>
      <c r="H8" s="42">
        <f>'Google Sheets Data'!F6</f>
        <v>200.84</v>
      </c>
      <c r="I8" s="46">
        <v>0</v>
      </c>
      <c r="J8" s="45">
        <v>0</v>
      </c>
      <c r="K8" s="46">
        <v>0</v>
      </c>
      <c r="L8" s="46">
        <f t="shared" si="0"/>
        <v>0</v>
      </c>
    </row>
    <row r="9" spans="2:12" x14ac:dyDescent="0.75">
      <c r="E9" s="45" t="str">
        <f>'Google Sheets Data'!A7</f>
        <v>JNJ</v>
      </c>
      <c r="F9" s="41" t="str">
        <f>'Google Sheets Data'!B7</f>
        <v>Johnson &amp; Johnson</v>
      </c>
      <c r="G9" s="45">
        <v>250</v>
      </c>
      <c r="H9" s="42">
        <f>'Google Sheets Data'!F7</f>
        <v>161.6</v>
      </c>
      <c r="I9" s="46">
        <f>H9*G9*0.0298</f>
        <v>1203.92</v>
      </c>
      <c r="J9" s="45">
        <v>150</v>
      </c>
      <c r="K9" s="46">
        <v>102.95</v>
      </c>
      <c r="L9" s="46">
        <f t="shared" si="0"/>
        <v>-7593.5799999999981</v>
      </c>
    </row>
    <row r="10" spans="2:12" x14ac:dyDescent="0.75">
      <c r="E10" s="45" t="str">
        <f>'Google Sheets Data'!A8</f>
        <v>UNH</v>
      </c>
      <c r="F10" s="41" t="str">
        <f>'Google Sheets Data'!B8</f>
        <v>UnitedHealth Group Inc</v>
      </c>
      <c r="G10" s="45">
        <v>50</v>
      </c>
      <c r="H10" s="42">
        <f>'Google Sheets Data'!F8</f>
        <v>491.31</v>
      </c>
      <c r="I10" s="46">
        <f>G10*H10*0.0158</f>
        <v>388.13490000000002</v>
      </c>
      <c r="J10" s="45">
        <v>20</v>
      </c>
      <c r="K10" s="46">
        <v>385.16</v>
      </c>
      <c r="L10" s="46">
        <f t="shared" si="0"/>
        <v>-1734.8650999999995</v>
      </c>
    </row>
    <row r="11" spans="2:12" x14ac:dyDescent="0.75">
      <c r="E11" s="47" t="str">
        <f>'Google Sheets Data'!A9</f>
        <v>PG</v>
      </c>
      <c r="F11" s="48" t="str">
        <f>'Google Sheets Data'!B9</f>
        <v>Procter &amp; Gamble Co</v>
      </c>
      <c r="G11" s="47">
        <v>400</v>
      </c>
      <c r="H11" s="49">
        <f>'Google Sheets Data'!F9</f>
        <v>138.51</v>
      </c>
      <c r="I11" s="50">
        <f>H11*G11*0.0235</f>
        <v>1301.9939999999999</v>
      </c>
      <c r="J11" s="47">
        <v>100</v>
      </c>
      <c r="K11" s="50">
        <v>119.3</v>
      </c>
      <c r="L11" s="50">
        <f t="shared" si="0"/>
        <v>-619.0059999999994</v>
      </c>
    </row>
  </sheetData>
  <mergeCells count="3">
    <mergeCell ref="J2:K2"/>
    <mergeCell ref="G2:I2"/>
    <mergeCell ref="L2:L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e 2 a 9 c b - e 2 d 5 - 4 e c 4 - a 4 3 1 - 5 7 9 9 3 3 f 6 2 5 e 0 "   x m l n s = " h t t p : / / s c h e m a s . m i c r o s o f t . c o m / D a t a M a s h u p " > A A A A A K A E A A B Q S w M E F A A C A A g A z F x r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D M X G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F x r W J E C M i y Y A Q A A g w I A A B M A H A B G b 3 J t d W x h c y 9 T Z W N 0 a W 9 u M S 5 t I K I Y A C i g F A A A A A A A A A A A A A A A A A A A A A A A A A A A A G 1 Q X W v i Q B R 9 F / w P w / R F I Z u Y r r S 4 R R Z J y 2 p L d 4 U E b S t S J p O 7 J m Q + 0 p m b Y h X / e y c 1 t A v r v F z m n J l z z z k W O B Z a k f g 4 w 6 t u p 9 u x O T O Q k T P 6 S + u N A B K j 5 i W 5 Z s g o G R M B 2 O 0 Q d 2 J d G w 4 O u d l y E P 5 S m z L V u u w t I f U j r R A U 2 h 7 N E S v 7 I w g y z a 2 / + R D 0 u Z a B r Q y w z O Y A a I M s g O B 8 P o k e v o W v 8 a y e l 8 v R n 2 n 6 N L S 4 y K R a v u C d u i i H A 5 u M d v p J X Q o j b 2 8 H U 7 7 b 5 I 9 4 H t / P w u v F K I d H H f L d z c P z I K 3 q S Q L 5 A r + / B F W d / t Q 1 V j W O t 8 J u a d 8 j q h b C I 2 h q 6 H t t l M Z G + P w x X K B j s v 1 q h i D H 9 E h S 7 6 5 Q W X u j 6 8 O q 6 W P d / j + j c 6 O l R t f a 1 K U C Y 5 u m E p a 6 s C 3 T 4 r 1 / V 3 l k 1 b I T I W L O B D N 2 3 P h a 9 z + F o 5 y p j d N N 3 i r 4 E k 0 M U / a v N j L S o p a q I W 3 v h A t v v 6 d J w U s w 1 C V 2 r w j C F g 8 e 2 d N I y 4 q p N / K b S f i P n J u C f 6 K q l i m Y L 5 w c P Z 2 g 7 5 k p X Y M R q x w 5 U 3 g x 9 B t r h 0 O / 2 y n U y U h X 7 1 B L A Q I t A B Q A A g A I A M x c a 1 i M p j 6 3 p g A A A P Y A A A A S A A A A A A A A A A A A A A A A A A A A A A B D b 2 5 m a W c v U G F j a 2 F n Z S 5 4 b W x Q S w E C L Q A U A A I A C A D M X G t Y D 8 r p q 6 Q A A A D p A A A A E w A A A A A A A A A A A A A A A A D y A A A A W 0 N v b n R l b n R f V H l w Z X N d L n h t b F B L A Q I t A B Q A A g A I A M x c a 1 i R A j I s m A E A A I M C A A A T A A A A A A A A A A A A A A A A A O M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N A A A A A A A A q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v b 2 d s Z S U y M F N 0 b 2 N r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M z Q y M G Z m L W V l O D c t N D M 3 M i 0 5 O T g 5 L T E 3 Y z l i Z T Z m N T U y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2 9 n b G V f U 3 R v Y 2 t f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2 9 n b G U g U 3 R v Y 2 s g R G F 0 Y S 9 B d X R v U m V t b 3 Z l Z E N v b H V t b n M x L n t U a W N r Z X I s M H 0 m c X V v d D s s J n F 1 b 3 Q 7 U 2 V j d G l v b j E v R 2 9 v Z 2 x l I F N 0 b 2 N r I E R h d G E v Q X V 0 b 1 J l b W 9 2 Z W R D b 2 x 1 b W 5 z M S 5 7 Q 2 9 t c G F u e S B O Y W 1 l L D F 9 J n F 1 b 3 Q 7 L C Z x d W 9 0 O 1 N l Y 3 R p b 2 4 x L 0 d v b 2 d s Z S B T d G 9 j a y B E Y X R h L 0 F 1 d G 9 S Z W 1 v d m V k Q 2 9 s d W 1 u c z E u e 1 B y a W N l L D J 9 J n F 1 b 3 Q 7 L C Z x d W 9 0 O 1 N l Y 3 R p b 2 4 x L 0 d v b 2 d s Z S B T d G 9 j a y B E Y X R h L 0 F 1 d G 9 S Z W 1 v d m V k Q 2 9 s d W 1 u c z E u e 1 B y a W N l I E N o Y W 5 n Z S w z f S Z x d W 9 0 O y w m c X V v d D t T Z W N 0 a W 9 u M S 9 H b 2 9 n b G U g U 3 R v Y 2 s g R G F 0 Y S 9 B d X R v U m V t b 3 Z l Z E N v b H V t b n M x L n t N Y X J r Z X Q g Q 2 F w L D R 9 J n F 1 b 3 Q 7 L C Z x d W 9 0 O 1 N l Y 3 R p b 2 4 x L 0 d v b 2 d s Z S B T d G 9 j a y B E Y X R h L 0 F 1 d G 9 S Z W 1 v d m V k Q 2 9 s d W 1 u c z E u e 1 B y a W N l I F B h a W Q g c G V y I F N o Y X J l L D V 9 J n F 1 b 3 Q 7 L C Z x d W 9 0 O 1 N l Y 3 R p b 2 4 x L 0 d v b 2 d s Z S B T d G 9 j a y B E Y X R h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2 9 v Z 2 x l I F N 0 b 2 N r I E R h d G E v Q X V 0 b 1 J l b W 9 2 Z W R D b 2 x 1 b W 5 z M S 5 7 V G l j a 2 V y L D B 9 J n F 1 b 3 Q 7 L C Z x d W 9 0 O 1 N l Y 3 R p b 2 4 x L 0 d v b 2 d s Z S B T d G 9 j a y B E Y X R h L 0 F 1 d G 9 S Z W 1 v d m V k Q 2 9 s d W 1 u c z E u e 0 N v b X B h b n k g T m F t Z S w x f S Z x d W 9 0 O y w m c X V v d D t T Z W N 0 a W 9 u M S 9 H b 2 9 n b G U g U 3 R v Y 2 s g R G F 0 Y S 9 B d X R v U m V t b 3 Z l Z E N v b H V t b n M x L n t Q c m l j Z S w y f S Z x d W 9 0 O y w m c X V v d D t T Z W N 0 a W 9 u M S 9 H b 2 9 n b G U g U 3 R v Y 2 s g R G F 0 Y S 9 B d X R v U m V t b 3 Z l Z E N v b H V t b n M x L n t Q c m l j Z S B D a G F u Z 2 U s M 3 0 m c X V v d D s s J n F 1 b 3 Q 7 U 2 V j d G l v b j E v R 2 9 v Z 2 x l I F N 0 b 2 N r I E R h d G E v Q X V 0 b 1 J l b W 9 2 Z W R D b 2 x 1 b W 5 z M S 5 7 T W F y a 2 V 0 I E N h c C w 0 f S Z x d W 9 0 O y w m c X V v d D t T Z W N 0 a W 9 u M S 9 H b 2 9 n b G U g U 3 R v Y 2 s g R G F 0 Y S 9 B d X R v U m V t b 3 Z l Z E N v b H V t b n M x L n t Q c m l j Z S B Q Y W l k I H B l c i B T a G F y Z S w 1 f S Z x d W 9 0 O y w m c X V v d D t T Z W N 0 a W 9 u M S 9 H b 2 9 n b G U g U 3 R v Y 2 s g R G F 0 Y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W N r Z X I m c X V v d D s s J n F 1 b 3 Q 7 Q 2 9 t c G F u e S B O Y W 1 l J n F 1 b 3 Q 7 L C Z x d W 9 0 O 1 B y a W N l J n F 1 b 3 Q 7 L C Z x d W 9 0 O 1 B y a W N l I E N o Y W 5 n Z S Z x d W 9 0 O y w m c X V v d D t N Y X J r Z X Q g Q 2 F w J n F 1 b 3 Q 7 L C Z x d W 9 0 O 1 B y a W N l I F B h a W Q g c G V y I F N o Y X J l J n F 1 b 3 Q 7 L C Z x d W 9 0 O 0 N v b H V t b j c m c X V v d D t d I i A v P j x F b n R y e S B U e X B l P S J G a W x s Q 2 9 s d W 1 u V H l w Z X M i I F Z h b H V l P S J z Q m d Z R k J R T U F B Q T 0 9 I i A v P j x F b n R y e S B U e X B l P S J G a W x s T G F z d F V w Z G F 0 Z W Q i I F Z h b H V l P S J k M j A y N C 0 w M y 0 x M V Q x M T o z O D o y N S 4 1 N T Y 5 N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v b 2 d s Z S U y M F N 0 b 2 N r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9 n b G U l M j B T d G 9 j a y U y M E R h d G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v Z 2 x l J T I w U 3 R v Y 2 s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2 d s Z S U y M F N 0 b 2 N r J T I w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r i 4 f 4 E f N T L e + D z s N j h r 4 A A A A A A I A A A A A A B B m A A A A A Q A A I A A A A P M m o e B a z B c l Q N i R 5 B h s c V l F M t t U R + D 2 3 D c q s 3 q Q 8 F t o A A A A A A 6 A A A A A A g A A I A A A A L x j M M H M o L 8 T P q Z k n 5 w G e f r T m 2 q Y s I 2 8 G 2 P r v u H m + W 3 t U A A A A E Q X T N e 8 r 0 A T p h l j f Z 0 V O O F K w 9 T i Q c C y 1 V E x H V o X X n n 5 u 2 U 7 g 5 + C f / e 3 X Y 6 w 4 M A 0 7 d Y 7 0 s z R 2 q X + W Q z 8 6 q I y 3 f K S k b Z p + 7 2 O m G l o Y f B s q m + W Q A A A A H X v 8 w W V f n C 6 f D I I C W 8 U P k R f 5 2 O j v M r Q 4 L n K 8 W s 5 9 7 T Z H m v G 5 l N D Y D W X 0 M J T + n y 5 d Z G C Q I n p g 9 P s 5 Y l p L G K v 0 Y Q = < / D a t a M a s h u p > 
</file>

<file path=customXml/itemProps1.xml><?xml version="1.0" encoding="utf-8"?>
<ds:datastoreItem xmlns:ds="http://schemas.openxmlformats.org/officeDocument/2006/customXml" ds:itemID="{5776856F-0D03-4312-B885-CC5C9E7CD3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Sheets Data</vt:lpstr>
      <vt:lpstr>Dashboard</vt:lpstr>
      <vt:lpstr>Transactions + 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Griffiths</dc:creator>
  <cp:lastModifiedBy>Will Griffiths</cp:lastModifiedBy>
  <dcterms:created xsi:type="dcterms:W3CDTF">2024-03-10T20:48:38Z</dcterms:created>
  <dcterms:modified xsi:type="dcterms:W3CDTF">2024-03-11T11:38:51Z</dcterms:modified>
</cp:coreProperties>
</file>