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LVHacker/Dropbox/_Course Stuff/__Udemy Updates/Model Updates Nov 2018/2019Q1/"/>
    </mc:Choice>
  </mc:AlternateContent>
  <xr:revisionPtr revIDLastSave="0" documentId="13_ncr:1_{2CF06489-50F4-934A-A21C-BA711662A649}" xr6:coauthVersionLast="36" xr6:coauthVersionMax="36" xr10:uidLastSave="{00000000-0000-0000-0000-000000000000}"/>
  <bookViews>
    <workbookView xWindow="0" yWindow="460" windowWidth="33600" windowHeight="20540" tabRatio="500" xr2:uid="{00000000-000D-0000-FFFF-FFFF00000000}"/>
  </bookViews>
  <sheets>
    <sheet name="Research" sheetId="2" r:id="rId1"/>
    <sheet name="BOE Model" sheetId="1" r:id="rId2"/>
    <sheet name="Las Vegas Example" sheetId="3" r:id="rId3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2" l="1"/>
  <c r="C41" i="1"/>
  <c r="B20" i="2"/>
  <c r="C20" i="3"/>
  <c r="D20" i="3"/>
  <c r="E20" i="3"/>
  <c r="F20" i="3"/>
  <c r="G20" i="3"/>
  <c r="H20" i="3"/>
  <c r="B20" i="3"/>
  <c r="C33" i="1"/>
  <c r="D33" i="1"/>
  <c r="E33" i="1"/>
  <c r="F33" i="1"/>
  <c r="G33" i="1"/>
  <c r="H33" i="1"/>
  <c r="I33" i="1"/>
  <c r="I26" i="3"/>
  <c r="J50" i="3"/>
  <c r="J70" i="3"/>
  <c r="I70" i="3"/>
  <c r="I24" i="3"/>
  <c r="J48" i="3"/>
  <c r="J68" i="3"/>
  <c r="I68" i="3"/>
  <c r="I23" i="3"/>
  <c r="J47" i="3"/>
  <c r="J67" i="3"/>
  <c r="I67" i="3"/>
  <c r="I64" i="3"/>
  <c r="I9" i="3"/>
  <c r="J38" i="3"/>
  <c r="J62" i="3"/>
  <c r="I62" i="3"/>
  <c r="I8" i="3"/>
  <c r="J37" i="3"/>
  <c r="J61" i="3"/>
  <c r="I61" i="3"/>
  <c r="I7" i="3"/>
  <c r="J36" i="3"/>
  <c r="J60" i="3"/>
  <c r="I60" i="3"/>
  <c r="I6" i="3"/>
  <c r="J35" i="3"/>
  <c r="J59" i="3"/>
  <c r="I59" i="3"/>
  <c r="I50" i="3"/>
  <c r="I48" i="3"/>
  <c r="I47" i="3"/>
  <c r="H44" i="3"/>
  <c r="G44" i="3"/>
  <c r="F44" i="3"/>
  <c r="E44" i="3"/>
  <c r="D44" i="3"/>
  <c r="C44" i="3"/>
  <c r="B44" i="3"/>
  <c r="I15" i="3"/>
  <c r="J43" i="3"/>
  <c r="I43" i="3"/>
  <c r="K43" i="3"/>
  <c r="I11" i="3"/>
  <c r="J40" i="3"/>
  <c r="I40" i="3"/>
  <c r="I38" i="3"/>
  <c r="K38" i="3"/>
  <c r="I37" i="3"/>
  <c r="K37" i="3"/>
  <c r="I36" i="3"/>
  <c r="K36" i="3"/>
  <c r="I35" i="3"/>
  <c r="K35" i="3"/>
  <c r="I19" i="3"/>
  <c r="H16" i="3"/>
  <c r="G16" i="3"/>
  <c r="F16" i="3"/>
  <c r="E16" i="3"/>
  <c r="D16" i="3"/>
  <c r="C16" i="3"/>
  <c r="B16" i="3"/>
  <c r="I13" i="3"/>
  <c r="D44" i="2"/>
  <c r="E44" i="2"/>
  <c r="F44" i="2"/>
  <c r="G44" i="2"/>
  <c r="H44" i="2"/>
  <c r="B44" i="2"/>
  <c r="C44" i="2"/>
  <c r="C20" i="2"/>
  <c r="D20" i="2"/>
  <c r="E20" i="2"/>
  <c r="F20" i="2"/>
  <c r="G20" i="2"/>
  <c r="H20" i="2"/>
  <c r="I20" i="2"/>
  <c r="D16" i="2"/>
  <c r="E16" i="2"/>
  <c r="F16" i="2"/>
  <c r="G16" i="2"/>
  <c r="H16" i="2"/>
  <c r="B16" i="2"/>
  <c r="C16" i="2"/>
  <c r="I26" i="2"/>
  <c r="J50" i="2"/>
  <c r="J70" i="2"/>
  <c r="I70" i="2"/>
  <c r="I24" i="2"/>
  <c r="J48" i="2"/>
  <c r="J68" i="2"/>
  <c r="I68" i="2"/>
  <c r="I23" i="2"/>
  <c r="J47" i="2"/>
  <c r="J67" i="2"/>
  <c r="I67" i="2"/>
  <c r="I64" i="2"/>
  <c r="I9" i="2"/>
  <c r="J38" i="2"/>
  <c r="J62" i="2"/>
  <c r="I62" i="2"/>
  <c r="I8" i="2"/>
  <c r="J37" i="2"/>
  <c r="J61" i="2"/>
  <c r="I61" i="2"/>
  <c r="I7" i="2"/>
  <c r="J36" i="2"/>
  <c r="J60" i="2"/>
  <c r="I60" i="2"/>
  <c r="I6" i="2"/>
  <c r="J35" i="2"/>
  <c r="J59" i="2"/>
  <c r="I59" i="2"/>
  <c r="I50" i="2"/>
  <c r="I48" i="2"/>
  <c r="I47" i="2"/>
  <c r="I15" i="2"/>
  <c r="J43" i="2"/>
  <c r="I43" i="2"/>
  <c r="K43" i="2"/>
  <c r="I11" i="2"/>
  <c r="J40" i="2"/>
  <c r="I40" i="2"/>
  <c r="I38" i="2"/>
  <c r="K38" i="2"/>
  <c r="I37" i="2"/>
  <c r="K37" i="2"/>
  <c r="I36" i="2"/>
  <c r="K36" i="2"/>
  <c r="I35" i="2"/>
  <c r="K35" i="2"/>
  <c r="I13" i="2"/>
  <c r="C27" i="1"/>
  <c r="D27" i="1"/>
  <c r="E27" i="1"/>
  <c r="F27" i="1"/>
  <c r="G27" i="1"/>
  <c r="H27" i="1"/>
  <c r="I27" i="1"/>
  <c r="I29" i="1"/>
  <c r="B4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I35" i="1"/>
  <c r="I36" i="1"/>
  <c r="I37" i="1"/>
  <c r="I39" i="1"/>
  <c r="C12" i="1"/>
  <c r="B13" i="1"/>
  <c r="D41" i="1"/>
  <c r="E41" i="1"/>
  <c r="F41" i="1"/>
  <c r="G41" i="1"/>
  <c r="H41" i="1"/>
  <c r="I41" i="1"/>
  <c r="B46" i="1"/>
  <c r="C42" i="1"/>
  <c r="C46" i="1"/>
  <c r="D42" i="1"/>
  <c r="D46" i="1"/>
  <c r="E42" i="1"/>
  <c r="E46" i="1"/>
  <c r="F42" i="1"/>
  <c r="F46" i="1"/>
  <c r="G42" i="1"/>
  <c r="G46" i="1"/>
  <c r="H42" i="1"/>
  <c r="H46" i="1"/>
  <c r="I42" i="1"/>
  <c r="I44" i="1"/>
  <c r="I48" i="1"/>
  <c r="H29" i="1"/>
  <c r="H35" i="1"/>
  <c r="H39" i="1"/>
  <c r="H48" i="1"/>
  <c r="G29" i="1"/>
  <c r="G35" i="1"/>
  <c r="G39" i="1"/>
  <c r="G48" i="1"/>
  <c r="F29" i="1"/>
  <c r="F35" i="1"/>
  <c r="F39" i="1"/>
  <c r="F48" i="1"/>
  <c r="E29" i="1"/>
  <c r="E35" i="1"/>
  <c r="E39" i="1"/>
  <c r="E48" i="1"/>
  <c r="D29" i="1"/>
  <c r="D35" i="1"/>
  <c r="D39" i="1"/>
  <c r="D48" i="1"/>
  <c r="C29" i="1"/>
  <c r="C35" i="1"/>
  <c r="C39" i="1"/>
  <c r="C48" i="1"/>
  <c r="B48" i="1"/>
  <c r="I46" i="1"/>
  <c r="B37" i="1"/>
  <c r="B39" i="1"/>
  <c r="I4" i="1"/>
  <c r="H4" i="1"/>
  <c r="I3" i="1"/>
  <c r="H3" i="1"/>
  <c r="I2" i="1"/>
  <c r="H2" i="1"/>
  <c r="I44" i="2"/>
  <c r="I16" i="2"/>
  <c r="J44" i="2"/>
  <c r="K44" i="2"/>
  <c r="I44" i="3"/>
  <c r="I16" i="3"/>
  <c r="J44" i="3"/>
  <c r="K44" i="3"/>
  <c r="I20" i="3"/>
</calcChain>
</file>

<file path=xl/sharedStrings.xml><?xml version="1.0" encoding="utf-8"?>
<sst xmlns="http://schemas.openxmlformats.org/spreadsheetml/2006/main" count="225" uniqueCount="125">
  <si>
    <t>Assumptions</t>
  </si>
  <si>
    <t>Unlevered</t>
  </si>
  <si>
    <t>Levered</t>
  </si>
  <si>
    <t>Monthly Rents</t>
  </si>
  <si>
    <t>IRR</t>
  </si>
  <si>
    <t>Vacancy</t>
  </si>
  <si>
    <t>Weeks</t>
  </si>
  <si>
    <t>Yield</t>
  </si>
  <si>
    <t>Property Taxes</t>
  </si>
  <si>
    <t>Cash Multiple</t>
  </si>
  <si>
    <t>Repair &amp; Maintenance</t>
  </si>
  <si>
    <t>Monthly</t>
  </si>
  <si>
    <t>Insurance</t>
  </si>
  <si>
    <t>Year</t>
  </si>
  <si>
    <t>Utilities/monthly</t>
  </si>
  <si>
    <t>Target IRR</t>
  </si>
  <si>
    <t>8%+ unleveraged</t>
  </si>
  <si>
    <t>Purchase Price</t>
  </si>
  <si>
    <t>Target yield</t>
  </si>
  <si>
    <t>5-8%+ unleveraged</t>
  </si>
  <si>
    <t>Closing Costs</t>
  </si>
  <si>
    <t>Target Cash Multiple</t>
  </si>
  <si>
    <t>1.7x unleveraged</t>
  </si>
  <si>
    <t xml:space="preserve">Total Equity Investment </t>
  </si>
  <si>
    <t>Loan Amount</t>
  </si>
  <si>
    <t>Interest Rate</t>
  </si>
  <si>
    <t>Renovations @ Purchase</t>
  </si>
  <si>
    <t>Renovations @ Exit</t>
  </si>
  <si>
    <t>ALL RIGHTS RESERVED. Symon He 2016</t>
  </si>
  <si>
    <t>Rental Growth Rate</t>
  </si>
  <si>
    <t>Annual Rate</t>
  </si>
  <si>
    <t>Udemy Instructor</t>
  </si>
  <si>
    <t>Sales Price</t>
  </si>
  <si>
    <t>Costs of Sale</t>
  </si>
  <si>
    <t>YEAR</t>
  </si>
  <si>
    <t>Investment</t>
  </si>
  <si>
    <t>Gross Rental Revenue</t>
  </si>
  <si>
    <t>Utilities</t>
  </si>
  <si>
    <t>Net Rents</t>
  </si>
  <si>
    <t>Sale Proceeds</t>
  </si>
  <si>
    <t>Renovations</t>
  </si>
  <si>
    <t>Unlevered Cashflow</t>
  </si>
  <si>
    <t>Loan Payments</t>
  </si>
  <si>
    <t>Towards Interest</t>
  </si>
  <si>
    <t>Towards Principal</t>
  </si>
  <si>
    <t>Loan Payoff</t>
  </si>
  <si>
    <t>Loan Balance</t>
  </si>
  <si>
    <t>Levered Cashflow</t>
  </si>
  <si>
    <t>LISTED FOR SALE</t>
  </si>
  <si>
    <t>Property 1</t>
  </si>
  <si>
    <t>Property 2</t>
  </si>
  <si>
    <t>Property 3</t>
  </si>
  <si>
    <t>Property 4</t>
  </si>
  <si>
    <t>Property 5</t>
  </si>
  <si>
    <t>Property 6</t>
  </si>
  <si>
    <t>Property 7</t>
  </si>
  <si>
    <t>5204 Longridge Ave</t>
  </si>
  <si>
    <t>Include? (1 = Yes, 0 = No)</t>
  </si>
  <si>
    <t>Avg of Listed</t>
  </si>
  <si>
    <t>Square Footage</t>
  </si>
  <si>
    <t># of rooms</t>
  </si>
  <si>
    <t>baths</t>
  </si>
  <si>
    <t>lot size</t>
  </si>
  <si>
    <t>Year built</t>
  </si>
  <si>
    <t>Days  on Zillow</t>
  </si>
  <si>
    <t>Listing Price</t>
  </si>
  <si>
    <t>$/sf</t>
  </si>
  <si>
    <t>Last sold</t>
  </si>
  <si>
    <t>last sold price</t>
  </si>
  <si>
    <t>1-crap 3-avg 5- great</t>
  </si>
  <si>
    <t>Curb Appeal</t>
  </si>
  <si>
    <t>Fixtures</t>
  </si>
  <si>
    <t>Work?</t>
  </si>
  <si>
    <t xml:space="preserve">RECENTLY SOLD </t>
  </si>
  <si>
    <t>Sale Comp 1</t>
  </si>
  <si>
    <t>Sale Comp 2</t>
  </si>
  <si>
    <t>Sale Comp 3</t>
  </si>
  <si>
    <t>Sale Comp 4</t>
  </si>
  <si>
    <t>Sale Comp 5</t>
  </si>
  <si>
    <t>Sale Comp 6</t>
  </si>
  <si>
    <t>Sale Comp 7</t>
  </si>
  <si>
    <t>6340 Bistol Way</t>
  </si>
  <si>
    <t>Avg of Recently Sold</t>
  </si>
  <si>
    <t>Uglier</t>
  </si>
  <si>
    <t>Older Fixtures</t>
  </si>
  <si>
    <t>Lots more work</t>
  </si>
  <si>
    <t>RENTAL COMPS</t>
  </si>
  <si>
    <t>Rental Comp 1</t>
  </si>
  <si>
    <t>Rental Comp 2</t>
  </si>
  <si>
    <t>Rental Comp 3</t>
  </si>
  <si>
    <t>Rental Comp 4</t>
  </si>
  <si>
    <t>Rental Comp 5</t>
  </si>
  <si>
    <t>Rental Comp 6</t>
  </si>
  <si>
    <t>Rental Comp 7</t>
  </si>
  <si>
    <t>Avg. Rental Comps</t>
  </si>
  <si>
    <t>Asking Rent</t>
  </si>
  <si>
    <t>217 Nunca St.</t>
  </si>
  <si>
    <t>6116 Evergreen Ave</t>
  </si>
  <si>
    <t>6548 Bourbon Way</t>
  </si>
  <si>
    <t>5400 Del Monte</t>
  </si>
  <si>
    <t>4409 W Bonanza Rd</t>
  </si>
  <si>
    <t>6224 Spanish Moss Ave</t>
  </si>
  <si>
    <t>?</t>
  </si>
  <si>
    <t>Comp 1</t>
  </si>
  <si>
    <t>Comp 2</t>
  </si>
  <si>
    <t>Comp 3</t>
  </si>
  <si>
    <t>Comp 4</t>
  </si>
  <si>
    <t>Comp 5</t>
  </si>
  <si>
    <t>Comp 6</t>
  </si>
  <si>
    <t>Comp 7</t>
  </si>
  <si>
    <t>6340 Bristol Way</t>
  </si>
  <si>
    <t>6320 Garwood Ave</t>
  </si>
  <si>
    <t>5621 Idle Ave</t>
  </si>
  <si>
    <t>6317 Bannock Way</t>
  </si>
  <si>
    <t>200 Newcomer St</t>
  </si>
  <si>
    <t>6341 Burgundy Way</t>
  </si>
  <si>
    <t>6324 Evergreen Ave</t>
  </si>
  <si>
    <t>(incomplete renovations)</t>
  </si>
  <si>
    <t>1053 Neil Armstrong Cir</t>
  </si>
  <si>
    <t>5124 Lytton Ave</t>
  </si>
  <si>
    <t>7910 Palace Monaco Ave</t>
  </si>
  <si>
    <t>3601 Sanwood St</t>
  </si>
  <si>
    <t>8117 Redskin Cir</t>
  </si>
  <si>
    <t>3351 Mountain Bluebird</t>
  </si>
  <si>
    <t>3725 Grand Viewpoint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</si>
</sst>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&quot;$&quot;* #,##0_);_(&quot;$&quot;* \(#,##0\);_(&quot;$&quot;* &quot;-&quot;?_);_(@_)"/>
    <numFmt numFmtId="167" formatCode="_(&quot;$&quot;* #,##0.0_);_(&quot;$&quot;* \(#,##0.0\);_(&quot;$&quot;* &quot;-&quot;??_);_(@_)"/>
    <numFmt numFmtId="168" formatCode="_(* #,##0_);_(* \(#,##0\);_(* &quot;-&quot;??_);_(@_)"/>
    <numFmt numFmtId="169" formatCode="0.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Protection="1"/>
    <xf numFmtId="0" fontId="0" fillId="0" borderId="0" xfId="0" applyProtection="1"/>
    <xf numFmtId="0" fontId="2" fillId="0" borderId="0" xfId="0" applyFont="1" applyAlignment="1" applyProtection="1">
      <alignment horizontal="center"/>
    </xf>
    <xf numFmtId="164" fontId="3" fillId="0" borderId="0" xfId="2" applyNumberFormat="1" applyFont="1" applyProtection="1">
      <protection locked="0"/>
    </xf>
    <xf numFmtId="0" fontId="2" fillId="0" borderId="0" xfId="0" applyFont="1" applyAlignment="1" applyProtection="1">
      <alignment horizontal="right"/>
    </xf>
    <xf numFmtId="165" fontId="0" fillId="0" borderId="0" xfId="0" applyNumberFormat="1" applyAlignment="1" applyProtection="1">
      <alignment horizontal="center"/>
    </xf>
    <xf numFmtId="0" fontId="3" fillId="0" borderId="0" xfId="0" applyFont="1" applyProtection="1">
      <protection locked="0"/>
    </xf>
    <xf numFmtId="165" fontId="0" fillId="0" borderId="0" xfId="3" applyNumberFormat="1" applyFont="1" applyAlignment="1" applyProtection="1">
      <alignment horizontal="center"/>
    </xf>
    <xf numFmtId="166" fontId="3" fillId="0" borderId="0" xfId="0" applyNumberFormat="1" applyFont="1" applyProtection="1">
      <protection locked="0"/>
    </xf>
    <xf numFmtId="2" fontId="0" fillId="0" borderId="0" xfId="0" applyNumberFormat="1" applyAlignment="1" applyProtection="1">
      <alignment horizontal="center"/>
    </xf>
    <xf numFmtId="6" fontId="3" fillId="0" borderId="0" xfId="0" applyNumberFormat="1" applyFont="1" applyProtection="1">
      <protection locked="0"/>
    </xf>
    <xf numFmtId="167" fontId="3" fillId="0" borderId="0" xfId="2" applyNumberFormat="1" applyFont="1" applyProtection="1">
      <protection locked="0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 indent="1"/>
    </xf>
    <xf numFmtId="9" fontId="3" fillId="0" borderId="0" xfId="3" applyFont="1" applyProtection="1">
      <protection locked="0"/>
    </xf>
    <xf numFmtId="164" fontId="0" fillId="0" borderId="0" xfId="0" applyNumberFormat="1" applyProtection="1"/>
    <xf numFmtId="164" fontId="0" fillId="0" borderId="0" xfId="0" applyNumberFormat="1" applyFont="1" applyProtection="1"/>
    <xf numFmtId="165" fontId="3" fillId="0" borderId="0" xfId="3" applyNumberFormat="1" applyFont="1" applyProtection="1">
      <protection locked="0"/>
    </xf>
    <xf numFmtId="168" fontId="3" fillId="0" borderId="0" xfId="1" applyNumberFormat="1" applyFont="1" applyProtection="1">
      <protection locked="0"/>
    </xf>
    <xf numFmtId="0" fontId="3" fillId="0" borderId="0" xfId="0" applyFont="1" applyProtection="1"/>
    <xf numFmtId="0" fontId="2" fillId="2" borderId="1" xfId="0" applyFont="1" applyFill="1" applyBorder="1" applyProtection="1"/>
    <xf numFmtId="164" fontId="2" fillId="0" borderId="0" xfId="0" applyNumberFormat="1" applyFont="1" applyProtection="1"/>
    <xf numFmtId="164" fontId="2" fillId="0" borderId="0" xfId="2" applyNumberFormat="1" applyFont="1" applyProtection="1"/>
    <xf numFmtId="6" fontId="0" fillId="0" borderId="0" xfId="0" applyNumberFormat="1" applyProtection="1"/>
    <xf numFmtId="164" fontId="0" fillId="0" borderId="0" xfId="2" applyNumberFormat="1" applyFont="1" applyProtection="1"/>
    <xf numFmtId="0" fontId="2" fillId="3" borderId="0" xfId="0" applyFont="1" applyFill="1" applyProtection="1"/>
    <xf numFmtId="6" fontId="2" fillId="3" borderId="0" xfId="0" applyNumberFormat="1" applyFont="1" applyFill="1" applyProtection="1"/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5" borderId="2" xfId="0" applyFill="1" applyBorder="1" applyProtection="1">
      <protection locked="0"/>
    </xf>
    <xf numFmtId="0" fontId="2" fillId="0" borderId="0" xfId="0" applyFont="1" applyProtection="1">
      <protection locked="0"/>
    </xf>
    <xf numFmtId="0" fontId="0" fillId="5" borderId="2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2" fillId="4" borderId="0" xfId="0" applyFont="1" applyFill="1" applyAlignment="1" applyProtection="1">
      <alignment horizontal="center"/>
    </xf>
    <xf numFmtId="1" fontId="0" fillId="0" borderId="2" xfId="0" applyNumberFormat="1" applyBorder="1" applyProtection="1"/>
    <xf numFmtId="169" fontId="0" fillId="0" borderId="2" xfId="0" applyNumberFormat="1" applyBorder="1" applyProtection="1"/>
    <xf numFmtId="1" fontId="0" fillId="0" borderId="0" xfId="0" applyNumberFormat="1" applyAlignment="1" applyProtection="1">
      <alignment horizontal="right"/>
    </xf>
    <xf numFmtId="164" fontId="0" fillId="5" borderId="2" xfId="2" applyNumberFormat="1" applyFont="1" applyFill="1" applyBorder="1" applyProtection="1">
      <protection locked="0"/>
    </xf>
    <xf numFmtId="164" fontId="0" fillId="0" borderId="2" xfId="2" applyNumberFormat="1" applyFont="1" applyBorder="1" applyProtection="1"/>
    <xf numFmtId="164" fontId="0" fillId="0" borderId="2" xfId="2" applyNumberFormat="1" applyFont="1" applyFill="1" applyBorder="1" applyProtection="1"/>
    <xf numFmtId="17" fontId="0" fillId="5" borderId="2" xfId="0" applyNumberFormat="1" applyFill="1" applyBorder="1" applyProtection="1">
      <protection locked="0"/>
    </xf>
    <xf numFmtId="164" fontId="0" fillId="0" borderId="2" xfId="2" applyNumberFormat="1" applyFont="1" applyFill="1" applyBorder="1" applyAlignment="1" applyProtection="1">
      <alignment horizontal="right"/>
    </xf>
    <xf numFmtId="0" fontId="0" fillId="0" borderId="0" xfId="0" applyBorder="1" applyProtection="1">
      <protection locked="0"/>
    </xf>
    <xf numFmtId="1" fontId="0" fillId="0" borderId="0" xfId="0" applyNumberFormat="1" applyBorder="1" applyProtection="1"/>
    <xf numFmtId="0" fontId="0" fillId="5" borderId="2" xfId="0" applyFill="1" applyBorder="1" applyAlignment="1" applyProtection="1">
      <alignment horizontal="right"/>
      <protection locked="0"/>
    </xf>
    <xf numFmtId="169" fontId="0" fillId="0" borderId="0" xfId="0" applyNumberFormat="1" applyAlignment="1" applyProtection="1">
      <alignment horizontal="right"/>
    </xf>
    <xf numFmtId="0" fontId="2" fillId="6" borderId="0" xfId="0" applyFont="1" applyFill="1" applyAlignment="1" applyProtection="1">
      <alignment horizontal="center"/>
    </xf>
    <xf numFmtId="9" fontId="0" fillId="0" borderId="0" xfId="3" applyFont="1" applyProtection="1"/>
    <xf numFmtId="1" fontId="0" fillId="0" borderId="0" xfId="0" applyNumberFormat="1" applyProtection="1"/>
    <xf numFmtId="1" fontId="0" fillId="0" borderId="0" xfId="0" applyNumberFormat="1" applyBorder="1" applyAlignment="1" applyProtection="1">
      <alignment horizontal="right"/>
      <protection locked="0"/>
    </xf>
    <xf numFmtId="169" fontId="0" fillId="0" borderId="2" xfId="1" applyNumberFormat="1" applyFont="1" applyBorder="1" applyProtection="1"/>
    <xf numFmtId="9" fontId="0" fillId="0" borderId="0" xfId="3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7" borderId="0" xfId="0" applyFont="1" applyFill="1" applyAlignment="1" applyProtection="1">
      <alignment horizontal="center"/>
    </xf>
    <xf numFmtId="164" fontId="0" fillId="5" borderId="2" xfId="2" applyNumberFormat="1" applyFont="1" applyFill="1" applyBorder="1" applyAlignment="1" applyProtection="1">
      <alignment horizontal="right"/>
      <protection locked="0"/>
    </xf>
    <xf numFmtId="169" fontId="0" fillId="0" borderId="0" xfId="0" applyNumberFormat="1" applyBorder="1" applyProtection="1"/>
    <xf numFmtId="44" fontId="0" fillId="0" borderId="2" xfId="2" applyNumberFormat="1" applyFont="1" applyFill="1" applyBorder="1" applyAlignment="1" applyProtection="1">
      <alignment horizontal="right"/>
    </xf>
    <xf numFmtId="44" fontId="0" fillId="0" borderId="2" xfId="2" applyNumberFormat="1" applyFont="1" applyFill="1" applyBorder="1" applyProtection="1"/>
    <xf numFmtId="0" fontId="0" fillId="5" borderId="2" xfId="0" applyFill="1" applyBorder="1" applyProtection="1"/>
    <xf numFmtId="0" fontId="0" fillId="5" borderId="2" xfId="0" applyFill="1" applyBorder="1" applyAlignment="1" applyProtection="1">
      <alignment horizontal="center"/>
    </xf>
    <xf numFmtId="164" fontId="0" fillId="5" borderId="2" xfId="2" applyNumberFormat="1" applyFont="1" applyFill="1" applyBorder="1" applyProtection="1"/>
    <xf numFmtId="17" fontId="0" fillId="5" borderId="2" xfId="0" applyNumberFormat="1" applyFill="1" applyBorder="1" applyProtection="1"/>
    <xf numFmtId="0" fontId="0" fillId="0" borderId="0" xfId="0" applyBorder="1" applyProtection="1"/>
    <xf numFmtId="0" fontId="0" fillId="5" borderId="2" xfId="0" applyFill="1" applyBorder="1" applyAlignment="1" applyProtection="1">
      <alignment horizontal="right"/>
    </xf>
    <xf numFmtId="1" fontId="0" fillId="0" borderId="0" xfId="0" applyNumberFormat="1" applyBorder="1" applyAlignment="1" applyProtection="1">
      <alignment horizontal="right"/>
    </xf>
    <xf numFmtId="164" fontId="0" fillId="5" borderId="2" xfId="2" applyNumberFormat="1" applyFont="1" applyFill="1" applyBorder="1" applyAlignment="1" applyProtection="1">
      <alignment horizontal="right"/>
    </xf>
    <xf numFmtId="0" fontId="2" fillId="4" borderId="0" xfId="0" applyFont="1" applyFill="1" applyAlignment="1" applyProtection="1">
      <alignment horizontal="center"/>
      <protection locked="0"/>
    </xf>
    <xf numFmtId="0" fontId="2" fillId="6" borderId="0" xfId="0" applyFont="1" applyFill="1" applyAlignment="1" applyProtection="1">
      <alignment horizontal="center"/>
      <protection locked="0"/>
    </xf>
    <xf numFmtId="0" fontId="2" fillId="7" borderId="0" xfId="0" applyFont="1" applyFill="1" applyAlignment="1" applyProtection="1">
      <alignment horizontal="center"/>
      <protection locked="0"/>
    </xf>
    <xf numFmtId="0" fontId="2" fillId="4" borderId="0" xfId="0" applyFont="1" applyFill="1" applyAlignment="1" applyProtection="1">
      <alignment horizontal="center"/>
    </xf>
    <xf numFmtId="0" fontId="2" fillId="6" borderId="0" xfId="0" applyFont="1" applyFill="1" applyAlignment="1" applyProtection="1">
      <alignment horizontal="center"/>
    </xf>
    <xf numFmtId="0" fontId="2" fillId="7" borderId="0" xfId="0" applyFont="1" applyFill="1" applyAlignment="1" applyProtection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0"/>
  <sheetViews>
    <sheetView showGridLines="0" tabSelected="1" workbookViewId="0">
      <selection activeCell="I19" sqref="I19"/>
    </sheetView>
  </sheetViews>
  <sheetFormatPr baseColWidth="10" defaultRowHeight="16"/>
  <cols>
    <col min="1" max="1" width="26.83203125" style="13" customWidth="1"/>
    <col min="2" max="2" width="19.5" style="28" customWidth="1"/>
    <col min="3" max="3" width="21.83203125" style="28" bestFit="1" customWidth="1"/>
    <col min="4" max="7" width="19.5" style="28" customWidth="1"/>
    <col min="8" max="8" width="20.33203125" style="28" bestFit="1" customWidth="1"/>
    <col min="9" max="9" width="18.1640625" style="2" bestFit="1" customWidth="1"/>
    <col min="10" max="10" width="16.83203125" style="2" customWidth="1"/>
    <col min="11" max="11" width="14" style="2" bestFit="1" customWidth="1"/>
    <col min="12" max="16384" width="10.83203125" style="28"/>
  </cols>
  <sheetData>
    <row r="1" spans="1:24">
      <c r="B1" s="67" t="s">
        <v>48</v>
      </c>
      <c r="C1" s="67"/>
      <c r="D1" s="67"/>
      <c r="E1" s="67"/>
      <c r="F1" s="67"/>
      <c r="G1" s="67"/>
      <c r="H1" s="67"/>
    </row>
    <row r="2" spans="1:24">
      <c r="B2" s="29" t="s">
        <v>49</v>
      </c>
      <c r="C2" s="29" t="s">
        <v>50</v>
      </c>
      <c r="D2" s="29" t="s">
        <v>51</v>
      </c>
      <c r="E2" s="29" t="s">
        <v>52</v>
      </c>
      <c r="F2" s="29" t="s">
        <v>53</v>
      </c>
      <c r="G2" s="29" t="s">
        <v>54</v>
      </c>
      <c r="H2" s="29" t="s">
        <v>55</v>
      </c>
    </row>
    <row r="3" spans="1:24">
      <c r="B3" s="30" t="s">
        <v>56</v>
      </c>
      <c r="C3" s="30"/>
      <c r="D3" s="30"/>
      <c r="E3" s="30"/>
      <c r="F3" s="30"/>
      <c r="G3" s="30"/>
      <c r="H3" s="30"/>
      <c r="X3" s="31"/>
    </row>
    <row r="4" spans="1:24">
      <c r="A4" s="13" t="s">
        <v>57</v>
      </c>
      <c r="B4" s="32">
        <v>1</v>
      </c>
      <c r="C4" s="32"/>
      <c r="D4" s="32"/>
      <c r="E4" s="32"/>
      <c r="F4" s="32"/>
      <c r="G4" s="32"/>
      <c r="H4" s="32"/>
      <c r="X4" s="31"/>
    </row>
    <row r="5" spans="1:24">
      <c r="B5" s="33"/>
      <c r="C5" s="33"/>
      <c r="D5" s="33"/>
      <c r="E5" s="33"/>
      <c r="F5" s="33"/>
      <c r="G5" s="33"/>
      <c r="H5" s="33"/>
      <c r="I5" s="34" t="s">
        <v>58</v>
      </c>
      <c r="X5" s="31"/>
    </row>
    <row r="6" spans="1:24">
      <c r="A6" s="13" t="s">
        <v>59</v>
      </c>
      <c r="B6" s="30">
        <v>1364</v>
      </c>
      <c r="C6" s="30"/>
      <c r="D6" s="30"/>
      <c r="E6" s="30"/>
      <c r="F6" s="30"/>
      <c r="G6" s="30"/>
      <c r="H6" s="30"/>
      <c r="I6" s="35">
        <f>SUMPRODUCT($B6:$H6,$B$4:$H$4)/SUM($B$4:$H$4)</f>
        <v>1364</v>
      </c>
    </row>
    <row r="7" spans="1:24">
      <c r="A7" s="13" t="s">
        <v>60</v>
      </c>
      <c r="B7" s="30">
        <v>3</v>
      </c>
      <c r="C7" s="30"/>
      <c r="D7" s="30"/>
      <c r="E7" s="30"/>
      <c r="F7" s="30"/>
      <c r="G7" s="30"/>
      <c r="H7" s="30"/>
      <c r="I7" s="36">
        <f t="shared" ref="I7:I15" si="0">SUMPRODUCT($B7:$H7,$B$4:$H$4)/SUM($B$4:$H$4)</f>
        <v>3</v>
      </c>
    </row>
    <row r="8" spans="1:24">
      <c r="A8" s="13" t="s">
        <v>61</v>
      </c>
      <c r="B8" s="30">
        <v>2</v>
      </c>
      <c r="C8" s="30"/>
      <c r="D8" s="30"/>
      <c r="E8" s="30"/>
      <c r="F8" s="30"/>
      <c r="G8" s="30"/>
      <c r="H8" s="30"/>
      <c r="I8" s="36">
        <f t="shared" si="0"/>
        <v>2</v>
      </c>
    </row>
    <row r="9" spans="1:24">
      <c r="A9" s="13" t="s">
        <v>62</v>
      </c>
      <c r="B9" s="30">
        <v>7405</v>
      </c>
      <c r="C9" s="30"/>
      <c r="D9" s="30"/>
      <c r="E9" s="30"/>
      <c r="F9" s="30"/>
      <c r="G9" s="30"/>
      <c r="H9" s="30"/>
      <c r="I9" s="35">
        <f t="shared" si="0"/>
        <v>7405</v>
      </c>
    </row>
    <row r="10" spans="1:24">
      <c r="B10" s="33"/>
      <c r="C10" s="33"/>
      <c r="D10" s="33"/>
      <c r="E10" s="33"/>
      <c r="F10" s="33"/>
      <c r="G10" s="33"/>
      <c r="H10" s="33"/>
      <c r="I10" s="37"/>
    </row>
    <row r="11" spans="1:24">
      <c r="A11" s="13" t="s">
        <v>63</v>
      </c>
      <c r="B11" s="30">
        <v>1961</v>
      </c>
      <c r="C11" s="30"/>
      <c r="D11" s="30"/>
      <c r="E11" s="30"/>
      <c r="F11" s="30"/>
      <c r="G11" s="30"/>
      <c r="H11" s="30"/>
      <c r="I11" s="35">
        <f t="shared" si="0"/>
        <v>1961</v>
      </c>
    </row>
    <row r="12" spans="1:24">
      <c r="B12" s="33"/>
      <c r="C12" s="33"/>
      <c r="D12" s="33"/>
      <c r="E12" s="33"/>
      <c r="F12" s="33"/>
      <c r="G12" s="33"/>
      <c r="H12" s="33"/>
      <c r="I12" s="37"/>
    </row>
    <row r="13" spans="1:24">
      <c r="A13" s="13" t="s">
        <v>64</v>
      </c>
      <c r="B13" s="30">
        <v>10</v>
      </c>
      <c r="C13" s="30"/>
      <c r="D13" s="30"/>
      <c r="E13" s="30"/>
      <c r="F13" s="30"/>
      <c r="G13" s="30"/>
      <c r="H13" s="30"/>
      <c r="I13" s="35">
        <f t="shared" si="0"/>
        <v>10</v>
      </c>
    </row>
    <row r="14" spans="1:24">
      <c r="B14" s="33"/>
      <c r="C14" s="33"/>
      <c r="D14" s="33"/>
      <c r="E14" s="33"/>
      <c r="F14" s="33"/>
      <c r="G14" s="33"/>
      <c r="H14" s="33"/>
      <c r="I14" s="37"/>
    </row>
    <row r="15" spans="1:24">
      <c r="A15" s="13" t="s">
        <v>65</v>
      </c>
      <c r="B15" s="38">
        <v>147000</v>
      </c>
      <c r="C15" s="38"/>
      <c r="D15" s="38"/>
      <c r="E15" s="38"/>
      <c r="F15" s="38"/>
      <c r="G15" s="38"/>
      <c r="H15" s="38"/>
      <c r="I15" s="39">
        <f t="shared" si="0"/>
        <v>147000</v>
      </c>
    </row>
    <row r="16" spans="1:24">
      <c r="A16" s="13" t="s">
        <v>66</v>
      </c>
      <c r="B16" s="40">
        <f>IF(B6&gt;0,B15/B6,"")</f>
        <v>107.77126099706744</v>
      </c>
      <c r="C16" s="40" t="str">
        <f>IF(C6&gt;0,C15/C6,"")</f>
        <v/>
      </c>
      <c r="D16" s="40" t="str">
        <f t="shared" ref="D16:H16" si="1">IF(D6&gt;0,D15/D6,"")</f>
        <v/>
      </c>
      <c r="E16" s="40" t="str">
        <f t="shared" si="1"/>
        <v/>
      </c>
      <c r="F16" s="40" t="str">
        <f t="shared" si="1"/>
        <v/>
      </c>
      <c r="G16" s="40" t="str">
        <f t="shared" si="1"/>
        <v/>
      </c>
      <c r="H16" s="40" t="str">
        <f t="shared" si="1"/>
        <v/>
      </c>
      <c r="I16" s="58">
        <f>SUMPRODUCT($B16:$H16,$B$4:$H$4)/SUM($B$4:$H$4)</f>
        <v>107.77126099706744</v>
      </c>
    </row>
    <row r="17" spans="1:9" s="28" customFormat="1">
      <c r="A17" s="13"/>
      <c r="B17" s="33"/>
      <c r="C17" s="33"/>
      <c r="D17" s="33"/>
      <c r="E17" s="33"/>
      <c r="F17" s="33"/>
      <c r="G17" s="33"/>
      <c r="H17" s="33"/>
      <c r="I17" s="37"/>
    </row>
    <row r="18" spans="1:9" s="28" customFormat="1">
      <c r="A18" s="13" t="s">
        <v>67</v>
      </c>
      <c r="B18" s="41">
        <v>40452</v>
      </c>
      <c r="C18" s="41"/>
      <c r="D18" s="41"/>
      <c r="E18" s="41"/>
      <c r="F18" s="41"/>
      <c r="G18" s="41"/>
      <c r="H18" s="41"/>
      <c r="I18" s="2"/>
    </row>
    <row r="19" spans="1:9" s="28" customFormat="1">
      <c r="A19" s="13" t="s">
        <v>68</v>
      </c>
      <c r="B19" s="38">
        <v>78250</v>
      </c>
      <c r="C19" s="38"/>
      <c r="D19" s="38"/>
      <c r="E19" s="38"/>
      <c r="F19" s="38"/>
      <c r="G19" s="38"/>
      <c r="H19" s="38"/>
      <c r="I19" s="39">
        <f t="shared" ref="I19" si="2">SUMPRODUCT($B19:$H19,$B$4:$H$4)/SUM($B$4:$H$4)</f>
        <v>78250</v>
      </c>
    </row>
    <row r="20" spans="1:9" s="28" customFormat="1">
      <c r="A20" s="13" t="s">
        <v>66</v>
      </c>
      <c r="B20" s="57">
        <f>IF(B6&gt;0,B19/B6,"")</f>
        <v>57.368035190615835</v>
      </c>
      <c r="C20" s="57" t="str">
        <f>IF(C6&gt;0,C19/C6,"")</f>
        <v/>
      </c>
      <c r="D20" s="57" t="str">
        <f t="shared" ref="D20:H20" si="3">IF(D6&gt;0,D19/D6,"")</f>
        <v/>
      </c>
      <c r="E20" s="57" t="str">
        <f t="shared" si="3"/>
        <v/>
      </c>
      <c r="F20" s="57" t="str">
        <f t="shared" si="3"/>
        <v/>
      </c>
      <c r="G20" s="57" t="str">
        <f t="shared" si="3"/>
        <v/>
      </c>
      <c r="H20" s="57" t="str">
        <f t="shared" si="3"/>
        <v/>
      </c>
      <c r="I20" s="39">
        <f>AVERAGE(B20:H20)</f>
        <v>57.368035190615835</v>
      </c>
    </row>
    <row r="21" spans="1:9" s="28" customFormat="1">
      <c r="A21" s="13"/>
      <c r="B21" s="33"/>
      <c r="C21" s="33"/>
      <c r="D21" s="33"/>
      <c r="E21" s="33"/>
      <c r="F21" s="33"/>
      <c r="G21" s="33"/>
      <c r="H21" s="33"/>
      <c r="I21" s="37"/>
    </row>
    <row r="22" spans="1:9" s="28" customFormat="1">
      <c r="A22" s="13" t="s">
        <v>69</v>
      </c>
      <c r="B22" s="43"/>
      <c r="C22" s="43"/>
      <c r="D22" s="43"/>
      <c r="E22" s="43"/>
      <c r="F22" s="43"/>
      <c r="G22" s="43"/>
      <c r="H22" s="43"/>
      <c r="I22" s="44"/>
    </row>
    <row r="23" spans="1:9" s="28" customFormat="1">
      <c r="A23" s="13" t="s">
        <v>70</v>
      </c>
      <c r="B23" s="30">
        <v>2.5</v>
      </c>
      <c r="C23" s="30"/>
      <c r="D23" s="30"/>
      <c r="E23" s="30"/>
      <c r="F23" s="45"/>
      <c r="G23" s="45"/>
      <c r="H23" s="45"/>
      <c r="I23" s="36">
        <f t="shared" ref="I23:I24" si="4">SUMPRODUCT($B23:$H23,$B$4:$H$4)/SUM($B$4:$H$4)</f>
        <v>2.5</v>
      </c>
    </row>
    <row r="24" spans="1:9" s="28" customFormat="1">
      <c r="A24" s="13" t="s">
        <v>71</v>
      </c>
      <c r="B24" s="30">
        <v>3.5</v>
      </c>
      <c r="C24" s="30"/>
      <c r="D24" s="30"/>
      <c r="E24" s="30"/>
      <c r="F24" s="45"/>
      <c r="G24" s="45"/>
      <c r="H24" s="45"/>
      <c r="I24" s="36">
        <f t="shared" si="4"/>
        <v>3.5</v>
      </c>
    </row>
    <row r="25" spans="1:9" s="28" customFormat="1">
      <c r="A25" s="13"/>
      <c r="B25" s="33"/>
      <c r="C25" s="33"/>
      <c r="D25" s="33"/>
      <c r="E25" s="33"/>
      <c r="F25" s="33"/>
      <c r="G25" s="33"/>
      <c r="H25" s="33"/>
      <c r="I25" s="46"/>
    </row>
    <row r="26" spans="1:9" s="28" customFormat="1">
      <c r="A26" s="13" t="s">
        <v>72</v>
      </c>
      <c r="B26" s="30">
        <v>2</v>
      </c>
      <c r="C26" s="30"/>
      <c r="D26" s="30"/>
      <c r="E26" s="30"/>
      <c r="F26" s="45"/>
      <c r="G26" s="45"/>
      <c r="H26" s="45"/>
      <c r="I26" s="36">
        <f t="shared" ref="I26" si="5">SUMPRODUCT($B26:$H26,$B$4:$H$4)/SUM($B$4:$H$4)</f>
        <v>2</v>
      </c>
    </row>
    <row r="30" spans="1:9" s="28" customFormat="1">
      <c r="A30" s="13"/>
      <c r="B30" s="68" t="s">
        <v>73</v>
      </c>
      <c r="C30" s="68"/>
      <c r="D30" s="68"/>
      <c r="E30" s="68"/>
      <c r="F30" s="68"/>
      <c r="G30" s="68"/>
      <c r="H30" s="68"/>
      <c r="I30" s="2"/>
    </row>
    <row r="31" spans="1:9" s="28" customFormat="1">
      <c r="A31" s="13"/>
      <c r="B31" s="29" t="s">
        <v>74</v>
      </c>
      <c r="C31" s="29" t="s">
        <v>75</v>
      </c>
      <c r="D31" s="29" t="s">
        <v>76</v>
      </c>
      <c r="E31" s="29" t="s">
        <v>77</v>
      </c>
      <c r="F31" s="29" t="s">
        <v>78</v>
      </c>
      <c r="G31" s="29" t="s">
        <v>79</v>
      </c>
      <c r="H31" s="29" t="s">
        <v>80</v>
      </c>
      <c r="I31" s="2"/>
    </row>
    <row r="32" spans="1:9" s="28" customFormat="1">
      <c r="A32" s="13"/>
      <c r="B32" s="30" t="s">
        <v>81</v>
      </c>
      <c r="C32" s="30"/>
      <c r="D32" s="30"/>
      <c r="E32" s="30"/>
      <c r="F32" s="30"/>
      <c r="G32" s="30"/>
      <c r="H32" s="30"/>
      <c r="I32" s="13"/>
    </row>
    <row r="33" spans="1:11">
      <c r="A33" s="13" t="s">
        <v>57</v>
      </c>
      <c r="B33" s="32">
        <v>1</v>
      </c>
      <c r="C33" s="32"/>
      <c r="D33" s="32"/>
      <c r="E33" s="32"/>
      <c r="F33" s="32"/>
      <c r="G33" s="32"/>
      <c r="H33" s="32"/>
    </row>
    <row r="34" spans="1:11">
      <c r="B34" s="33"/>
      <c r="C34" s="33"/>
      <c r="D34" s="33"/>
      <c r="E34" s="33"/>
      <c r="F34" s="33"/>
      <c r="G34" s="33"/>
      <c r="H34" s="33"/>
      <c r="I34" s="47" t="s">
        <v>82</v>
      </c>
      <c r="J34" s="34" t="s">
        <v>58</v>
      </c>
    </row>
    <row r="35" spans="1:11">
      <c r="A35" s="13" t="s">
        <v>59</v>
      </c>
      <c r="B35" s="30">
        <v>1216</v>
      </c>
      <c r="C35" s="30"/>
      <c r="D35" s="30"/>
      <c r="E35" s="30"/>
      <c r="F35" s="30"/>
      <c r="G35" s="30"/>
      <c r="H35" s="30"/>
      <c r="I35" s="35">
        <f>SUMPRODUCT($B35:$H35,$B$33:$H$33)/SUM($B$33:$H$33)</f>
        <v>1216</v>
      </c>
      <c r="J35" s="35">
        <f>I6</f>
        <v>1364</v>
      </c>
      <c r="K35" s="48">
        <f>J35/I35</f>
        <v>1.1217105263157894</v>
      </c>
    </row>
    <row r="36" spans="1:11">
      <c r="A36" s="13" t="s">
        <v>60</v>
      </c>
      <c r="B36" s="30">
        <v>3</v>
      </c>
      <c r="C36" s="30"/>
      <c r="D36" s="30"/>
      <c r="E36" s="30"/>
      <c r="F36" s="30"/>
      <c r="G36" s="30"/>
      <c r="H36" s="30"/>
      <c r="I36" s="36">
        <f t="shared" ref="I36:I40" si="6">SUMPRODUCT($B36:$H36,$B$33:$H$33)/SUM($B$33:$H$33)</f>
        <v>3</v>
      </c>
      <c r="J36" s="36">
        <f>I7</f>
        <v>3</v>
      </c>
      <c r="K36" s="48">
        <f t="shared" ref="K36:K38" si="7">J36/I36</f>
        <v>1</v>
      </c>
    </row>
    <row r="37" spans="1:11">
      <c r="A37" s="13" t="s">
        <v>61</v>
      </c>
      <c r="B37" s="30">
        <v>2</v>
      </c>
      <c r="C37" s="30"/>
      <c r="D37" s="30"/>
      <c r="E37" s="30"/>
      <c r="F37" s="30"/>
      <c r="G37" s="30"/>
      <c r="H37" s="30"/>
      <c r="I37" s="36">
        <f t="shared" si="6"/>
        <v>2</v>
      </c>
      <c r="J37" s="36">
        <f>I8</f>
        <v>2</v>
      </c>
      <c r="K37" s="48">
        <f t="shared" si="7"/>
        <v>1</v>
      </c>
    </row>
    <row r="38" spans="1:11">
      <c r="A38" s="13" t="s">
        <v>62</v>
      </c>
      <c r="B38" s="30">
        <v>6098</v>
      </c>
      <c r="C38" s="30"/>
      <c r="D38" s="30"/>
      <c r="E38" s="30"/>
      <c r="F38" s="30"/>
      <c r="G38" s="30"/>
      <c r="H38" s="30"/>
      <c r="I38" s="35">
        <f t="shared" si="6"/>
        <v>6098</v>
      </c>
      <c r="J38" s="35">
        <f>I9</f>
        <v>7405</v>
      </c>
      <c r="K38" s="48">
        <f t="shared" si="7"/>
        <v>1.2143325680551</v>
      </c>
    </row>
    <row r="39" spans="1:11">
      <c r="B39" s="33"/>
      <c r="C39" s="33"/>
      <c r="D39" s="33"/>
      <c r="E39" s="33"/>
      <c r="F39" s="33"/>
      <c r="G39" s="33"/>
      <c r="H39" s="33"/>
      <c r="I39" s="37"/>
      <c r="J39" s="37"/>
    </row>
    <row r="40" spans="1:11">
      <c r="A40" s="13" t="s">
        <v>63</v>
      </c>
      <c r="B40" s="30">
        <v>1961</v>
      </c>
      <c r="C40" s="30"/>
      <c r="D40" s="30"/>
      <c r="E40" s="30"/>
      <c r="F40" s="30"/>
      <c r="G40" s="30"/>
      <c r="H40" s="30"/>
      <c r="I40" s="35">
        <f t="shared" si="6"/>
        <v>1961</v>
      </c>
      <c r="J40" s="35">
        <f>I11</f>
        <v>1961</v>
      </c>
      <c r="K40" s="48"/>
    </row>
    <row r="41" spans="1:11">
      <c r="B41" s="33"/>
      <c r="C41" s="33"/>
      <c r="D41" s="33"/>
      <c r="E41" s="33"/>
      <c r="F41" s="33"/>
      <c r="G41" s="33"/>
      <c r="H41" s="33"/>
      <c r="I41" s="37"/>
      <c r="J41" s="37"/>
    </row>
    <row r="42" spans="1:11">
      <c r="A42" s="13" t="s">
        <v>67</v>
      </c>
      <c r="B42" s="41">
        <v>42430</v>
      </c>
      <c r="C42" s="41"/>
      <c r="D42" s="41"/>
      <c r="E42" s="41"/>
      <c r="F42" s="41"/>
      <c r="G42" s="41"/>
      <c r="H42" s="41"/>
      <c r="I42" s="49"/>
      <c r="J42" s="49"/>
    </row>
    <row r="43" spans="1:11">
      <c r="A43" s="13" t="s">
        <v>68</v>
      </c>
      <c r="B43" s="38">
        <v>137000</v>
      </c>
      <c r="C43" s="38"/>
      <c r="D43" s="38"/>
      <c r="E43" s="38"/>
      <c r="F43" s="38"/>
      <c r="G43" s="38"/>
      <c r="H43" s="38"/>
      <c r="I43" s="39">
        <f t="shared" ref="I43:I44" si="8">SUMPRODUCT($B43:$H43,$B$33:$H$33)/SUM($B$33:$H$33)</f>
        <v>137000</v>
      </c>
      <c r="J43" s="39">
        <f>I15</f>
        <v>147000</v>
      </c>
      <c r="K43" s="48">
        <f t="shared" ref="K43:K44" si="9">J43/I43</f>
        <v>1.0729927007299269</v>
      </c>
    </row>
    <row r="44" spans="1:11">
      <c r="A44" s="13" t="s">
        <v>66</v>
      </c>
      <c r="B44" s="42">
        <f>IF(B35&gt;0,B43/B35,"")</f>
        <v>112.66447368421052</v>
      </c>
      <c r="C44" s="42" t="str">
        <f>IF(C35&gt;0,C43/C35,"")</f>
        <v/>
      </c>
      <c r="D44" s="42" t="str">
        <f t="shared" ref="D44:H44" si="10">IF(D35&gt;0,D43/D35,"")</f>
        <v/>
      </c>
      <c r="E44" s="42" t="str">
        <f t="shared" si="10"/>
        <v/>
      </c>
      <c r="F44" s="42" t="str">
        <f t="shared" si="10"/>
        <v/>
      </c>
      <c r="G44" s="42" t="str">
        <f t="shared" si="10"/>
        <v/>
      </c>
      <c r="H44" s="42" t="str">
        <f t="shared" si="10"/>
        <v/>
      </c>
      <c r="I44" s="39">
        <f t="shared" si="8"/>
        <v>112.66447368421052</v>
      </c>
      <c r="J44" s="39">
        <f>I16</f>
        <v>107.77126099706744</v>
      </c>
      <c r="K44" s="48">
        <f t="shared" si="9"/>
        <v>0.95656827279148915</v>
      </c>
    </row>
    <row r="45" spans="1:11">
      <c r="B45" s="50"/>
      <c r="C45" s="50"/>
      <c r="D45" s="50"/>
      <c r="E45" s="50"/>
      <c r="F45" s="50"/>
      <c r="G45" s="50"/>
      <c r="H45" s="50"/>
      <c r="I45" s="44"/>
      <c r="J45" s="44"/>
    </row>
    <row r="46" spans="1:11">
      <c r="A46" s="13" t="s">
        <v>69</v>
      </c>
      <c r="B46" s="43"/>
      <c r="C46" s="43"/>
      <c r="D46" s="43"/>
      <c r="E46" s="43"/>
      <c r="F46" s="43"/>
      <c r="G46" s="43"/>
      <c r="H46" s="43"/>
      <c r="I46" s="44"/>
      <c r="J46" s="44"/>
    </row>
    <row r="47" spans="1:11">
      <c r="A47" s="13" t="s">
        <v>70</v>
      </c>
      <c r="B47" s="30">
        <v>2</v>
      </c>
      <c r="C47" s="30"/>
      <c r="D47" s="30"/>
      <c r="E47" s="30"/>
      <c r="F47" s="45"/>
      <c r="G47" s="45"/>
      <c r="H47" s="45"/>
      <c r="I47" s="36">
        <f t="shared" ref="I47:I50" si="11">SUMPRODUCT($B47:$H47,$B$33:$H$33)/SUM($B$33:$H$33)</f>
        <v>2</v>
      </c>
      <c r="J47" s="51">
        <f>I23</f>
        <v>2.5</v>
      </c>
      <c r="K47" s="52" t="s">
        <v>83</v>
      </c>
    </row>
    <row r="48" spans="1:11">
      <c r="A48" s="13" t="s">
        <v>71</v>
      </c>
      <c r="B48" s="30">
        <v>4</v>
      </c>
      <c r="C48" s="30"/>
      <c r="D48" s="30"/>
      <c r="E48" s="30"/>
      <c r="F48" s="45"/>
      <c r="G48" s="45"/>
      <c r="H48" s="45"/>
      <c r="I48" s="36">
        <f t="shared" si="11"/>
        <v>4</v>
      </c>
      <c r="J48" s="51">
        <f>I24</f>
        <v>3.5</v>
      </c>
      <c r="K48" s="52" t="s">
        <v>84</v>
      </c>
    </row>
    <row r="49" spans="1:11">
      <c r="B49" s="33"/>
      <c r="C49" s="33"/>
      <c r="D49" s="33"/>
      <c r="E49" s="33"/>
      <c r="F49" s="33"/>
      <c r="G49" s="33"/>
      <c r="H49" s="33"/>
      <c r="I49" s="46"/>
      <c r="J49" s="46"/>
      <c r="K49" s="53"/>
    </row>
    <row r="50" spans="1:11">
      <c r="A50" s="13" t="s">
        <v>72</v>
      </c>
      <c r="B50" s="30">
        <v>2.5</v>
      </c>
      <c r="C50" s="30"/>
      <c r="D50" s="30"/>
      <c r="E50" s="30"/>
      <c r="F50" s="45"/>
      <c r="G50" s="45"/>
      <c r="H50" s="45"/>
      <c r="I50" s="36">
        <f t="shared" si="11"/>
        <v>2.5</v>
      </c>
      <c r="J50" s="51">
        <f>I26</f>
        <v>2</v>
      </c>
      <c r="K50" s="52" t="s">
        <v>85</v>
      </c>
    </row>
    <row r="54" spans="1:11">
      <c r="B54" s="69" t="s">
        <v>86</v>
      </c>
      <c r="C54" s="69"/>
      <c r="D54" s="69"/>
      <c r="E54" s="69"/>
      <c r="F54" s="69"/>
      <c r="G54" s="69"/>
      <c r="H54" s="69"/>
    </row>
    <row r="55" spans="1:11">
      <c r="B55" s="29" t="s">
        <v>87</v>
      </c>
      <c r="C55" s="29" t="s">
        <v>88</v>
      </c>
      <c r="D55" s="29" t="s">
        <v>89</v>
      </c>
      <c r="E55" s="29" t="s">
        <v>90</v>
      </c>
      <c r="F55" s="29" t="s">
        <v>91</v>
      </c>
      <c r="G55" s="29" t="s">
        <v>92</v>
      </c>
      <c r="H55" s="29" t="s">
        <v>93</v>
      </c>
    </row>
    <row r="56" spans="1:11">
      <c r="B56" s="30">
        <v>6520</v>
      </c>
      <c r="C56" s="30"/>
      <c r="D56" s="30"/>
      <c r="E56" s="30"/>
      <c r="F56" s="30"/>
      <c r="G56" s="30"/>
      <c r="H56" s="30"/>
      <c r="I56" s="13"/>
    </row>
    <row r="57" spans="1:11">
      <c r="A57" s="13" t="s">
        <v>57</v>
      </c>
      <c r="B57" s="32">
        <v>1</v>
      </c>
      <c r="C57" s="32"/>
      <c r="D57" s="32"/>
      <c r="E57" s="32"/>
      <c r="F57" s="32"/>
      <c r="G57" s="32"/>
      <c r="H57" s="32"/>
    </row>
    <row r="58" spans="1:11">
      <c r="B58" s="33"/>
      <c r="C58" s="33"/>
      <c r="D58" s="33"/>
      <c r="E58" s="33"/>
      <c r="F58" s="33"/>
      <c r="G58" s="33"/>
      <c r="H58" s="33"/>
      <c r="I58" s="54" t="s">
        <v>94</v>
      </c>
      <c r="J58" s="34" t="s">
        <v>58</v>
      </c>
    </row>
    <row r="59" spans="1:11">
      <c r="A59" s="13" t="s">
        <v>59</v>
      </c>
      <c r="B59" s="30">
        <v>1307</v>
      </c>
      <c r="C59" s="30"/>
      <c r="D59" s="30"/>
      <c r="E59" s="30"/>
      <c r="F59" s="30"/>
      <c r="G59" s="30"/>
      <c r="H59" s="30"/>
      <c r="I59" s="35">
        <f>SUMPRODUCT($B59:$H59,$B$57:$H$57)/SUM($B$57:$H$57)</f>
        <v>1307</v>
      </c>
      <c r="J59" s="35">
        <f>J35</f>
        <v>1364</v>
      </c>
    </row>
    <row r="60" spans="1:11">
      <c r="A60" s="13" t="s">
        <v>60</v>
      </c>
      <c r="B60" s="30">
        <v>3</v>
      </c>
      <c r="C60" s="30"/>
      <c r="D60" s="30"/>
      <c r="E60" s="30"/>
      <c r="F60" s="30"/>
      <c r="G60" s="30"/>
      <c r="H60" s="30"/>
      <c r="I60" s="36">
        <f t="shared" ref="I60:I62" si="12">SUMPRODUCT($B60:$H60,$B$57:$H$57)/SUM($B$57:$H$57)</f>
        <v>3</v>
      </c>
      <c r="J60" s="36">
        <f>J36</f>
        <v>3</v>
      </c>
    </row>
    <row r="61" spans="1:11">
      <c r="A61" s="13" t="s">
        <v>61</v>
      </c>
      <c r="B61" s="30">
        <v>2</v>
      </c>
      <c r="C61" s="30"/>
      <c r="D61" s="30"/>
      <c r="E61" s="30"/>
      <c r="F61" s="30"/>
      <c r="G61" s="30"/>
      <c r="H61" s="30"/>
      <c r="I61" s="36">
        <f t="shared" si="12"/>
        <v>2</v>
      </c>
      <c r="J61" s="36">
        <f>J37</f>
        <v>2</v>
      </c>
    </row>
    <row r="62" spans="1:11">
      <c r="A62" s="13" t="s">
        <v>62</v>
      </c>
      <c r="B62" s="30">
        <v>6098</v>
      </c>
      <c r="C62" s="30"/>
      <c r="D62" s="30"/>
      <c r="E62" s="30"/>
      <c r="F62" s="30"/>
      <c r="G62" s="30"/>
      <c r="H62" s="30"/>
      <c r="I62" s="35">
        <f t="shared" si="12"/>
        <v>6098</v>
      </c>
      <c r="J62" s="35">
        <f>J38</f>
        <v>7405</v>
      </c>
    </row>
    <row r="63" spans="1:11">
      <c r="B63" s="33"/>
      <c r="C63" s="33"/>
      <c r="D63" s="33"/>
      <c r="E63" s="33"/>
      <c r="F63" s="33"/>
      <c r="G63" s="33"/>
      <c r="H63" s="33"/>
      <c r="I63" s="37"/>
      <c r="J63" s="37"/>
    </row>
    <row r="64" spans="1:11">
      <c r="A64" s="13" t="s">
        <v>95</v>
      </c>
      <c r="B64" s="55">
        <v>1125</v>
      </c>
      <c r="C64" s="55"/>
      <c r="D64" s="55"/>
      <c r="E64" s="55"/>
      <c r="F64" s="55"/>
      <c r="G64" s="55"/>
      <c r="H64" s="55"/>
      <c r="I64" s="39">
        <f>SUMPRODUCT($B64:$H64,$B$57:$H$57)/SUM($B$57:$H$57)</f>
        <v>1125</v>
      </c>
      <c r="J64" s="37"/>
    </row>
    <row r="65" spans="1:10" s="28" customFormat="1">
      <c r="A65" s="13"/>
      <c r="B65" s="50"/>
      <c r="C65" s="50"/>
      <c r="D65" s="50"/>
      <c r="E65" s="50"/>
      <c r="F65" s="50"/>
      <c r="G65" s="50"/>
      <c r="H65" s="50"/>
      <c r="I65" s="56"/>
      <c r="J65" s="37"/>
    </row>
    <row r="66" spans="1:10" s="28" customFormat="1">
      <c r="A66" s="13" t="s">
        <v>69</v>
      </c>
      <c r="B66" s="43"/>
      <c r="C66" s="43"/>
      <c r="D66" s="43"/>
      <c r="E66" s="43"/>
      <c r="F66" s="43"/>
      <c r="G66" s="43"/>
      <c r="H66" s="43"/>
      <c r="I66" s="56"/>
      <c r="J66" s="56"/>
    </row>
    <row r="67" spans="1:10" s="28" customFormat="1">
      <c r="A67" s="13" t="s">
        <v>70</v>
      </c>
      <c r="B67" s="30">
        <v>2</v>
      </c>
      <c r="C67" s="30"/>
      <c r="D67" s="30"/>
      <c r="E67" s="30"/>
      <c r="F67" s="45"/>
      <c r="G67" s="45"/>
      <c r="H67" s="45"/>
      <c r="I67" s="36">
        <f>SUMPRODUCT($B67:$H67,$B$57:$H$57)/SUM($B$57:$H$57)</f>
        <v>2</v>
      </c>
      <c r="J67" s="36">
        <f>J47</f>
        <v>2.5</v>
      </c>
    </row>
    <row r="68" spans="1:10" s="28" customFormat="1">
      <c r="A68" s="13" t="s">
        <v>71</v>
      </c>
      <c r="B68" s="30">
        <v>3.5</v>
      </c>
      <c r="C68" s="30"/>
      <c r="D68" s="30"/>
      <c r="E68" s="30"/>
      <c r="F68" s="45"/>
      <c r="G68" s="45"/>
      <c r="H68" s="45"/>
      <c r="I68" s="36">
        <f>SUMPRODUCT($B68:$H68,$B$57:$H$57)/SUM($B$57:$H$57)</f>
        <v>3.5</v>
      </c>
      <c r="J68" s="36">
        <f>J48</f>
        <v>3.5</v>
      </c>
    </row>
    <row r="69" spans="1:10" s="28" customFormat="1">
      <c r="A69" s="13"/>
      <c r="B69" s="33"/>
      <c r="C69" s="33"/>
      <c r="D69" s="33"/>
      <c r="E69" s="33"/>
      <c r="F69" s="33"/>
      <c r="G69" s="33"/>
      <c r="H69" s="33"/>
      <c r="I69" s="46"/>
      <c r="J69" s="46"/>
    </row>
    <row r="70" spans="1:10" s="28" customFormat="1">
      <c r="A70" s="13" t="s">
        <v>72</v>
      </c>
      <c r="B70" s="30">
        <v>2.5</v>
      </c>
      <c r="C70" s="30"/>
      <c r="D70" s="30"/>
      <c r="E70" s="30"/>
      <c r="F70" s="45"/>
      <c r="G70" s="45"/>
      <c r="H70" s="45"/>
      <c r="I70" s="36">
        <f>SUMPRODUCT($B70:$H70,$B$57:$H$57)/SUM($B$57:$H$57)</f>
        <v>2.5</v>
      </c>
      <c r="J70" s="36">
        <f>J50</f>
        <v>2</v>
      </c>
    </row>
  </sheetData>
  <mergeCells count="3">
    <mergeCell ref="B1:H1"/>
    <mergeCell ref="B30:H30"/>
    <mergeCell ref="B54:H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8"/>
  <sheetViews>
    <sheetView showGridLines="0" workbookViewId="0">
      <selection activeCell="C41" sqref="C41"/>
    </sheetView>
  </sheetViews>
  <sheetFormatPr baseColWidth="10" defaultRowHeight="16"/>
  <cols>
    <col min="1" max="1" width="26.83203125" style="2" bestFit="1" customWidth="1"/>
    <col min="2" max="2" width="12.5" style="2" bestFit="1" customWidth="1"/>
    <col min="3" max="6" width="11.5" style="2" bestFit="1" customWidth="1"/>
    <col min="7" max="7" width="12.6640625" style="2" bestFit="1" customWidth="1"/>
    <col min="8" max="8" width="15.6640625" style="2" customWidth="1"/>
    <col min="9" max="9" width="17" style="2" customWidth="1"/>
    <col min="10" max="16384" width="10.83203125" style="2"/>
  </cols>
  <sheetData>
    <row r="1" spans="1:26">
      <c r="A1" s="1" t="s">
        <v>0</v>
      </c>
      <c r="H1" s="3" t="s">
        <v>1</v>
      </c>
      <c r="I1" s="3" t="s">
        <v>2</v>
      </c>
      <c r="Z1" s="1"/>
    </row>
    <row r="2" spans="1:26">
      <c r="A2" s="2" t="s">
        <v>3</v>
      </c>
      <c r="B2" s="4">
        <v>1200</v>
      </c>
      <c r="G2" s="5" t="s">
        <v>4</v>
      </c>
      <c r="H2" s="6">
        <f>IRR(B39:I39)</f>
        <v>5.8646101506171444E-2</v>
      </c>
      <c r="I2" s="6">
        <f>IRR(B48:I48)</f>
        <v>0.13097290447336229</v>
      </c>
    </row>
    <row r="3" spans="1:26">
      <c r="A3" s="2" t="s">
        <v>5</v>
      </c>
      <c r="B3" s="7">
        <v>4</v>
      </c>
      <c r="C3" s="2" t="s">
        <v>6</v>
      </c>
      <c r="G3" s="5" t="s">
        <v>7</v>
      </c>
      <c r="H3" s="8">
        <f>-AVERAGE(C39:H39)/B39</f>
        <v>5.8585251637588244E-2</v>
      </c>
      <c r="I3" s="8">
        <f>-AVERAGE(C48:H48)/B48</f>
        <v>0.13292625818794121</v>
      </c>
    </row>
    <row r="4" spans="1:26">
      <c r="A4" s="2" t="s">
        <v>8</v>
      </c>
      <c r="B4" s="9">
        <f>1.2%*B9</f>
        <v>1980</v>
      </c>
      <c r="G4" s="5" t="s">
        <v>9</v>
      </c>
      <c r="H4" s="10">
        <f>SUM(C39:I39)/(-B39)</f>
        <v>1.4132316062515171</v>
      </c>
      <c r="I4" s="10">
        <f>SUM(C48:I48)/-B48</f>
        <v>1.946158031257585</v>
      </c>
    </row>
    <row r="5" spans="1:26">
      <c r="A5" s="2" t="s">
        <v>10</v>
      </c>
      <c r="B5" s="4">
        <v>100</v>
      </c>
      <c r="C5" s="2" t="s">
        <v>11</v>
      </c>
    </row>
    <row r="6" spans="1:26">
      <c r="A6" s="2" t="s">
        <v>12</v>
      </c>
      <c r="B6" s="11">
        <v>450</v>
      </c>
      <c r="C6" s="2" t="s">
        <v>13</v>
      </c>
    </row>
    <row r="7" spans="1:26">
      <c r="A7" s="2" t="s">
        <v>14</v>
      </c>
      <c r="B7" s="12">
        <v>50</v>
      </c>
      <c r="C7" s="2" t="s">
        <v>11</v>
      </c>
    </row>
    <row r="8" spans="1:26">
      <c r="B8" s="7"/>
      <c r="G8" s="13" t="s">
        <v>15</v>
      </c>
      <c r="H8" s="14" t="s">
        <v>16</v>
      </c>
    </row>
    <row r="9" spans="1:26">
      <c r="A9" s="2" t="s">
        <v>17</v>
      </c>
      <c r="B9" s="4">
        <v>165000</v>
      </c>
      <c r="G9" s="13" t="s">
        <v>18</v>
      </c>
      <c r="H9" s="14" t="s">
        <v>19</v>
      </c>
    </row>
    <row r="10" spans="1:26">
      <c r="A10" s="2" t="s">
        <v>20</v>
      </c>
      <c r="B10" s="4">
        <v>2500</v>
      </c>
      <c r="G10" s="13" t="s">
        <v>21</v>
      </c>
      <c r="H10" s="14" t="s">
        <v>22</v>
      </c>
    </row>
    <row r="11" spans="1:26">
      <c r="B11" s="7"/>
    </row>
    <row r="12" spans="1:26">
      <c r="A12" s="2" t="s">
        <v>23</v>
      </c>
      <c r="B12" s="15">
        <v>0.2</v>
      </c>
      <c r="C12" s="16">
        <f>B12*(B9+B10+B17)</f>
        <v>34000</v>
      </c>
    </row>
    <row r="13" spans="1:26">
      <c r="A13" s="2" t="s">
        <v>24</v>
      </c>
      <c r="B13" s="17">
        <f>SUM(B9,B10,B17,B18)-C12</f>
        <v>136000</v>
      </c>
    </row>
    <row r="14" spans="1:26">
      <c r="A14" s="2" t="s">
        <v>25</v>
      </c>
      <c r="B14" s="18">
        <v>0.04</v>
      </c>
    </row>
    <row r="15" spans="1:26">
      <c r="B15" s="19"/>
    </row>
    <row r="16" spans="1:26">
      <c r="B16" s="20"/>
    </row>
    <row r="17" spans="1:9">
      <c r="A17" s="2" t="s">
        <v>26</v>
      </c>
      <c r="B17" s="4">
        <v>2500</v>
      </c>
    </row>
    <row r="18" spans="1:9">
      <c r="A18" s="2" t="s">
        <v>27</v>
      </c>
      <c r="B18" s="4">
        <v>0</v>
      </c>
    </row>
    <row r="19" spans="1:9">
      <c r="B19" s="7"/>
      <c r="G19" s="2" t="s">
        <v>28</v>
      </c>
    </row>
    <row r="20" spans="1:9">
      <c r="A20" s="2" t="s">
        <v>29</v>
      </c>
      <c r="B20" s="15">
        <v>0.03</v>
      </c>
      <c r="C20" s="2" t="s">
        <v>30</v>
      </c>
      <c r="G20" s="2" t="s">
        <v>31</v>
      </c>
    </row>
    <row r="21" spans="1:9">
      <c r="B21" s="20"/>
    </row>
    <row r="22" spans="1:9">
      <c r="A22" s="2" t="s">
        <v>32</v>
      </c>
      <c r="B22" s="11">
        <v>180000</v>
      </c>
    </row>
    <row r="23" spans="1:9">
      <c r="A23" s="2" t="s">
        <v>33</v>
      </c>
      <c r="B23" s="15">
        <v>0.06</v>
      </c>
    </row>
    <row r="26" spans="1:9">
      <c r="A26" s="21" t="s">
        <v>34</v>
      </c>
      <c r="B26" s="21" t="s">
        <v>35</v>
      </c>
      <c r="C26" s="21">
        <v>1</v>
      </c>
      <c r="D26" s="21">
        <v>2</v>
      </c>
      <c r="E26" s="21">
        <v>3</v>
      </c>
      <c r="F26" s="21">
        <v>4</v>
      </c>
      <c r="G26" s="21">
        <v>5</v>
      </c>
      <c r="H26" s="21">
        <v>6</v>
      </c>
      <c r="I26" s="21">
        <v>7</v>
      </c>
    </row>
    <row r="27" spans="1:9">
      <c r="A27" s="1" t="s">
        <v>36</v>
      </c>
      <c r="B27" s="1"/>
      <c r="C27" s="22">
        <f>B2*12</f>
        <v>14400</v>
      </c>
      <c r="D27" s="23">
        <f>C27*(1+$B$20)</f>
        <v>14832</v>
      </c>
      <c r="E27" s="23">
        <f t="shared" ref="E27:I27" si="0">D27*(1+$B$20)</f>
        <v>15276.960000000001</v>
      </c>
      <c r="F27" s="23">
        <f t="shared" si="0"/>
        <v>15735.268800000002</v>
      </c>
      <c r="G27" s="23">
        <f t="shared" si="0"/>
        <v>16207.326864000002</v>
      </c>
      <c r="H27" s="23">
        <f t="shared" si="0"/>
        <v>16693.546669920004</v>
      </c>
      <c r="I27" s="23">
        <f t="shared" si="0"/>
        <v>17194.353070017605</v>
      </c>
    </row>
    <row r="28" spans="1:9">
      <c r="C28" s="16"/>
    </row>
    <row r="29" spans="1:9">
      <c r="A29" s="2" t="s">
        <v>5</v>
      </c>
      <c r="C29" s="24">
        <f>-($B$3/52)*C27</f>
        <v>-1107.6923076923078</v>
      </c>
      <c r="D29" s="24">
        <f t="shared" ref="D29:I29" si="1">-($B$3/52)*D27</f>
        <v>-1140.9230769230769</v>
      </c>
      <c r="E29" s="24">
        <f t="shared" si="1"/>
        <v>-1175.1507692307694</v>
      </c>
      <c r="F29" s="24">
        <f t="shared" si="1"/>
        <v>-1210.4052923076924</v>
      </c>
      <c r="G29" s="24">
        <f t="shared" si="1"/>
        <v>-1246.7174510769232</v>
      </c>
      <c r="H29" s="24">
        <f t="shared" si="1"/>
        <v>-1284.1189746092311</v>
      </c>
      <c r="I29" s="24">
        <f t="shared" si="1"/>
        <v>-1322.6425438475083</v>
      </c>
    </row>
    <row r="30" spans="1:9">
      <c r="A30" s="2" t="s">
        <v>8</v>
      </c>
      <c r="C30" s="24">
        <f>-B4</f>
        <v>-1980</v>
      </c>
      <c r="D30" s="24">
        <f>C30</f>
        <v>-1980</v>
      </c>
      <c r="E30" s="24">
        <f t="shared" ref="E30:I30" si="2">D30</f>
        <v>-1980</v>
      </c>
      <c r="F30" s="24">
        <f t="shared" si="2"/>
        <v>-1980</v>
      </c>
      <c r="G30" s="24">
        <f t="shared" si="2"/>
        <v>-1980</v>
      </c>
      <c r="H30" s="24">
        <f t="shared" si="2"/>
        <v>-1980</v>
      </c>
      <c r="I30" s="24">
        <f t="shared" si="2"/>
        <v>-1980</v>
      </c>
    </row>
    <row r="31" spans="1:9">
      <c r="A31" s="2" t="s">
        <v>10</v>
      </c>
      <c r="C31" s="24">
        <f>-B5*12</f>
        <v>-1200</v>
      </c>
      <c r="D31" s="24">
        <f>C31*(1+$B$20)</f>
        <v>-1236</v>
      </c>
      <c r="E31" s="24">
        <f t="shared" ref="E31:I31" si="3">D31*(1+$B$20)</f>
        <v>-1273.08</v>
      </c>
      <c r="F31" s="24">
        <f t="shared" si="3"/>
        <v>-1311.2724000000001</v>
      </c>
      <c r="G31" s="24">
        <f t="shared" si="3"/>
        <v>-1350.610572</v>
      </c>
      <c r="H31" s="24">
        <f t="shared" si="3"/>
        <v>-1391.12888916</v>
      </c>
      <c r="I31" s="24">
        <f t="shared" si="3"/>
        <v>-1432.8627558348001</v>
      </c>
    </row>
    <row r="32" spans="1:9">
      <c r="A32" s="2" t="s">
        <v>12</v>
      </c>
      <c r="C32" s="24">
        <f>-B6</f>
        <v>-450</v>
      </c>
      <c r="D32" s="24">
        <f>C32</f>
        <v>-450</v>
      </c>
      <c r="E32" s="24">
        <f t="shared" ref="E32:I32" si="4">D32</f>
        <v>-450</v>
      </c>
      <c r="F32" s="24">
        <f t="shared" si="4"/>
        <v>-450</v>
      </c>
      <c r="G32" s="24">
        <f t="shared" si="4"/>
        <v>-450</v>
      </c>
      <c r="H32" s="24">
        <f t="shared" si="4"/>
        <v>-450</v>
      </c>
      <c r="I32" s="24">
        <f t="shared" si="4"/>
        <v>-450</v>
      </c>
    </row>
    <row r="33" spans="1:9">
      <c r="A33" s="2" t="s">
        <v>37</v>
      </c>
      <c r="C33" s="24">
        <f>-B7*12</f>
        <v>-600</v>
      </c>
      <c r="D33" s="24">
        <f>C33*(1+$B$20)</f>
        <v>-618</v>
      </c>
      <c r="E33" s="24">
        <f t="shared" ref="E33:I33" si="5">D33*(1+$B$20)</f>
        <v>-636.54</v>
      </c>
      <c r="F33" s="24">
        <f t="shared" si="5"/>
        <v>-655.63620000000003</v>
      </c>
      <c r="G33" s="24">
        <f t="shared" si="5"/>
        <v>-675.30528600000002</v>
      </c>
      <c r="H33" s="24">
        <f t="shared" si="5"/>
        <v>-695.56444457999999</v>
      </c>
      <c r="I33" s="24">
        <f t="shared" si="5"/>
        <v>-716.43137791740003</v>
      </c>
    </row>
    <row r="35" spans="1:9">
      <c r="A35" s="1" t="s">
        <v>38</v>
      </c>
      <c r="B35" s="1"/>
      <c r="C35" s="22">
        <f>C27+SUM(C29:C33)</f>
        <v>9062.3076923076915</v>
      </c>
      <c r="D35" s="22">
        <f t="shared" ref="D35:I35" si="6">D27+SUM(D29:D33)</f>
        <v>9407.076923076922</v>
      </c>
      <c r="E35" s="22">
        <f t="shared" si="6"/>
        <v>9762.1892307692324</v>
      </c>
      <c r="F35" s="22">
        <f t="shared" si="6"/>
        <v>10127.95490769231</v>
      </c>
      <c r="G35" s="22">
        <f t="shared" si="6"/>
        <v>10504.69355492308</v>
      </c>
      <c r="H35" s="22">
        <f t="shared" si="6"/>
        <v>10892.734361570772</v>
      </c>
      <c r="I35" s="22">
        <f t="shared" si="6"/>
        <v>11292.416392417897</v>
      </c>
    </row>
    <row r="36" spans="1:9">
      <c r="A36" s="2" t="s">
        <v>39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f>B22*(1-B23)</f>
        <v>169200</v>
      </c>
    </row>
    <row r="37" spans="1:9">
      <c r="A37" s="2" t="s">
        <v>40</v>
      </c>
      <c r="B37" s="24">
        <f>-B17</f>
        <v>-2500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f>-B18</f>
        <v>0</v>
      </c>
    </row>
    <row r="38" spans="1:9">
      <c r="B38" s="16"/>
      <c r="C38" s="25"/>
      <c r="D38" s="25"/>
      <c r="E38" s="25"/>
      <c r="F38" s="25"/>
      <c r="G38" s="25"/>
      <c r="H38" s="25"/>
      <c r="I38" s="25"/>
    </row>
    <row r="39" spans="1:9">
      <c r="A39" s="26" t="s">
        <v>41</v>
      </c>
      <c r="B39" s="27">
        <f>-SUM(B9,B10)+B37</f>
        <v>-170000</v>
      </c>
      <c r="C39" s="27">
        <f t="shared" ref="C39:H39" si="7">C35</f>
        <v>9062.3076923076915</v>
      </c>
      <c r="D39" s="27">
        <f t="shared" si="7"/>
        <v>9407.076923076922</v>
      </c>
      <c r="E39" s="27">
        <f t="shared" si="7"/>
        <v>9762.1892307692324</v>
      </c>
      <c r="F39" s="27">
        <f t="shared" si="7"/>
        <v>10127.95490769231</v>
      </c>
      <c r="G39" s="27">
        <f t="shared" si="7"/>
        <v>10504.69355492308</v>
      </c>
      <c r="H39" s="27">
        <f t="shared" si="7"/>
        <v>10892.734361570772</v>
      </c>
      <c r="I39" s="27">
        <f>I35+I36+I37</f>
        <v>180492.41639241789</v>
      </c>
    </row>
    <row r="41" spans="1:9">
      <c r="A41" s="2" t="s">
        <v>42</v>
      </c>
      <c r="C41" s="24">
        <f>-B13*B14</f>
        <v>-5440</v>
      </c>
      <c r="D41" s="24">
        <f>C41</f>
        <v>-5440</v>
      </c>
      <c r="E41" s="24">
        <f t="shared" ref="E41:I41" si="8">D41</f>
        <v>-5440</v>
      </c>
      <c r="F41" s="24">
        <f t="shared" si="8"/>
        <v>-5440</v>
      </c>
      <c r="G41" s="24">
        <f t="shared" si="8"/>
        <v>-5440</v>
      </c>
      <c r="H41" s="24">
        <f t="shared" si="8"/>
        <v>-5440</v>
      </c>
      <c r="I41" s="24">
        <f t="shared" si="8"/>
        <v>-5440</v>
      </c>
    </row>
    <row r="42" spans="1:9">
      <c r="A42" s="2" t="s">
        <v>43</v>
      </c>
      <c r="C42" s="24">
        <f>-B46*$B$14</f>
        <v>-5440</v>
      </c>
      <c r="D42" s="24">
        <f t="shared" ref="D42:I42" si="9">-C46*$B$14</f>
        <v>-5440</v>
      </c>
      <c r="E42" s="24">
        <f t="shared" si="9"/>
        <v>-5440</v>
      </c>
      <c r="F42" s="24">
        <f t="shared" si="9"/>
        <v>-5440</v>
      </c>
      <c r="G42" s="24">
        <f t="shared" si="9"/>
        <v>-5440</v>
      </c>
      <c r="H42" s="24">
        <f t="shared" si="9"/>
        <v>-5440</v>
      </c>
      <c r="I42" s="24">
        <f t="shared" si="9"/>
        <v>-5440</v>
      </c>
    </row>
    <row r="43" spans="1:9">
      <c r="A43" s="2" t="s">
        <v>44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</row>
    <row r="44" spans="1:9">
      <c r="A44" s="2" t="s">
        <v>45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16">
        <f>(H46+I43)</f>
        <v>136000</v>
      </c>
    </row>
    <row r="46" spans="1:9">
      <c r="A46" s="2" t="s">
        <v>46</v>
      </c>
      <c r="B46" s="16">
        <f>B13</f>
        <v>136000</v>
      </c>
      <c r="C46" s="16">
        <f>B46+C43</f>
        <v>136000</v>
      </c>
      <c r="D46" s="16">
        <f t="shared" ref="D46:H46" si="10">C46+D43</f>
        <v>136000</v>
      </c>
      <c r="E46" s="16">
        <f t="shared" si="10"/>
        <v>136000</v>
      </c>
      <c r="F46" s="16">
        <f t="shared" si="10"/>
        <v>136000</v>
      </c>
      <c r="G46" s="16">
        <f t="shared" si="10"/>
        <v>136000</v>
      </c>
      <c r="H46" s="16">
        <f t="shared" si="10"/>
        <v>136000</v>
      </c>
      <c r="I46" s="16">
        <f>H46+I43-I44</f>
        <v>0</v>
      </c>
    </row>
    <row r="48" spans="1:9">
      <c r="A48" s="26" t="s">
        <v>47</v>
      </c>
      <c r="B48" s="27">
        <f>-C12</f>
        <v>-34000</v>
      </c>
      <c r="C48" s="27">
        <f>C39+C41</f>
        <v>3622.3076923076915</v>
      </c>
      <c r="D48" s="27">
        <f t="shared" ref="D48:H48" si="11">D39+D41</f>
        <v>3967.076923076922</v>
      </c>
      <c r="E48" s="27">
        <f t="shared" si="11"/>
        <v>4322.1892307692324</v>
      </c>
      <c r="F48" s="27">
        <f t="shared" si="11"/>
        <v>4687.9549076923104</v>
      </c>
      <c r="G48" s="27">
        <f t="shared" si="11"/>
        <v>5064.6935549230802</v>
      </c>
      <c r="H48" s="27">
        <f t="shared" si="11"/>
        <v>5452.7343615707723</v>
      </c>
      <c r="I48" s="27">
        <f>I39+I41-I44</f>
        <v>39052.416392417887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70"/>
  <sheetViews>
    <sheetView showGridLines="0" workbookViewId="0">
      <selection activeCell="K22" sqref="K22"/>
    </sheetView>
  </sheetViews>
  <sheetFormatPr baseColWidth="10" defaultRowHeight="16"/>
  <cols>
    <col min="1" max="1" width="26.83203125" style="13" customWidth="1"/>
    <col min="2" max="2" width="19.5" style="2" customWidth="1"/>
    <col min="3" max="3" width="21.83203125" style="2" bestFit="1" customWidth="1"/>
    <col min="4" max="7" width="19.5" style="2" customWidth="1"/>
    <col min="8" max="8" width="20.33203125" style="2" bestFit="1" customWidth="1"/>
    <col min="9" max="9" width="18.1640625" style="2" bestFit="1" customWidth="1"/>
    <col min="10" max="10" width="16.83203125" style="2" customWidth="1"/>
    <col min="11" max="11" width="14" style="2" bestFit="1" customWidth="1"/>
    <col min="12" max="16384" width="10.83203125" style="2"/>
  </cols>
  <sheetData>
    <row r="1" spans="1:24">
      <c r="B1" s="70" t="s">
        <v>48</v>
      </c>
      <c r="C1" s="70"/>
      <c r="D1" s="70"/>
      <c r="E1" s="70"/>
      <c r="F1" s="70"/>
      <c r="G1" s="70"/>
      <c r="H1" s="70"/>
    </row>
    <row r="2" spans="1:24">
      <c r="B2" s="3" t="s">
        <v>49</v>
      </c>
      <c r="C2" s="3" t="s">
        <v>50</v>
      </c>
      <c r="D2" s="3" t="s">
        <v>51</v>
      </c>
      <c r="E2" s="3" t="s">
        <v>52</v>
      </c>
      <c r="F2" s="3" t="s">
        <v>53</v>
      </c>
      <c r="G2" s="3" t="s">
        <v>54</v>
      </c>
      <c r="H2" s="3" t="s">
        <v>55</v>
      </c>
    </row>
    <row r="3" spans="1:24">
      <c r="B3" s="59" t="s">
        <v>96</v>
      </c>
      <c r="C3" s="59" t="s">
        <v>56</v>
      </c>
      <c r="D3" s="59" t="s">
        <v>97</v>
      </c>
      <c r="E3" s="59" t="s">
        <v>98</v>
      </c>
      <c r="F3" s="59" t="s">
        <v>99</v>
      </c>
      <c r="G3" s="59" t="s">
        <v>100</v>
      </c>
      <c r="H3" s="59" t="s">
        <v>101</v>
      </c>
      <c r="X3" s="1"/>
    </row>
    <row r="4" spans="1:24">
      <c r="A4" s="13" t="s">
        <v>57</v>
      </c>
      <c r="B4" s="60">
        <v>0</v>
      </c>
      <c r="C4" s="60">
        <v>1</v>
      </c>
      <c r="D4" s="60">
        <v>0</v>
      </c>
      <c r="E4" s="60">
        <v>1</v>
      </c>
      <c r="F4" s="60">
        <v>1</v>
      </c>
      <c r="G4" s="60">
        <v>1</v>
      </c>
      <c r="H4" s="60">
        <v>1</v>
      </c>
      <c r="X4" s="1"/>
    </row>
    <row r="5" spans="1:24">
      <c r="B5" s="13"/>
      <c r="C5" s="13"/>
      <c r="D5" s="13"/>
      <c r="E5" s="13"/>
      <c r="F5" s="13"/>
      <c r="G5" s="13"/>
      <c r="H5" s="13"/>
      <c r="I5" s="34" t="s">
        <v>58</v>
      </c>
      <c r="X5" s="1"/>
    </row>
    <row r="6" spans="1:24">
      <c r="A6" s="13" t="s">
        <v>59</v>
      </c>
      <c r="B6" s="59">
        <v>1391</v>
      </c>
      <c r="C6" s="59">
        <v>1364</v>
      </c>
      <c r="D6" s="59">
        <v>1208</v>
      </c>
      <c r="E6" s="59">
        <v>1308</v>
      </c>
      <c r="F6" s="59">
        <v>1428</v>
      </c>
      <c r="G6" s="59">
        <v>1354</v>
      </c>
      <c r="H6" s="59">
        <v>1373</v>
      </c>
      <c r="I6" s="35">
        <f>SUMPRODUCT($B6:$H6,$B$4:$H$4)/SUM($B$4:$H$4)</f>
        <v>1365.4</v>
      </c>
    </row>
    <row r="7" spans="1:24">
      <c r="A7" s="13" t="s">
        <v>60</v>
      </c>
      <c r="B7" s="59">
        <v>4</v>
      </c>
      <c r="C7" s="59">
        <v>3</v>
      </c>
      <c r="D7" s="59">
        <v>3</v>
      </c>
      <c r="E7" s="59">
        <v>3</v>
      </c>
      <c r="F7" s="59">
        <v>3</v>
      </c>
      <c r="G7" s="59">
        <v>3</v>
      </c>
      <c r="H7" s="59">
        <v>3</v>
      </c>
      <c r="I7" s="36">
        <f t="shared" ref="I7:I15" si="0">SUMPRODUCT($B7:$H7,$B$4:$H$4)/SUM($B$4:$H$4)</f>
        <v>3</v>
      </c>
    </row>
    <row r="8" spans="1:24">
      <c r="A8" s="13" t="s">
        <v>61</v>
      </c>
      <c r="B8" s="59">
        <v>2</v>
      </c>
      <c r="C8" s="59">
        <v>2</v>
      </c>
      <c r="D8" s="59">
        <v>2</v>
      </c>
      <c r="E8" s="59">
        <v>2</v>
      </c>
      <c r="F8" s="59">
        <v>2</v>
      </c>
      <c r="G8" s="59">
        <v>2</v>
      </c>
      <c r="H8" s="59">
        <v>2</v>
      </c>
      <c r="I8" s="36">
        <f t="shared" si="0"/>
        <v>2</v>
      </c>
    </row>
    <row r="9" spans="1:24">
      <c r="A9" s="13" t="s">
        <v>62</v>
      </c>
      <c r="B9" s="59">
        <v>7840</v>
      </c>
      <c r="C9" s="59">
        <v>7405</v>
      </c>
      <c r="D9" s="59">
        <v>6969</v>
      </c>
      <c r="E9" s="59">
        <v>6098</v>
      </c>
      <c r="F9" s="59">
        <v>6534</v>
      </c>
      <c r="G9" s="59">
        <v>6969</v>
      </c>
      <c r="H9" s="59">
        <v>4791</v>
      </c>
      <c r="I9" s="35">
        <f t="shared" si="0"/>
        <v>6359.4</v>
      </c>
    </row>
    <row r="10" spans="1:24">
      <c r="B10" s="13"/>
      <c r="C10" s="13"/>
      <c r="D10" s="13"/>
      <c r="E10" s="13"/>
      <c r="F10" s="13"/>
      <c r="G10" s="13"/>
      <c r="H10" s="13"/>
      <c r="I10" s="37"/>
    </row>
    <row r="11" spans="1:24">
      <c r="A11" s="13" t="s">
        <v>63</v>
      </c>
      <c r="B11" s="59">
        <v>1968</v>
      </c>
      <c r="C11" s="59">
        <v>1961</v>
      </c>
      <c r="D11" s="59">
        <v>1960</v>
      </c>
      <c r="E11" s="59">
        <v>1963</v>
      </c>
      <c r="F11" s="59">
        <v>1965</v>
      </c>
      <c r="G11" s="59">
        <v>1965</v>
      </c>
      <c r="H11" s="59">
        <v>1984</v>
      </c>
      <c r="I11" s="35">
        <f t="shared" si="0"/>
        <v>1967.6</v>
      </c>
    </row>
    <row r="12" spans="1:24">
      <c r="B12" s="13"/>
      <c r="C12" s="13"/>
      <c r="D12" s="13"/>
      <c r="E12" s="13"/>
      <c r="F12" s="13"/>
      <c r="G12" s="13"/>
      <c r="H12" s="13"/>
      <c r="I12" s="37"/>
    </row>
    <row r="13" spans="1:24">
      <c r="A13" s="13" t="s">
        <v>64</v>
      </c>
      <c r="B13" s="59">
        <v>3</v>
      </c>
      <c r="C13" s="59">
        <v>10</v>
      </c>
      <c r="D13" s="59">
        <v>5</v>
      </c>
      <c r="E13" s="59">
        <v>20</v>
      </c>
      <c r="F13" s="59">
        <v>24</v>
      </c>
      <c r="G13" s="59">
        <v>25</v>
      </c>
      <c r="H13" s="59">
        <v>23</v>
      </c>
      <c r="I13" s="35">
        <f t="shared" si="0"/>
        <v>20.399999999999999</v>
      </c>
    </row>
    <row r="14" spans="1:24">
      <c r="B14" s="13"/>
      <c r="C14" s="13"/>
      <c r="D14" s="13"/>
      <c r="E14" s="13"/>
      <c r="F14" s="13"/>
      <c r="G14" s="13"/>
      <c r="H14" s="13"/>
      <c r="I14" s="37"/>
    </row>
    <row r="15" spans="1:24">
      <c r="A15" s="13" t="s">
        <v>65</v>
      </c>
      <c r="B15" s="61">
        <v>165000</v>
      </c>
      <c r="C15" s="61">
        <v>147000</v>
      </c>
      <c r="D15" s="61">
        <v>179999</v>
      </c>
      <c r="E15" s="61">
        <v>149900</v>
      </c>
      <c r="F15" s="61">
        <v>139999</v>
      </c>
      <c r="G15" s="61">
        <v>139900</v>
      </c>
      <c r="H15" s="61">
        <v>169000</v>
      </c>
      <c r="I15" s="39">
        <f t="shared" si="0"/>
        <v>149159.79999999999</v>
      </c>
    </row>
    <row r="16" spans="1:24">
      <c r="A16" s="13" t="s">
        <v>66</v>
      </c>
      <c r="B16" s="40">
        <f>B15/B6</f>
        <v>118.61969805895039</v>
      </c>
      <c r="C16" s="40">
        <f>C15/C6</f>
        <v>107.77126099706744</v>
      </c>
      <c r="D16" s="40">
        <f>D15/D6</f>
        <v>149.00579470198676</v>
      </c>
      <c r="E16" s="40">
        <f>E15/E6</f>
        <v>114.60244648318043</v>
      </c>
      <c r="F16" s="40">
        <f>F15/F6</f>
        <v>98.03851540616246</v>
      </c>
      <c r="G16" s="40">
        <f t="shared" ref="G16:H16" si="1">G15/G6</f>
        <v>103.32348596750369</v>
      </c>
      <c r="H16" s="40">
        <f t="shared" si="1"/>
        <v>123.08812818645302</v>
      </c>
      <c r="I16" s="40">
        <f>SUMPRODUCT($B16:$H16,$B$4:$H$4)/SUM($B$4:$H$4)</f>
        <v>109.3647674080734</v>
      </c>
    </row>
    <row r="17" spans="1:9">
      <c r="B17" s="13"/>
      <c r="C17" s="13"/>
      <c r="D17" s="13"/>
      <c r="E17" s="13"/>
      <c r="F17" s="13"/>
      <c r="G17" s="13"/>
      <c r="H17" s="13"/>
      <c r="I17" s="37"/>
    </row>
    <row r="18" spans="1:9">
      <c r="A18" s="13" t="s">
        <v>67</v>
      </c>
      <c r="B18" s="62">
        <v>41091</v>
      </c>
      <c r="C18" s="62">
        <v>40452</v>
      </c>
      <c r="D18" s="62">
        <v>41334</v>
      </c>
      <c r="E18" s="62">
        <v>41091</v>
      </c>
      <c r="F18" s="62">
        <v>39326</v>
      </c>
      <c r="G18" s="62">
        <v>39142</v>
      </c>
      <c r="H18" s="62">
        <v>36161</v>
      </c>
    </row>
    <row r="19" spans="1:9">
      <c r="A19" s="13" t="s">
        <v>68</v>
      </c>
      <c r="B19" s="61">
        <v>87000</v>
      </c>
      <c r="C19" s="61">
        <v>78250</v>
      </c>
      <c r="D19" s="61">
        <v>40000</v>
      </c>
      <c r="E19" s="61">
        <v>67000</v>
      </c>
      <c r="F19" s="61">
        <v>89000</v>
      </c>
      <c r="G19" s="61">
        <v>115000</v>
      </c>
      <c r="H19" s="61">
        <v>107500</v>
      </c>
      <c r="I19" s="39">
        <f t="shared" ref="I19" si="2">AVERAGE(D19:H19)</f>
        <v>83700</v>
      </c>
    </row>
    <row r="20" spans="1:9">
      <c r="A20" s="13" t="s">
        <v>66</v>
      </c>
      <c r="B20" s="42">
        <f>B19/B6</f>
        <v>62.544931703810207</v>
      </c>
      <c r="C20" s="42">
        <f t="shared" ref="C20:H20" si="3">C19/C6</f>
        <v>57.368035190615835</v>
      </c>
      <c r="D20" s="42">
        <f t="shared" si="3"/>
        <v>33.11258278145695</v>
      </c>
      <c r="E20" s="42">
        <f t="shared" si="3"/>
        <v>51.223241590214066</v>
      </c>
      <c r="F20" s="42">
        <f t="shared" si="3"/>
        <v>62.324929971988794</v>
      </c>
      <c r="G20" s="42">
        <f t="shared" si="3"/>
        <v>84.933530280649933</v>
      </c>
      <c r="H20" s="42">
        <f t="shared" si="3"/>
        <v>78.295702840495267</v>
      </c>
      <c r="I20" s="39">
        <f>SUMPRODUCT($B20:$H20,$B$4:$H$4)/SUM($B$4:$H$4)</f>
        <v>66.829087974792785</v>
      </c>
    </row>
    <row r="21" spans="1:9">
      <c r="B21" s="13"/>
      <c r="C21" s="13"/>
      <c r="D21" s="13"/>
      <c r="E21" s="13"/>
      <c r="F21" s="13"/>
      <c r="G21" s="13"/>
      <c r="H21" s="13"/>
      <c r="I21" s="37"/>
    </row>
    <row r="22" spans="1:9">
      <c r="A22" s="13" t="s">
        <v>69</v>
      </c>
      <c r="B22" s="63"/>
      <c r="C22" s="63"/>
      <c r="D22" s="63"/>
      <c r="E22" s="63"/>
      <c r="F22" s="63"/>
      <c r="G22" s="63"/>
      <c r="H22" s="63"/>
      <c r="I22" s="44"/>
    </row>
    <row r="23" spans="1:9">
      <c r="A23" s="13" t="s">
        <v>70</v>
      </c>
      <c r="B23" s="59">
        <v>3.5</v>
      </c>
      <c r="C23" s="59">
        <v>3</v>
      </c>
      <c r="D23" s="59">
        <v>1.5</v>
      </c>
      <c r="E23" s="59">
        <v>1.5</v>
      </c>
      <c r="F23" s="64" t="s">
        <v>102</v>
      </c>
      <c r="G23" s="64">
        <v>2</v>
      </c>
      <c r="H23" s="64">
        <v>3.5</v>
      </c>
      <c r="I23" s="36">
        <f t="shared" ref="I23:I24" si="4">SUMPRODUCT($B23:$H23,$B$4:$H$4)/SUM($B$4:$H$4)</f>
        <v>2</v>
      </c>
    </row>
    <row r="24" spans="1:9">
      <c r="A24" s="13" t="s">
        <v>71</v>
      </c>
      <c r="B24" s="59">
        <v>4</v>
      </c>
      <c r="C24" s="59">
        <v>2.5</v>
      </c>
      <c r="D24" s="59">
        <v>1.5</v>
      </c>
      <c r="E24" s="59">
        <v>1.5</v>
      </c>
      <c r="F24" s="64" t="s">
        <v>102</v>
      </c>
      <c r="G24" s="64">
        <v>2.5</v>
      </c>
      <c r="H24" s="64">
        <v>3.5</v>
      </c>
      <c r="I24" s="36">
        <f t="shared" si="4"/>
        <v>2</v>
      </c>
    </row>
    <row r="25" spans="1:9">
      <c r="B25" s="13"/>
      <c r="C25" s="13"/>
      <c r="D25" s="13"/>
      <c r="E25" s="13"/>
      <c r="F25" s="13"/>
      <c r="G25" s="13"/>
      <c r="H25" s="13"/>
      <c r="I25" s="46"/>
    </row>
    <row r="26" spans="1:9">
      <c r="A26" s="13" t="s">
        <v>72</v>
      </c>
      <c r="B26" s="59">
        <v>2</v>
      </c>
      <c r="C26" s="59">
        <v>3.5</v>
      </c>
      <c r="D26" s="59">
        <v>4.5</v>
      </c>
      <c r="E26" s="59">
        <v>4</v>
      </c>
      <c r="F26" s="64" t="s">
        <v>102</v>
      </c>
      <c r="G26" s="64">
        <v>2.5</v>
      </c>
      <c r="H26" s="64">
        <v>1.5</v>
      </c>
      <c r="I26" s="36">
        <f t="shared" ref="I26" si="5">SUMPRODUCT($B26:$H26,$B$4:$H$4)/SUM($B$4:$H$4)</f>
        <v>2.2999999999999998</v>
      </c>
    </row>
    <row r="30" spans="1:9">
      <c r="B30" s="71" t="s">
        <v>73</v>
      </c>
      <c r="C30" s="71"/>
      <c r="D30" s="71"/>
      <c r="E30" s="71"/>
      <c r="F30" s="71"/>
      <c r="G30" s="71"/>
      <c r="H30" s="71"/>
    </row>
    <row r="31" spans="1:9">
      <c r="B31" s="3" t="s">
        <v>103</v>
      </c>
      <c r="C31" s="3" t="s">
        <v>104</v>
      </c>
      <c r="D31" s="3" t="s">
        <v>105</v>
      </c>
      <c r="E31" s="3" t="s">
        <v>106</v>
      </c>
      <c r="F31" s="3" t="s">
        <v>107</v>
      </c>
      <c r="G31" s="3" t="s">
        <v>108</v>
      </c>
      <c r="H31" s="3" t="s">
        <v>109</v>
      </c>
    </row>
    <row r="32" spans="1:9">
      <c r="B32" s="59" t="s">
        <v>110</v>
      </c>
      <c r="C32" s="59" t="s">
        <v>111</v>
      </c>
      <c r="D32" s="59" t="s">
        <v>112</v>
      </c>
      <c r="E32" s="59" t="s">
        <v>113</v>
      </c>
      <c r="F32" s="59" t="s">
        <v>114</v>
      </c>
      <c r="G32" s="59" t="s">
        <v>115</v>
      </c>
      <c r="H32" s="59" t="s">
        <v>116</v>
      </c>
      <c r="I32" s="13"/>
    </row>
    <row r="33" spans="1:11">
      <c r="A33" s="13" t="s">
        <v>57</v>
      </c>
      <c r="B33" s="60">
        <v>1</v>
      </c>
      <c r="C33" s="60">
        <v>0</v>
      </c>
      <c r="D33" s="60">
        <v>1</v>
      </c>
      <c r="E33" s="60">
        <v>1</v>
      </c>
      <c r="F33" s="60">
        <v>1</v>
      </c>
      <c r="G33" s="60">
        <v>1</v>
      </c>
      <c r="H33" s="60">
        <v>1</v>
      </c>
    </row>
    <row r="34" spans="1:11">
      <c r="B34" s="13"/>
      <c r="C34" s="13"/>
      <c r="D34" s="13"/>
      <c r="E34" s="13"/>
      <c r="F34" s="13"/>
      <c r="G34" s="13"/>
      <c r="H34" s="13"/>
      <c r="I34" s="47" t="s">
        <v>82</v>
      </c>
      <c r="J34" s="34" t="s">
        <v>58</v>
      </c>
    </row>
    <row r="35" spans="1:11">
      <c r="A35" s="13" t="s">
        <v>59</v>
      </c>
      <c r="B35" s="59">
        <v>1216</v>
      </c>
      <c r="C35" s="59">
        <v>1453</v>
      </c>
      <c r="D35" s="59">
        <v>1218</v>
      </c>
      <c r="E35" s="59">
        <v>1208</v>
      </c>
      <c r="F35" s="59">
        <v>1365</v>
      </c>
      <c r="G35" s="59">
        <v>1274</v>
      </c>
      <c r="H35" s="59">
        <v>1274</v>
      </c>
      <c r="I35" s="35">
        <f>SUMPRODUCT($B35:$H35,$B$33:$H$33)/SUM($B$33:$H$33)</f>
        <v>1259.1666666666667</v>
      </c>
      <c r="J35" s="35">
        <f>I6</f>
        <v>1365.4</v>
      </c>
      <c r="K35" s="48">
        <f>J35/I35</f>
        <v>1.0843679682329583</v>
      </c>
    </row>
    <row r="36" spans="1:11">
      <c r="A36" s="13" t="s">
        <v>60</v>
      </c>
      <c r="B36" s="59">
        <v>3</v>
      </c>
      <c r="C36" s="59">
        <v>3</v>
      </c>
      <c r="D36" s="59">
        <v>3</v>
      </c>
      <c r="E36" s="59">
        <v>3</v>
      </c>
      <c r="F36" s="59">
        <v>3</v>
      </c>
      <c r="G36" s="59">
        <v>3</v>
      </c>
      <c r="H36" s="59">
        <v>3</v>
      </c>
      <c r="I36" s="36">
        <f t="shared" ref="I36:I40" si="6">SUMPRODUCT($B36:$H36,$B$33:$H$33)/SUM($B$33:$H$33)</f>
        <v>3</v>
      </c>
      <c r="J36" s="36">
        <f>I7</f>
        <v>3</v>
      </c>
      <c r="K36" s="48">
        <f t="shared" ref="K36:K38" si="7">J36/I36</f>
        <v>1</v>
      </c>
    </row>
    <row r="37" spans="1:11">
      <c r="A37" s="13" t="s">
        <v>61</v>
      </c>
      <c r="B37" s="59">
        <v>2</v>
      </c>
      <c r="C37" s="59">
        <v>1.75</v>
      </c>
      <c r="D37" s="59">
        <v>2</v>
      </c>
      <c r="E37" s="59">
        <v>1.75</v>
      </c>
      <c r="F37" s="59">
        <v>2</v>
      </c>
      <c r="G37" s="59">
        <v>2</v>
      </c>
      <c r="H37" s="59">
        <v>1.75</v>
      </c>
      <c r="I37" s="36">
        <f t="shared" si="6"/>
        <v>1.9166666666666667</v>
      </c>
      <c r="J37" s="36">
        <f>I8</f>
        <v>2</v>
      </c>
      <c r="K37" s="48">
        <f t="shared" si="7"/>
        <v>1.0434782608695652</v>
      </c>
    </row>
    <row r="38" spans="1:11">
      <c r="A38" s="13" t="s">
        <v>62</v>
      </c>
      <c r="B38" s="59">
        <v>6098</v>
      </c>
      <c r="C38" s="59">
        <v>6098</v>
      </c>
      <c r="D38" s="59">
        <v>5662</v>
      </c>
      <c r="E38" s="59">
        <v>6534</v>
      </c>
      <c r="F38" s="59">
        <v>9148</v>
      </c>
      <c r="G38" s="59">
        <v>6098</v>
      </c>
      <c r="H38" s="59">
        <v>6098</v>
      </c>
      <c r="I38" s="35">
        <f t="shared" si="6"/>
        <v>6606.333333333333</v>
      </c>
      <c r="J38" s="35">
        <f>I9</f>
        <v>6359.4</v>
      </c>
      <c r="K38" s="48">
        <f t="shared" si="7"/>
        <v>0.96262172662596501</v>
      </c>
    </row>
    <row r="39" spans="1:11">
      <c r="B39" s="13"/>
      <c r="C39" s="13"/>
      <c r="D39" s="13"/>
      <c r="E39" s="13"/>
      <c r="F39" s="13"/>
      <c r="G39" s="13"/>
      <c r="H39" s="13"/>
      <c r="I39" s="37"/>
      <c r="J39" s="37"/>
    </row>
    <row r="40" spans="1:11">
      <c r="A40" s="13" t="s">
        <v>63</v>
      </c>
      <c r="B40" s="59">
        <v>1961</v>
      </c>
      <c r="C40" s="59">
        <v>1963</v>
      </c>
      <c r="D40" s="59">
        <v>1955</v>
      </c>
      <c r="E40" s="59">
        <v>1961</v>
      </c>
      <c r="F40" s="59">
        <v>1976</v>
      </c>
      <c r="G40" s="59">
        <v>1961</v>
      </c>
      <c r="H40" s="59">
        <v>1961</v>
      </c>
      <c r="I40" s="35">
        <f t="shared" si="6"/>
        <v>1962.5</v>
      </c>
      <c r="J40" s="35">
        <f>I11</f>
        <v>1967.6</v>
      </c>
      <c r="K40" s="48"/>
    </row>
    <row r="41" spans="1:11">
      <c r="B41" s="13"/>
      <c r="C41" s="13"/>
      <c r="D41" s="13"/>
      <c r="E41" s="13"/>
      <c r="F41" s="13"/>
      <c r="G41" s="13"/>
      <c r="H41" s="13"/>
      <c r="I41" s="37"/>
      <c r="J41" s="37"/>
    </row>
    <row r="42" spans="1:11">
      <c r="A42" s="13" t="s">
        <v>67</v>
      </c>
      <c r="B42" s="62">
        <v>42430</v>
      </c>
      <c r="C42" s="62">
        <v>42430</v>
      </c>
      <c r="D42" s="62">
        <v>42430</v>
      </c>
      <c r="E42" s="62">
        <v>42430</v>
      </c>
      <c r="F42" s="62">
        <v>42401</v>
      </c>
      <c r="G42" s="62">
        <v>42401</v>
      </c>
      <c r="H42" s="62">
        <v>42401</v>
      </c>
      <c r="I42" s="49"/>
      <c r="J42" s="49"/>
    </row>
    <row r="43" spans="1:11">
      <c r="A43" s="13" t="s">
        <v>68</v>
      </c>
      <c r="B43" s="61">
        <v>137000</v>
      </c>
      <c r="C43" s="61">
        <v>120000</v>
      </c>
      <c r="D43" s="61">
        <v>145000</v>
      </c>
      <c r="E43" s="61">
        <v>129000</v>
      </c>
      <c r="F43" s="61">
        <v>160000</v>
      </c>
      <c r="G43" s="61">
        <v>110000</v>
      </c>
      <c r="H43" s="61">
        <v>140000</v>
      </c>
      <c r="I43" s="39">
        <f t="shared" ref="I43:I44" si="8">SUMPRODUCT($B43:$H43,$B$33:$H$33)/SUM($B$33:$H$33)</f>
        <v>136833.33333333334</v>
      </c>
      <c r="J43" s="39">
        <f>I15</f>
        <v>149159.79999999999</v>
      </c>
      <c r="K43" s="48">
        <f t="shared" ref="K43:K44" si="9">J43/I43</f>
        <v>1.0900838002436053</v>
      </c>
    </row>
    <row r="44" spans="1:11">
      <c r="A44" s="13" t="s">
        <v>66</v>
      </c>
      <c r="B44" s="42">
        <f>B43/B35</f>
        <v>112.66447368421052</v>
      </c>
      <c r="C44" s="42">
        <f>C43/C35</f>
        <v>82.58774948382657</v>
      </c>
      <c r="D44" s="42">
        <f>D43/D35</f>
        <v>119.04761904761905</v>
      </c>
      <c r="E44" s="42">
        <f>E43/E35</f>
        <v>106.78807947019868</v>
      </c>
      <c r="F44" s="42">
        <f>F43/F35</f>
        <v>117.21611721611721</v>
      </c>
      <c r="G44" s="42">
        <f t="shared" ref="G44:H44" si="10">G43/G35</f>
        <v>86.342229199372056</v>
      </c>
      <c r="H44" s="42">
        <f t="shared" si="10"/>
        <v>109.89010989010988</v>
      </c>
      <c r="I44" s="40">
        <f t="shared" si="8"/>
        <v>108.65810475127124</v>
      </c>
      <c r="J44" s="40">
        <f>I16</f>
        <v>109.3647674080734</v>
      </c>
      <c r="K44" s="48">
        <f t="shared" si="9"/>
        <v>1.0065035430023355</v>
      </c>
    </row>
    <row r="45" spans="1:11">
      <c r="B45" s="65"/>
      <c r="C45" s="65"/>
      <c r="D45" s="65"/>
      <c r="E45" s="65"/>
      <c r="F45" s="65"/>
      <c r="G45" s="65"/>
      <c r="H45" s="65"/>
      <c r="I45" s="44"/>
      <c r="J45" s="44"/>
    </row>
    <row r="46" spans="1:11">
      <c r="A46" s="13" t="s">
        <v>69</v>
      </c>
      <c r="B46" s="63"/>
      <c r="C46" s="63"/>
      <c r="D46" s="63"/>
      <c r="E46" s="63"/>
      <c r="F46" s="63"/>
      <c r="G46" s="63"/>
      <c r="H46" s="63"/>
      <c r="I46" s="44"/>
      <c r="J46" s="44"/>
    </row>
    <row r="47" spans="1:11">
      <c r="A47" s="13" t="s">
        <v>70</v>
      </c>
      <c r="B47" s="59">
        <v>2</v>
      </c>
      <c r="C47" s="59">
        <v>3</v>
      </c>
      <c r="D47" s="59">
        <v>4</v>
      </c>
      <c r="E47" s="59">
        <v>3</v>
      </c>
      <c r="F47" s="64">
        <v>5</v>
      </c>
      <c r="G47" s="64" t="s">
        <v>102</v>
      </c>
      <c r="H47" s="64">
        <v>3.5</v>
      </c>
      <c r="I47" s="36">
        <f t="shared" ref="I47:I50" si="11">SUMPRODUCT($B47:$H47,$B$33:$H$33)/SUM($B$33:$H$33)</f>
        <v>2.9166666666666665</v>
      </c>
      <c r="J47" s="51">
        <f>I23</f>
        <v>2</v>
      </c>
      <c r="K47" s="52" t="s">
        <v>83</v>
      </c>
    </row>
    <row r="48" spans="1:11">
      <c r="A48" s="13" t="s">
        <v>71</v>
      </c>
      <c r="B48" s="59">
        <v>4.5</v>
      </c>
      <c r="C48" s="59">
        <v>3</v>
      </c>
      <c r="D48" s="59">
        <v>5</v>
      </c>
      <c r="E48" s="59">
        <v>5</v>
      </c>
      <c r="F48" s="64">
        <v>3</v>
      </c>
      <c r="G48" s="64" t="s">
        <v>102</v>
      </c>
      <c r="H48" s="64">
        <v>4</v>
      </c>
      <c r="I48" s="36">
        <f t="shared" si="11"/>
        <v>3.5833333333333335</v>
      </c>
      <c r="J48" s="51">
        <f>I24</f>
        <v>2</v>
      </c>
      <c r="K48" s="52" t="s">
        <v>84</v>
      </c>
    </row>
    <row r="49" spans="1:11">
      <c r="B49" s="13"/>
      <c r="C49" s="13"/>
      <c r="D49" s="13"/>
      <c r="E49" s="13"/>
      <c r="F49" s="13"/>
      <c r="G49" s="13"/>
      <c r="H49" s="13"/>
      <c r="I49" s="46"/>
      <c r="J49" s="46"/>
      <c r="K49" s="53"/>
    </row>
    <row r="50" spans="1:11">
      <c r="A50" s="13" t="s">
        <v>72</v>
      </c>
      <c r="B50" s="59">
        <v>2</v>
      </c>
      <c r="C50" s="59">
        <v>5</v>
      </c>
      <c r="D50" s="59">
        <v>1</v>
      </c>
      <c r="E50" s="59">
        <v>1.5</v>
      </c>
      <c r="F50" s="64">
        <v>2</v>
      </c>
      <c r="G50" s="64" t="s">
        <v>102</v>
      </c>
      <c r="H50" s="64">
        <v>1.5</v>
      </c>
      <c r="I50" s="36">
        <f t="shared" si="11"/>
        <v>1.3333333333333333</v>
      </c>
      <c r="J50" s="51">
        <f>I26</f>
        <v>2.2999999999999998</v>
      </c>
      <c r="K50" s="52" t="s">
        <v>85</v>
      </c>
    </row>
    <row r="51" spans="1:11">
      <c r="C51" s="2" t="s">
        <v>117</v>
      </c>
    </row>
    <row r="54" spans="1:11">
      <c r="B54" s="72" t="s">
        <v>86</v>
      </c>
      <c r="C54" s="72"/>
      <c r="D54" s="72"/>
      <c r="E54" s="72"/>
      <c r="F54" s="72"/>
      <c r="G54" s="72"/>
      <c r="H54" s="72"/>
    </row>
    <row r="55" spans="1:11">
      <c r="B55" s="3" t="s">
        <v>103</v>
      </c>
      <c r="C55" s="3" t="s">
        <v>104</v>
      </c>
      <c r="D55" s="3" t="s">
        <v>105</v>
      </c>
      <c r="E55" s="3" t="s">
        <v>106</v>
      </c>
      <c r="F55" s="3" t="s">
        <v>107</v>
      </c>
      <c r="G55" s="3" t="s">
        <v>108</v>
      </c>
      <c r="H55" s="3" t="s">
        <v>109</v>
      </c>
    </row>
    <row r="56" spans="1:11">
      <c r="B56" s="59" t="s">
        <v>118</v>
      </c>
      <c r="C56" s="59" t="s">
        <v>119</v>
      </c>
      <c r="D56" s="59" t="s">
        <v>120</v>
      </c>
      <c r="E56" s="59" t="s">
        <v>121</v>
      </c>
      <c r="F56" s="59" t="s">
        <v>122</v>
      </c>
      <c r="G56" s="59" t="s">
        <v>123</v>
      </c>
      <c r="H56" s="59" t="s">
        <v>124</v>
      </c>
      <c r="I56" s="13"/>
    </row>
    <row r="57" spans="1:11">
      <c r="A57" s="13" t="s">
        <v>57</v>
      </c>
      <c r="B57" s="60">
        <v>1</v>
      </c>
      <c r="C57" s="60">
        <v>1</v>
      </c>
      <c r="D57" s="60">
        <v>1</v>
      </c>
      <c r="E57" s="60">
        <v>1</v>
      </c>
      <c r="F57" s="60">
        <v>1</v>
      </c>
      <c r="G57" s="60">
        <v>1</v>
      </c>
      <c r="H57" s="60">
        <v>1</v>
      </c>
    </row>
    <row r="58" spans="1:11">
      <c r="B58" s="13"/>
      <c r="C58" s="13"/>
      <c r="D58" s="13"/>
      <c r="E58" s="13"/>
      <c r="F58" s="13"/>
      <c r="G58" s="13"/>
      <c r="H58" s="13"/>
      <c r="I58" s="54" t="s">
        <v>94</v>
      </c>
      <c r="J58" s="34" t="s">
        <v>58</v>
      </c>
    </row>
    <row r="59" spans="1:11">
      <c r="A59" s="13" t="s">
        <v>59</v>
      </c>
      <c r="B59" s="59">
        <v>1214</v>
      </c>
      <c r="C59" s="59">
        <v>1314</v>
      </c>
      <c r="D59" s="59">
        <v>1423</v>
      </c>
      <c r="E59" s="59">
        <v>1345</v>
      </c>
      <c r="F59" s="59">
        <v>1374</v>
      </c>
      <c r="G59" s="59">
        <v>1389</v>
      </c>
      <c r="H59" s="59">
        <v>1461</v>
      </c>
      <c r="I59" s="35">
        <f>SUMPRODUCT($B59:$H59,$B$57:$H$57)/SUM($B$57:$H$57)</f>
        <v>1360</v>
      </c>
      <c r="J59" s="35">
        <f>J35</f>
        <v>1365.4</v>
      </c>
    </row>
    <row r="60" spans="1:11">
      <c r="A60" s="13" t="s">
        <v>60</v>
      </c>
      <c r="B60" s="59">
        <v>3</v>
      </c>
      <c r="C60" s="59">
        <v>3</v>
      </c>
      <c r="D60" s="59">
        <v>3</v>
      </c>
      <c r="E60" s="59">
        <v>3</v>
      </c>
      <c r="F60" s="59">
        <v>3</v>
      </c>
      <c r="G60" s="59">
        <v>3</v>
      </c>
      <c r="H60" s="59">
        <v>3</v>
      </c>
      <c r="I60" s="36">
        <f t="shared" ref="I60:I62" si="12">SUMPRODUCT($B60:$H60,$B$57:$H$57)/SUM($B$57:$H$57)</f>
        <v>3</v>
      </c>
      <c r="J60" s="36">
        <f>J36</f>
        <v>3</v>
      </c>
    </row>
    <row r="61" spans="1:11">
      <c r="A61" s="13" t="s">
        <v>61</v>
      </c>
      <c r="B61" s="59">
        <v>2</v>
      </c>
      <c r="C61" s="59">
        <v>2</v>
      </c>
      <c r="D61" s="59">
        <v>2</v>
      </c>
      <c r="E61" s="59">
        <v>2.5</v>
      </c>
      <c r="F61" s="59">
        <v>2</v>
      </c>
      <c r="G61" s="59">
        <v>2</v>
      </c>
      <c r="H61" s="59">
        <v>2</v>
      </c>
      <c r="I61" s="36">
        <f t="shared" si="12"/>
        <v>2.0714285714285716</v>
      </c>
      <c r="J61" s="36">
        <f>J37</f>
        <v>2</v>
      </c>
    </row>
    <row r="62" spans="1:11">
      <c r="A62" s="13" t="s">
        <v>62</v>
      </c>
      <c r="B62" s="59">
        <v>5662</v>
      </c>
      <c r="C62" s="59">
        <v>7752</v>
      </c>
      <c r="D62" s="59">
        <v>3920</v>
      </c>
      <c r="E62" s="59">
        <v>2613</v>
      </c>
      <c r="F62" s="59">
        <v>3920</v>
      </c>
      <c r="G62" s="59">
        <v>5227</v>
      </c>
      <c r="H62" s="59">
        <v>4791</v>
      </c>
      <c r="I62" s="35">
        <f t="shared" si="12"/>
        <v>4840.7142857142853</v>
      </c>
      <c r="J62" s="35">
        <f>J38</f>
        <v>6359.4</v>
      </c>
    </row>
    <row r="63" spans="1:11">
      <c r="B63" s="13"/>
      <c r="C63" s="13"/>
      <c r="D63" s="13"/>
      <c r="E63" s="13"/>
      <c r="F63" s="13"/>
      <c r="G63" s="13"/>
      <c r="H63" s="13"/>
      <c r="I63" s="37"/>
      <c r="J63" s="37"/>
    </row>
    <row r="64" spans="1:11">
      <c r="A64" s="13" t="s">
        <v>95</v>
      </c>
      <c r="B64" s="66">
        <v>1150</v>
      </c>
      <c r="C64" s="66">
        <v>1000</v>
      </c>
      <c r="D64" s="66">
        <v>1200</v>
      </c>
      <c r="E64" s="66">
        <v>1100</v>
      </c>
      <c r="F64" s="66">
        <v>1099</v>
      </c>
      <c r="G64" s="66">
        <v>1200</v>
      </c>
      <c r="H64" s="66">
        <v>1285</v>
      </c>
      <c r="I64" s="39">
        <f>SUMPRODUCT($B64:$H64,$B$57:$H$57)/SUM($B$57:$H$57)</f>
        <v>1147.7142857142858</v>
      </c>
      <c r="J64" s="37"/>
    </row>
    <row r="65" spans="1:10">
      <c r="B65" s="65"/>
      <c r="C65" s="65"/>
      <c r="D65" s="65"/>
      <c r="E65" s="65"/>
      <c r="F65" s="65"/>
      <c r="G65" s="65"/>
      <c r="H65" s="65"/>
      <c r="I65" s="56"/>
      <c r="J65" s="37"/>
    </row>
    <row r="66" spans="1:10">
      <c r="A66" s="13" t="s">
        <v>69</v>
      </c>
      <c r="B66" s="63"/>
      <c r="C66" s="63"/>
      <c r="D66" s="63"/>
      <c r="E66" s="63"/>
      <c r="F66" s="63"/>
      <c r="G66" s="63"/>
      <c r="H66" s="63"/>
      <c r="I66" s="56"/>
      <c r="J66" s="56"/>
    </row>
    <row r="67" spans="1:10">
      <c r="A67" s="13" t="s">
        <v>70</v>
      </c>
      <c r="B67" s="59">
        <v>3</v>
      </c>
      <c r="C67" s="59">
        <v>1.5</v>
      </c>
      <c r="D67" s="59">
        <v>4</v>
      </c>
      <c r="E67" s="59">
        <v>3</v>
      </c>
      <c r="F67" s="64">
        <v>3.5</v>
      </c>
      <c r="G67" s="64">
        <v>2</v>
      </c>
      <c r="H67" s="64">
        <v>3</v>
      </c>
      <c r="I67" s="36">
        <f>SUMPRODUCT($B67:$H67,$B$57:$H$57)/SUM($B$57:$H$57)</f>
        <v>2.8571428571428572</v>
      </c>
      <c r="J67" s="36">
        <f>J47</f>
        <v>2</v>
      </c>
    </row>
    <row r="68" spans="1:10">
      <c r="A68" s="13" t="s">
        <v>71</v>
      </c>
      <c r="B68" s="59">
        <v>3</v>
      </c>
      <c r="C68" s="59">
        <v>2.5</v>
      </c>
      <c r="D68" s="59">
        <v>4</v>
      </c>
      <c r="E68" s="59">
        <v>4</v>
      </c>
      <c r="F68" s="64">
        <v>4.5</v>
      </c>
      <c r="G68" s="64">
        <v>4</v>
      </c>
      <c r="H68" s="64">
        <v>4</v>
      </c>
      <c r="I68" s="36">
        <f>SUMPRODUCT($B68:$H68,$B$57:$H$57)/SUM($B$57:$H$57)</f>
        <v>3.7142857142857144</v>
      </c>
      <c r="J68" s="36">
        <f>J48</f>
        <v>2</v>
      </c>
    </row>
    <row r="69" spans="1:10">
      <c r="B69" s="13"/>
      <c r="C69" s="13"/>
      <c r="D69" s="13"/>
      <c r="E69" s="13"/>
      <c r="F69" s="13"/>
      <c r="G69" s="13"/>
      <c r="H69" s="13"/>
      <c r="I69" s="46"/>
      <c r="J69" s="46"/>
    </row>
    <row r="70" spans="1:10">
      <c r="A70" s="13" t="s">
        <v>72</v>
      </c>
      <c r="B70" s="59">
        <v>1.5</v>
      </c>
      <c r="C70" s="59">
        <v>2.5</v>
      </c>
      <c r="D70" s="59">
        <v>1</v>
      </c>
      <c r="E70" s="59">
        <v>1</v>
      </c>
      <c r="F70" s="64">
        <v>1</v>
      </c>
      <c r="G70" s="64">
        <v>1.5</v>
      </c>
      <c r="H70" s="64">
        <v>1</v>
      </c>
      <c r="I70" s="36">
        <f>SUMPRODUCT($B70:$H70,$B$57:$H$57)/SUM($B$57:$H$57)</f>
        <v>1.3571428571428572</v>
      </c>
      <c r="J70" s="36">
        <f>J50</f>
        <v>2.2999999999999998</v>
      </c>
    </row>
  </sheetData>
  <mergeCells count="3">
    <mergeCell ref="B1:H1"/>
    <mergeCell ref="B30:H30"/>
    <mergeCell ref="B54:H5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Research</vt:lpstr>
      <vt:lpstr>BOE Model</vt:lpstr>
      <vt:lpstr>Las Vegas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CLV Mobile</dc:creator>
  <cp:lastModifiedBy>Symon He</cp:lastModifiedBy>
  <dcterms:created xsi:type="dcterms:W3CDTF">2016-05-17T15:19:56Z</dcterms:created>
  <dcterms:modified xsi:type="dcterms:W3CDTF">2019-07-11T18:17:47Z</dcterms:modified>
</cp:coreProperties>
</file>