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ns\Desktop\金融建模\"/>
    </mc:Choice>
  </mc:AlternateContent>
  <xr:revisionPtr revIDLastSave="0" documentId="13_ncr:1_{751E63A9-B8F5-4708-B4F6-4AD114E3A12F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I129" i="1"/>
  <c r="B147" i="1"/>
  <c r="B149" i="1"/>
  <c r="B150" i="1"/>
  <c r="I139" i="1"/>
  <c r="I130" i="1"/>
  <c r="I131" i="1"/>
  <c r="I132" i="1"/>
  <c r="I133" i="1"/>
  <c r="I134" i="1"/>
  <c r="I135" i="1"/>
  <c r="I136" i="1"/>
  <c r="I137" i="1"/>
  <c r="I138" i="1"/>
  <c r="H157" i="1"/>
  <c r="G148" i="1"/>
  <c r="G149" i="1"/>
  <c r="G150" i="1"/>
  <c r="G151" i="1"/>
  <c r="G152" i="1"/>
  <c r="G153" i="1"/>
  <c r="G154" i="1"/>
  <c r="G155" i="1"/>
  <c r="G156" i="1"/>
  <c r="G147" i="1"/>
  <c r="F155" i="1"/>
  <c r="F154" i="1"/>
  <c r="F153" i="1"/>
  <c r="F152" i="1"/>
  <c r="F151" i="1"/>
  <c r="F150" i="1"/>
  <c r="F149" i="1"/>
  <c r="H149" i="1" s="1"/>
  <c r="F148" i="1"/>
  <c r="H148" i="1" s="1"/>
  <c r="F147" i="1"/>
  <c r="G145" i="1"/>
  <c r="B146" i="1"/>
  <c r="C147" i="1" a="1"/>
  <c r="C146" i="1" a="1"/>
  <c r="B140" i="1" a="1"/>
  <c r="C147" i="1" l="1"/>
  <c r="H154" i="1"/>
  <c r="H153" i="1"/>
  <c r="H151" i="1"/>
  <c r="H156" i="1"/>
  <c r="H150" i="1"/>
  <c r="H152" i="1"/>
  <c r="H155" i="1"/>
  <c r="H147" i="1"/>
  <c r="C146" i="1"/>
  <c r="D146" i="1" s="1"/>
  <c r="B140" i="1"/>
  <c r="C140" i="1"/>
  <c r="H139" i="1" l="1"/>
  <c r="G139" i="1"/>
  <c r="B139" i="1" s="1"/>
  <c r="G129" i="1"/>
  <c r="F129" i="1"/>
  <c r="H129" i="1"/>
  <c r="H130" i="1"/>
  <c r="H131" i="1"/>
  <c r="H132" i="1"/>
  <c r="H133" i="1"/>
  <c r="H134" i="1"/>
  <c r="H135" i="1"/>
  <c r="H136" i="1"/>
  <c r="H137" i="1"/>
  <c r="H138" i="1"/>
  <c r="B138" i="1"/>
  <c r="G130" i="1"/>
  <c r="G131" i="1"/>
  <c r="G132" i="1"/>
  <c r="G133" i="1"/>
  <c r="G134" i="1"/>
  <c r="G135" i="1"/>
  <c r="G136" i="1"/>
  <c r="G137" i="1"/>
  <c r="G138" i="1"/>
  <c r="F138" i="1"/>
  <c r="F130" i="1"/>
  <c r="F131" i="1"/>
  <c r="F132" i="1"/>
  <c r="F133" i="1"/>
  <c r="F134" i="1"/>
  <c r="F135" i="1"/>
  <c r="F136" i="1"/>
  <c r="F137" i="1"/>
  <c r="E138" i="1"/>
  <c r="E130" i="1"/>
  <c r="E131" i="1"/>
  <c r="E132" i="1"/>
  <c r="E133" i="1"/>
  <c r="E134" i="1"/>
  <c r="E135" i="1"/>
  <c r="E136" i="1"/>
  <c r="E137" i="1"/>
  <c r="E129" i="1"/>
  <c r="B134" i="1"/>
  <c r="C118" i="1"/>
  <c r="B118" i="1" s="1"/>
  <c r="C119" i="1"/>
  <c r="C117" i="1"/>
  <c r="D118" i="1"/>
  <c r="D119" i="1"/>
  <c r="D120" i="1"/>
  <c r="D117" i="1"/>
  <c r="D113" i="1"/>
  <c r="D110" i="1"/>
  <c r="D112" i="1"/>
  <c r="D111" i="1"/>
  <c r="C112" i="1"/>
  <c r="C110" i="1"/>
  <c r="C111" i="1"/>
  <c r="B111" i="1"/>
  <c r="B110" i="1"/>
  <c r="A110" i="1"/>
  <c r="C101" i="1"/>
  <c r="C99" i="1"/>
  <c r="C100" i="1"/>
  <c r="G105" i="1"/>
  <c r="B100" i="1"/>
  <c r="B99" i="1"/>
  <c r="D107" i="1"/>
  <c r="E106" i="1"/>
  <c r="D106" i="1"/>
  <c r="C106" i="1"/>
  <c r="C105" i="1"/>
  <c r="B105" i="1"/>
  <c r="I37" i="1"/>
  <c r="H37" i="1"/>
  <c r="H41" i="1"/>
  <c r="H42" i="1"/>
  <c r="H43" i="1"/>
  <c r="H44" i="1"/>
  <c r="H45" i="1"/>
  <c r="H46" i="1"/>
  <c r="H47" i="1"/>
  <c r="H48" i="1"/>
  <c r="H49" i="1"/>
  <c r="H40" i="1"/>
  <c r="F40" i="1"/>
  <c r="G37" i="1"/>
  <c r="G39" i="1"/>
  <c r="F37" i="1"/>
  <c r="B77" i="1"/>
  <c r="D62" i="1"/>
  <c r="D58" i="1"/>
  <c r="F41" i="1"/>
  <c r="F46" i="1"/>
  <c r="F47" i="1"/>
  <c r="G41" i="1"/>
  <c r="G42" i="1"/>
  <c r="F42" i="1" s="1"/>
  <c r="G43" i="1"/>
  <c r="F43" i="1" s="1"/>
  <c r="G44" i="1"/>
  <c r="F44" i="1" s="1"/>
  <c r="G45" i="1"/>
  <c r="F45" i="1" s="1"/>
  <c r="G46" i="1"/>
  <c r="G47" i="1"/>
  <c r="G48" i="1"/>
  <c r="F48" i="1" s="1"/>
  <c r="G49" i="1"/>
  <c r="F49" i="1" s="1"/>
  <c r="G40" i="1"/>
  <c r="H5" i="1"/>
  <c r="F7" i="1"/>
  <c r="H7" i="1" s="1"/>
  <c r="F5" i="1"/>
  <c r="G5" i="1" s="1"/>
  <c r="G9" i="1"/>
  <c r="G7" i="1"/>
  <c r="G8" i="1"/>
  <c r="G10" i="1"/>
  <c r="G11" i="1"/>
  <c r="G12" i="1"/>
  <c r="G13" i="1"/>
  <c r="G14" i="1"/>
  <c r="G6" i="1"/>
  <c r="F6" i="1"/>
  <c r="H6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B117" i="1" l="1"/>
  <c r="A11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<sst xmlns="http://schemas.openxmlformats.org/spreadsheetml/2006/main" count="116" uniqueCount="100">
  <si>
    <t>Term Structure of Interest Rate</t>
    <phoneticPr fontId="1" type="noConversion"/>
  </si>
  <si>
    <t>Maturity</t>
    <phoneticPr fontId="1" type="noConversion"/>
  </si>
  <si>
    <t>Zero Price</t>
    <phoneticPr fontId="1" type="noConversion"/>
  </si>
  <si>
    <t>Continuous Zero Yields</t>
    <phoneticPr fontId="1" type="noConversion"/>
  </si>
  <si>
    <t>(1+S5)^5</t>
    <phoneticPr fontId="1" type="noConversion"/>
  </si>
  <si>
    <t>(1+S2)^2</t>
    <phoneticPr fontId="1" type="noConversion"/>
  </si>
  <si>
    <t>(1+f(2,3))^3</t>
    <phoneticPr fontId="1" type="noConversion"/>
  </si>
  <si>
    <t>=</t>
    <phoneticPr fontId="1" type="noConversion"/>
  </si>
  <si>
    <t>1/(1+S5)^5</t>
    <phoneticPr fontId="1" type="noConversion"/>
  </si>
  <si>
    <t>1/(1+S2)^2</t>
    <phoneticPr fontId="1" type="noConversion"/>
  </si>
  <si>
    <t>1/(1+f(2,3))^3</t>
    <phoneticPr fontId="1" type="noConversion"/>
  </si>
  <si>
    <t>P(5)</t>
    <phoneticPr fontId="1" type="noConversion"/>
  </si>
  <si>
    <t>P(2)</t>
    <phoneticPr fontId="1" type="noConversion"/>
  </si>
  <si>
    <t>F(2,3)</t>
    <phoneticPr fontId="1" type="noConversion"/>
  </si>
  <si>
    <t>Continuous Forward Rate</t>
    <phoneticPr fontId="1" type="noConversion"/>
  </si>
  <si>
    <t>D</t>
    <phoneticPr fontId="1" type="noConversion"/>
  </si>
  <si>
    <t>D+1</t>
    <phoneticPr fontId="1" type="noConversion"/>
  </si>
  <si>
    <t>=EXP(C)</t>
    <phoneticPr fontId="1" type="noConversion"/>
  </si>
  <si>
    <t>=EXP（C）-1</t>
    <phoneticPr fontId="1" type="noConversion"/>
  </si>
  <si>
    <t>Discrete Zero Yields</t>
    <phoneticPr fontId="1" type="noConversion"/>
  </si>
  <si>
    <t>Zero Coupon Bonds</t>
    <phoneticPr fontId="1" type="noConversion"/>
  </si>
  <si>
    <t>With Coupon Bonds</t>
    <phoneticPr fontId="1" type="noConversion"/>
  </si>
  <si>
    <t>year  now</t>
    <phoneticPr fontId="1" type="noConversion"/>
  </si>
  <si>
    <t>term</t>
    <phoneticPr fontId="1" type="noConversion"/>
  </si>
  <si>
    <t>face value of bond</t>
    <phoneticPr fontId="1" type="noConversion"/>
  </si>
  <si>
    <t>coupon</t>
    <phoneticPr fontId="1" type="noConversion"/>
  </si>
  <si>
    <t>PV cash flow</t>
    <phoneticPr fontId="1" type="noConversion"/>
  </si>
  <si>
    <t>* par rate / zero coupond rate</t>
    <phoneticPr fontId="1" type="noConversion"/>
  </si>
  <si>
    <t>1-year par rate 5%</t>
    <phoneticPr fontId="1" type="noConversion"/>
  </si>
  <si>
    <t>100=(100+100*5%)/(1+S1)</t>
    <phoneticPr fontId="1" type="noConversion"/>
  </si>
  <si>
    <t>2-year par rate 5.97%</t>
    <phoneticPr fontId="1" type="noConversion"/>
  </si>
  <si>
    <t>S1</t>
    <phoneticPr fontId="1" type="noConversion"/>
  </si>
  <si>
    <t>S2</t>
    <phoneticPr fontId="1" type="noConversion"/>
  </si>
  <si>
    <t>3-year par rate 6.91%</t>
    <phoneticPr fontId="1" type="noConversion"/>
  </si>
  <si>
    <t>1=(0.0597/1.05) +(1+0.0597)/(1+S2)^2</t>
    <phoneticPr fontId="1" type="noConversion"/>
  </si>
  <si>
    <t>1=(0.0691/1.05) +(0.0691/(1.06)^2+(1+0.0691)/(1+S3)^3</t>
    <phoneticPr fontId="1" type="noConversion"/>
  </si>
  <si>
    <t>S3</t>
    <phoneticPr fontId="1" type="noConversion"/>
  </si>
  <si>
    <t>4-year par rate 7.81%</t>
    <phoneticPr fontId="1" type="noConversion"/>
  </si>
  <si>
    <t>1=(0.0781/1.05) +[ 0.0781/(1.06)^2] + [0.0781/(1.07)^3] +[(1+0.0781)/(1+S4)^4]</t>
    <phoneticPr fontId="1" type="noConversion"/>
  </si>
  <si>
    <t>S4</t>
    <phoneticPr fontId="1" type="noConversion"/>
  </si>
  <si>
    <t>*YTM</t>
    <phoneticPr fontId="1" type="noConversion"/>
  </si>
  <si>
    <t>face value</t>
    <phoneticPr fontId="1" type="noConversion"/>
  </si>
  <si>
    <t>spot rate</t>
    <phoneticPr fontId="1" type="noConversion"/>
  </si>
  <si>
    <t>YTM</t>
    <phoneticPr fontId="1" type="noConversion"/>
  </si>
  <si>
    <t>P</t>
    <phoneticPr fontId="1" type="noConversion"/>
  </si>
  <si>
    <t>=5/(1+YTM)^1+5/(1+YTM)^2 +(100+5)/(1+YTM)^3 = 85.49</t>
    <phoneticPr fontId="1" type="noConversion"/>
  </si>
  <si>
    <t>YTM=10.93%</t>
    <phoneticPr fontId="1" type="noConversion"/>
  </si>
  <si>
    <t>Coupond cash flow</t>
    <phoneticPr fontId="1" type="noConversion"/>
  </si>
  <si>
    <t>Using Zero price Bond Value</t>
    <phoneticPr fontId="1" type="noConversion"/>
  </si>
  <si>
    <t>Using YTM Bond Value</t>
    <phoneticPr fontId="1" type="noConversion"/>
  </si>
  <si>
    <t>check</t>
    <phoneticPr fontId="1" type="noConversion"/>
  </si>
  <si>
    <t>Bionomial Interest rate tree</t>
    <phoneticPr fontId="1" type="noConversion"/>
  </si>
  <si>
    <t>i0</t>
    <phoneticPr fontId="1" type="noConversion"/>
  </si>
  <si>
    <t>i1h</t>
    <phoneticPr fontId="1" type="noConversion"/>
  </si>
  <si>
    <t>i1l</t>
    <phoneticPr fontId="1" type="noConversion"/>
  </si>
  <si>
    <t>i2hh</t>
    <phoneticPr fontId="1" type="noConversion"/>
  </si>
  <si>
    <t>i2hl</t>
    <phoneticPr fontId="1" type="noConversion"/>
  </si>
  <si>
    <t>i2ll</t>
    <phoneticPr fontId="1" type="noConversion"/>
  </si>
  <si>
    <t>i3hhh</t>
    <phoneticPr fontId="1" type="noConversion"/>
  </si>
  <si>
    <t>i3hhl</t>
    <phoneticPr fontId="1" type="noConversion"/>
  </si>
  <si>
    <t>i3hll</t>
    <phoneticPr fontId="1" type="noConversion"/>
  </si>
  <si>
    <t>i3lll</t>
    <phoneticPr fontId="1" type="noConversion"/>
  </si>
  <si>
    <t>stock</t>
    <phoneticPr fontId="1" type="noConversion"/>
  </si>
  <si>
    <t>u=exp^(sigma*sqrt(delta*t))</t>
    <phoneticPr fontId="1" type="noConversion"/>
  </si>
  <si>
    <t>d=exp^(-sigma*sqrt(delta*t))</t>
    <phoneticPr fontId="1" type="noConversion"/>
  </si>
  <si>
    <t>p=(exp^(r*delta*t）-d)/(u-d)</t>
    <phoneticPr fontId="1" type="noConversion"/>
  </si>
  <si>
    <t>1-p</t>
    <phoneticPr fontId="1" type="noConversion"/>
  </si>
  <si>
    <t>p=50%</t>
    <phoneticPr fontId="1" type="noConversion"/>
  </si>
  <si>
    <t>t=1</t>
    <phoneticPr fontId="1" type="noConversion"/>
  </si>
  <si>
    <t>par rate</t>
    <phoneticPr fontId="1" type="noConversion"/>
  </si>
  <si>
    <t>sigma</t>
    <phoneticPr fontId="1" type="noConversion"/>
  </si>
  <si>
    <t>F1,1</t>
    <phoneticPr fontId="1" type="noConversion"/>
  </si>
  <si>
    <t>F2,1</t>
    <phoneticPr fontId="1" type="noConversion"/>
  </si>
  <si>
    <t>1-P</t>
    <phoneticPr fontId="1" type="noConversion"/>
  </si>
  <si>
    <t>Calculate Duration of Coupon Bond</t>
    <phoneticPr fontId="1" type="noConversion"/>
  </si>
  <si>
    <t xml:space="preserve">Input </t>
    <phoneticPr fontId="1" type="noConversion"/>
  </si>
  <si>
    <t>Output</t>
    <phoneticPr fontId="1" type="noConversion"/>
  </si>
  <si>
    <t>Bond Face Value</t>
    <phoneticPr fontId="1" type="noConversion"/>
  </si>
  <si>
    <t>Annual Coupon</t>
    <phoneticPr fontId="1" type="noConversion"/>
  </si>
  <si>
    <t>Now</t>
    <phoneticPr fontId="1" type="noConversion"/>
  </si>
  <si>
    <t>Term</t>
    <phoneticPr fontId="1" type="noConversion"/>
  </si>
  <si>
    <t>per year</t>
    <phoneticPr fontId="1" type="noConversion"/>
  </si>
  <si>
    <t>Bond YTM</t>
    <phoneticPr fontId="1" type="noConversion"/>
  </si>
  <si>
    <t>Year</t>
    <phoneticPr fontId="1" type="noConversion"/>
  </si>
  <si>
    <t>CFs</t>
    <phoneticPr fontId="1" type="noConversion"/>
  </si>
  <si>
    <t>PV factor</t>
    <phoneticPr fontId="1" type="noConversion"/>
  </si>
  <si>
    <t>PV of CFs</t>
    <phoneticPr fontId="1" type="noConversion"/>
  </si>
  <si>
    <t>Bond Value</t>
    <phoneticPr fontId="1" type="noConversion"/>
  </si>
  <si>
    <t>Macaulay Duration</t>
    <phoneticPr fontId="1" type="noConversion"/>
  </si>
  <si>
    <t>sum</t>
    <phoneticPr fontId="1" type="noConversion"/>
  </si>
  <si>
    <t>year * PV of CFs</t>
    <phoneticPr fontId="1" type="noConversion"/>
  </si>
  <si>
    <t>Convexity</t>
    <phoneticPr fontId="1" type="noConversion"/>
  </si>
  <si>
    <t>Modified duration</t>
    <phoneticPr fontId="1" type="noConversion"/>
  </si>
  <si>
    <t>calculation by your self</t>
    <phoneticPr fontId="1" type="noConversion"/>
  </si>
  <si>
    <t>via vba function</t>
    <phoneticPr fontId="1" type="noConversion"/>
  </si>
  <si>
    <t>change in yield</t>
    <phoneticPr fontId="1" type="noConversion"/>
  </si>
  <si>
    <t>new YTM</t>
    <phoneticPr fontId="1" type="noConversion"/>
  </si>
  <si>
    <t>Bond price change</t>
    <phoneticPr fontId="1" type="noConversion"/>
  </si>
  <si>
    <t>New bond price</t>
    <phoneticPr fontId="1" type="noConversion"/>
  </si>
  <si>
    <t>new bond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</si>
</sst>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0_);[Red]\(0.0000\)"/>
    <numFmt numFmtId="178" formatCode="0.00000_);[Red]\(0.00000\)"/>
    <numFmt numFmtId="179" formatCode="0_ "/>
    <numFmt numFmtId="180" formatCode="0.00000%"/>
    <numFmt numFmtId="181" formatCode="0.00_);[Red]\(0.00\)"/>
    <numFmt numFmtId="182" formatCode="0.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0" xfId="0" quotePrefix="1" applyAlignment="1">
      <alignment wrapText="1"/>
    </xf>
    <xf numFmtId="178" fontId="0" fillId="2" borderId="0" xfId="0" applyNumberFormat="1" applyFill="1" applyAlignment="1">
      <alignment wrapText="1"/>
    </xf>
    <xf numFmtId="178" fontId="0" fillId="0" borderId="0" xfId="0" applyNumberFormat="1" applyAlignment="1">
      <alignment wrapText="1"/>
    </xf>
    <xf numFmtId="176" fontId="0" fillId="0" borderId="0" xfId="0" applyNumberFormat="1" applyAlignment="1">
      <alignment wrapText="1"/>
    </xf>
    <xf numFmtId="177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0" fontId="0" fillId="3" borderId="0" xfId="0" applyNumberFormat="1" applyFill="1" applyAlignment="1">
      <alignment wrapText="1"/>
    </xf>
    <xf numFmtId="179" fontId="0" fillId="0" borderId="0" xfId="0" applyNumberFormat="1" applyAlignment="1">
      <alignment wrapText="1"/>
    </xf>
    <xf numFmtId="180" fontId="0" fillId="3" borderId="0" xfId="0" applyNumberFormat="1" applyFill="1" applyAlignment="1">
      <alignment wrapText="1"/>
    </xf>
    <xf numFmtId="181" fontId="0" fillId="0" borderId="0" xfId="0" applyNumberFormat="1" applyAlignment="1">
      <alignment wrapText="1"/>
    </xf>
    <xf numFmtId="182" fontId="0" fillId="0" borderId="0" xfId="0" applyNumberFormat="1" applyAlignment="1">
      <alignment wrapText="1"/>
    </xf>
    <xf numFmtId="10" fontId="2" fillId="0" borderId="0" xfId="0" applyNumberFormat="1" applyFont="1" applyAlignment="1">
      <alignment wrapText="1"/>
    </xf>
    <xf numFmtId="182" fontId="0" fillId="2" borderId="0" xfId="0" applyNumberFormat="1" applyFill="1" applyAlignment="1">
      <alignment wrapText="1"/>
    </xf>
    <xf numFmtId="10" fontId="0" fillId="4" borderId="0" xfId="0" applyNumberFormat="1" applyFill="1" applyAlignment="1">
      <alignment wrapText="1"/>
    </xf>
    <xf numFmtId="176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Continuous Zero Yields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Sheet1!$F$5:$F$14</c:f>
              <c:numCache>
                <c:formatCode>0.00%</c:formatCode>
                <c:ptCount val="10"/>
                <c:pt idx="0">
                  <c:v>4.7091607533850569E-2</c:v>
                </c:pt>
                <c:pt idx="1">
                  <c:v>5.7144573201063829E-2</c:v>
                </c:pt>
                <c:pt idx="2">
                  <c:v>6.4933026101689093E-2</c:v>
                </c:pt>
                <c:pt idx="3">
                  <c:v>6.959800638617207E-2</c:v>
                </c:pt>
                <c:pt idx="4">
                  <c:v>7.248112372954349E-2</c:v>
                </c:pt>
                <c:pt idx="5">
                  <c:v>7.438118377140325E-2</c:v>
                </c:pt>
                <c:pt idx="6">
                  <c:v>7.6347927057874937E-2</c:v>
                </c:pt>
                <c:pt idx="7">
                  <c:v>7.7023267427977118E-2</c:v>
                </c:pt>
                <c:pt idx="8">
                  <c:v>7.7016353395549478E-2</c:v>
                </c:pt>
                <c:pt idx="9">
                  <c:v>7.3396917508020049E-2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0-4075-ADC6-E3A63855439B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Continuous Forward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Sheet1!$G$5:$G$14</c:f>
              <c:numCache>
                <c:formatCode>0.00%</c:formatCode>
                <c:ptCount val="10"/>
                <c:pt idx="0">
                  <c:v>4.7091607533850569E-2</c:v>
                </c:pt>
                <c:pt idx="1">
                  <c:v>6.7197538868277049E-2</c:v>
                </c:pt>
                <c:pt idx="2">
                  <c:v>8.0509931902939633E-2</c:v>
                </c:pt>
                <c:pt idx="3">
                  <c:v>8.3592947239620977E-2</c:v>
                </c:pt>
                <c:pt idx="4">
                  <c:v>8.401359310302918E-2</c:v>
                </c:pt>
                <c:pt idx="5">
                  <c:v>8.3881483980701999E-2</c:v>
                </c:pt>
                <c:pt idx="6">
                  <c:v>8.8148386776705029E-2</c:v>
                </c:pt>
                <c:pt idx="7">
                  <c:v>8.1750650018692375E-2</c:v>
                </c:pt>
                <c:pt idx="8">
                  <c:v>7.6961041136128436E-2</c:v>
                </c:pt>
                <c:pt idx="9">
                  <c:v>4.0821994520255166E-2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0-4075-ADC6-E3A63855439B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Discrete Zero Yields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Sheet1!$H$5:$H$14</c:f>
              <c:numCache>
                <c:formatCode>0.00%</c:formatCode>
                <c:ptCount val="10"/>
                <c:pt idx="0">
                  <c:v>4.8218029350104885E-2</c:v>
                </c:pt>
                <c:pt idx="1">
                  <c:v>5.8808874719066706E-2</c:v>
                </c:pt>
                <c:pt idx="2">
                  <c:v>6.7087554977531161E-2</c:v>
                </c:pt>
                <c:pt idx="3">
                  <c:v>7.207712646101605E-2</c:v>
                </c:pt>
                <c:pt idx="4">
                  <c:v>7.5172510651505986E-2</c:v>
                </c:pt>
                <c:pt idx="5">
                  <c:v>7.7217345015941907E-2</c:v>
                </c:pt>
                <c:pt idx="6">
                  <c:v>7.9338039744798694E-2</c:v>
                </c:pt>
                <c:pt idx="7">
                  <c:v>8.0067206486180265E-2</c:v>
                </c:pt>
                <c:pt idx="8">
                  <c:v>8.0059738892306109E-2</c:v>
                </c:pt>
                <c:pt idx="9">
                  <c:v>7.61575979471103E-2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0-4075-ADC6-E3A63855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989615"/>
        <c:axId val="1616989199"/>
      </c:lineChart>
      <c:catAx>
        <c:axId val="161698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989199"/>
        <c:crosses val="autoZero"/>
        <c:auto val="1"/>
        <c:lblAlgn val="ctr"/>
        <c:lblOffset val="100"/>
        <c:noMultiLvlLbl val="0"/>
      </c:catAx>
      <c:valAx>
        <c:axId val="16169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9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21648</xdr:colOff>
      <xdr:row>14</xdr:row>
      <xdr:rowOff>67974</xdr:rowOff>
    </xdr:from>
    <xdr:to>
      <xdr:col>7</xdr:col>
      <xdr:colOff>823155</xdr:colOff>
      <xdr:row>29</xdr:row>
      <xdr:rowOff>83560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88B67-25E2-4892-B51D-C9CD69AF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157"/>
  <sheetViews>
    <sheetView tabSelected="1" zoomScale="160" zoomScaleNormal="160" workbookViewId="0">
      <selection activeCell="D11" sqref="D11"/>
    </sheetView>
  </sheetViews>
  <sheetFormatPr defaultRowHeight="14.25" x14ac:dyDescent="0.2"/>
  <cols>
    <col min="1" max="1" width="27.25" style="1" customWidth="1"/>
    <col min="2" max="2" width="13.125" style="1" customWidth="1"/>
    <col min="3" max="4" width="12.5" style="1" customWidth="1"/>
    <col min="5" max="5" width="14" style="1" customWidth="1"/>
    <col min="6" max="6" width="21.5" style="2" customWidth="1"/>
    <col min="7" max="7" width="21.25" style="2" customWidth="1"/>
    <col min="8" max="8" width="16.375" style="2" customWidth="1"/>
    <col min="9" max="9" width="12.125" style="1" bestFit="1" customWidth="1"/>
    <col min="10" max="16384" width="9" style="1"/>
  </cols>
  <sheetData>
    <row r="2" spans="1:8" x14ac:dyDescent="0.2">
      <c r="E2" s="1">
        <v>1</v>
      </c>
    </row>
    <row r="3" spans="1:8" ht="28.5" x14ac:dyDescent="0.2">
      <c r="A3" s="3" t="s">
        <v>0</v>
      </c>
      <c r="B3" s="3" t="s">
        <v>20</v>
      </c>
      <c r="C3" s="3"/>
    </row>
    <row r="4" spans="1:8" ht="28.5" x14ac:dyDescent="0.2">
      <c r="D4" s="1" t="s">
        <v>1</v>
      </c>
      <c r="E4" s="1" t="s">
        <v>2</v>
      </c>
      <c r="F4" s="2" t="s">
        <v>3</v>
      </c>
      <c r="G4" s="2" t="s">
        <v>14</v>
      </c>
      <c r="H4" s="2" t="s">
        <v>19</v>
      </c>
    </row>
    <row r="5" spans="1:8" x14ac:dyDescent="0.2">
      <c r="D5" s="1">
        <v>1</v>
      </c>
      <c r="E5" s="1">
        <v>0.95399999999999996</v>
      </c>
      <c r="F5" s="2">
        <f>-LN(E5)/D5</f>
        <v>4.7091607533850569E-2</v>
      </c>
      <c r="G5" s="2">
        <f>F5</f>
        <v>4.7091607533850569E-2</v>
      </c>
      <c r="H5" s="2">
        <f>EXP(F5)-1</f>
        <v>4.8218029350104885E-2</v>
      </c>
    </row>
    <row r="6" spans="1:8" x14ac:dyDescent="0.2">
      <c r="D6" s="1">
        <v>2</v>
      </c>
      <c r="E6" s="1">
        <v>0.89200000000000002</v>
      </c>
      <c r="F6" s="2">
        <f t="shared" ref="F6:F14" si="0">-LN(E6)/D6</f>
        <v>5.7144573201063829E-2</v>
      </c>
      <c r="G6" s="2">
        <f>-LN(E6/E5)</f>
        <v>6.7197538868277049E-2</v>
      </c>
      <c r="H6" s="2">
        <f t="shared" ref="H6:H14" si="1">EXP(F6)-1</f>
        <v>5.8808874719066706E-2</v>
      </c>
    </row>
    <row r="7" spans="1:8" x14ac:dyDescent="0.2">
      <c r="D7" s="1">
        <v>3</v>
      </c>
      <c r="E7" s="1">
        <v>0.82299999999999995</v>
      </c>
      <c r="F7" s="2">
        <f>-LN(E7)/D7</f>
        <v>6.4933026101689093E-2</v>
      </c>
      <c r="G7" s="2">
        <f t="shared" ref="G7:G14" si="2">-LN(E7/E6)</f>
        <v>8.0509931902939633E-2</v>
      </c>
      <c r="H7" s="2">
        <f t="shared" si="1"/>
        <v>6.7087554977531161E-2</v>
      </c>
    </row>
    <row r="8" spans="1:8" x14ac:dyDescent="0.2">
      <c r="D8" s="1">
        <v>4</v>
      </c>
      <c r="E8" s="1">
        <v>0.75700000000000001</v>
      </c>
      <c r="F8" s="2">
        <f t="shared" si="0"/>
        <v>6.959800638617207E-2</v>
      </c>
      <c r="G8" s="2">
        <f t="shared" si="2"/>
        <v>8.3592947239620977E-2</v>
      </c>
      <c r="H8" s="2">
        <f t="shared" si="1"/>
        <v>7.207712646101605E-2</v>
      </c>
    </row>
    <row r="9" spans="1:8" x14ac:dyDescent="0.2">
      <c r="D9" s="1">
        <v>5</v>
      </c>
      <c r="E9" s="1">
        <v>0.69599999999999995</v>
      </c>
      <c r="F9" s="2">
        <f t="shared" si="0"/>
        <v>7.248112372954349E-2</v>
      </c>
      <c r="G9" s="2">
        <f>-LN(E9/E8)</f>
        <v>8.401359310302918E-2</v>
      </c>
      <c r="H9" s="2">
        <f t="shared" si="1"/>
        <v>7.5172510651505986E-2</v>
      </c>
    </row>
    <row r="10" spans="1:8" x14ac:dyDescent="0.2">
      <c r="D10" s="1">
        <v>6</v>
      </c>
      <c r="E10" s="1">
        <v>0.64</v>
      </c>
      <c r="F10" s="2">
        <f t="shared" si="0"/>
        <v>7.438118377140325E-2</v>
      </c>
      <c r="G10" s="2">
        <f t="shared" si="2"/>
        <v>8.3881483980701999E-2</v>
      </c>
      <c r="H10" s="2">
        <f t="shared" si="1"/>
        <v>7.7217345015941907E-2</v>
      </c>
    </row>
    <row r="11" spans="1:8" x14ac:dyDescent="0.2">
      <c r="D11" s="1">
        <v>7</v>
      </c>
      <c r="E11" s="1">
        <v>0.58599999999999997</v>
      </c>
      <c r="F11" s="2">
        <f t="shared" si="0"/>
        <v>7.6347927057874937E-2</v>
      </c>
      <c r="G11" s="2">
        <f t="shared" si="2"/>
        <v>8.8148386776705029E-2</v>
      </c>
      <c r="H11" s="2">
        <f t="shared" si="1"/>
        <v>7.9338039744798694E-2</v>
      </c>
    </row>
    <row r="12" spans="1:8" x14ac:dyDescent="0.2">
      <c r="D12" s="1">
        <v>8</v>
      </c>
      <c r="E12" s="1">
        <v>0.54</v>
      </c>
      <c r="F12" s="2">
        <f t="shared" si="0"/>
        <v>7.7023267427977118E-2</v>
      </c>
      <c r="G12" s="2">
        <f t="shared" si="2"/>
        <v>8.1750650018692375E-2</v>
      </c>
      <c r="H12" s="2">
        <f t="shared" si="1"/>
        <v>8.0067206486180265E-2</v>
      </c>
    </row>
    <row r="13" spans="1:8" x14ac:dyDescent="0.2">
      <c r="D13" s="1">
        <v>9</v>
      </c>
      <c r="E13" s="1">
        <v>0.5</v>
      </c>
      <c r="F13" s="2">
        <f t="shared" si="0"/>
        <v>7.7016353395549478E-2</v>
      </c>
      <c r="G13" s="2">
        <f t="shared" si="2"/>
        <v>7.6961041136128436E-2</v>
      </c>
      <c r="H13" s="2">
        <f t="shared" si="1"/>
        <v>8.0059738892306109E-2</v>
      </c>
    </row>
    <row r="14" spans="1:8" x14ac:dyDescent="0.2">
      <c r="D14" s="1">
        <v>10</v>
      </c>
      <c r="E14" s="1">
        <v>0.48</v>
      </c>
      <c r="F14" s="2">
        <f t="shared" si="0"/>
        <v>7.3396917508020049E-2</v>
      </c>
      <c r="G14" s="2">
        <f t="shared" si="2"/>
        <v>4.0821994520255166E-2</v>
      </c>
      <c r="H14" s="2">
        <f t="shared" si="1"/>
        <v>7.61575979471103E-2</v>
      </c>
    </row>
    <row r="19" spans="1:5" x14ac:dyDescent="0.2">
      <c r="A19" s="1" t="s">
        <v>4</v>
      </c>
      <c r="B19" s="4" t="s">
        <v>7</v>
      </c>
      <c r="C19" s="4"/>
      <c r="D19" s="1" t="s">
        <v>5</v>
      </c>
      <c r="E19" s="1" t="s">
        <v>6</v>
      </c>
    </row>
    <row r="20" spans="1:5" x14ac:dyDescent="0.2">
      <c r="A20" s="1" t="s">
        <v>8</v>
      </c>
      <c r="B20" s="4" t="s">
        <v>7</v>
      </c>
      <c r="C20" s="4"/>
      <c r="D20" s="1" t="s">
        <v>9</v>
      </c>
      <c r="E20" s="1" t="s">
        <v>10</v>
      </c>
    </row>
    <row r="21" spans="1:5" x14ac:dyDescent="0.2">
      <c r="A21" s="1" t="s">
        <v>11</v>
      </c>
      <c r="B21" s="4" t="s">
        <v>7</v>
      </c>
      <c r="C21" s="4"/>
      <c r="D21" s="1" t="s">
        <v>12</v>
      </c>
      <c r="E21" s="1" t="s">
        <v>13</v>
      </c>
    </row>
    <row r="25" spans="1:5" x14ac:dyDescent="0.2">
      <c r="A25" s="1" t="s">
        <v>16</v>
      </c>
      <c r="B25" s="4" t="s">
        <v>17</v>
      </c>
      <c r="C25" s="4"/>
    </row>
    <row r="26" spans="1:5" x14ac:dyDescent="0.2">
      <c r="A26" s="1" t="s">
        <v>15</v>
      </c>
      <c r="B26" s="4" t="s">
        <v>18</v>
      </c>
      <c r="C26" s="4"/>
    </row>
    <row r="32" spans="1:5" ht="28.5" x14ac:dyDescent="0.2">
      <c r="B32" s="3" t="s">
        <v>21</v>
      </c>
      <c r="C32" s="3"/>
    </row>
    <row r="33" spans="2:9" x14ac:dyDescent="0.2">
      <c r="B33" s="1" t="s">
        <v>22</v>
      </c>
      <c r="D33" s="1">
        <v>0</v>
      </c>
    </row>
    <row r="34" spans="2:9" x14ac:dyDescent="0.2">
      <c r="B34" s="1" t="s">
        <v>23</v>
      </c>
      <c r="D34" s="1">
        <v>10</v>
      </c>
    </row>
    <row r="35" spans="2:9" ht="28.5" x14ac:dyDescent="0.2">
      <c r="B35" s="1" t="s">
        <v>24</v>
      </c>
      <c r="D35" s="1">
        <v>1</v>
      </c>
    </row>
    <row r="36" spans="2:9" ht="28.5" x14ac:dyDescent="0.2">
      <c r="B36" s="1" t="s">
        <v>25</v>
      </c>
      <c r="D36" s="1">
        <v>0.05</v>
      </c>
      <c r="F36" s="2" t="s">
        <v>48</v>
      </c>
      <c r="G36" s="2" t="s">
        <v>43</v>
      </c>
      <c r="H36" s="2" t="s">
        <v>49</v>
      </c>
      <c r="I36" s="2" t="s">
        <v>50</v>
      </c>
    </row>
    <row r="37" spans="2:9" x14ac:dyDescent="0.2">
      <c r="F37" s="5">
        <f>SUM(F40:F49)</f>
        <v>0.82340000000000002</v>
      </c>
      <c r="G37" s="2">
        <f>LN(1+IRR(G39:G49))</f>
        <v>7.3087954091735297E-2</v>
      </c>
      <c r="H37" s="5">
        <f>SUM(H40:H49)</f>
        <v>0.82339999999991886</v>
      </c>
      <c r="I37" s="6">
        <f>H37-F37</f>
        <v>-8.1157303100098943E-14</v>
      </c>
    </row>
    <row r="38" spans="2:9" x14ac:dyDescent="0.2">
      <c r="D38" s="1" t="s">
        <v>1</v>
      </c>
      <c r="E38" s="1" t="s">
        <v>2</v>
      </c>
      <c r="F38" s="6" t="s">
        <v>26</v>
      </c>
      <c r="G38" s="7" t="s">
        <v>47</v>
      </c>
      <c r="H38" s="6"/>
    </row>
    <row r="39" spans="2:9" x14ac:dyDescent="0.2">
      <c r="D39" s="1">
        <v>0</v>
      </c>
      <c r="F39" s="6"/>
      <c r="G39" s="7">
        <f>-F37</f>
        <v>-0.82340000000000002</v>
      </c>
      <c r="H39" s="6"/>
    </row>
    <row r="40" spans="2:9" x14ac:dyDescent="0.2">
      <c r="D40" s="1">
        <v>1</v>
      </c>
      <c r="E40" s="1">
        <v>0.95399999999999996</v>
      </c>
      <c r="F40" s="6">
        <f>G40*E40</f>
        <v>4.7699999999999999E-2</v>
      </c>
      <c r="G40" s="7">
        <f>IF(D40&lt;$D$34,$D$36,$D$36+$D$35)</f>
        <v>0.05</v>
      </c>
      <c r="H40" s="6">
        <f>G40*EXP(-$G$37*D40)</f>
        <v>4.6475953571233297E-2</v>
      </c>
    </row>
    <row r="41" spans="2:9" x14ac:dyDescent="0.2">
      <c r="D41" s="1">
        <v>2</v>
      </c>
      <c r="E41" s="1">
        <v>0.89200000000000002</v>
      </c>
      <c r="F41" s="6">
        <f t="shared" ref="F41:F49" si="3">G41*E41</f>
        <v>4.4600000000000001E-2</v>
      </c>
      <c r="G41" s="7">
        <f t="shared" ref="G41:G49" si="4">IF(D41&lt;$D$34,$D$36,$D$36+$D$35)</f>
        <v>0.05</v>
      </c>
      <c r="H41" s="6">
        <f t="shared" ref="H41:H49" si="5">G41*EXP(-$G$37*D41)</f>
        <v>4.3200285207108662E-2</v>
      </c>
    </row>
    <row r="42" spans="2:9" x14ac:dyDescent="0.2">
      <c r="D42" s="1">
        <v>3</v>
      </c>
      <c r="E42" s="1">
        <v>0.82299999999999995</v>
      </c>
      <c r="F42" s="6">
        <f t="shared" si="3"/>
        <v>4.1149999999999999E-2</v>
      </c>
      <c r="G42" s="7">
        <f t="shared" si="4"/>
        <v>0.05</v>
      </c>
      <c r="H42" s="6">
        <f t="shared" si="5"/>
        <v>4.0155488990992368E-2</v>
      </c>
    </row>
    <row r="43" spans="2:9" x14ac:dyDescent="0.2">
      <c r="D43" s="1">
        <v>4</v>
      </c>
      <c r="E43" s="1">
        <v>0.75700000000000001</v>
      </c>
      <c r="F43" s="6">
        <f t="shared" si="3"/>
        <v>3.7850000000000002E-2</v>
      </c>
      <c r="G43" s="7">
        <f t="shared" si="4"/>
        <v>0.05</v>
      </c>
      <c r="H43" s="6">
        <f t="shared" si="5"/>
        <v>3.7325292839510617E-2</v>
      </c>
    </row>
    <row r="44" spans="2:9" x14ac:dyDescent="0.2">
      <c r="D44" s="1">
        <v>5</v>
      </c>
      <c r="E44" s="1">
        <v>0.69599999999999995</v>
      </c>
      <c r="F44" s="6">
        <f t="shared" si="3"/>
        <v>3.4799999999999998E-2</v>
      </c>
      <c r="G44" s="7">
        <f t="shared" si="4"/>
        <v>0.05</v>
      </c>
      <c r="H44" s="6">
        <f t="shared" si="5"/>
        <v>3.4694571540835641E-2</v>
      </c>
    </row>
    <row r="45" spans="2:9" x14ac:dyDescent="0.2">
      <c r="D45" s="1">
        <v>6</v>
      </c>
      <c r="E45" s="1">
        <v>0.64</v>
      </c>
      <c r="F45" s="6">
        <f t="shared" si="3"/>
        <v>3.2000000000000001E-2</v>
      </c>
      <c r="G45" s="7">
        <f t="shared" si="4"/>
        <v>0.05</v>
      </c>
      <c r="H45" s="6">
        <f t="shared" si="5"/>
        <v>3.2249265922114183E-2</v>
      </c>
    </row>
    <row r="46" spans="2:9" x14ac:dyDescent="0.2">
      <c r="D46" s="1">
        <v>7</v>
      </c>
      <c r="E46" s="1">
        <v>0.58599999999999997</v>
      </c>
      <c r="F46" s="6">
        <f t="shared" si="3"/>
        <v>2.93E-2</v>
      </c>
      <c r="G46" s="7">
        <f t="shared" si="4"/>
        <v>0.05</v>
      </c>
      <c r="H46" s="6">
        <f t="shared" si="5"/>
        <v>2.9976307714050701E-2</v>
      </c>
    </row>
    <row r="47" spans="2:9" x14ac:dyDescent="0.2">
      <c r="D47" s="1">
        <v>8</v>
      </c>
      <c r="E47" s="1">
        <v>0.54</v>
      </c>
      <c r="F47" s="6">
        <f t="shared" si="3"/>
        <v>2.7000000000000003E-2</v>
      </c>
      <c r="G47" s="7">
        <f t="shared" si="4"/>
        <v>0.05</v>
      </c>
      <c r="H47" s="6">
        <f t="shared" si="5"/>
        <v>2.7863549711104454E-2</v>
      </c>
    </row>
    <row r="48" spans="2:9" x14ac:dyDescent="0.2">
      <c r="D48" s="1">
        <v>9</v>
      </c>
      <c r="E48" s="1">
        <v>0.5</v>
      </c>
      <c r="F48" s="6">
        <f t="shared" si="3"/>
        <v>2.5000000000000001E-2</v>
      </c>
      <c r="G48" s="7">
        <f t="shared" si="4"/>
        <v>0.05</v>
      </c>
      <c r="H48" s="6">
        <f t="shared" si="5"/>
        <v>2.5899700854060827E-2</v>
      </c>
    </row>
    <row r="49" spans="2:8" x14ac:dyDescent="0.2">
      <c r="D49" s="1">
        <v>10</v>
      </c>
      <c r="E49" s="1">
        <v>0.48</v>
      </c>
      <c r="F49" s="6">
        <f t="shared" si="3"/>
        <v>0.504</v>
      </c>
      <c r="G49" s="7">
        <f t="shared" si="4"/>
        <v>1.05</v>
      </c>
      <c r="H49" s="6">
        <f t="shared" si="5"/>
        <v>0.50555958364890818</v>
      </c>
    </row>
    <row r="50" spans="2:8" x14ac:dyDescent="0.2">
      <c r="F50" s="6"/>
      <c r="H50" s="6"/>
    </row>
    <row r="51" spans="2:8" x14ac:dyDescent="0.2">
      <c r="H51" s="8"/>
    </row>
    <row r="52" spans="2:8" x14ac:dyDescent="0.2">
      <c r="H52" s="8"/>
    </row>
    <row r="53" spans="2:8" ht="42.75" x14ac:dyDescent="0.2">
      <c r="B53" s="3" t="s">
        <v>27</v>
      </c>
    </row>
    <row r="57" spans="2:8" ht="28.5" x14ac:dyDescent="0.2">
      <c r="B57" s="1" t="s">
        <v>28</v>
      </c>
    </row>
    <row r="58" spans="2:8" ht="28.5" x14ac:dyDescent="0.2">
      <c r="B58" s="1" t="s">
        <v>29</v>
      </c>
      <c r="C58" s="1" t="s">
        <v>31</v>
      </c>
      <c r="D58" s="1">
        <f>5%</f>
        <v>0.05</v>
      </c>
    </row>
    <row r="59" spans="2:8" ht="28.5" x14ac:dyDescent="0.2">
      <c r="B59" s="1" t="s">
        <v>30</v>
      </c>
    </row>
    <row r="60" spans="2:8" ht="57" x14ac:dyDescent="0.2">
      <c r="B60" s="1" t="s">
        <v>34</v>
      </c>
      <c r="C60" s="1" t="s">
        <v>32</v>
      </c>
      <c r="D60" s="1">
        <v>0.06</v>
      </c>
    </row>
    <row r="61" spans="2:8" ht="28.5" x14ac:dyDescent="0.2">
      <c r="B61" s="1" t="s">
        <v>33</v>
      </c>
    </row>
    <row r="62" spans="2:8" ht="71.25" x14ac:dyDescent="0.2">
      <c r="B62" s="1" t="s">
        <v>35</v>
      </c>
      <c r="C62" s="1" t="s">
        <v>36</v>
      </c>
      <c r="D62" s="1">
        <f>7%</f>
        <v>7.0000000000000007E-2</v>
      </c>
    </row>
    <row r="63" spans="2:8" ht="28.5" x14ac:dyDescent="0.2">
      <c r="B63" s="1" t="s">
        <v>37</v>
      </c>
    </row>
    <row r="64" spans="2:8" ht="114" x14ac:dyDescent="0.2">
      <c r="B64" s="1" t="s">
        <v>38</v>
      </c>
      <c r="C64" s="1" t="s">
        <v>39</v>
      </c>
      <c r="D64" s="1">
        <v>0.08</v>
      </c>
    </row>
    <row r="68" spans="1:3" x14ac:dyDescent="0.2">
      <c r="B68" s="3" t="s">
        <v>40</v>
      </c>
    </row>
    <row r="70" spans="1:3" x14ac:dyDescent="0.2">
      <c r="A70" s="1" t="s">
        <v>41</v>
      </c>
      <c r="B70" s="1">
        <v>100</v>
      </c>
    </row>
    <row r="71" spans="1:3" x14ac:dyDescent="0.2">
      <c r="A71" s="1" t="s">
        <v>25</v>
      </c>
      <c r="B71" s="9">
        <v>0.05</v>
      </c>
    </row>
    <row r="72" spans="1:3" x14ac:dyDescent="0.2">
      <c r="A72" s="1" t="s">
        <v>42</v>
      </c>
      <c r="B72" s="9">
        <v>0.09</v>
      </c>
    </row>
    <row r="73" spans="1:3" x14ac:dyDescent="0.2">
      <c r="B73" s="9">
        <v>0.1</v>
      </c>
    </row>
    <row r="74" spans="1:3" x14ac:dyDescent="0.2">
      <c r="B74" s="9">
        <v>0.11</v>
      </c>
    </row>
    <row r="75" spans="1:3" x14ac:dyDescent="0.2">
      <c r="A75" s="1" t="s">
        <v>43</v>
      </c>
    </row>
    <row r="77" spans="1:3" x14ac:dyDescent="0.2">
      <c r="A77" s="10" t="s">
        <v>44</v>
      </c>
      <c r="B77" s="10">
        <f>5/(1+9%)^1+5/(1+10%)^2 +(100+5)/(1+11%)^3</f>
        <v>85.494482404861202</v>
      </c>
    </row>
    <row r="78" spans="1:3" ht="57" x14ac:dyDescent="0.2">
      <c r="A78" s="1" t="s">
        <v>43</v>
      </c>
      <c r="B78" s="4" t="s">
        <v>45</v>
      </c>
      <c r="C78" s="1" t="s">
        <v>46</v>
      </c>
    </row>
    <row r="87" spans="1:7" x14ac:dyDescent="0.2">
      <c r="A87" s="3" t="s">
        <v>51</v>
      </c>
    </row>
    <row r="89" spans="1:7" x14ac:dyDescent="0.2">
      <c r="A89" s="1">
        <v>0</v>
      </c>
      <c r="B89" s="1">
        <v>1</v>
      </c>
      <c r="C89" s="1">
        <v>2</v>
      </c>
      <c r="D89" s="1">
        <v>3</v>
      </c>
      <c r="G89" s="2" t="s">
        <v>62</v>
      </c>
    </row>
    <row r="90" spans="1:7" x14ac:dyDescent="0.2">
      <c r="A90" s="1" t="s">
        <v>52</v>
      </c>
      <c r="B90" s="1" t="s">
        <v>53</v>
      </c>
      <c r="C90" s="1" t="s">
        <v>55</v>
      </c>
      <c r="D90" s="1" t="s">
        <v>58</v>
      </c>
    </row>
    <row r="91" spans="1:7" ht="28.5" x14ac:dyDescent="0.2">
      <c r="B91" s="1" t="s">
        <v>54</v>
      </c>
      <c r="C91" s="1" t="s">
        <v>56</v>
      </c>
      <c r="D91" s="1" t="s">
        <v>59</v>
      </c>
      <c r="G91" s="2" t="s">
        <v>63</v>
      </c>
    </row>
    <row r="92" spans="1:7" ht="28.5" x14ac:dyDescent="0.2">
      <c r="C92" s="1" t="s">
        <v>57</v>
      </c>
      <c r="D92" s="1" t="s">
        <v>60</v>
      </c>
      <c r="F92" s="11" t="s">
        <v>68</v>
      </c>
      <c r="G92" s="2" t="s">
        <v>64</v>
      </c>
    </row>
    <row r="93" spans="1:7" ht="28.5" x14ac:dyDescent="0.2">
      <c r="D93" s="1" t="s">
        <v>61</v>
      </c>
      <c r="F93" s="11" t="s">
        <v>67</v>
      </c>
      <c r="G93" s="2" t="s">
        <v>65</v>
      </c>
    </row>
    <row r="94" spans="1:7" x14ac:dyDescent="0.2">
      <c r="G94" s="2" t="s">
        <v>66</v>
      </c>
    </row>
    <row r="98" spans="1:8" x14ac:dyDescent="0.2">
      <c r="A98" s="1">
        <v>0</v>
      </c>
      <c r="B98" s="1">
        <v>1</v>
      </c>
      <c r="C98" s="1">
        <v>2</v>
      </c>
      <c r="E98" s="1" t="s">
        <v>70</v>
      </c>
      <c r="F98" s="2" t="s">
        <v>1</v>
      </c>
      <c r="G98" s="2" t="s">
        <v>69</v>
      </c>
      <c r="H98" s="11" t="s">
        <v>42</v>
      </c>
    </row>
    <row r="99" spans="1:8" x14ac:dyDescent="0.2">
      <c r="A99" s="2">
        <v>0.02</v>
      </c>
      <c r="B99" s="2">
        <f>B105*EXP(E99)</f>
        <v>4.6939268088097848E-2</v>
      </c>
      <c r="C99" s="2">
        <f>C100*EXP(2*E99)</f>
        <v>8.3240451593602938E-2</v>
      </c>
      <c r="E99" s="9">
        <v>0.15</v>
      </c>
      <c r="F99" s="12">
        <v>1</v>
      </c>
      <c r="G99" s="2">
        <v>0.02</v>
      </c>
      <c r="H99" s="13">
        <v>0.02</v>
      </c>
    </row>
    <row r="100" spans="1:8" x14ac:dyDescent="0.2">
      <c r="A100" s="2"/>
      <c r="B100" s="2">
        <f>C105/EXP(2*E99)</f>
        <v>3.4773465065126789E-2</v>
      </c>
      <c r="C100" s="2">
        <f>G105</f>
        <v>6.1666043238315593E-2</v>
      </c>
      <c r="F100" s="12">
        <v>2</v>
      </c>
      <c r="G100" s="2">
        <v>0.03</v>
      </c>
      <c r="H100" s="13">
        <v>3.015E-2</v>
      </c>
    </row>
    <row r="101" spans="1:8" x14ac:dyDescent="0.2">
      <c r="A101" s="2"/>
      <c r="B101" s="2"/>
      <c r="C101" s="2">
        <f>C100/EXP(2*E99)</f>
        <v>4.5683328428290836E-2</v>
      </c>
      <c r="F101" s="12">
        <v>3</v>
      </c>
      <c r="G101" s="2">
        <v>0.04</v>
      </c>
      <c r="H101" s="13">
        <v>4.0550000000000003E-2</v>
      </c>
    </row>
    <row r="105" spans="1:8" x14ac:dyDescent="0.2">
      <c r="A105" s="3" t="s">
        <v>71</v>
      </c>
      <c r="B105" s="1">
        <f>(1+H100)^2/(1+H99)-1</f>
        <v>4.0401002450979995E-2</v>
      </c>
      <c r="C105" s="1">
        <f>B105*EXP(E99)</f>
        <v>4.6939268088097848E-2</v>
      </c>
      <c r="F105" s="16" t="s">
        <v>72</v>
      </c>
      <c r="G105" s="2">
        <f>(1+H101)^3/(1+H100)^2 -1</f>
        <v>6.1666043238315593E-2</v>
      </c>
    </row>
    <row r="106" spans="1:8" x14ac:dyDescent="0.2">
      <c r="C106" s="1">
        <f>C105/EXP(2*E99)</f>
        <v>3.4773465065126789E-2</v>
      </c>
      <c r="D106" s="1">
        <f>C105/C106</f>
        <v>1.349858807576003</v>
      </c>
      <c r="E106" s="1">
        <f>EXP(2*E99)</f>
        <v>1.3498588075760032</v>
      </c>
    </row>
    <row r="107" spans="1:8" x14ac:dyDescent="0.2">
      <c r="D107" s="1">
        <f>D106-E106</f>
        <v>0</v>
      </c>
    </row>
    <row r="109" spans="1:8" x14ac:dyDescent="0.2">
      <c r="A109" s="1">
        <v>0</v>
      </c>
      <c r="B109" s="1">
        <v>1</v>
      </c>
      <c r="C109" s="1">
        <v>2</v>
      </c>
      <c r="D109" s="1">
        <v>3</v>
      </c>
      <c r="E109" s="1">
        <v>4</v>
      </c>
    </row>
    <row r="110" spans="1:8" x14ac:dyDescent="0.2">
      <c r="A110" s="2">
        <f>G5</f>
        <v>4.7091607533850569E-2</v>
      </c>
      <c r="B110" s="2">
        <f>G6*EXP(1*15%)</f>
        <v>7.8072401684229034E-2</v>
      </c>
      <c r="C110" s="2">
        <f>C111*EXP(2*15%)</f>
        <v>0.10867704067652731</v>
      </c>
      <c r="D110" s="2">
        <f>D111*EXP(2*15%)</f>
        <v>0.13109983777693435</v>
      </c>
      <c r="E110" s="2"/>
      <c r="F110" s="2" t="s">
        <v>44</v>
      </c>
      <c r="G110" s="2">
        <v>0.5</v>
      </c>
    </row>
    <row r="111" spans="1:8" x14ac:dyDescent="0.2">
      <c r="A111" s="2"/>
      <c r="B111" s="2">
        <f>B110/EXP(2*15%)</f>
        <v>5.7837457700058902E-2</v>
      </c>
      <c r="C111" s="2">
        <f>G7</f>
        <v>8.0509931902939633E-2</v>
      </c>
      <c r="D111" s="2">
        <f>G8*EXP(15%)</f>
        <v>9.7121148553570361E-2</v>
      </c>
      <c r="E111" s="2"/>
      <c r="F111" s="2" t="s">
        <v>73</v>
      </c>
      <c r="G111" s="2">
        <v>0.5</v>
      </c>
    </row>
    <row r="112" spans="1:8" x14ac:dyDescent="0.2">
      <c r="A112" s="2"/>
      <c r="B112" s="2"/>
      <c r="C112" s="2">
        <f>C111/EXP(2*15%)</f>
        <v>5.9643224499542007E-2</v>
      </c>
      <c r="D112" s="2">
        <f>D111/EXP(2*15%)</f>
        <v>7.194911646202079E-2</v>
      </c>
      <c r="E112" s="2"/>
    </row>
    <row r="113" spans="1:8" x14ac:dyDescent="0.2">
      <c r="A113" s="2"/>
      <c r="B113" s="2"/>
      <c r="C113" s="2"/>
      <c r="D113" s="2">
        <f>D112/EXP(2*15%)</f>
        <v>5.3301216437015936E-2</v>
      </c>
      <c r="E113" s="2"/>
    </row>
    <row r="114" spans="1:8" x14ac:dyDescent="0.2">
      <c r="A114" s="2"/>
      <c r="B114" s="2"/>
      <c r="C114" s="2"/>
      <c r="D114" s="2"/>
      <c r="E114" s="2"/>
    </row>
    <row r="115" spans="1:8" x14ac:dyDescent="0.2">
      <c r="A115" s="2"/>
      <c r="B115" s="2"/>
      <c r="C115" s="2"/>
      <c r="D115" s="2"/>
      <c r="E115" s="2"/>
    </row>
    <row r="116" spans="1:8" x14ac:dyDescent="0.2">
      <c r="A116" s="1">
        <v>0</v>
      </c>
      <c r="B116" s="1">
        <v>1</v>
      </c>
      <c r="C116" s="1">
        <v>2</v>
      </c>
      <c r="D116" s="1">
        <v>3</v>
      </c>
      <c r="E116" s="1">
        <v>4</v>
      </c>
    </row>
    <row r="117" spans="1:8" x14ac:dyDescent="0.2">
      <c r="A117" s="14">
        <f t="shared" ref="A117:C118" si="6">(B117*$G$110+B118*$G$111)/EXP(A110)</f>
        <v>0.75366479553548338</v>
      </c>
      <c r="B117" s="14">
        <f t="shared" si="6"/>
        <v>0.76226488405915493</v>
      </c>
      <c r="C117" s="14">
        <f t="shared" si="6"/>
        <v>0.80040036370490886</v>
      </c>
      <c r="D117" s="14">
        <f>(E117*$G$110+E118*$G$111)/EXP(D110)</f>
        <v>0.87713019929028546</v>
      </c>
      <c r="E117" s="14">
        <v>1</v>
      </c>
    </row>
    <row r="118" spans="1:8" x14ac:dyDescent="0.2">
      <c r="A118" s="14"/>
      <c r="B118" s="14">
        <f t="shared" si="6"/>
        <v>0.81774516947435327</v>
      </c>
      <c r="C118" s="14">
        <f>(D118*$G$110+D119*$G$111)/EXP(C111)</f>
        <v>0.84792264946699736</v>
      </c>
      <c r="D118" s="14">
        <f t="shared" ref="D118:D120" si="7">(E118*$G$110+E119*$G$111)/EXP(D111)</f>
        <v>0.90744606369566372</v>
      </c>
      <c r="E118" s="14">
        <v>1</v>
      </c>
    </row>
    <row r="119" spans="1:8" x14ac:dyDescent="0.2">
      <c r="A119" s="14"/>
      <c r="B119" s="14"/>
      <c r="C119" s="14">
        <f t="shared" ref="C119" si="8">(D119*$G$110+D120*$G$111)/EXP(C112)</f>
        <v>0.88494930017157192</v>
      </c>
      <c r="D119" s="14">
        <f t="shared" si="7"/>
        <v>0.93057824572003889</v>
      </c>
      <c r="E119" s="14">
        <v>1</v>
      </c>
    </row>
    <row r="120" spans="1:8" x14ac:dyDescent="0.2">
      <c r="A120" s="14"/>
      <c r="B120" s="14"/>
      <c r="C120" s="14"/>
      <c r="D120" s="14">
        <f t="shared" si="7"/>
        <v>0.94809438785357725</v>
      </c>
      <c r="E120" s="14">
        <v>1</v>
      </c>
    </row>
    <row r="121" spans="1:8" x14ac:dyDescent="0.2">
      <c r="A121" s="14"/>
      <c r="B121" s="14"/>
      <c r="C121" s="14"/>
      <c r="D121" s="14"/>
      <c r="E121" s="14">
        <v>1</v>
      </c>
    </row>
    <row r="122" spans="1:8" x14ac:dyDescent="0.2">
      <c r="A122" s="14"/>
      <c r="B122" s="14"/>
      <c r="C122" s="14"/>
      <c r="D122" s="14"/>
      <c r="E122" s="14"/>
    </row>
    <row r="123" spans="1:8" x14ac:dyDescent="0.2">
      <c r="A123" s="14"/>
      <c r="B123" s="14"/>
      <c r="C123" s="14"/>
      <c r="D123" s="14"/>
      <c r="E123" s="14"/>
    </row>
    <row r="125" spans="1:8" ht="28.5" x14ac:dyDescent="0.2">
      <c r="A125" s="3" t="s">
        <v>74</v>
      </c>
    </row>
    <row r="128" spans="1:8" x14ac:dyDescent="0.2">
      <c r="A128" s="1" t="s">
        <v>75</v>
      </c>
      <c r="D128" s="1" t="s">
        <v>83</v>
      </c>
      <c r="E128" s="1" t="s">
        <v>84</v>
      </c>
      <c r="F128" s="2" t="s">
        <v>85</v>
      </c>
      <c r="G128" s="2" t="s">
        <v>86</v>
      </c>
      <c r="H128" s="2" t="s">
        <v>90</v>
      </c>
    </row>
    <row r="129" spans="1:9" x14ac:dyDescent="0.2">
      <c r="A129" s="1" t="s">
        <v>77</v>
      </c>
      <c r="B129" s="1">
        <v>1</v>
      </c>
      <c r="D129" s="1">
        <v>1</v>
      </c>
      <c r="E129" s="1">
        <f>$B$130</f>
        <v>0.05</v>
      </c>
      <c r="F129" s="7">
        <f>1/(1+$B$134)^D129</f>
        <v>0.93189006193476731</v>
      </c>
      <c r="G129" s="15">
        <f>E129*F129</f>
        <v>4.659450309673837E-2</v>
      </c>
      <c r="H129" s="15">
        <f>D129*G129</f>
        <v>4.659450309673837E-2</v>
      </c>
      <c r="I129" s="1">
        <f>G129*D129*(1+D129)</f>
        <v>9.3189006193476739E-2</v>
      </c>
    </row>
    <row r="130" spans="1:9" x14ac:dyDescent="0.2">
      <c r="A130" s="1" t="s">
        <v>78</v>
      </c>
      <c r="B130" s="1">
        <v>0.05</v>
      </c>
      <c r="D130" s="1">
        <v>2</v>
      </c>
      <c r="E130" s="1">
        <f t="shared" ref="E130:E137" si="9">$B$130</f>
        <v>0.05</v>
      </c>
      <c r="F130" s="7">
        <f t="shared" ref="F130:F137" si="10">1/(1+$B$134)^D130</f>
        <v>0.86841908753278452</v>
      </c>
      <c r="G130" s="15">
        <f t="shared" ref="G130:G138" si="11">E130*F130</f>
        <v>4.3420954376639231E-2</v>
      </c>
      <c r="H130" s="15">
        <f t="shared" ref="H130:H138" si="12">D130*G130</f>
        <v>8.6841908753278463E-2</v>
      </c>
      <c r="I130" s="1">
        <f t="shared" ref="I130:I138" si="13">G130*D130*(1+D130)</f>
        <v>0.26052572625983539</v>
      </c>
    </row>
    <row r="131" spans="1:9" x14ac:dyDescent="0.2">
      <c r="A131" s="1" t="s">
        <v>79</v>
      </c>
      <c r="B131" s="1">
        <v>0</v>
      </c>
      <c r="D131" s="1">
        <v>3</v>
      </c>
      <c r="E131" s="1">
        <f t="shared" si="9"/>
        <v>0.05</v>
      </c>
      <c r="F131" s="7">
        <f t="shared" si="10"/>
        <v>0.80927111726626066</v>
      </c>
      <c r="G131" s="15">
        <f t="shared" si="11"/>
        <v>4.0463555863313037E-2</v>
      </c>
      <c r="H131" s="15">
        <f t="shared" si="12"/>
        <v>0.12139066758993911</v>
      </c>
      <c r="I131" s="1">
        <f t="shared" si="13"/>
        <v>0.48556267035975642</v>
      </c>
    </row>
    <row r="132" spans="1:9" x14ac:dyDescent="0.2">
      <c r="A132" s="1" t="s">
        <v>80</v>
      </c>
      <c r="B132" s="1">
        <v>10</v>
      </c>
      <c r="D132" s="1">
        <v>4</v>
      </c>
      <c r="E132" s="1">
        <f t="shared" si="9"/>
        <v>0.05</v>
      </c>
      <c r="F132" s="7">
        <f t="shared" si="10"/>
        <v>0.75415171159127403</v>
      </c>
      <c r="G132" s="15">
        <f t="shared" si="11"/>
        <v>3.7707585579563704E-2</v>
      </c>
      <c r="H132" s="15">
        <f t="shared" si="12"/>
        <v>0.15083034231825482</v>
      </c>
      <c r="I132" s="1">
        <f t="shared" si="13"/>
        <v>0.75415171159127414</v>
      </c>
    </row>
    <row r="133" spans="1:9" x14ac:dyDescent="0.2">
      <c r="A133" s="1" t="s">
        <v>81</v>
      </c>
      <c r="B133" s="1">
        <v>1</v>
      </c>
      <c r="D133" s="1">
        <v>5</v>
      </c>
      <c r="E133" s="1">
        <f t="shared" si="9"/>
        <v>0.05</v>
      </c>
      <c r="F133" s="7">
        <f t="shared" si="10"/>
        <v>0.70278648522300313</v>
      </c>
      <c r="G133" s="15">
        <f t="shared" si="11"/>
        <v>3.5139324261150157E-2</v>
      </c>
      <c r="H133" s="15">
        <f t="shared" si="12"/>
        <v>0.17569662130575078</v>
      </c>
      <c r="I133" s="1">
        <f t="shared" si="13"/>
        <v>1.0541797278345046</v>
      </c>
    </row>
    <row r="134" spans="1:9" x14ac:dyDescent="0.2">
      <c r="A134" s="1" t="s">
        <v>82</v>
      </c>
      <c r="B134" s="18">
        <f>G37</f>
        <v>7.3087954091735297E-2</v>
      </c>
      <c r="D134" s="1">
        <v>6</v>
      </c>
      <c r="E134" s="1">
        <f t="shared" si="9"/>
        <v>0.05</v>
      </c>
      <c r="F134" s="7">
        <f t="shared" si="10"/>
        <v>0.65491974124138186</v>
      </c>
      <c r="G134" s="15">
        <f t="shared" si="11"/>
        <v>3.2745987062069097E-2</v>
      </c>
      <c r="H134" s="15">
        <f t="shared" si="12"/>
        <v>0.19647592237241457</v>
      </c>
      <c r="I134" s="1">
        <f t="shared" si="13"/>
        <v>1.3753314566069019</v>
      </c>
    </row>
    <row r="135" spans="1:9" x14ac:dyDescent="0.2">
      <c r="D135" s="1">
        <v>7</v>
      </c>
      <c r="E135" s="1">
        <f t="shared" si="9"/>
        <v>0.05</v>
      </c>
      <c r="F135" s="7">
        <f t="shared" si="10"/>
        <v>0.61031319822773311</v>
      </c>
      <c r="G135" s="15">
        <f t="shared" si="11"/>
        <v>3.0515659911386658E-2</v>
      </c>
      <c r="H135" s="15">
        <f t="shared" si="12"/>
        <v>0.2136096193797066</v>
      </c>
      <c r="I135" s="1">
        <f t="shared" si="13"/>
        <v>1.7088769550376528</v>
      </c>
    </row>
    <row r="136" spans="1:9" x14ac:dyDescent="0.2">
      <c r="D136" s="1">
        <v>8</v>
      </c>
      <c r="E136" s="1">
        <f t="shared" si="9"/>
        <v>0.05</v>
      </c>
      <c r="F136" s="7">
        <f t="shared" si="10"/>
        <v>0.56874480409604811</v>
      </c>
      <c r="G136" s="15">
        <f t="shared" si="11"/>
        <v>2.8437240204802407E-2</v>
      </c>
      <c r="H136" s="15">
        <f t="shared" si="12"/>
        <v>0.22749792163841925</v>
      </c>
      <c r="I136" s="1">
        <f t="shared" si="13"/>
        <v>2.0474812947457735</v>
      </c>
    </row>
    <row r="137" spans="1:9" x14ac:dyDescent="0.2">
      <c r="A137" s="1" t="s">
        <v>76</v>
      </c>
      <c r="D137" s="1">
        <v>9</v>
      </c>
      <c r="E137" s="1">
        <f t="shared" si="9"/>
        <v>0.05</v>
      </c>
      <c r="F137" s="7">
        <f t="shared" si="10"/>
        <v>0.53000763071414336</v>
      </c>
      <c r="G137" s="15">
        <f t="shared" si="11"/>
        <v>2.650038153570717E-2</v>
      </c>
      <c r="H137" s="15">
        <f t="shared" si="12"/>
        <v>0.23850343382136452</v>
      </c>
      <c r="I137" s="1">
        <f t="shared" si="13"/>
        <v>2.3850343382136452</v>
      </c>
    </row>
    <row r="138" spans="1:9" x14ac:dyDescent="0.2">
      <c r="A138" s="1" t="s">
        <v>87</v>
      </c>
      <c r="B138" s="15">
        <f>G139</f>
        <v>0.84012947789407733</v>
      </c>
      <c r="D138" s="1">
        <v>10</v>
      </c>
      <c r="E138" s="1">
        <f>B129+B130</f>
        <v>1.05</v>
      </c>
      <c r="F138" s="7">
        <f>1/(1+$B$134)^D138</f>
        <v>0.49390884381210237</v>
      </c>
      <c r="G138" s="15">
        <f t="shared" si="11"/>
        <v>0.51860428600270747</v>
      </c>
      <c r="H138" s="15">
        <f t="shared" si="12"/>
        <v>5.1860428600270749</v>
      </c>
      <c r="I138" s="1">
        <f t="shared" si="13"/>
        <v>57.046471460297823</v>
      </c>
    </row>
    <row r="139" spans="1:9" x14ac:dyDescent="0.2">
      <c r="A139" s="1" t="s">
        <v>88</v>
      </c>
      <c r="B139" s="1">
        <f>H139/G139</f>
        <v>7.907690391909501</v>
      </c>
      <c r="F139" s="2" t="s">
        <v>89</v>
      </c>
      <c r="G139" s="17">
        <f>SUM(G129:G138)</f>
        <v>0.84012947789407733</v>
      </c>
      <c r="H139" s="15">
        <f>SUM(H129:H138)</f>
        <v>6.6434838003029411</v>
      </c>
      <c r="I139" s="1">
        <f>SUM(I129:I138)</f>
        <v>67.210804347140638</v>
      </c>
    </row>
    <row r="140" spans="1:9" x14ac:dyDescent="0.2">
      <c r="B140" s="1" cm="1">
        <f t="array" ref="B140">BondDuration(1, B129, B130, B131, B132, B133, B134)</f>
        <v>7.3690980890775091</v>
      </c>
      <c r="C140" s="1">
        <f>B140-B139</f>
        <v>-0.53859230283199189</v>
      </c>
    </row>
    <row r="145" spans="1:8" ht="28.5" x14ac:dyDescent="0.2">
      <c r="A145" s="3" t="s">
        <v>91</v>
      </c>
      <c r="B145" s="1" t="s">
        <v>93</v>
      </c>
      <c r="C145" s="1" t="s">
        <v>94</v>
      </c>
      <c r="D145" s="1" t="s">
        <v>50</v>
      </c>
      <c r="F145" s="2" t="s">
        <v>96</v>
      </c>
      <c r="G145" s="18">
        <f>B134+B148</f>
        <v>8.3087954091735292E-2</v>
      </c>
    </row>
    <row r="146" spans="1:8" x14ac:dyDescent="0.2">
      <c r="A146" s="1" t="s">
        <v>92</v>
      </c>
      <c r="B146" s="1">
        <f>B139/(1+B134)</f>
        <v>7.36909808907751</v>
      </c>
      <c r="C146" s="1" cm="1">
        <f t="array" ref="C146">BondDuration(1, B129, B130, B131, B132, B133, B134)</f>
        <v>7.3690980890775091</v>
      </c>
      <c r="D146" s="1">
        <f>B146-C146</f>
        <v>0</v>
      </c>
      <c r="E146" s="1" t="s">
        <v>83</v>
      </c>
      <c r="F146" s="1" t="s">
        <v>84</v>
      </c>
      <c r="G146" s="2" t="s">
        <v>85</v>
      </c>
      <c r="H146" s="2" t="s">
        <v>86</v>
      </c>
    </row>
    <row r="147" spans="1:8" x14ac:dyDescent="0.2">
      <c r="A147" s="1" t="s">
        <v>91</v>
      </c>
      <c r="B147" s="1">
        <f>I139/G139/(1+B134)^2</f>
        <v>69.473988140250981</v>
      </c>
      <c r="C147" s="1" cm="1">
        <f t="array" ref="C147">BondConvexity(B129, B130, B131, B132, B133, B134)</f>
        <v>69.473988140250995</v>
      </c>
      <c r="D147" s="1">
        <f>C147-B147</f>
        <v>0</v>
      </c>
      <c r="E147" s="1">
        <v>1</v>
      </c>
      <c r="F147" s="1">
        <f>$B$130</f>
        <v>0.05</v>
      </c>
      <c r="G147" s="7">
        <f>1/(1+$G$145)^E147</f>
        <v>0.9232860509824321</v>
      </c>
      <c r="H147" s="15">
        <f>F147*G147</f>
        <v>4.6164302549121607E-2</v>
      </c>
    </row>
    <row r="148" spans="1:8" x14ac:dyDescent="0.2">
      <c r="A148" s="1" t="s">
        <v>95</v>
      </c>
      <c r="B148" s="1">
        <v>0.01</v>
      </c>
      <c r="E148" s="1">
        <v>2</v>
      </c>
      <c r="F148" s="1">
        <f t="shared" ref="F148:F155" si="14">$B$130</f>
        <v>0.05</v>
      </c>
      <c r="G148" s="7">
        <f t="shared" ref="G148:G156" si="15">1/(1+$G$145)^E148</f>
        <v>0.85245713193873418</v>
      </c>
      <c r="H148" s="15">
        <f t="shared" ref="H148:H156" si="16">F148*G148</f>
        <v>4.2622856596936709E-2</v>
      </c>
    </row>
    <row r="149" spans="1:8" x14ac:dyDescent="0.2">
      <c r="A149" s="1" t="s">
        <v>97</v>
      </c>
      <c r="B149" s="2">
        <f>-B146*B148+0.5*B147*B148^2</f>
        <v>-7.021728148376255E-2</v>
      </c>
      <c r="E149" s="1">
        <v>3</v>
      </c>
      <c r="F149" s="1">
        <f t="shared" si="14"/>
        <v>0.05</v>
      </c>
      <c r="G149" s="7">
        <f t="shared" si="15"/>
        <v>0.78706177897952401</v>
      </c>
      <c r="H149" s="15">
        <f t="shared" si="16"/>
        <v>3.9353088948976205E-2</v>
      </c>
    </row>
    <row r="150" spans="1:8" x14ac:dyDescent="0.2">
      <c r="A150" s="1" t="s">
        <v>98</v>
      </c>
      <c r="B150" s="7">
        <f>G139*(1+B149)</f>
        <v>0.78113786986198253</v>
      </c>
      <c r="E150" s="1">
        <v>4</v>
      </c>
      <c r="F150" s="1">
        <f t="shared" si="14"/>
        <v>0.05</v>
      </c>
      <c r="G150" s="7">
        <f t="shared" si="15"/>
        <v>0.72668316179321246</v>
      </c>
      <c r="H150" s="15">
        <f t="shared" si="16"/>
        <v>3.6334158089660624E-2</v>
      </c>
    </row>
    <row r="151" spans="1:8" x14ac:dyDescent="0.2">
      <c r="E151" s="1">
        <v>5</v>
      </c>
      <c r="F151" s="1">
        <f t="shared" si="14"/>
        <v>0.05</v>
      </c>
      <c r="G151" s="7">
        <f t="shared" si="15"/>
        <v>0.67093642676748289</v>
      </c>
      <c r="H151" s="15">
        <f t="shared" si="16"/>
        <v>3.3546821338374146E-2</v>
      </c>
    </row>
    <row r="152" spans="1:8" x14ac:dyDescent="0.2">
      <c r="E152" s="1">
        <v>6</v>
      </c>
      <c r="F152" s="1">
        <f t="shared" si="14"/>
        <v>0.05</v>
      </c>
      <c r="G152" s="7">
        <f t="shared" si="15"/>
        <v>0.61946624393041305</v>
      </c>
      <c r="H152" s="15">
        <f t="shared" si="16"/>
        <v>3.0973312196520653E-2</v>
      </c>
    </row>
    <row r="153" spans="1:8" x14ac:dyDescent="0.2">
      <c r="E153" s="1">
        <v>7</v>
      </c>
      <c r="F153" s="1">
        <f t="shared" si="14"/>
        <v>0.05</v>
      </c>
      <c r="G153" s="7">
        <f t="shared" si="15"/>
        <v>0.57194454207543099</v>
      </c>
      <c r="H153" s="15">
        <f t="shared" si="16"/>
        <v>2.859722710377155E-2</v>
      </c>
    </row>
    <row r="154" spans="1:8" x14ac:dyDescent="0.2">
      <c r="E154" s="1">
        <v>8</v>
      </c>
      <c r="F154" s="1">
        <f t="shared" si="14"/>
        <v>0.05</v>
      </c>
      <c r="G154" s="7">
        <f t="shared" si="15"/>
        <v>0.5280684176337801</v>
      </c>
      <c r="H154" s="15">
        <f t="shared" si="16"/>
        <v>2.6403420881689007E-2</v>
      </c>
    </row>
    <row r="155" spans="1:8" x14ac:dyDescent="0.2">
      <c r="E155" s="1">
        <v>9</v>
      </c>
      <c r="F155" s="1">
        <f t="shared" si="14"/>
        <v>0.05</v>
      </c>
      <c r="G155" s="7">
        <f t="shared" si="15"/>
        <v>0.4875582039656346</v>
      </c>
      <c r="H155" s="15">
        <f t="shared" si="16"/>
        <v>2.437791019828173E-2</v>
      </c>
    </row>
    <row r="156" spans="1:8" x14ac:dyDescent="0.2">
      <c r="E156" s="1">
        <v>10</v>
      </c>
      <c r="F156" s="1">
        <v>1.05</v>
      </c>
      <c r="G156" s="7">
        <f t="shared" si="15"/>
        <v>0.45015568876351791</v>
      </c>
      <c r="H156" s="15">
        <f t="shared" si="16"/>
        <v>0.47266347320169383</v>
      </c>
    </row>
    <row r="157" spans="1:8" x14ac:dyDescent="0.2">
      <c r="G157" s="2" t="s">
        <v>99</v>
      </c>
      <c r="H157" s="19">
        <f>SUM(H147:H156)</f>
        <v>0.781036571105026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2021-03-16T15:02:18Z</dcterms:modified>
</cp:coreProperties>
</file>