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VC与PE股权\"/>
    </mc:Choice>
  </mc:AlternateContent>
  <xr:revisionPtr revIDLastSave="0" documentId="13_ncr:1_{4F4D87E7-CC27-421B-92B6-FE9A0AC38F38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G22" i="3"/>
  <c r="G21" i="3"/>
  <c r="G20" i="3"/>
  <c r="G23" i="3"/>
  <c r="E18" i="3"/>
  <c r="D19" i="3"/>
  <c r="D20" i="3"/>
  <c r="D21" i="3"/>
  <c r="D18" i="3"/>
  <c r="B22" i="3"/>
  <c r="B21" i="3"/>
  <c r="B20" i="3"/>
  <c r="B19" i="3"/>
  <c r="I10" i="3"/>
  <c r="E13" i="3"/>
  <c r="E12" i="3"/>
  <c r="E11" i="3"/>
  <c r="H9" i="3"/>
  <c r="I8" i="3"/>
  <c r="G8" i="3"/>
  <c r="F8" i="3"/>
  <c r="I7" i="3"/>
  <c r="G7" i="3"/>
  <c r="F7" i="3"/>
  <c r="I6" i="3"/>
  <c r="F6" i="3"/>
  <c r="I5" i="3"/>
  <c r="F5" i="3"/>
  <c r="I4" i="3"/>
  <c r="F4" i="3"/>
  <c r="D5" i="3"/>
  <c r="D6" i="3"/>
  <c r="D7" i="3"/>
  <c r="D4" i="3"/>
  <c r="B8" i="3"/>
  <c r="B7" i="3"/>
  <c r="B6" i="3"/>
  <c r="B5" i="3"/>
  <c r="B4" i="3"/>
  <c r="D16" i="2"/>
  <c r="B12" i="2"/>
  <c r="F14" i="2"/>
  <c r="F13" i="2"/>
  <c r="F12" i="2"/>
  <c r="F11" i="2"/>
  <c r="F10" i="2"/>
  <c r="F9" i="2"/>
  <c r="I31" i="1"/>
  <c r="I30" i="1"/>
  <c r="J29" i="1"/>
  <c r="J28" i="1"/>
  <c r="I29" i="1"/>
  <c r="I27" i="1"/>
  <c r="I26" i="1"/>
  <c r="I23" i="1"/>
  <c r="D26" i="1"/>
  <c r="D24" i="1"/>
  <c r="D23" i="1"/>
  <c r="D9" i="1"/>
  <c r="D7" i="1"/>
  <c r="I24" i="1" l="1"/>
</calcChain>
</file>

<file path=xl/sharedStrings.xml><?xml version="1.0" encoding="utf-8"?>
<sst xmlns="http://schemas.openxmlformats.org/spreadsheetml/2006/main" count="138" uniqueCount="87">
  <si>
    <t>PRE_1</t>
    <phoneticPr fontId="1" type="noConversion"/>
  </si>
  <si>
    <t>POST_1</t>
    <phoneticPr fontId="1" type="noConversion"/>
  </si>
  <si>
    <t>t</t>
    <phoneticPr fontId="1" type="noConversion"/>
  </si>
  <si>
    <t>PRE_2</t>
    <phoneticPr fontId="1" type="noConversion"/>
  </si>
  <si>
    <t>INV_2</t>
    <phoneticPr fontId="1" type="noConversion"/>
  </si>
  <si>
    <t>INV_1</t>
    <phoneticPr fontId="1" type="noConversion"/>
  </si>
  <si>
    <t>POST_2</t>
    <phoneticPr fontId="1" type="noConversion"/>
  </si>
  <si>
    <t>T</t>
    <phoneticPr fontId="1" type="noConversion"/>
  </si>
  <si>
    <t>FV</t>
    <phoneticPr fontId="1" type="noConversion"/>
  </si>
  <si>
    <t>第一轮融资</t>
    <phoneticPr fontId="1" type="noConversion"/>
  </si>
  <si>
    <t>--------</t>
    <phoneticPr fontId="1" type="noConversion"/>
  </si>
  <si>
    <t>f_1</t>
    <phoneticPr fontId="1" type="noConversion"/>
  </si>
  <si>
    <t>第一轮投资人所占比例</t>
    <phoneticPr fontId="1" type="noConversion"/>
  </si>
  <si>
    <t>第一轮创始人所占比例</t>
    <phoneticPr fontId="1" type="noConversion"/>
  </si>
  <si>
    <t>1-f_1</t>
    <phoneticPr fontId="1" type="noConversion"/>
  </si>
  <si>
    <t>份额相除等于比例相除</t>
    <phoneticPr fontId="1" type="noConversion"/>
  </si>
  <si>
    <t>第一轮投资人所占份额</t>
    <phoneticPr fontId="1" type="noConversion"/>
  </si>
  <si>
    <t>第一轮创始人所占份额</t>
    <phoneticPr fontId="1" type="noConversion"/>
  </si>
  <si>
    <t>Se</t>
    <phoneticPr fontId="1" type="noConversion"/>
  </si>
  <si>
    <t>---------</t>
    <phoneticPr fontId="1" type="noConversion"/>
  </si>
  <si>
    <t>=</t>
    <phoneticPr fontId="1" type="noConversion"/>
  </si>
  <si>
    <t>第一轮融资企业每股价格</t>
    <phoneticPr fontId="1" type="noConversion"/>
  </si>
  <si>
    <t>P</t>
    <phoneticPr fontId="1" type="noConversion"/>
  </si>
  <si>
    <t>第二轮融资</t>
    <phoneticPr fontId="1" type="noConversion"/>
  </si>
  <si>
    <t>f_2</t>
    <phoneticPr fontId="1" type="noConversion"/>
  </si>
  <si>
    <t>第二轮投资人所占比例</t>
    <phoneticPr fontId="1" type="noConversion"/>
  </si>
  <si>
    <t>PE多轮融资估值：份额相除等于（金钱上）比例相除</t>
    <phoneticPr fontId="1" type="noConversion"/>
  </si>
  <si>
    <t>第二轮（创始人+第一轮的投资者）所占比例</t>
    <phoneticPr fontId="1" type="noConversion"/>
  </si>
  <si>
    <t>Spe_1</t>
  </si>
  <si>
    <t>Spe_1</t>
    <phoneticPr fontId="1" type="noConversion"/>
  </si>
  <si>
    <t>1-f_2</t>
    <phoneticPr fontId="1" type="noConversion"/>
  </si>
  <si>
    <t>第二轮投资人所占份额</t>
    <phoneticPr fontId="1" type="noConversion"/>
  </si>
  <si>
    <t>第二轮（创始人+第一轮的投资者）所占份额</t>
    <phoneticPr fontId="1" type="noConversion"/>
  </si>
  <si>
    <t>Spe_2</t>
    <phoneticPr fontId="1" type="noConversion"/>
  </si>
  <si>
    <t>Se+Spe_1</t>
    <phoneticPr fontId="1" type="noConversion"/>
  </si>
  <si>
    <t>第二轮融资企业每股价格</t>
    <phoneticPr fontId="1" type="noConversion"/>
  </si>
  <si>
    <t>P_1</t>
    <phoneticPr fontId="1" type="noConversion"/>
  </si>
  <si>
    <t>P_2</t>
    <phoneticPr fontId="1" type="noConversion"/>
  </si>
  <si>
    <t>TV</t>
    <phoneticPr fontId="1" type="noConversion"/>
  </si>
  <si>
    <t>退出时候的预计价格</t>
    <phoneticPr fontId="1" type="noConversion"/>
  </si>
  <si>
    <t>投资年限</t>
    <phoneticPr fontId="1" type="noConversion"/>
  </si>
  <si>
    <t>第一轮投资金额</t>
    <phoneticPr fontId="1" type="noConversion"/>
  </si>
  <si>
    <t>折现率</t>
    <phoneticPr fontId="1" type="noConversion"/>
  </si>
  <si>
    <t>获得第一轮融资后的公司价值</t>
    <phoneticPr fontId="1" type="noConversion"/>
  </si>
  <si>
    <t>获得第一轮融资前的公司价值</t>
    <phoneticPr fontId="1" type="noConversion"/>
  </si>
  <si>
    <t>Example1</t>
    <phoneticPr fontId="1" type="noConversion"/>
  </si>
  <si>
    <t>Example2</t>
    <phoneticPr fontId="1" type="noConversion"/>
  </si>
  <si>
    <t>创始人股份数量（Se）</t>
    <phoneticPr fontId="1" type="noConversion"/>
  </si>
  <si>
    <t>第一轮融资投资人所占比例</t>
    <phoneticPr fontId="1" type="noConversion"/>
  </si>
  <si>
    <t>第一轮融资投资人所占份额（股数）</t>
    <phoneticPr fontId="1" type="noConversion"/>
  </si>
  <si>
    <t>LBO</t>
    <phoneticPr fontId="1" type="noConversion"/>
  </si>
  <si>
    <t>Initial Investment</t>
    <phoneticPr fontId="1" type="noConversion"/>
  </si>
  <si>
    <t>10 MIL</t>
    <phoneticPr fontId="1" type="noConversion"/>
  </si>
  <si>
    <t>Debt</t>
    <phoneticPr fontId="1" type="noConversion"/>
  </si>
  <si>
    <t>6 mil</t>
    <phoneticPr fontId="1" type="noConversion"/>
  </si>
  <si>
    <t>preference share</t>
    <phoneticPr fontId="1" type="noConversion"/>
  </si>
  <si>
    <t>3.6 mil</t>
    <phoneticPr fontId="1" type="noConversion"/>
  </si>
  <si>
    <t>common equity</t>
    <phoneticPr fontId="1" type="noConversion"/>
  </si>
  <si>
    <t>0.4 mil</t>
    <phoneticPr fontId="1" type="noConversion"/>
  </si>
  <si>
    <t>6年之后退出</t>
    <phoneticPr fontId="1" type="noConversion"/>
  </si>
  <si>
    <t>15mil的退出价格</t>
    <phoneticPr fontId="1" type="noConversion"/>
  </si>
  <si>
    <t>6年期间还了2.8 mil</t>
    <phoneticPr fontId="1" type="noConversion"/>
  </si>
  <si>
    <t>PE's share of common equity</t>
    <phoneticPr fontId="1" type="noConversion"/>
  </si>
  <si>
    <t>PE's share of preference equity</t>
    <phoneticPr fontId="1" type="noConversion"/>
  </si>
  <si>
    <t>PE</t>
    <phoneticPr fontId="1" type="noConversion"/>
  </si>
  <si>
    <t>退出倍数</t>
    <phoneticPr fontId="1" type="noConversion"/>
  </si>
  <si>
    <t xml:space="preserve">GP </t>
    <phoneticPr fontId="1" type="noConversion"/>
  </si>
  <si>
    <t>LP</t>
    <phoneticPr fontId="1" type="noConversion"/>
  </si>
  <si>
    <t>year</t>
    <phoneticPr fontId="1" type="noConversion"/>
  </si>
  <si>
    <t>20X5</t>
    <phoneticPr fontId="1" type="noConversion"/>
  </si>
  <si>
    <t>20X6</t>
    <phoneticPr fontId="1" type="noConversion"/>
  </si>
  <si>
    <t>20X7</t>
    <phoneticPr fontId="1" type="noConversion"/>
  </si>
  <si>
    <t>20X8</t>
    <phoneticPr fontId="1" type="noConversion"/>
  </si>
  <si>
    <t>20X9</t>
    <phoneticPr fontId="1" type="noConversion"/>
  </si>
  <si>
    <t>called down</t>
    <phoneticPr fontId="1" type="noConversion"/>
  </si>
  <si>
    <t>paid-in capital(累积）</t>
    <phoneticPr fontId="1" type="noConversion"/>
  </si>
  <si>
    <t>management fee</t>
    <phoneticPr fontId="1" type="noConversion"/>
  </si>
  <si>
    <t>operating result</t>
    <phoneticPr fontId="1" type="noConversion"/>
  </si>
  <si>
    <t>NAV before dis</t>
    <phoneticPr fontId="1" type="noConversion"/>
  </si>
  <si>
    <t>carried int</t>
    <phoneticPr fontId="1" type="noConversion"/>
  </si>
  <si>
    <t>dis</t>
    <phoneticPr fontId="1" type="noConversion"/>
  </si>
  <si>
    <t>NAV after dis</t>
    <phoneticPr fontId="1" type="noConversion"/>
  </si>
  <si>
    <t>最后一年折扣</t>
    <phoneticPr fontId="1" type="noConversion"/>
  </si>
  <si>
    <t>DPI</t>
    <phoneticPr fontId="1" type="noConversion"/>
  </si>
  <si>
    <t>RVPI</t>
    <phoneticPr fontId="1" type="noConversion"/>
  </si>
  <si>
    <t>TVPI</t>
    <phoneticPr fontId="1" type="noConversion"/>
  </si>
  <si>
    <t>committed 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</si>
</sst>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9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B1" zoomScale="130" zoomScaleNormal="130" workbookViewId="0">
      <selection activeCell="C11" sqref="C11"/>
    </sheetView>
  </sheetViews>
  <sheetFormatPr defaultRowHeight="14.25" x14ac:dyDescent="0.2"/>
  <cols>
    <col min="1" max="1" width="20.375" customWidth="1"/>
    <col min="2" max="2" width="22" customWidth="1"/>
    <col min="3" max="3" width="35.25" customWidth="1"/>
    <col min="6" max="6" width="18.5" customWidth="1"/>
    <col min="7" max="7" width="14.875" customWidth="1"/>
    <col min="8" max="8" width="37" customWidth="1"/>
    <col min="9" max="9" width="10.75" customWidth="1"/>
  </cols>
  <sheetData>
    <row r="1" spans="2:15" x14ac:dyDescent="0.2"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">
      <c r="C2">
        <v>0</v>
      </c>
      <c r="H2" t="s">
        <v>2</v>
      </c>
      <c r="M2" t="s">
        <v>7</v>
      </c>
      <c r="N2" t="s">
        <v>38</v>
      </c>
    </row>
    <row r="3" spans="2:15" x14ac:dyDescent="0.2">
      <c r="D3" t="s">
        <v>0</v>
      </c>
      <c r="E3" t="s">
        <v>5</v>
      </c>
      <c r="F3" t="s">
        <v>1</v>
      </c>
      <c r="I3" t="s">
        <v>3</v>
      </c>
      <c r="J3" t="s">
        <v>4</v>
      </c>
      <c r="K3" t="s">
        <v>6</v>
      </c>
      <c r="N3" t="s">
        <v>8</v>
      </c>
    </row>
    <row r="6" spans="2:15" x14ac:dyDescent="0.2">
      <c r="C6" t="s">
        <v>9</v>
      </c>
      <c r="I6" t="s">
        <v>23</v>
      </c>
    </row>
    <row r="7" spans="2:15" x14ac:dyDescent="0.2">
      <c r="D7" s="3" t="str">
        <f>E3</f>
        <v>INV_1</v>
      </c>
      <c r="J7" s="3" t="s">
        <v>4</v>
      </c>
    </row>
    <row r="8" spans="2:15" x14ac:dyDescent="0.2">
      <c r="B8" t="s">
        <v>12</v>
      </c>
      <c r="C8" t="s">
        <v>11</v>
      </c>
      <c r="D8" s="2" t="s">
        <v>10</v>
      </c>
      <c r="H8" t="s">
        <v>25</v>
      </c>
      <c r="I8" t="s">
        <v>24</v>
      </c>
      <c r="J8" s="2" t="s">
        <v>10</v>
      </c>
    </row>
    <row r="9" spans="2:15" x14ac:dyDescent="0.2">
      <c r="D9" t="str">
        <f>F3</f>
        <v>POST_1</v>
      </c>
      <c r="J9" t="s">
        <v>6</v>
      </c>
    </row>
    <row r="11" spans="2:15" x14ac:dyDescent="0.2">
      <c r="B11" t="s">
        <v>13</v>
      </c>
      <c r="C11" t="s">
        <v>14</v>
      </c>
      <c r="H11" t="s">
        <v>27</v>
      </c>
      <c r="I11" t="s">
        <v>30</v>
      </c>
    </row>
    <row r="13" spans="2:15" x14ac:dyDescent="0.2">
      <c r="B13" t="s">
        <v>15</v>
      </c>
      <c r="H13" t="s">
        <v>15</v>
      </c>
    </row>
    <row r="15" spans="2:15" x14ac:dyDescent="0.2">
      <c r="B15" t="s">
        <v>16</v>
      </c>
      <c r="C15" t="s">
        <v>29</v>
      </c>
      <c r="D15" s="3" t="s">
        <v>29</v>
      </c>
      <c r="F15" t="s">
        <v>11</v>
      </c>
      <c r="H15" t="s">
        <v>31</v>
      </c>
      <c r="I15" t="s">
        <v>33</v>
      </c>
      <c r="J15" s="3" t="s">
        <v>33</v>
      </c>
      <c r="L15" t="s">
        <v>24</v>
      </c>
    </row>
    <row r="16" spans="2:15" x14ac:dyDescent="0.2">
      <c r="D16" s="2" t="s">
        <v>19</v>
      </c>
      <c r="E16" t="s">
        <v>20</v>
      </c>
      <c r="F16" s="2" t="s">
        <v>19</v>
      </c>
      <c r="J16" s="2" t="s">
        <v>19</v>
      </c>
      <c r="K16" t="s">
        <v>20</v>
      </c>
      <c r="L16" s="2" t="s">
        <v>19</v>
      </c>
    </row>
    <row r="17" spans="1:12" x14ac:dyDescent="0.2">
      <c r="B17" t="s">
        <v>17</v>
      </c>
      <c r="C17" t="s">
        <v>18</v>
      </c>
      <c r="D17" t="s">
        <v>18</v>
      </c>
      <c r="F17" t="s">
        <v>14</v>
      </c>
      <c r="H17" t="s">
        <v>32</v>
      </c>
      <c r="I17" t="s">
        <v>34</v>
      </c>
      <c r="J17" t="s">
        <v>34</v>
      </c>
      <c r="L17" t="s">
        <v>30</v>
      </c>
    </row>
    <row r="18" spans="1:12" x14ac:dyDescent="0.2">
      <c r="E18" t="s">
        <v>5</v>
      </c>
      <c r="K18" t="s">
        <v>4</v>
      </c>
    </row>
    <row r="19" spans="1:12" x14ac:dyDescent="0.2">
      <c r="B19" t="s">
        <v>21</v>
      </c>
      <c r="C19" t="s">
        <v>36</v>
      </c>
      <c r="D19" t="s">
        <v>20</v>
      </c>
      <c r="E19" s="2" t="s">
        <v>19</v>
      </c>
      <c r="H19" t="s">
        <v>35</v>
      </c>
      <c r="I19" t="s">
        <v>37</v>
      </c>
      <c r="J19" t="s">
        <v>20</v>
      </c>
      <c r="K19" s="2" t="s">
        <v>19</v>
      </c>
    </row>
    <row r="20" spans="1:12" x14ac:dyDescent="0.2">
      <c r="E20" t="s">
        <v>29</v>
      </c>
      <c r="K20" t="s">
        <v>33</v>
      </c>
    </row>
    <row r="22" spans="1:12" x14ac:dyDescent="0.2">
      <c r="A22" t="s">
        <v>45</v>
      </c>
      <c r="F22" t="s">
        <v>46</v>
      </c>
    </row>
    <row r="23" spans="1:12" x14ac:dyDescent="0.2">
      <c r="A23" t="s">
        <v>39</v>
      </c>
      <c r="B23">
        <v>1000000</v>
      </c>
      <c r="C23" t="s">
        <v>43</v>
      </c>
      <c r="D23">
        <f>B23/((B26+1)^B24)</f>
        <v>364431.48688046657</v>
      </c>
      <c r="F23" t="s">
        <v>39</v>
      </c>
      <c r="G23">
        <v>5000000</v>
      </c>
      <c r="H23" t="s">
        <v>43</v>
      </c>
      <c r="I23">
        <f>G23/((G26+1)^G24)</f>
        <v>2048000</v>
      </c>
    </row>
    <row r="24" spans="1:12" x14ac:dyDescent="0.2">
      <c r="A24" t="s">
        <v>40</v>
      </c>
      <c r="B24">
        <v>3</v>
      </c>
      <c r="C24" t="s">
        <v>44</v>
      </c>
      <c r="D24">
        <f>D23-B25</f>
        <v>164431.48688046657</v>
      </c>
      <c r="F24" t="s">
        <v>40</v>
      </c>
      <c r="G24">
        <v>4</v>
      </c>
      <c r="H24" t="s">
        <v>44</v>
      </c>
      <c r="I24">
        <f>I23-G25</f>
        <v>1048000</v>
      </c>
    </row>
    <row r="25" spans="1:12" x14ac:dyDescent="0.2">
      <c r="A25" t="s">
        <v>41</v>
      </c>
      <c r="B25">
        <v>200000</v>
      </c>
      <c r="F25" t="s">
        <v>41</v>
      </c>
      <c r="G25">
        <v>1000000</v>
      </c>
    </row>
    <row r="26" spans="1:12" x14ac:dyDescent="0.2">
      <c r="A26" t="s">
        <v>42</v>
      </c>
      <c r="B26" s="4">
        <v>0.4</v>
      </c>
      <c r="C26" t="s">
        <v>48</v>
      </c>
      <c r="D26">
        <f>B25/D23</f>
        <v>0.54879999999999984</v>
      </c>
      <c r="F26" t="s">
        <v>42</v>
      </c>
      <c r="G26" s="4">
        <v>0.25</v>
      </c>
      <c r="H26" t="s">
        <v>48</v>
      </c>
      <c r="I26">
        <f>G25/I23</f>
        <v>0.48828125</v>
      </c>
    </row>
    <row r="27" spans="1:12" x14ac:dyDescent="0.2">
      <c r="F27" t="s">
        <v>47</v>
      </c>
      <c r="G27">
        <v>200000</v>
      </c>
      <c r="H27" t="s">
        <v>13</v>
      </c>
      <c r="I27">
        <f>1-I26</f>
        <v>0.51171875</v>
      </c>
    </row>
    <row r="28" spans="1:12" x14ac:dyDescent="0.2">
      <c r="H28" t="s">
        <v>49</v>
      </c>
      <c r="I28" t="s">
        <v>28</v>
      </c>
      <c r="J28">
        <f>I26</f>
        <v>0.48828125</v>
      </c>
    </row>
    <row r="29" spans="1:12" x14ac:dyDescent="0.2">
      <c r="I29">
        <f>G27</f>
        <v>200000</v>
      </c>
      <c r="J29">
        <f>I27</f>
        <v>0.51171875</v>
      </c>
    </row>
    <row r="30" spans="1:12" x14ac:dyDescent="0.2">
      <c r="H30" t="s">
        <v>28</v>
      </c>
      <c r="I30">
        <f>(J28/J29)*I29</f>
        <v>190839.69465648854</v>
      </c>
    </row>
    <row r="31" spans="1:12" x14ac:dyDescent="0.2">
      <c r="H31" t="s">
        <v>22</v>
      </c>
      <c r="I31">
        <f>G25/I30</f>
        <v>5.24</v>
      </c>
    </row>
  </sheetData>
  <mergeCells count="1">
    <mergeCell ref="C1:O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4C3A-5AA6-4104-A2F1-2E6F0E525F67}">
  <dimension ref="A6:J16"/>
  <sheetViews>
    <sheetView topLeftCell="A5" zoomScale="250" zoomScaleNormal="250" workbookViewId="0">
      <selection activeCell="F17" sqref="F17"/>
    </sheetView>
  </sheetViews>
  <sheetFormatPr defaultRowHeight="14.25" x14ac:dyDescent="0.2"/>
  <cols>
    <col min="1" max="1" width="19.625" customWidth="1"/>
    <col min="5" max="5" width="25.625" customWidth="1"/>
  </cols>
  <sheetData>
    <row r="6" spans="1:10" x14ac:dyDescent="0.2">
      <c r="A6" s="1" t="s">
        <v>50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t="s">
        <v>51</v>
      </c>
      <c r="B7" t="s">
        <v>52</v>
      </c>
      <c r="E7" t="s">
        <v>59</v>
      </c>
    </row>
    <row r="8" spans="1:10" x14ac:dyDescent="0.2">
      <c r="A8" t="s">
        <v>53</v>
      </c>
      <c r="B8" t="s">
        <v>54</v>
      </c>
      <c r="E8" t="s">
        <v>60</v>
      </c>
    </row>
    <row r="9" spans="1:10" x14ac:dyDescent="0.2">
      <c r="A9" t="s">
        <v>55</v>
      </c>
      <c r="B9" t="s">
        <v>56</v>
      </c>
      <c r="C9" s="4">
        <v>0.15</v>
      </c>
      <c r="E9" t="s">
        <v>61</v>
      </c>
      <c r="F9">
        <f>6-2.8</f>
        <v>3.2</v>
      </c>
    </row>
    <row r="10" spans="1:10" x14ac:dyDescent="0.2">
      <c r="A10" t="s">
        <v>57</v>
      </c>
      <c r="B10" t="s">
        <v>58</v>
      </c>
      <c r="C10" s="4">
        <v>0.9</v>
      </c>
      <c r="E10" t="s">
        <v>55</v>
      </c>
      <c r="F10">
        <f>3.6*(1+C9)^6</f>
        <v>8.3270187562499967</v>
      </c>
    </row>
    <row r="11" spans="1:10" x14ac:dyDescent="0.2">
      <c r="C11" s="4">
        <v>0.1</v>
      </c>
      <c r="E11" t="s">
        <v>57</v>
      </c>
      <c r="F11">
        <f>15-3.2-8.33</f>
        <v>3.4700000000000006</v>
      </c>
    </row>
    <row r="12" spans="1:10" x14ac:dyDescent="0.2">
      <c r="A12" t="s">
        <v>64</v>
      </c>
      <c r="B12">
        <f>3.6+0.4*90%</f>
        <v>3.96</v>
      </c>
      <c r="E12" t="s">
        <v>62</v>
      </c>
      <c r="F12">
        <f>F11*C10</f>
        <v>3.1230000000000007</v>
      </c>
    </row>
    <row r="13" spans="1:10" x14ac:dyDescent="0.2">
      <c r="E13" t="s">
        <v>63</v>
      </c>
      <c r="F13">
        <f>F10</f>
        <v>8.3270187562499967</v>
      </c>
    </row>
    <row r="14" spans="1:10" x14ac:dyDescent="0.2">
      <c r="E14" t="s">
        <v>64</v>
      </c>
      <c r="F14">
        <f>F13+F12</f>
        <v>11.450018756249998</v>
      </c>
    </row>
    <row r="16" spans="1:10" x14ac:dyDescent="0.2">
      <c r="C16" t="s">
        <v>65</v>
      </c>
      <c r="D16">
        <f>F14/B12</f>
        <v>2.8914188778409087</v>
      </c>
    </row>
  </sheetData>
  <mergeCells count="1">
    <mergeCell ref="A6:J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BD7D-5B65-4708-BBDA-B6BBEE3E9832}">
  <dimension ref="A1:I23"/>
  <sheetViews>
    <sheetView tabSelected="1" topLeftCell="A10" zoomScale="220" zoomScaleNormal="220" workbookViewId="0">
      <selection activeCell="F13" sqref="F13"/>
    </sheetView>
  </sheetViews>
  <sheetFormatPr defaultRowHeight="14.25" x14ac:dyDescent="0.2"/>
  <cols>
    <col min="1" max="1" width="5.5" customWidth="1"/>
    <col min="2" max="2" width="16.875" customWidth="1"/>
    <col min="3" max="3" width="10.125" customWidth="1"/>
    <col min="4" max="4" width="16.5" customWidth="1"/>
    <col min="5" max="5" width="15" customWidth="1"/>
    <col min="6" max="6" width="14.625" customWidth="1"/>
  </cols>
  <sheetData>
    <row r="1" spans="1:9" x14ac:dyDescent="0.2">
      <c r="A1" t="s">
        <v>66</v>
      </c>
      <c r="B1" t="s">
        <v>67</v>
      </c>
      <c r="E1">
        <v>112.5</v>
      </c>
    </row>
    <row r="2" spans="1:9" x14ac:dyDescent="0.2">
      <c r="B2" t="s">
        <v>75</v>
      </c>
      <c r="C2" t="s">
        <v>74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</row>
    <row r="3" spans="1:9" x14ac:dyDescent="0.2">
      <c r="A3" t="s">
        <v>68</v>
      </c>
    </row>
    <row r="4" spans="1:9" x14ac:dyDescent="0.2">
      <c r="A4" t="s">
        <v>69</v>
      </c>
      <c r="B4">
        <f>C4</f>
        <v>40</v>
      </c>
      <c r="C4">
        <v>40</v>
      </c>
      <c r="D4">
        <f>B4*2%</f>
        <v>0.8</v>
      </c>
      <c r="E4">
        <v>-3</v>
      </c>
      <c r="F4">
        <f>B4-D4+E4</f>
        <v>36.200000000000003</v>
      </c>
      <c r="G4">
        <v>0</v>
      </c>
      <c r="H4">
        <v>0</v>
      </c>
      <c r="I4">
        <f>F4</f>
        <v>36.200000000000003</v>
      </c>
    </row>
    <row r="5" spans="1:9" x14ac:dyDescent="0.2">
      <c r="A5" t="s">
        <v>70</v>
      </c>
      <c r="B5">
        <f>B4+C5</f>
        <v>55</v>
      </c>
      <c r="C5">
        <v>15</v>
      </c>
      <c r="D5">
        <f t="shared" ref="D5:D8" si="0">B5*2%</f>
        <v>1.1000000000000001</v>
      </c>
      <c r="E5">
        <v>4</v>
      </c>
      <c r="F5">
        <f>I4+C5-D5+E5</f>
        <v>54.1</v>
      </c>
      <c r="G5">
        <v>0</v>
      </c>
      <c r="H5">
        <v>0</v>
      </c>
      <c r="I5">
        <f>F5</f>
        <v>54.1</v>
      </c>
    </row>
    <row r="6" spans="1:9" x14ac:dyDescent="0.2">
      <c r="A6" t="s">
        <v>71</v>
      </c>
      <c r="B6">
        <f>B5+C6</f>
        <v>80</v>
      </c>
      <c r="C6">
        <v>25</v>
      </c>
      <c r="D6">
        <f t="shared" si="0"/>
        <v>1.6</v>
      </c>
      <c r="E6">
        <v>11</v>
      </c>
      <c r="F6">
        <f>I5+C6-D6+E6</f>
        <v>88.5</v>
      </c>
      <c r="G6">
        <v>0</v>
      </c>
      <c r="H6">
        <v>0</v>
      </c>
      <c r="I6">
        <f>F6</f>
        <v>88.5</v>
      </c>
    </row>
    <row r="7" spans="1:9" x14ac:dyDescent="0.2">
      <c r="A7" t="s">
        <v>72</v>
      </c>
      <c r="B7">
        <f>B6+C7</f>
        <v>100</v>
      </c>
      <c r="C7">
        <v>20</v>
      </c>
      <c r="D7">
        <f t="shared" si="0"/>
        <v>2</v>
      </c>
      <c r="E7">
        <v>27</v>
      </c>
      <c r="F7">
        <f>I6+C7-D7+E7</f>
        <v>133.5</v>
      </c>
      <c r="G7">
        <f>(F7-E1)*20%</f>
        <v>4.2</v>
      </c>
      <c r="H7">
        <v>19</v>
      </c>
      <c r="I7">
        <f>F7-G7-H7</f>
        <v>110.30000000000001</v>
      </c>
    </row>
    <row r="8" spans="1:9" x14ac:dyDescent="0.2">
      <c r="A8" t="s">
        <v>73</v>
      </c>
      <c r="B8">
        <f>B7+C8</f>
        <v>125</v>
      </c>
      <c r="C8">
        <v>25</v>
      </c>
      <c r="D8" s="3">
        <v>2</v>
      </c>
      <c r="E8">
        <v>34</v>
      </c>
      <c r="F8">
        <f>I7+C8-D8+E8</f>
        <v>167.3</v>
      </c>
      <c r="G8">
        <f>(F8-F7)*20%</f>
        <v>6.7600000000000025</v>
      </c>
      <c r="H8">
        <v>38</v>
      </c>
      <c r="I8">
        <f>F8-G8-H8</f>
        <v>122.54000000000002</v>
      </c>
    </row>
    <row r="9" spans="1:9" x14ac:dyDescent="0.2">
      <c r="D9" t="s">
        <v>82</v>
      </c>
      <c r="H9">
        <f>SUM(H3:H8)</f>
        <v>57</v>
      </c>
    </row>
    <row r="10" spans="1:9" x14ac:dyDescent="0.2">
      <c r="I10">
        <f>(H9+I8)/B8</f>
        <v>1.4363200000000003</v>
      </c>
    </row>
    <row r="11" spans="1:9" x14ac:dyDescent="0.2">
      <c r="D11" t="s">
        <v>83</v>
      </c>
      <c r="E11">
        <f>H9/B8</f>
        <v>0.45600000000000002</v>
      </c>
    </row>
    <row r="12" spans="1:9" x14ac:dyDescent="0.2">
      <c r="D12" t="s">
        <v>84</v>
      </c>
      <c r="E12">
        <f>I8/B8</f>
        <v>0.98032000000000019</v>
      </c>
    </row>
    <row r="13" spans="1:9" x14ac:dyDescent="0.2">
      <c r="D13" t="s">
        <v>85</v>
      </c>
      <c r="E13">
        <f>E11+E12</f>
        <v>1.4363200000000003</v>
      </c>
    </row>
    <row r="15" spans="1:9" x14ac:dyDescent="0.2">
      <c r="B15" t="s">
        <v>79</v>
      </c>
      <c r="C15" s="4">
        <v>0.2</v>
      </c>
      <c r="D15" t="s">
        <v>86</v>
      </c>
      <c r="E15">
        <v>75</v>
      </c>
    </row>
    <row r="16" spans="1:9" x14ac:dyDescent="0.2">
      <c r="B16" t="s">
        <v>75</v>
      </c>
      <c r="C16" t="s">
        <v>74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 t="s">
        <v>81</v>
      </c>
    </row>
    <row r="17" spans="1:8" x14ac:dyDescent="0.2">
      <c r="A17" t="s">
        <v>68</v>
      </c>
    </row>
    <row r="18" spans="1:8" x14ac:dyDescent="0.2">
      <c r="A18" t="s">
        <v>69</v>
      </c>
      <c r="B18" s="5">
        <v>47</v>
      </c>
      <c r="C18" s="5">
        <v>47</v>
      </c>
      <c r="D18" s="5">
        <f>2%*B18</f>
        <v>0.94000000000000006</v>
      </c>
      <c r="E18" s="5">
        <f>F18-(B18-D18)</f>
        <v>3.9399999999999977</v>
      </c>
      <c r="F18" s="5">
        <v>50</v>
      </c>
      <c r="G18" s="5">
        <v>0</v>
      </c>
      <c r="H18" s="5"/>
    </row>
    <row r="19" spans="1:8" x14ac:dyDescent="0.2">
      <c r="A19" t="s">
        <v>70</v>
      </c>
      <c r="B19" s="5">
        <f>B18+C19</f>
        <v>69</v>
      </c>
      <c r="C19" s="5">
        <v>22</v>
      </c>
      <c r="D19" s="5">
        <f t="shared" ref="D19:D22" si="1">2%*B19</f>
        <v>1.3800000000000001</v>
      </c>
      <c r="E19" s="5"/>
      <c r="F19" s="5">
        <v>65.2</v>
      </c>
      <c r="G19" s="5">
        <v>0</v>
      </c>
      <c r="H19" s="5"/>
    </row>
    <row r="20" spans="1:8" x14ac:dyDescent="0.2">
      <c r="A20" t="s">
        <v>71</v>
      </c>
      <c r="B20" s="5">
        <f>B19+C20</f>
        <v>74</v>
      </c>
      <c r="C20" s="5">
        <v>5</v>
      </c>
      <c r="D20" s="5">
        <f t="shared" si="1"/>
        <v>1.48</v>
      </c>
      <c r="E20" s="5"/>
      <c r="F20" s="5">
        <v>77.099999999999994</v>
      </c>
      <c r="G20" s="5">
        <f>(F20-E15)*20%</f>
        <v>0.41999999999999887</v>
      </c>
      <c r="H20" s="5"/>
    </row>
    <row r="21" spans="1:8" x14ac:dyDescent="0.2">
      <c r="A21" t="s">
        <v>72</v>
      </c>
      <c r="B21" s="5">
        <f>B20+C21</f>
        <v>74</v>
      </c>
      <c r="C21" s="5">
        <v>0</v>
      </c>
      <c r="D21" s="5">
        <f t="shared" si="1"/>
        <v>1.48</v>
      </c>
      <c r="E21" s="5"/>
      <c r="F21" s="5">
        <v>90.4</v>
      </c>
      <c r="G21" s="5">
        <f>(F21-F20)*20%</f>
        <v>2.6600000000000024</v>
      </c>
      <c r="H21" s="5"/>
    </row>
    <row r="22" spans="1:8" x14ac:dyDescent="0.2">
      <c r="A22" t="s">
        <v>73</v>
      </c>
      <c r="B22" s="5">
        <f>B21+C22</f>
        <v>74</v>
      </c>
      <c r="C22" s="5">
        <v>0</v>
      </c>
      <c r="D22" s="5">
        <f>2%*B22</f>
        <v>1.48</v>
      </c>
      <c r="E22" s="5"/>
      <c r="F22" s="5">
        <v>100.7</v>
      </c>
      <c r="G22" s="5">
        <f>(F22-F21)*20%</f>
        <v>2.0599999999999996</v>
      </c>
      <c r="H22" s="5"/>
    </row>
    <row r="23" spans="1:8" x14ac:dyDescent="0.2">
      <c r="B23" s="5"/>
      <c r="C23" s="5"/>
      <c r="D23" s="5"/>
      <c r="E23" s="5"/>
      <c r="F23" s="5"/>
      <c r="G23" s="5">
        <f>SUM(G18:G22)</f>
        <v>5.1400000000000006</v>
      </c>
      <c r="H2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2021-05-21T04:08:44Z</dcterms:modified>
</cp:coreProperties>
</file>