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0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willi\Desktop\gestaopet\Projeto\python\data\excel_input\"/>
    </mc:Choice>
  </mc:AlternateContent>
  <xr:revisionPtr revIDLastSave="0" documentId="13_ncr:1_{15C5B555-DB3F-4772-BBFE-91AE29E226BF}" xr6:coauthVersionLast="47" xr6:coauthVersionMax="47" xr10:uidLastSave="{00000000-0000-0000-0000-000000000000}"/>
  <bookViews>
    <workbookView xWindow="-120" yWindow="-120" windowWidth="20730" windowHeight="11760" tabRatio="684" activeTab="3" xr2:uid="{8D7CF18F-EA29-4B6E-8A5A-FE1D01CA6EEE}"/>
  </bookViews>
  <sheets>
    <sheet name="Resumo" sheetId="1" r:id="rId1"/>
    <sheet name="Cubo" sheetId="8" state="hidden" r:id="rId2"/>
    <sheet name="Data_Exp" sheetId="5" r:id="rId3"/>
    <sheet name="Indicador" sheetId="4" r:id="rId4"/>
    <sheet name="Import" sheetId="7" r:id="rId5"/>
    <sheet name="Verificação" sheetId="9" r:id="rId6"/>
    <sheet name="Planilha1" sheetId="10" r:id="rId7"/>
  </sheets>
  <definedNames>
    <definedName name="_xlnm._FilterDatabase" localSheetId="2" hidden="1">Data_Exp!$A$1:$D$87</definedName>
    <definedName name="DadosExternos_1" localSheetId="3" hidden="1">Indicador!$A$1:$AA$57</definedName>
    <definedName name="procv">Data_Exp!$A$1:$C$168</definedName>
    <definedName name="SegmentaçãodeDados_Date_Hierarchy">#N/A</definedName>
    <definedName name="SegmentaçãodeDados_Date_Hierarchy1">#N/A</definedName>
  </definedNames>
  <calcPr calcId="191029"/>
  <pivotCaches>
    <pivotCache cacheId="0" r:id="rId8"/>
    <pivotCache cacheId="1" r:id="rId9"/>
    <pivotCache cacheId="2" r:id="rId10"/>
    <pivotCache cacheId="3" r:id="rId11"/>
    <pivotCache cacheId="4" r:id="rId12"/>
    <pivotCache cacheId="5" r:id="rId13"/>
    <pivotCache cacheId="6" r:id="rId14"/>
    <pivotCache cacheId="7" r:id="rId15"/>
    <pivotCache cacheId="8" r:id="rId16"/>
    <pivotCache cacheId="9" r:id="rId17"/>
    <pivotCache cacheId="10" r:id="rId18"/>
  </pivotCaches>
  <extLst>
    <ext xmlns:x14="http://schemas.microsoft.com/office/spreadsheetml/2009/9/main" uri="{876F7934-8845-4945-9796-88D515C7AA90}">
      <x14:pivotCaches>
        <pivotCache cacheId="11" r:id="rId19"/>
        <pivotCache cacheId="12" r:id="rId20"/>
      </x14:pivotCaches>
    </ext>
    <ext xmlns:x14="http://schemas.microsoft.com/office/spreadsheetml/2009/9/main" uri="{BBE1A952-AA13-448e-AADC-164F8A28A991}">
      <x14:slicerCaches>
        <x14:slicerCache r:id="rId21"/>
        <x14:slicerCache r:id="rId2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Vendas_69105357-28a7-4714-989a-fe1795adf0b6" name="Vendas" connection="Consulta - Vendas"/>
          <x15:modelTable id="Reagrupa_a76f7ff6-b8eb-412d-b971-8620d732bf83" name="Reagrupa" connection="Consulta - Reagrupa"/>
          <x15:modelTable id="Pilar_e8c85442-4443-4813-8f1c-f522a92bf5a8" name="Pilar" connection="Consulta - Pilar"/>
          <x15:modelTable id="Calendar" name="Calendar" connection="Conexão"/>
        </x15:modelTables>
        <x15:modelRelationships>
          <x15:modelRelationship fromTable="Vendas" fromColumn="Data e hora" toTable="Calendar" toColumn="Date"/>
          <x15:modelRelationship fromTable="Vendas" fromColumn="Produto/serviço" toTable="Reagrupa" toColumn="PRODUTOS/SERVIÇO"/>
          <x15:modelRelationship fromTable="Reagrupa" fromColumn="GRUPO" toTable="Pilar" toColumn="Grupo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4" l="1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2" i="4"/>
  <c r="G9" i="8"/>
  <c r="A16" i="8"/>
  <c r="A5" i="8"/>
  <c r="B45" i="5"/>
  <c r="B14" i="8"/>
  <c r="J9" i="8"/>
  <c r="D18" i="8"/>
  <c r="J7" i="8"/>
  <c r="J5" i="8"/>
  <c r="B1" i="8"/>
  <c r="B9" i="5"/>
  <c r="B7" i="5"/>
  <c r="B25" i="5"/>
  <c r="D19" i="8"/>
  <c r="B14" i="5"/>
  <c r="B39" i="5"/>
  <c r="B54" i="5"/>
  <c r="D4" i="8"/>
  <c r="D7" i="8"/>
  <c r="B44" i="5"/>
  <c r="I21" i="1"/>
  <c r="B12" i="5"/>
  <c r="A8" i="8"/>
  <c r="B3" i="5"/>
  <c r="B55" i="5"/>
  <c r="B30" i="5"/>
  <c r="B18" i="5"/>
  <c r="C5" i="8"/>
  <c r="B43" i="5"/>
  <c r="I6" i="8"/>
  <c r="C20" i="8"/>
  <c r="B12" i="8"/>
  <c r="B6" i="5"/>
  <c r="B15" i="8"/>
  <c r="C10" i="8"/>
  <c r="I8" i="8"/>
  <c r="B59" i="5"/>
  <c r="XCU5" i="1"/>
  <c r="D10" i="8"/>
  <c r="B34" i="5"/>
  <c r="G6" i="8"/>
  <c r="B23" i="5"/>
  <c r="H1" i="8"/>
  <c r="B17" i="5"/>
  <c r="XCU6" i="1"/>
  <c r="H5" i="8"/>
  <c r="H8" i="8"/>
  <c r="D15" i="8"/>
  <c r="H6" i="8"/>
  <c r="B40" i="5"/>
  <c r="C19" i="8"/>
  <c r="A9" i="8"/>
  <c r="B42" i="5"/>
  <c r="B4" i="5"/>
  <c r="D11" i="8"/>
  <c r="D13" i="8"/>
  <c r="B26" i="5"/>
  <c r="C12" i="8"/>
  <c r="D5" i="8"/>
  <c r="C6" i="8"/>
  <c r="B8" i="8"/>
  <c r="D20" i="8"/>
  <c r="B36" i="5"/>
  <c r="B8" i="5"/>
  <c r="C17" i="8"/>
  <c r="A20" i="8"/>
  <c r="G10" i="8"/>
  <c r="H4" i="8"/>
  <c r="A18" i="8"/>
  <c r="B24" i="5"/>
  <c r="B57" i="5"/>
  <c r="B58" i="5"/>
  <c r="J8" i="8"/>
  <c r="D9" i="8"/>
  <c r="B16" i="8"/>
  <c r="B9" i="8"/>
  <c r="D16" i="8"/>
  <c r="B13" i="8"/>
  <c r="J6" i="8"/>
  <c r="I7" i="8"/>
  <c r="B10" i="8"/>
  <c r="H10" i="8"/>
  <c r="D17" i="8"/>
  <c r="A12" i="8"/>
  <c r="J10" i="8"/>
  <c r="C16" i="8"/>
  <c r="B19" i="5"/>
  <c r="B2" i="5"/>
  <c r="B7" i="8"/>
  <c r="B21" i="5"/>
  <c r="B28" i="5"/>
  <c r="B20" i="8"/>
  <c r="C8" i="8"/>
  <c r="D14" i="8"/>
  <c r="B37" i="5"/>
  <c r="I10" i="8"/>
  <c r="A7" i="8"/>
  <c r="A10" i="8"/>
  <c r="B38" i="5"/>
  <c r="H9" i="8"/>
  <c r="B5" i="8"/>
  <c r="B52" i="5"/>
  <c r="B56" i="5"/>
  <c r="B13" i="5"/>
  <c r="G5" i="8"/>
  <c r="B5" i="5"/>
  <c r="G8" i="8"/>
  <c r="J4" i="8"/>
  <c r="B29" i="5"/>
  <c r="B51" i="5"/>
  <c r="B50" i="5"/>
  <c r="B33" i="5"/>
  <c r="B11" i="8"/>
  <c r="B41" i="5"/>
  <c r="I9" i="8"/>
  <c r="C18" i="8"/>
  <c r="B2" i="8"/>
  <c r="H2" i="1"/>
  <c r="H2" i="8"/>
  <c r="B6" i="8"/>
  <c r="B17" i="8"/>
  <c r="C21" i="8"/>
  <c r="C9" i="8"/>
  <c r="XCU4" i="1"/>
  <c r="B20" i="5"/>
  <c r="B19" i="8"/>
  <c r="B4" i="8"/>
  <c r="B27" i="5"/>
  <c r="B22" i="5"/>
  <c r="B46" i="5"/>
  <c r="C13" i="8"/>
  <c r="B18" i="8"/>
  <c r="D12" i="8"/>
  <c r="D8" i="8"/>
  <c r="H7" i="8"/>
  <c r="A21" i="8"/>
  <c r="D21" i="8"/>
  <c r="D6" i="8"/>
  <c r="C14" i="8"/>
  <c r="C11" i="8"/>
  <c r="B32" i="5"/>
  <c r="B31" i="5"/>
  <c r="B53" i="5"/>
  <c r="B11" i="5"/>
  <c r="B10" i="5"/>
  <c r="B21" i="8"/>
  <c r="C7" i="8"/>
  <c r="B16" i="5"/>
  <c r="C15" i="8"/>
  <c r="G7" i="8"/>
  <c r="C4" i="8"/>
  <c r="A13" i="8"/>
  <c r="A11" i="8"/>
  <c r="A19" i="8"/>
  <c r="I5" i="8"/>
  <c r="XCV3" i="1"/>
  <c r="B15" i="5"/>
  <c r="B49" i="5"/>
  <c r="B35" i="5"/>
  <c r="A17" i="8"/>
  <c r="A14" i="8"/>
  <c r="A15" i="8"/>
  <c r="A6" i="8"/>
  <c r="I4" i="8"/>
  <c r="XCV6" i="1"/>
  <c r="XCV4" i="1"/>
  <c r="B48" i="5" l="1"/>
  <c r="B47" i="5"/>
  <c r="XCV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F7BD4EF-00B0-4299-A45E-4363FA1A9CEC}" name="Conexão" type="104" refreshedVersion="0" background="1">
    <extLst>
      <ext xmlns:x15="http://schemas.microsoft.com/office/spreadsheetml/2010/11/main" uri="{DE250136-89BD-433C-8126-D09CA5730AF9}">
        <x15:connection id="Calendar"/>
      </ext>
    </extLst>
  </connection>
  <connection id="2" xr16:uid="{CD245920-1A88-4B51-8CED-ADFD773DE1E7}" keepAlive="1" name="Consulta - Arquivo de Amostra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3" xr16:uid="{33178F27-E72D-4B74-9A0C-2CD1E5E088F6}" keepAlive="1" name="Consulta - Arquivo de Amostra (2)" description="Conexão com a consulta 'Arquivo de Amostra (2)' na pasta de trabalho." type="5" refreshedVersion="0" background="1">
    <dbPr connection="Provider=Microsoft.Mashup.OleDb.1;Data Source=$Workbook$;Location=&quot;Arquivo de Amostra (2)&quot;;Extended Properties=&quot;&quot;" command="SELECT * FROM [Arquivo de Amostra (2)]"/>
  </connection>
  <connection id="4" xr16:uid="{68A08B36-7BC4-46C6-85EC-5DA24AF94784}" keepAlive="1" name="Consulta - Indicador" description="Conexão com a consulta 'Indicador' na pasta de trabalho." type="5" refreshedVersion="8" background="1" saveData="1">
    <dbPr connection="Provider=Microsoft.Mashup.OleDb.1;Data Source=$Workbook$;Location=Indicador;Extended Properties=&quot;&quot;" command="SELECT * FROM [Indicador]"/>
  </connection>
  <connection id="5" xr16:uid="{8033C510-B3DA-4D63-94F5-CFA19F960706}" keepAlive="1" name="Consulta - Parâmetro1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6" xr16:uid="{57F3633A-461A-4A9B-909A-8941C06D6328}" keepAlive="1" name="Consulta - Parâmetro2" description="Conexão com a consulta 'Parâmetro2' na pasta de trabalho." type="5" refreshedVersion="0" background="1">
    <dbPr connection="Provider=Microsoft.Mashup.OleDb.1;Data Source=$Workbook$;Location=Parâmetro2;Extended Properties=&quot;&quot;" command="SELECT * FROM [Parâmetro2]"/>
  </connection>
  <connection id="7" xr16:uid="{983E18C9-4583-4D31-99BE-25CC1B2B226D}" name="Consulta - Pilar" description="Conexão com a consulta 'Pilar' na pasta de trabalho." type="100" refreshedVersion="8" minRefreshableVersion="5">
    <extLst>
      <ext xmlns:x15="http://schemas.microsoft.com/office/spreadsheetml/2010/11/main" uri="{DE250136-89BD-433C-8126-D09CA5730AF9}">
        <x15:connection id="ed3a504a-ecdd-4080-9ab1-afcd99735716">
          <x15:oledbPr connection="Provider=Microsoft.Mashup.OleDb.1;Data Source=$Workbook$;Location=Pilar;Extended Properties=&quot;&quot;">
            <x15:dbTables>
              <x15:dbTable name="Pilar"/>
            </x15:dbTables>
          </x15:oledbPr>
        </x15:connection>
      </ext>
    </extLst>
  </connection>
  <connection id="8" xr16:uid="{2467F47E-AFAD-4ED7-8287-FFDA14D709C8}" name="Consulta - Reagrupa" description="Conexão com a consulta 'Reagrupa' na pasta de trabalho." type="100" refreshedVersion="8" minRefreshableVersion="5">
    <extLst>
      <ext xmlns:x15="http://schemas.microsoft.com/office/spreadsheetml/2010/11/main" uri="{DE250136-89BD-433C-8126-D09CA5730AF9}">
        <x15:connection id="a269e513-03c7-4afd-802a-6682307dd621"/>
      </ext>
    </extLst>
  </connection>
  <connection id="9" xr16:uid="{0A81C2C2-994D-4BFD-BB0F-7B2667269781}" keepAlive="1" name="Consulta - Transformar Arquivo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10" xr16:uid="{30CFCCDE-7FEA-43E7-A582-D04FF352EBF3}" keepAlive="1" name="Consulta - Transformar Arquivo (2)" description="Conexão com a consulta 'Transformar Arquivo (2)' na pasta de trabalho." type="5" refreshedVersion="0" background="1">
    <dbPr connection="Provider=Microsoft.Mashup.OleDb.1;Data Source=$Workbook$;Location=&quot;Transformar Arquivo (2)&quot;;Extended Properties=&quot;&quot;" command="SELECT * FROM [Transformar Arquivo (2)]"/>
  </connection>
  <connection id="11" xr16:uid="{F1C44A20-6181-4955-A56D-7EF9FE4AEE13}" keepAlive="1" name="Consulta - Transformar o Arquivo de Exemplo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  <connection id="12" xr16:uid="{145713E3-B0AF-48D1-A48D-751AEFD6C74C}" keepAlive="1" name="Consulta - Transformar o Arquivo de Exemplo (2)" description="Conexão com a consulta 'Transformar o Arquivo de Exemplo (2)' na pasta de trabalho." type="5" refreshedVersion="0" background="1">
    <dbPr connection="Provider=Microsoft.Mashup.OleDb.1;Data Source=$Workbook$;Location=&quot;Transformar o Arquivo de Exemplo (2)&quot;;Extended Properties=&quot;&quot;" command="SELECT * FROM [Transformar o Arquivo de Exemplo (2)]"/>
  </connection>
  <connection id="13" xr16:uid="{A2103C40-F4F1-4FA4-AECB-3B42F157E8AF}" name="Consulta - Vendas" description="Conexão com a consulta 'Vendas' na pasta de trabalho." type="100" refreshedVersion="8" minRefreshableVersion="5">
    <extLst>
      <ext xmlns:x15="http://schemas.microsoft.com/office/spreadsheetml/2010/11/main" uri="{DE250136-89BD-433C-8126-D09CA5730AF9}">
        <x15:connection id="81a1ac10-48c7-4535-850d-133bc202c03d"/>
      </ext>
    </extLst>
  </connection>
  <connection id="14" xr16:uid="{D6A28D2F-16F5-4E10-A7F3-36D15714117B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43">
    <s v="ThisWorkbookDataModel"/>
    <s v="[Calendar].[Year].&amp;[2022]"/>
    <s v="[Measures].[QTD de Clientes]"/>
    <s v="[Calendar].[Year].[All]"/>
    <s v="[Measures].[Preço Médio]"/>
    <s v="[Measures].[Total Quanditade]"/>
    <s v="[Measures].[Total Bruto]"/>
    <s v="#,0.00"/>
    <s v="[Reagrupa].[GRUPO].[All]"/>
    <s v="[Calendar].[Month].&amp;[fevereiro]"/>
    <s v="{[Calendar].[Date Hierarchy].[Year].&amp;[2022].&amp;[fevereiro]}"/>
    <s v="[Measures].[Ticket Médio]"/>
    <s v="[Measures].[Fat. Méd. Clientes]"/>
    <s v="[Pilar].[Pilar].&amp;[Clínica]"/>
    <s v="[Pilar].[Pilar].[All]"/>
    <s v="[Reagrupa].[GRUPO].&amp;[Cirurgias]"/>
    <s v="[Reagrupa].[GRUPO].&amp;[Consultas]"/>
    <s v="[Reagrupa].[GRUPO].&amp;[Internação]"/>
    <s v="[Reagrupa].[GRUPO].&amp;[Farmácia]"/>
    <s v="[Reagrupa].[GRUPO].&amp;[Alimentos]"/>
    <s v="[Reagrupa].[GRUPO].&amp;[Anestesias]"/>
    <s v="[Reagrupa].[GRUPO].&amp;[Vacinas]"/>
    <s v="[Reagrupa].[GRUPO].&amp;[Especialidades]"/>
    <s v="[Reagrupa].[GRUPO].&amp;[Procedimentos Internação]"/>
    <s v="[Reagrupa].[GRUPO].&amp;[Emergencia]"/>
    <s v="[Reagrupa].[GRUPO].&amp;[Procedimentos Clinica]"/>
    <s v="[Reagrupa].[GRUPO].&amp;[Doação]"/>
    <s v="[Reagrupa].[GRUPO].&amp;[Insumos]"/>
    <s v="[Reagrupa].[GRUPO].&amp;[Aluguel CC]"/>
    <s v="[Reagrupa].[GRUPO].&amp;[Laboratório]"/>
    <s v="[Reagrupa].[GRUPO].&amp;[Imagem]"/>
    <s v="[Pilar].[Pilar].&amp;[Insumos]"/>
    <s v="[Pilar].[Pilar].&amp;[Internação]"/>
    <s v="[Pilar].[Pilar].&amp;[Cirurgia]"/>
    <s v="[Pilar].[Pilar].&amp;[Exames]"/>
    <s v="[Measures].[Consultas/Cirurgias]"/>
    <s v="[Measures].[Consultas/Internação]"/>
    <s v="[Measures].[Consultas/Exames]"/>
    <s v="[Calendar].[Month].&amp;[abril]"/>
    <s v="{[Calendar].[Date Hierarchy].[Year].&amp;[2022].&amp;[abril]}"/>
    <s v="[Calendar].[Month].&amp;[maio]"/>
    <s v="{[Calendar].[Date Hierarchy].[Year].&amp;[2022].&amp;[maio]}"/>
    <s v="{[Calendar].[Date Hierarchy].[Year].&amp;[2021].&amp;[dezembro],[Calendar].[Date Hierarchy].[Year].&amp;[2022].&amp;[abril],[Calendar].[Date Hierarchy].[Year].&amp;[2022].&amp;[fevereiro],[Calendar].[Date Hierarchy].[Year].&amp;[2022].&amp;[janeiro],[Calendar].[Date Hierarchy].[Year].&amp;[2022].&amp;[maio],[Calendar].[Date Hierarchy].[Year].&amp;[2022].&amp;[março]}"/>
  </metadataStrings>
  <mdxMetadata count="211">
    <mdx n="0" f="m">
      <t c="1">
        <n x="1"/>
      </t>
    </mdx>
    <mdx n="0" f="m">
      <t c="1">
        <n x="4"/>
      </t>
    </mdx>
    <mdx n="0" f="m">
      <t c="1">
        <n x="5"/>
      </t>
    </mdx>
    <mdx n="0" f="m">
      <t c="1">
        <n x="6"/>
      </t>
    </mdx>
    <mdx n="0" f="m">
      <t c="1">
        <n x="8"/>
      </t>
    </mdx>
    <mdx n="0" f="m">
      <t c="1">
        <n x="11"/>
      </t>
    </mdx>
    <mdx n="0" f="m">
      <t c="1">
        <n x="12"/>
      </t>
    </mdx>
    <mdx n="0" f="m">
      <t c="1">
        <n x="13"/>
      </t>
    </mdx>
    <mdx n="0" f="m">
      <t c="1">
        <n x="14"/>
      </t>
    </mdx>
    <mdx n="0" f="v">
      <t c="5" si="7">
        <n x="1"/>
        <n x="9"/>
        <n x="14"/>
        <n x="11"/>
        <n x="10" s="1"/>
      </t>
    </mdx>
    <mdx n="0" f="m">
      <t c="1">
        <n x="15"/>
      </t>
    </mdx>
    <mdx n="0" f="m">
      <t c="1">
        <n x="16"/>
      </t>
    </mdx>
    <mdx n="0" f="v">
      <t c="5" si="7">
        <n x="1"/>
        <n x="9"/>
        <n x="15"/>
        <n x="6"/>
        <n x="10" s="1"/>
      </t>
    </mdx>
    <mdx n="0" f="v">
      <t c="5" si="7">
        <n x="1"/>
        <n x="9"/>
        <n x="16"/>
        <n x="6"/>
        <n x="10" s="1"/>
      </t>
    </mdx>
    <mdx n="0" f="v">
      <t c="5" fi="0">
        <n x="1"/>
        <n x="9"/>
        <n x="15"/>
        <n x="5"/>
        <n x="10" s="1"/>
      </t>
    </mdx>
    <mdx n="0" f="v">
      <t c="5" fi="0">
        <n x="1"/>
        <n x="9"/>
        <n x="16"/>
        <n x="5"/>
        <n x="10" s="1"/>
      </t>
    </mdx>
    <mdx n="0" f="v">
      <t c="5" si="7">
        <n x="1"/>
        <n x="9"/>
        <n x="15"/>
        <n x="4"/>
        <n x="10" s="1"/>
      </t>
    </mdx>
    <mdx n="0" f="v">
      <t c="5" si="7">
        <n x="1"/>
        <n x="9"/>
        <n x="16"/>
        <n x="4"/>
        <n x="10" s="1"/>
      </t>
    </mdx>
    <mdx n="0" f="m">
      <t c="1">
        <n x="17"/>
      </t>
    </mdx>
    <mdx n="0" f="m">
      <t c="1">
        <n x="18"/>
      </t>
    </mdx>
    <mdx n="0" f="m">
      <t c="1">
        <n x="19"/>
      </t>
    </mdx>
    <mdx n="0" f="m">
      <t c="1">
        <n x="20"/>
      </t>
    </mdx>
    <mdx n="0" f="m">
      <t c="1">
        <n x="21"/>
      </t>
    </mdx>
    <mdx n="0" f="m">
      <t c="1">
        <n x="22"/>
      </t>
    </mdx>
    <mdx n="0" f="m">
      <t c="1">
        <n x="23"/>
      </t>
    </mdx>
    <mdx n="0" f="m">
      <t c="1">
        <n x="24"/>
      </t>
    </mdx>
    <mdx n="0" f="m">
      <t c="1">
        <n x="25"/>
      </t>
    </mdx>
    <mdx n="0" f="m">
      <t c="1">
        <n x="26"/>
      </t>
    </mdx>
    <mdx n="0" f="m">
      <t c="1">
        <n x="27"/>
      </t>
    </mdx>
    <mdx n="0" f="m">
      <t c="1">
        <n x="28"/>
      </t>
    </mdx>
    <mdx n="0" f="m">
      <t c="1">
        <n x="29"/>
      </t>
    </mdx>
    <mdx n="0" f="m">
      <t c="1">
        <n x="30"/>
      </t>
    </mdx>
    <mdx n="0" f="v">
      <t c="5" si="7">
        <n x="1"/>
        <n x="9"/>
        <n x="23"/>
        <n x="6"/>
        <n x="10" s="1"/>
      </t>
    </mdx>
    <mdx n="0" f="v">
      <t c="5" fi="0">
        <n x="1"/>
        <n x="9"/>
        <n x="17"/>
        <n x="5"/>
        <n x="10" s="1"/>
      </t>
    </mdx>
    <mdx n="0" f="v">
      <t c="5" si="7">
        <n x="1"/>
        <n x="9"/>
        <n x="18"/>
        <n x="4"/>
        <n x="10" s="1"/>
      </t>
    </mdx>
    <mdx n="0" f="v">
      <t c="5" si="7">
        <n x="1"/>
        <n x="9"/>
        <n x="24"/>
        <n x="6"/>
        <n x="10" s="1"/>
      </t>
    </mdx>
    <mdx n="0" f="v">
      <t c="5" si="7">
        <n x="1"/>
        <n x="9"/>
        <n x="19"/>
        <n x="4"/>
        <n x="10" s="1"/>
      </t>
    </mdx>
    <mdx n="0" f="v">
      <t c="5" si="7">
        <n x="1"/>
        <n x="9"/>
        <n x="25"/>
        <n x="4"/>
        <n x="10" s="1"/>
      </t>
    </mdx>
    <mdx n="0" f="v">
      <t c="5" si="7">
        <n x="1"/>
        <n x="9"/>
        <n x="26"/>
        <n x="4"/>
        <n x="10" s="1"/>
      </t>
    </mdx>
    <mdx n="0" f="v">
      <t c="5" si="7">
        <n x="1"/>
        <n x="9"/>
        <n x="21"/>
        <n x="4"/>
        <n x="10" s="1"/>
      </t>
    </mdx>
    <mdx n="0" f="v">
      <t c="5" si="7">
        <n x="1"/>
        <n x="9"/>
        <n x="25"/>
        <n x="6"/>
        <n x="10" s="1"/>
      </t>
    </mdx>
    <mdx n="0" f="v">
      <t c="5" si="7">
        <n x="1"/>
        <n x="9"/>
        <n x="22"/>
        <n x="4"/>
        <n x="10" s="1"/>
      </t>
    </mdx>
    <mdx n="0" f="v">
      <t c="5" si="7">
        <n x="1"/>
        <n x="9"/>
        <n x="26"/>
        <n x="6"/>
        <n x="10" s="1"/>
      </t>
    </mdx>
    <mdx n="0" f="v">
      <t c="5" fi="0">
        <n x="1"/>
        <n x="9"/>
        <n x="20"/>
        <n x="5"/>
        <n x="10" s="1"/>
      </t>
    </mdx>
    <mdx n="0" f="v">
      <t c="5" si="7">
        <n x="1"/>
        <n x="9"/>
        <n x="18"/>
        <n x="6"/>
        <n x="10" s="1"/>
      </t>
    </mdx>
    <mdx n="0" f="v">
      <t c="5" fi="0">
        <n x="1"/>
        <n x="9"/>
        <n x="21"/>
        <n x="5"/>
        <n x="10" s="1"/>
      </t>
    </mdx>
    <mdx n="0" f="v">
      <t c="5" si="7">
        <n x="1"/>
        <n x="9"/>
        <n x="29"/>
        <n x="4"/>
        <n x="10" s="1"/>
      </t>
    </mdx>
    <mdx n="0" f="v">
      <t c="5" fi="0">
        <n x="1"/>
        <n x="9"/>
        <n x="22"/>
        <n x="5"/>
        <n x="10" s="1"/>
      </t>
    </mdx>
    <mdx n="0" f="v">
      <t c="5" si="7">
        <n x="1"/>
        <n x="9"/>
        <n x="20"/>
        <n x="6"/>
        <n x="10" s="1"/>
      </t>
    </mdx>
    <mdx n="0" f="v">
      <t c="5" fi="0">
        <n x="1"/>
        <n x="9"/>
        <n x="19"/>
        <n x="5"/>
        <n x="10" s="1"/>
      </t>
    </mdx>
    <mdx n="0" f="v">
      <t c="5" si="7">
        <n x="1"/>
        <n x="9"/>
        <n x="20"/>
        <n x="4"/>
        <n x="10" s="1"/>
      </t>
    </mdx>
    <mdx n="0" f="v">
      <t c="5" si="7">
        <n x="1"/>
        <n x="9"/>
        <n x="21"/>
        <n x="6"/>
        <n x="10" s="1"/>
      </t>
    </mdx>
    <mdx n="0" f="v">
      <t c="5" fi="0">
        <n x="1"/>
        <n x="9"/>
        <n x="29"/>
        <n x="5"/>
        <n x="10" s="1"/>
      </t>
    </mdx>
    <mdx n="0" f="v">
      <t c="5" si="7">
        <n x="1"/>
        <n x="9"/>
        <n x="30"/>
        <n x="4"/>
        <n x="10" s="1"/>
      </t>
    </mdx>
    <mdx n="0" f="v">
      <t c="5" si="7">
        <n x="1"/>
        <n x="9"/>
        <n x="22"/>
        <n x="6"/>
        <n x="10" s="1"/>
      </t>
    </mdx>
    <mdx n="0" f="v">
      <t c="5" si="7">
        <n x="1"/>
        <n x="9"/>
        <n x="28"/>
        <n x="4"/>
        <n x="10" s="1"/>
      </t>
    </mdx>
    <mdx n="0" f="v">
      <t c="5" si="7">
        <n x="1"/>
        <n x="9"/>
        <n x="19"/>
        <n x="6"/>
        <n x="10" s="1"/>
      </t>
    </mdx>
    <mdx n="0" f="v">
      <t c="5" si="7">
        <n x="1"/>
        <n x="9"/>
        <n x="23"/>
        <n x="4"/>
        <n x="10" s="1"/>
      </t>
    </mdx>
    <mdx n="0" f="v">
      <t c="5" si="7">
        <n x="1"/>
        <n x="9"/>
        <n x="29"/>
        <n x="6"/>
        <n x="10" s="1"/>
      </t>
    </mdx>
    <mdx n="0" f="v">
      <t c="5" fi="0">
        <n x="1"/>
        <n x="9"/>
        <n x="30"/>
        <n x="5"/>
        <n x="10" s="1"/>
      </t>
    </mdx>
    <mdx n="0" f="v">
      <t c="5" si="7">
        <n x="1"/>
        <n x="9"/>
        <n x="24"/>
        <n x="4"/>
        <n x="10" s="1"/>
      </t>
    </mdx>
    <mdx n="0" f="v">
      <t c="5" fi="0">
        <n x="1"/>
        <n x="9"/>
        <n x="28"/>
        <n x="5"/>
        <n x="10" s="1"/>
      </t>
    </mdx>
    <mdx n="0" f="v">
      <t c="5" fi="0">
        <n x="1"/>
        <n x="9"/>
        <n x="18"/>
        <n x="5"/>
        <n x="10" s="1"/>
      </t>
    </mdx>
    <mdx n="0" f="v">
      <t c="5" fi="0">
        <n x="1"/>
        <n x="9"/>
        <n x="26"/>
        <n x="5"/>
        <n x="10" s="1"/>
      </t>
    </mdx>
    <mdx n="0" f="v">
      <t c="5" fi="0">
        <n x="1"/>
        <n x="9"/>
        <n x="23"/>
        <n x="5"/>
        <n x="10" s="1"/>
      </t>
    </mdx>
    <mdx n="0" f="v">
      <t c="5" si="7">
        <n x="1"/>
        <n x="9"/>
        <n x="17"/>
        <n x="4"/>
        <n x="10" s="1"/>
      </t>
    </mdx>
    <mdx n="0" f="v">
      <t c="5" si="7">
        <n x="1"/>
        <n x="9"/>
        <n x="30"/>
        <n x="6"/>
        <n x="10" s="1"/>
      </t>
    </mdx>
    <mdx n="0" f="v">
      <t c="5" fi="0">
        <n x="1"/>
        <n x="9"/>
        <n x="24"/>
        <n x="5"/>
        <n x="10" s="1"/>
      </t>
    </mdx>
    <mdx n="0" f="v">
      <t c="5" si="7">
        <n x="1"/>
        <n x="9"/>
        <n x="28"/>
        <n x="6"/>
        <n x="10" s="1"/>
      </t>
    </mdx>
    <mdx n="0" f="v">
      <t c="5" si="7">
        <n x="1"/>
        <n x="9"/>
        <n x="17"/>
        <n x="6"/>
        <n x="10" s="1"/>
      </t>
    </mdx>
    <mdx n="0" f="v">
      <t c="5" fi="0">
        <n x="1"/>
        <n x="9"/>
        <n x="25"/>
        <n x="5"/>
        <n x="10" s="1"/>
      </t>
    </mdx>
    <mdx n="0" f="m">
      <t c="1">
        <n x="31"/>
      </t>
    </mdx>
    <mdx n="0" f="m">
      <t c="1">
        <n x="32"/>
      </t>
    </mdx>
    <mdx n="0" f="m">
      <t c="1">
        <n x="33"/>
      </t>
    </mdx>
    <mdx n="0" f="m">
      <t c="1">
        <n x="34"/>
      </t>
    </mdx>
    <mdx n="0" f="v">
      <t c="5" si="7">
        <n x="1"/>
        <n x="9"/>
        <n x="34"/>
        <n x="4"/>
        <n x="10" s="1"/>
      </t>
    </mdx>
    <mdx n="0" f="m">
      <t c="1">
        <n x="9"/>
      </t>
    </mdx>
    <mdx n="0" f="m">
      <t c="1">
        <n x="35"/>
      </t>
    </mdx>
    <mdx n="0" f="m">
      <t c="1">
        <n x="36"/>
      </t>
    </mdx>
    <mdx n="0" f="m">
      <t c="1">
        <n x="37"/>
      </t>
    </mdx>
    <mdx n="0" f="v">
      <t c="4" si="7">
        <n x="1"/>
        <n x="9"/>
        <n x="35"/>
        <n x="10" s="1"/>
      </t>
    </mdx>
    <mdx n="0" f="v">
      <t c="4" si="7">
        <n x="1"/>
        <n x="9"/>
        <n x="37"/>
        <n x="10" s="1"/>
      </t>
    </mdx>
    <mdx n="0" f="v">
      <t c="4" si="7">
        <n x="1"/>
        <n x="9"/>
        <n x="36"/>
        <n x="10" s="1"/>
      </t>
    </mdx>
    <mdx n="0" f="v">
      <t c="5" si="7">
        <n x="1"/>
        <n x="38"/>
        <n x="29"/>
        <n x="6"/>
        <n x="39" s="1"/>
      </t>
    </mdx>
    <mdx n="0" f="v">
      <t c="5" si="7">
        <n x="1"/>
        <n x="38"/>
        <n x="20"/>
        <n x="4"/>
        <n x="39" s="1"/>
      </t>
    </mdx>
    <mdx n="0" f="v">
      <t c="5" fi="0">
        <n x="1"/>
        <n x="38"/>
        <n x="29"/>
        <n x="5"/>
        <n x="39" s="1"/>
      </t>
    </mdx>
    <mdx n="0" f="v">
      <t c="5" fi="0">
        <n x="1"/>
        <n x="38"/>
        <n x="26"/>
        <n x="5"/>
        <n x="39" s="1"/>
      </t>
    </mdx>
    <mdx n="0" f="v">
      <t c="5" fi="0">
        <n x="1"/>
        <n x="38"/>
        <n x="30"/>
        <n x="5"/>
        <n x="39" s="1"/>
      </t>
    </mdx>
    <mdx n="0" f="v">
      <t c="5" si="7">
        <n x="1"/>
        <n x="38"/>
        <n x="22"/>
        <n x="4"/>
        <n x="39" s="1"/>
      </t>
    </mdx>
    <mdx n="0" f="v">
      <t c="5" fi="0">
        <n x="1"/>
        <n x="38"/>
        <n x="17"/>
        <n x="5"/>
        <n x="39" s="1"/>
      </t>
    </mdx>
    <mdx n="0" f="v">
      <t c="5" si="7">
        <n x="1"/>
        <n x="38"/>
        <n x="30"/>
        <n x="4"/>
        <n x="39" s="1"/>
      </t>
    </mdx>
    <mdx n="0" f="v">
      <t c="5" fi="0">
        <n x="1"/>
        <n x="38"/>
        <n x="21"/>
        <n x="5"/>
        <n x="39" s="1"/>
      </t>
    </mdx>
    <mdx n="0" f="v">
      <t c="5" si="7">
        <n x="1"/>
        <n x="38"/>
        <n x="34"/>
        <n x="4"/>
        <n x="39" s="1"/>
      </t>
    </mdx>
    <mdx n="0" f="v">
      <t c="5" si="7">
        <n x="1"/>
        <n x="38"/>
        <n x="28"/>
        <n x="6"/>
        <n x="39" s="1"/>
      </t>
    </mdx>
    <mdx n="0" f="v">
      <t c="5" si="7">
        <n x="1"/>
        <n x="38"/>
        <n x="22"/>
        <n x="6"/>
        <n x="39" s="1"/>
      </t>
    </mdx>
    <mdx n="0" f="v">
      <t c="5" si="7">
        <n x="1"/>
        <n x="38"/>
        <n x="17"/>
        <n x="4"/>
        <n x="39" s="1"/>
      </t>
    </mdx>
    <mdx n="0" f="v">
      <t c="5" fi="0">
        <n x="1"/>
        <n x="38"/>
        <n x="15"/>
        <n x="5"/>
        <n x="39" s="1"/>
      </t>
    </mdx>
    <mdx n="0" f="v">
      <t c="5" si="7">
        <n x="1"/>
        <n x="38"/>
        <n x="17"/>
        <n x="6"/>
        <n x="39" s="1"/>
      </t>
    </mdx>
    <mdx n="0" f="v">
      <t c="5" si="7">
        <n x="1"/>
        <n x="38"/>
        <n x="18"/>
        <n x="6"/>
        <n x="39" s="1"/>
      </t>
    </mdx>
    <mdx n="0" f="v">
      <t c="5" si="7">
        <n x="1"/>
        <n x="38"/>
        <n x="15"/>
        <n x="6"/>
        <n x="39" s="1"/>
      </t>
    </mdx>
    <mdx n="0" f="v">
      <t c="5" si="7">
        <n x="1"/>
        <n x="38"/>
        <n x="24"/>
        <n x="4"/>
        <n x="39" s="1"/>
      </t>
    </mdx>
    <mdx n="0" f="v">
      <t c="5" si="7">
        <n x="1"/>
        <n x="38"/>
        <n x="15"/>
        <n x="4"/>
        <n x="39" s="1"/>
      </t>
    </mdx>
    <mdx n="0" f="v">
      <t c="5" si="7">
        <n x="1"/>
        <n x="38"/>
        <n x="25"/>
        <n x="4"/>
        <n x="39" s="1"/>
      </t>
    </mdx>
    <mdx n="0" f="v">
      <t c="5" si="7">
        <n x="1"/>
        <n x="38"/>
        <n x="18"/>
        <n x="4"/>
        <n x="39" s="1"/>
      </t>
    </mdx>
    <mdx n="0" f="v">
      <t c="4" si="7">
        <n x="1"/>
        <n x="38"/>
        <n x="37"/>
        <n x="39" s="1"/>
      </t>
    </mdx>
    <mdx n="0" f="v">
      <t c="5" si="7">
        <n x="1"/>
        <n x="38"/>
        <n x="14"/>
        <n x="11"/>
        <n x="39" s="1"/>
      </t>
    </mdx>
    <mdx n="0" f="v">
      <t c="5" si="7">
        <n x="1"/>
        <n x="38"/>
        <n x="21"/>
        <n x="4"/>
        <n x="39" s="1"/>
      </t>
    </mdx>
    <mdx n="0" f="v">
      <t c="5" si="7">
        <n x="1"/>
        <n x="38"/>
        <n x="19"/>
        <n x="4"/>
        <n x="39" s="1"/>
      </t>
    </mdx>
    <mdx n="0" f="v">
      <t c="5" fi="0">
        <n x="1"/>
        <n x="38"/>
        <n x="16"/>
        <n x="5"/>
        <n x="39" s="1"/>
      </t>
    </mdx>
    <mdx n="0" f="v">
      <t c="5" si="7">
        <n x="1"/>
        <n x="38"/>
        <n x="23"/>
        <n x="4"/>
        <n x="39" s="1"/>
      </t>
    </mdx>
    <mdx n="0" f="v">
      <t c="5" fi="0">
        <n x="1"/>
        <n x="38"/>
        <n x="25"/>
        <n x="5"/>
        <n x="39" s="1"/>
      </t>
    </mdx>
    <mdx n="0" f="v">
      <t c="5" fi="0">
        <n x="1"/>
        <n x="38"/>
        <n x="23"/>
        <n x="5"/>
        <n x="39" s="1"/>
      </t>
    </mdx>
    <mdx n="0" f="v">
      <t c="5" si="7">
        <n x="1"/>
        <n x="38"/>
        <n x="21"/>
        <n x="6"/>
        <n x="39" s="1"/>
      </t>
    </mdx>
    <mdx n="0" f="v">
      <t c="5" fi="0">
        <n x="1"/>
        <n x="38"/>
        <n x="28"/>
        <n x="5"/>
        <n x="39" s="1"/>
      </t>
    </mdx>
    <mdx n="0" f="v">
      <t c="5" fi="0">
        <n x="1"/>
        <n x="38"/>
        <n x="19"/>
        <n x="5"/>
        <n x="39" s="1"/>
      </t>
    </mdx>
    <mdx n="0" f="v">
      <t c="5" si="7">
        <n x="1"/>
        <n x="38"/>
        <n x="24"/>
        <n x="6"/>
        <n x="39" s="1"/>
      </t>
    </mdx>
    <mdx n="0" f="v">
      <t c="5" si="7">
        <n x="1"/>
        <n x="38"/>
        <n x="16"/>
        <n x="6"/>
        <n x="39" s="1"/>
      </t>
    </mdx>
    <mdx n="0" f="v">
      <t c="5" si="7">
        <n x="1"/>
        <n x="38"/>
        <n x="26"/>
        <n x="4"/>
        <n x="39" s="1"/>
      </t>
    </mdx>
    <mdx n="0" f="v">
      <t c="5" si="7">
        <n x="1"/>
        <n x="38"/>
        <n x="26"/>
        <n x="6"/>
        <n x="39" s="1"/>
      </t>
    </mdx>
    <mdx n="0" f="v">
      <t c="5" fi="0">
        <n x="1"/>
        <n x="38"/>
        <n x="20"/>
        <n x="5"/>
        <n x="39" s="1"/>
      </t>
    </mdx>
    <mdx n="0" f="v">
      <t c="4" si="7">
        <n x="1"/>
        <n x="38"/>
        <n x="35"/>
        <n x="39" s="1"/>
      </t>
    </mdx>
    <mdx n="0" f="v">
      <t c="5" si="7">
        <n x="1"/>
        <n x="38"/>
        <n x="19"/>
        <n x="6"/>
        <n x="39" s="1"/>
      </t>
    </mdx>
    <mdx n="0" f="v">
      <t c="5" si="7">
        <n x="1"/>
        <n x="38"/>
        <n x="30"/>
        <n x="6"/>
        <n x="39" s="1"/>
      </t>
    </mdx>
    <mdx n="0" f="v">
      <t c="5" si="7">
        <n x="1"/>
        <n x="38"/>
        <n x="29"/>
        <n x="4"/>
        <n x="39" s="1"/>
      </t>
    </mdx>
    <mdx n="0" f="v">
      <t c="5" fi="0">
        <n x="1"/>
        <n x="38"/>
        <n x="22"/>
        <n x="5"/>
        <n x="39" s="1"/>
      </t>
    </mdx>
    <mdx n="0" f="v">
      <t c="5" si="7">
        <n x="1"/>
        <n x="38"/>
        <n x="25"/>
        <n x="6"/>
        <n x="39" s="1"/>
      </t>
    </mdx>
    <mdx n="0" f="v">
      <t c="5" si="7">
        <n x="1"/>
        <n x="38"/>
        <n x="20"/>
        <n x="6"/>
        <n x="39" s="1"/>
      </t>
    </mdx>
    <mdx n="0" f="v">
      <t c="5" si="7">
        <n x="1"/>
        <n x="38"/>
        <n x="23"/>
        <n x="6"/>
        <n x="39" s="1"/>
      </t>
    </mdx>
    <mdx n="0" f="v">
      <t c="5" si="7">
        <n x="1"/>
        <n x="38"/>
        <n x="28"/>
        <n x="4"/>
        <n x="39" s="1"/>
      </t>
    </mdx>
    <mdx n="0" f="v">
      <t c="5" si="7">
        <n x="1"/>
        <n x="38"/>
        <n x="16"/>
        <n x="4"/>
        <n x="39" s="1"/>
      </t>
    </mdx>
    <mdx n="0" f="v">
      <t c="5" fi="0">
        <n x="1"/>
        <n x="38"/>
        <n x="18"/>
        <n x="5"/>
        <n x="39" s="1"/>
      </t>
    </mdx>
    <mdx n="0" f="v">
      <t c="5" fi="0">
        <n x="1"/>
        <n x="38"/>
        <n x="24"/>
        <n x="5"/>
        <n x="39" s="1"/>
      </t>
    </mdx>
    <mdx n="0" f="v">
      <t c="4" si="7">
        <n x="1"/>
        <n x="38"/>
        <n x="36"/>
        <n x="39" s="1"/>
      </t>
    </mdx>
    <mdx n="0" f="m">
      <t c="1">
        <n x="40"/>
      </t>
    </mdx>
    <mdx n="0" f="v">
      <t c="5" fi="0">
        <n x="1"/>
        <n x="40"/>
        <n x="24"/>
        <n x="5"/>
        <n x="41" s="1"/>
      </t>
    </mdx>
    <mdx n="0" f="v">
      <t c="5" si="7">
        <n x="1"/>
        <n x="40"/>
        <n x="27"/>
        <n x="6"/>
        <n x="41" s="1"/>
      </t>
    </mdx>
    <mdx n="0" f="v">
      <t c="5" fi="0">
        <n x="1"/>
        <n x="40"/>
        <n x="22"/>
        <n x="5"/>
        <n x="41" s="1"/>
      </t>
    </mdx>
    <mdx n="0" f="v">
      <t c="5" si="7">
        <n x="1"/>
        <n x="40"/>
        <n x="20"/>
        <n x="4"/>
        <n x="41" s="1"/>
      </t>
    </mdx>
    <mdx n="0" f="v">
      <t c="5" si="7">
        <n x="1"/>
        <n x="40"/>
        <n x="23"/>
        <n x="4"/>
        <n x="41" s="1"/>
      </t>
    </mdx>
    <mdx n="0" f="v">
      <t c="5" si="7">
        <n x="1"/>
        <n x="40"/>
        <n x="20"/>
        <n x="6"/>
        <n x="41" s="1"/>
      </t>
    </mdx>
    <mdx n="0" f="v">
      <t c="5" si="7">
        <n x="1"/>
        <n x="40"/>
        <n x="26"/>
        <n x="4"/>
        <n x="41" s="1"/>
      </t>
    </mdx>
    <mdx n="0" f="v">
      <t c="5" si="7">
        <n x="1"/>
        <n x="40"/>
        <n x="13"/>
        <n x="4"/>
        <n x="41" s="1"/>
      </t>
    </mdx>
    <mdx n="0" f="v">
      <t c="5" si="7">
        <n x="1"/>
        <n x="40"/>
        <n x="8"/>
        <n x="4"/>
        <n x="41" s="1"/>
      </t>
    </mdx>
    <mdx n="0" f="v">
      <t c="5" si="7">
        <n x="1"/>
        <n x="40"/>
        <n x="14"/>
        <n x="12"/>
        <n x="41" s="1"/>
      </t>
    </mdx>
    <mdx n="0" f="v">
      <t c="5" si="7">
        <n x="1"/>
        <n x="40"/>
        <n x="16"/>
        <n x="6"/>
        <n x="41" s="1"/>
      </t>
    </mdx>
    <mdx n="0" f="v">
      <t c="5" si="7">
        <n x="1"/>
        <n x="40"/>
        <n x="34"/>
        <n x="4"/>
        <n x="41" s="1"/>
      </t>
    </mdx>
    <mdx n="0" f="v">
      <t c="5" si="7">
        <n x="1"/>
        <n x="40"/>
        <n x="33"/>
        <n x="11"/>
        <n x="41" s="1"/>
      </t>
    </mdx>
    <mdx n="0" f="v">
      <t c="5" si="7">
        <n x="1"/>
        <n x="40"/>
        <n x="31"/>
        <n x="12"/>
        <n x="41" s="1"/>
      </t>
    </mdx>
    <mdx n="0" f="v">
      <t c="5" fi="0">
        <n x="1"/>
        <n x="40"/>
        <n x="25"/>
        <n x="5"/>
        <n x="41" s="1"/>
      </t>
    </mdx>
    <mdx n="0" f="v">
      <t c="5" si="7">
        <n x="1"/>
        <n x="40"/>
        <n x="28"/>
        <n x="6"/>
        <n x="41" s="1"/>
      </t>
    </mdx>
    <mdx n="0" f="v">
      <t c="5" fi="0">
        <n x="1"/>
        <n x="40"/>
        <n x="28"/>
        <n x="5"/>
        <n x="41" s="1"/>
      </t>
    </mdx>
    <mdx n="0" f="v">
      <t c="5" si="7">
        <n x="1"/>
        <n x="40"/>
        <n x="24"/>
        <n x="6"/>
        <n x="41" s="1"/>
      </t>
    </mdx>
    <mdx n="0" f="v">
      <t c="5" fi="0">
        <n x="1"/>
        <n x="40"/>
        <n x="18"/>
        <n x="5"/>
        <n x="41" s="1"/>
      </t>
    </mdx>
    <mdx n="0" f="v">
      <t c="5" si="7">
        <n x="1"/>
        <n x="40"/>
        <n x="29"/>
        <n x="4"/>
        <n x="41" s="1"/>
      </t>
    </mdx>
    <mdx n="0" f="v">
      <t c="5" si="7">
        <n x="1"/>
        <n x="40"/>
        <n x="22"/>
        <n x="6"/>
        <n x="41" s="1"/>
      </t>
    </mdx>
    <mdx n="0" f="v">
      <t c="5" fi="0">
        <n x="1"/>
        <n x="40"/>
        <n x="26"/>
        <n x="5"/>
        <n x="41" s="1"/>
      </t>
    </mdx>
    <mdx n="0" f="v">
      <t c="5" fi="0">
        <n x="1"/>
        <n x="40"/>
        <n x="27"/>
        <n x="5"/>
        <n x="41" s="1"/>
      </t>
    </mdx>
    <mdx n="0" f="v">
      <t c="5" si="7">
        <n x="1"/>
        <n x="40"/>
        <n x="22"/>
        <n x="4"/>
        <n x="41" s="1"/>
      </t>
    </mdx>
    <mdx n="0" f="v">
      <t c="5" si="7">
        <n x="1"/>
        <n x="40"/>
        <n x="15"/>
        <n x="4"/>
        <n x="41" s="1"/>
      </t>
    </mdx>
    <mdx n="0" f="v">
      <t c="5" fi="0">
        <n x="1"/>
        <n x="40"/>
        <n x="30"/>
        <n x="5"/>
        <n x="41" s="1"/>
      </t>
    </mdx>
    <mdx n="0" f="v">
      <t c="5" si="7">
        <n x="1"/>
        <n x="40"/>
        <n x="17"/>
        <n x="4"/>
        <n x="41" s="1"/>
      </t>
    </mdx>
    <mdx n="0" f="v">
      <t c="5" si="7">
        <n x="1"/>
        <n x="40"/>
        <n x="25"/>
        <n x="4"/>
        <n x="41" s="1"/>
      </t>
    </mdx>
    <mdx n="0" f="v">
      <t c="5" si="7">
        <n x="1"/>
        <n x="40"/>
        <n x="29"/>
        <n x="6"/>
        <n x="41" s="1"/>
      </t>
    </mdx>
    <mdx n="0" f="v">
      <t c="4" si="7">
        <n x="1"/>
        <n x="40"/>
        <n x="36"/>
        <n x="41" s="1"/>
      </t>
    </mdx>
    <mdx n="0" f="v">
      <t c="5" fi="0">
        <n x="1"/>
        <n x="40"/>
        <n x="29"/>
        <n x="5"/>
        <n x="41" s="1"/>
      </t>
    </mdx>
    <mdx n="0" f="v">
      <t c="5" si="7">
        <n x="1"/>
        <n x="40"/>
        <n x="26"/>
        <n x="6"/>
        <n x="41" s="1"/>
      </t>
    </mdx>
    <mdx n="0" f="v">
      <t c="5" si="7">
        <n x="1"/>
        <n x="40"/>
        <n x="21"/>
        <n x="4"/>
        <n x="41" s="1"/>
      </t>
    </mdx>
    <mdx n="0" f="v">
      <t c="5" fi="0">
        <n x="1"/>
        <n x="40"/>
        <n x="21"/>
        <n x="5"/>
        <n x="41" s="1"/>
      </t>
    </mdx>
    <mdx n="0" f="v">
      <t c="5" si="7">
        <n x="1"/>
        <n x="40"/>
        <n x="28"/>
        <n x="4"/>
        <n x="41" s="1"/>
      </t>
    </mdx>
    <mdx n="0" f="v">
      <t c="5" si="7">
        <n x="1"/>
        <n x="40"/>
        <n x="34"/>
        <n x="12"/>
        <n x="41" s="1"/>
      </t>
    </mdx>
    <mdx n="0" f="v">
      <t c="5" si="7">
        <n x="1"/>
        <n x="40"/>
        <n x="31"/>
        <n x="11"/>
        <n x="41" s="1"/>
      </t>
    </mdx>
    <mdx n="0" f="v">
      <t c="5" fi="0">
        <n x="1"/>
        <n x="40"/>
        <n x="19"/>
        <n x="5"/>
        <n x="41" s="1"/>
      </t>
    </mdx>
    <mdx n="0" f="v">
      <t c="5" si="7">
        <n x="1"/>
        <n x="40"/>
        <n x="19"/>
        <n x="6"/>
        <n x="41" s="1"/>
      </t>
    </mdx>
    <mdx n="0" f="v">
      <t c="5" si="7">
        <n x="1"/>
        <n x="40"/>
        <n x="16"/>
        <n x="4"/>
        <n x="41" s="1"/>
      </t>
    </mdx>
    <mdx n="0" f="v">
      <t c="5" fi="0">
        <n x="1"/>
        <n x="40"/>
        <n x="15"/>
        <n x="5"/>
        <n x="41" s="1"/>
      </t>
    </mdx>
    <mdx n="0" f="v">
      <t c="5" si="7">
        <n x="1"/>
        <n x="40"/>
        <n x="30"/>
        <n x="6"/>
        <n x="41" s="1"/>
      </t>
    </mdx>
    <mdx n="0" f="v">
      <t c="5" si="7">
        <n x="1"/>
        <n x="40"/>
        <n x="34"/>
        <n x="11"/>
        <n x="41" s="1"/>
      </t>
    </mdx>
    <mdx n="0" f="v">
      <t c="5" fi="0">
        <n x="1"/>
        <n x="40"/>
        <n x="16"/>
        <n x="5"/>
        <n x="41" s="1"/>
      </t>
    </mdx>
    <mdx n="0" f="v">
      <t c="5" si="7">
        <n x="1"/>
        <n x="40"/>
        <n x="24"/>
        <n x="4"/>
        <n x="41" s="1"/>
      </t>
    </mdx>
    <mdx n="0" f="v">
      <t c="5" fi="0">
        <n x="1"/>
        <n x="40"/>
        <n x="20"/>
        <n x="5"/>
        <n x="41" s="1"/>
      </t>
    </mdx>
    <mdx n="0" f="v">
      <t c="5" si="7">
        <n x="1"/>
        <n x="40"/>
        <n x="15"/>
        <n x="6"/>
        <n x="41" s="1"/>
      </t>
    </mdx>
    <mdx n="0" f="v">
      <t c="5" si="7">
        <n x="1"/>
        <n x="40"/>
        <n x="18"/>
        <n x="4"/>
        <n x="41" s="1"/>
      </t>
    </mdx>
    <mdx n="0" f="v">
      <t c="4" si="7">
        <n x="1"/>
        <n x="40"/>
        <n x="37"/>
        <n x="41" s="1"/>
      </t>
    </mdx>
    <mdx n="0" f="v">
      <t c="5" si="7">
        <n x="1"/>
        <n x="40"/>
        <n x="18"/>
        <n x="6"/>
        <n x="41" s="1"/>
      </t>
    </mdx>
    <mdx n="0" f="v">
      <t c="4" si="7">
        <n x="1"/>
        <n x="40"/>
        <n x="35"/>
        <n x="41" s="1"/>
      </t>
    </mdx>
    <mdx n="0" f="v">
      <t c="5" si="7">
        <n x="1"/>
        <n x="40"/>
        <n x="25"/>
        <n x="6"/>
        <n x="41" s="1"/>
      </t>
    </mdx>
    <mdx n="0" f="v">
      <t c="5" si="7">
        <n x="1"/>
        <n x="40"/>
        <n x="23"/>
        <n x="6"/>
        <n x="41" s="1"/>
      </t>
    </mdx>
    <mdx n="0" f="v">
      <t c="5" si="7">
        <n x="1"/>
        <n x="40"/>
        <n x="31"/>
        <n x="4"/>
        <n x="41" s="1"/>
      </t>
    </mdx>
    <mdx n="0" f="v">
      <t c="5" si="7">
        <n x="1"/>
        <n x="40"/>
        <n x="32"/>
        <n x="11"/>
        <n x="41" s="1"/>
      </t>
    </mdx>
    <mdx n="0" f="v">
      <t c="5" si="7">
        <n x="1"/>
        <n x="40"/>
        <n x="14"/>
        <n x="11"/>
        <n x="41" s="1"/>
      </t>
    </mdx>
    <mdx n="0" f="v">
      <t c="5" si="7">
        <n x="1"/>
        <n x="40"/>
        <n x="27"/>
        <n x="4"/>
        <n x="41" s="1"/>
      </t>
    </mdx>
    <mdx n="0" f="v">
      <t c="5" fi="0">
        <n x="1"/>
        <n x="40"/>
        <n x="23"/>
        <n x="5"/>
        <n x="41" s="1"/>
      </t>
    </mdx>
    <mdx n="0" f="v">
      <t c="4" si="7">
        <n x="1"/>
        <n x="40"/>
        <n x="8"/>
        <n x="6"/>
      </t>
    </mdx>
    <mdx n="0" f="v">
      <t c="5" fi="0">
        <n x="1"/>
        <n x="40"/>
        <n x="8"/>
        <n x="5"/>
        <n x="41" s="1"/>
      </t>
    </mdx>
    <mdx n="0" f="v">
      <t c="5" si="7">
        <n x="1"/>
        <n x="40"/>
        <n x="14"/>
        <n x="4"/>
        <n x="41" s="1"/>
      </t>
    </mdx>
    <mdx n="0" f="v">
      <t c="5" si="7">
        <n x="1"/>
        <n x="40"/>
        <n x="32"/>
        <n x="12"/>
        <n x="41" s="1"/>
      </t>
    </mdx>
    <mdx n="0" f="v">
      <t c="5" si="7">
        <n x="1"/>
        <n x="40"/>
        <n x="8"/>
        <n x="6"/>
        <n x="41" s="1"/>
      </t>
    </mdx>
    <mdx n="0" f="v">
      <t c="3">
        <n x="35"/>
        <n x="9"/>
        <n x="41" s="1"/>
      </t>
    </mdx>
    <mdx n="0" f="v">
      <t c="5" si="7">
        <n x="1"/>
        <n x="40"/>
        <n x="33"/>
        <n x="12"/>
        <n x="41" s="1"/>
      </t>
    </mdx>
    <mdx n="0" f="v">
      <t c="5" si="7">
        <n x="1"/>
        <n x="40"/>
        <n x="17"/>
        <n x="6"/>
        <n x="41" s="1"/>
      </t>
    </mdx>
    <mdx n="0" f="v">
      <t c="5" si="7">
        <n x="1"/>
        <n x="40"/>
        <n x="30"/>
        <n x="4"/>
        <n x="41" s="1"/>
      </t>
    </mdx>
    <mdx n="0" f="v">
      <t c="5" si="7">
        <n x="1"/>
        <n x="40"/>
        <n x="19"/>
        <n x="4"/>
        <n x="41" s="1"/>
      </t>
    </mdx>
    <mdx n="0" f="v">
      <t c="5" fi="0">
        <n x="1"/>
        <n x="40"/>
        <n x="17"/>
        <n x="5"/>
        <n x="41" s="1"/>
      </t>
    </mdx>
    <mdx n="0" f="v">
      <t c="5" si="7">
        <n x="1"/>
        <n x="40"/>
        <n x="21"/>
        <n x="6"/>
        <n x="41" s="1"/>
      </t>
    </mdx>
    <mdx n="0" f="v">
      <t c="5" si="7">
        <n x="1"/>
        <n x="40"/>
        <n x="13"/>
        <n x="12"/>
        <n x="41" s="1"/>
      </t>
    </mdx>
    <mdx n="0" f="v">
      <t c="5" si="7">
        <n x="1"/>
        <n x="40"/>
        <n x="13"/>
        <n x="11"/>
        <n x="41" s="1"/>
      </t>
    </mdx>
    <mdx n="0" f="v">
      <t c="5" si="7">
        <n x="1"/>
        <n x="40"/>
        <n x="32"/>
        <n x="4"/>
        <n x="41" s="1"/>
      </t>
    </mdx>
    <mdx n="0" f="v">
      <t c="5" si="7">
        <n x="1"/>
        <n x="40"/>
        <n x="33"/>
        <n x="4"/>
        <n x="41" s="1"/>
      </t>
    </mdx>
    <mdx n="0" f="v">
      <t c="3">
        <n x="36"/>
        <n x="9"/>
        <n x="41" s="1"/>
      </t>
    </mdx>
    <mdx n="0" f="v">
      <t c="3">
        <n x="37"/>
        <n x="9"/>
        <n x="41" s="1"/>
      </t>
    </mdx>
    <mdx n="0" f="v">
      <t c="3" fi="0">
        <n x="3"/>
        <n x="2"/>
        <n x="42" s="1"/>
      </t>
    </mdx>
  </mdxMetadata>
  <valueMetadata count="211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  <bk>
      <rc t="1" v="126"/>
    </bk>
    <bk>
      <rc t="1" v="127"/>
    </bk>
    <bk>
      <rc t="1" v="128"/>
    </bk>
    <bk>
      <rc t="1" v="129"/>
    </bk>
    <bk>
      <rc t="1" v="130"/>
    </bk>
    <bk>
      <rc t="1" v="131"/>
    </bk>
    <bk>
      <rc t="1" v="132"/>
    </bk>
    <bk>
      <rc t="1" v="133"/>
    </bk>
    <bk>
      <rc t="1" v="134"/>
    </bk>
    <bk>
      <rc t="1" v="135"/>
    </bk>
    <bk>
      <rc t="1" v="136"/>
    </bk>
    <bk>
      <rc t="1" v="137"/>
    </bk>
    <bk>
      <rc t="1" v="138"/>
    </bk>
    <bk>
      <rc t="1" v="139"/>
    </bk>
    <bk>
      <rc t="1" v="140"/>
    </bk>
    <bk>
      <rc t="1" v="141"/>
    </bk>
    <bk>
      <rc t="1" v="142"/>
    </bk>
    <bk>
      <rc t="1" v="143"/>
    </bk>
    <bk>
      <rc t="1" v="144"/>
    </bk>
    <bk>
      <rc t="1" v="145"/>
    </bk>
    <bk>
      <rc t="1" v="146"/>
    </bk>
    <bk>
      <rc t="1" v="147"/>
    </bk>
    <bk>
      <rc t="1" v="148"/>
    </bk>
    <bk>
      <rc t="1" v="149"/>
    </bk>
    <bk>
      <rc t="1" v="150"/>
    </bk>
    <bk>
      <rc t="1" v="151"/>
    </bk>
    <bk>
      <rc t="1" v="152"/>
    </bk>
    <bk>
      <rc t="1" v="153"/>
    </bk>
    <bk>
      <rc t="1" v="154"/>
    </bk>
    <bk>
      <rc t="1" v="155"/>
    </bk>
    <bk>
      <rc t="1" v="156"/>
    </bk>
    <bk>
      <rc t="1" v="157"/>
    </bk>
    <bk>
      <rc t="1" v="158"/>
    </bk>
    <bk>
      <rc t="1" v="159"/>
    </bk>
    <bk>
      <rc t="1" v="160"/>
    </bk>
    <bk>
      <rc t="1" v="161"/>
    </bk>
    <bk>
      <rc t="1" v="162"/>
    </bk>
    <bk>
      <rc t="1" v="163"/>
    </bk>
    <bk>
      <rc t="1" v="164"/>
    </bk>
    <bk>
      <rc t="1" v="165"/>
    </bk>
    <bk>
      <rc t="1" v="166"/>
    </bk>
    <bk>
      <rc t="1" v="167"/>
    </bk>
    <bk>
      <rc t="1" v="168"/>
    </bk>
    <bk>
      <rc t="1" v="169"/>
    </bk>
    <bk>
      <rc t="1" v="170"/>
    </bk>
    <bk>
      <rc t="1" v="171"/>
    </bk>
    <bk>
      <rc t="1" v="172"/>
    </bk>
    <bk>
      <rc t="1" v="173"/>
    </bk>
    <bk>
      <rc t="1" v="174"/>
    </bk>
    <bk>
      <rc t="1" v="175"/>
    </bk>
    <bk>
      <rc t="1" v="176"/>
    </bk>
    <bk>
      <rc t="1" v="177"/>
    </bk>
    <bk>
      <rc t="1" v="178"/>
    </bk>
    <bk>
      <rc t="1" v="179"/>
    </bk>
    <bk>
      <rc t="1" v="180"/>
    </bk>
    <bk>
      <rc t="1" v="181"/>
    </bk>
    <bk>
      <rc t="1" v="182"/>
    </bk>
    <bk>
      <rc t="1" v="183"/>
    </bk>
    <bk>
      <rc t="1" v="184"/>
    </bk>
    <bk>
      <rc t="1" v="185"/>
    </bk>
    <bk>
      <rc t="1" v="186"/>
    </bk>
    <bk>
      <rc t="1" v="187"/>
    </bk>
    <bk>
      <rc t="1" v="188"/>
    </bk>
    <bk>
      <rc t="1" v="189"/>
    </bk>
    <bk>
      <rc t="1" v="190"/>
    </bk>
    <bk>
      <rc t="1" v="191"/>
    </bk>
    <bk>
      <rc t="1" v="192"/>
    </bk>
    <bk>
      <rc t="1" v="193"/>
    </bk>
    <bk>
      <rc t="1" v="194"/>
    </bk>
    <bk>
      <rc t="1" v="195"/>
    </bk>
    <bk>
      <rc t="1" v="196"/>
    </bk>
    <bk>
      <rc t="1" v="197"/>
    </bk>
    <bk>
      <rc t="1" v="198"/>
    </bk>
    <bk>
      <rc t="1" v="199"/>
    </bk>
    <bk>
      <rc t="1" v="200"/>
    </bk>
    <bk>
      <rc t="1" v="201"/>
    </bk>
    <bk>
      <rc t="1" v="202"/>
    </bk>
    <bk>
      <rc t="1" v="203"/>
    </bk>
    <bk>
      <rc t="1" v="204"/>
    </bk>
    <bk>
      <rc t="1" v="205"/>
    </bk>
    <bk>
      <rc t="1" v="206"/>
    </bk>
    <bk>
      <rc t="1" v="207"/>
    </bk>
    <bk>
      <rc t="1" v="208"/>
    </bk>
    <bk>
      <rc t="1" v="209"/>
    </bk>
    <bk>
      <rc t="1" v="210"/>
    </bk>
  </valueMetadata>
</metadata>
</file>

<file path=xl/sharedStrings.xml><?xml version="1.0" encoding="utf-8"?>
<sst xmlns="http://schemas.openxmlformats.org/spreadsheetml/2006/main" count="1459" uniqueCount="225">
  <si>
    <t>Clínica</t>
  </si>
  <si>
    <t>Total Geral</t>
  </si>
  <si>
    <t>Total Bruto</t>
  </si>
  <si>
    <t>Rótulos de Linha</t>
  </si>
  <si>
    <t>Year</t>
  </si>
  <si>
    <t>Month</t>
  </si>
  <si>
    <t>Preço Médio</t>
  </si>
  <si>
    <t>Fat. Méd. Clientes</t>
  </si>
  <si>
    <t>Ticket Médio</t>
  </si>
  <si>
    <t>Consultas/Internação</t>
  </si>
  <si>
    <t>Consultas/Cirurgias</t>
  </si>
  <si>
    <t>Total Quanditade</t>
  </si>
  <si>
    <t>março</t>
  </si>
  <si>
    <t>Nome da Origem</t>
  </si>
  <si>
    <t>ID do Item</t>
  </si>
  <si>
    <t>Mês</t>
  </si>
  <si>
    <t>Ano</t>
  </si>
  <si>
    <t>Medição</t>
  </si>
  <si>
    <t>Fx Verde Inf/Previsto</t>
  </si>
  <si>
    <t>Fx Verde Sup</t>
  </si>
  <si>
    <t>Fx Vermelha Inf</t>
  </si>
  <si>
    <t>Fx Vermelha Sup</t>
  </si>
  <si>
    <t>Fx Cliente Inf</t>
  </si>
  <si>
    <t>Fx Cliente Sup</t>
  </si>
  <si>
    <t>Item</t>
  </si>
  <si>
    <t>Indicador</t>
  </si>
  <si>
    <t>Usuário</t>
  </si>
  <si>
    <t>Tipo</t>
  </si>
  <si>
    <t>Auxiliar</t>
  </si>
  <si>
    <t>Totalizado</t>
  </si>
  <si>
    <t>Medido</t>
  </si>
  <si>
    <t>Calendário</t>
  </si>
  <si>
    <t>Column1</t>
  </si>
  <si>
    <t xml:space="preserve"> </t>
  </si>
  <si>
    <t xml:space="preserve">  </t>
  </si>
  <si>
    <t xml:space="preserve">   </t>
  </si>
  <si>
    <t>_1</t>
  </si>
  <si>
    <t xml:space="preserve"> _2</t>
  </si>
  <si>
    <t xml:space="preserve">  _3</t>
  </si>
  <si>
    <t xml:space="preserve">   _4</t>
  </si>
  <si>
    <t>R$</t>
  </si>
  <si>
    <t>2A</t>
  </si>
  <si>
    <t>Não</t>
  </si>
  <si>
    <t>Sim</t>
  </si>
  <si>
    <t/>
  </si>
  <si>
    <t>%</t>
  </si>
  <si>
    <t>1C</t>
  </si>
  <si>
    <t>Quantidade</t>
  </si>
  <si>
    <t>Clientes Ativos</t>
  </si>
  <si>
    <t>janeiro</t>
  </si>
  <si>
    <t>fevereiro</t>
  </si>
  <si>
    <t>dezembro</t>
  </si>
  <si>
    <t>QTD de Clientes</t>
  </si>
  <si>
    <t>Clientes 6 meses</t>
  </si>
  <si>
    <t>Valores</t>
  </si>
  <si>
    <t>xxxx</t>
  </si>
  <si>
    <t>Filtro</t>
  </si>
  <si>
    <t>Cirurgias</t>
  </si>
  <si>
    <t>Consultas</t>
  </si>
  <si>
    <t>Geração de Caixa</t>
  </si>
  <si>
    <t>Cirurgias Realizadas</t>
  </si>
  <si>
    <t>Consultas Realizadas</t>
  </si>
  <si>
    <t>Procedimentos Realizados</t>
  </si>
  <si>
    <t>Resultado Operacional Clínica</t>
  </si>
  <si>
    <t>Vacinas Realizadas</t>
  </si>
  <si>
    <t>SLA Fechamento DRE</t>
  </si>
  <si>
    <t>Alimentos</t>
  </si>
  <si>
    <t>Anestesias</t>
  </si>
  <si>
    <t>Doação</t>
  </si>
  <si>
    <t>Emergencia</t>
  </si>
  <si>
    <t>Especialidades</t>
  </si>
  <si>
    <t>Farmácia</t>
  </si>
  <si>
    <t>Imagem</t>
  </si>
  <si>
    <t>Insumos</t>
  </si>
  <si>
    <t>Internação</t>
  </si>
  <si>
    <t>Laboratório</t>
  </si>
  <si>
    <t>Procedimentos Clinica</t>
  </si>
  <si>
    <t>Procedimentos Internação</t>
  </si>
  <si>
    <t>Vacinas</t>
  </si>
  <si>
    <t>Cirurgia</t>
  </si>
  <si>
    <t>Exames</t>
  </si>
  <si>
    <t>Atendimentos de Emergência</t>
  </si>
  <si>
    <t>Exames Imagem Vendidos</t>
  </si>
  <si>
    <t>Exames Laboratório Vendidos</t>
  </si>
  <si>
    <t>Faturamento - Consulta</t>
  </si>
  <si>
    <t>Faturamento - Emergência</t>
  </si>
  <si>
    <t>Faturamento - Farmácia</t>
  </si>
  <si>
    <t>Faturamento - Imagem</t>
  </si>
  <si>
    <t>Faturamento - Insumos Clínica</t>
  </si>
  <si>
    <t>Faturamento - Laboratório</t>
  </si>
  <si>
    <t>Faturamento - Procedimentos</t>
  </si>
  <si>
    <t>Faturamento - Vacina</t>
  </si>
  <si>
    <t>Insumos Clínica Vendidos</t>
  </si>
  <si>
    <t>Preço Médio Clínica + Exames</t>
  </si>
  <si>
    <t>Preço Médio Consulta</t>
  </si>
  <si>
    <t>Preço Médio Emergência</t>
  </si>
  <si>
    <t>Preço Médio Exame Imgem</t>
  </si>
  <si>
    <t>Preço Médio Exame Laboratorial</t>
  </si>
  <si>
    <t>Preço Médio Farmácia</t>
  </si>
  <si>
    <t>Preço Médio Insumos Clínica</t>
  </si>
  <si>
    <t>Preço Médio Procedimentos</t>
  </si>
  <si>
    <t>Preço Médio Vacina</t>
  </si>
  <si>
    <t>Produtos Vendidos Farmácia</t>
  </si>
  <si>
    <t>Érica/Bruna - CEO - Cidade dos Bichos</t>
  </si>
  <si>
    <t>Clientes Novos Origem - Facebook/Instagram</t>
  </si>
  <si>
    <t>Clientes Novos Origem - Fachada loja</t>
  </si>
  <si>
    <t>Clientes Novos Origem - Google</t>
  </si>
  <si>
    <t>Clientes Novos Origem - Indicação Clientes</t>
  </si>
  <si>
    <t>Clientes Novos Origem - Outros</t>
  </si>
  <si>
    <t>Consultas / Cirurgias</t>
  </si>
  <si>
    <t>#</t>
  </si>
  <si>
    <t>Consultas / Exames</t>
  </si>
  <si>
    <t>Consultas / Internação</t>
  </si>
  <si>
    <t>Inadimplência</t>
  </si>
  <si>
    <t xml:space="preserve">Tícket Médio </t>
  </si>
  <si>
    <t>Alimentação Internação Realizada</t>
  </si>
  <si>
    <t>Gabriela - Cirurgia + Internação - Cidade dos Bichos</t>
  </si>
  <si>
    <t>Aluguel CC Realizados</t>
  </si>
  <si>
    <t>Anestesias Realizadas</t>
  </si>
  <si>
    <t>Doação Realizada</t>
  </si>
  <si>
    <t>Especialidades Realizada</t>
  </si>
  <si>
    <t>Faturamento Alimentos Internação</t>
  </si>
  <si>
    <t>Faturamento Aluguel CC</t>
  </si>
  <si>
    <t>Faturamento Anestesia</t>
  </si>
  <si>
    <t>Faturamento Cirurgia</t>
  </si>
  <si>
    <t>Faturamento Doação</t>
  </si>
  <si>
    <t>Faturamento Especialidades</t>
  </si>
  <si>
    <t>Faturamento Insumos Internação</t>
  </si>
  <si>
    <t>Faturamento Internação</t>
  </si>
  <si>
    <t>Faturamento Procedimento Internação</t>
  </si>
  <si>
    <t>Insumos Internação Realizados</t>
  </si>
  <si>
    <t>Internação Realizada</t>
  </si>
  <si>
    <t>Preço Médio Alimentos Internação</t>
  </si>
  <si>
    <t>Preço Médio Aluguel CC</t>
  </si>
  <si>
    <t>Preço Médio Anestesia</t>
  </si>
  <si>
    <t>Preço Médio Cirurgia</t>
  </si>
  <si>
    <t>Preço Médio Cirurgia + Internação</t>
  </si>
  <si>
    <t>Preço Médio Doação</t>
  </si>
  <si>
    <t>Preço Médio Especialidades</t>
  </si>
  <si>
    <t>Preço Médio Insumos Internação</t>
  </si>
  <si>
    <t>Preço Médio Internação</t>
  </si>
  <si>
    <t>Preço Médio Procedimento Internação</t>
  </si>
  <si>
    <t>Procedimento Internação Realizados</t>
  </si>
  <si>
    <t>Faturamento Laboratório</t>
  </si>
  <si>
    <t>Preço Médio Exame</t>
  </si>
  <si>
    <t>Quantidade de Exames Imagem</t>
  </si>
  <si>
    <t>Quantidade de Exames Laboratoriais</t>
  </si>
  <si>
    <t>Resultado Operacional Exames</t>
  </si>
  <si>
    <t>Despesas Totais</t>
  </si>
  <si>
    <t>Resultado Operacional Cirurgia</t>
  </si>
  <si>
    <t>Resultado Operacional Especialidades</t>
  </si>
  <si>
    <t>Resultado Operacional Internação</t>
  </si>
  <si>
    <t>Consultas/Exames</t>
  </si>
  <si>
    <t>Rótulos de Coluna</t>
  </si>
  <si>
    <t>Beagle</t>
  </si>
  <si>
    <t>Border Collie</t>
  </si>
  <si>
    <t>Boxer</t>
  </si>
  <si>
    <t>Buldogue</t>
  </si>
  <si>
    <t>Bull Terrier</t>
  </si>
  <si>
    <t>Coton de Tulear</t>
  </si>
  <si>
    <t>Dachshund Miniatura</t>
  </si>
  <si>
    <t>Golden Retriever</t>
  </si>
  <si>
    <t>Labrador</t>
  </si>
  <si>
    <t>Lhasa Apso</t>
  </si>
  <si>
    <t>Lulu da Pomerania</t>
  </si>
  <si>
    <t>Maine Coon</t>
  </si>
  <si>
    <t>Maltes</t>
  </si>
  <si>
    <t>Persa</t>
  </si>
  <si>
    <t>Pit Bull</t>
  </si>
  <si>
    <t>Poodle Miniatura</t>
  </si>
  <si>
    <t>Poodle Toy</t>
  </si>
  <si>
    <t>Pug</t>
  </si>
  <si>
    <t>Schnauzer</t>
  </si>
  <si>
    <t>Shih Tzu</t>
  </si>
  <si>
    <t>Spitz Alemão</t>
  </si>
  <si>
    <t>SRD - SEM RAÇA DEFINIDA</t>
  </si>
  <si>
    <t>West Highland White Terrier</t>
  </si>
  <si>
    <t>Yorkshire Terrier</t>
  </si>
  <si>
    <t>QTD de Vendas</t>
  </si>
  <si>
    <t>Quant_Animais</t>
  </si>
  <si>
    <t>Faturado</t>
  </si>
  <si>
    <t>Raça</t>
  </si>
  <si>
    <t>Avícola</t>
  </si>
  <si>
    <t>Caninos</t>
  </si>
  <si>
    <t>Cunícula</t>
  </si>
  <si>
    <t>Equina</t>
  </si>
  <si>
    <t>Felina - nao usar</t>
  </si>
  <si>
    <t>Felinos</t>
  </si>
  <si>
    <t>Outras</t>
  </si>
  <si>
    <t>Pássaros</t>
  </si>
  <si>
    <t>Psitacídeos</t>
  </si>
  <si>
    <t>Roedor</t>
  </si>
  <si>
    <t>Silvestres</t>
  </si>
  <si>
    <t>F</t>
  </si>
  <si>
    <t>M</t>
  </si>
  <si>
    <t>Espécie</t>
  </si>
  <si>
    <t>Sexo_1</t>
  </si>
  <si>
    <t>Amanda - Clínica - Cidade dos Bichos</t>
  </si>
  <si>
    <t>Mariana - Exames - Cidade dos Bichos</t>
  </si>
  <si>
    <t>Airedale Terrier</t>
  </si>
  <si>
    <t>* multiplicado por 0,6</t>
  </si>
  <si>
    <t>* multiplicado por 0,4</t>
  </si>
  <si>
    <t>abril</t>
  </si>
  <si>
    <t>637887491811156937.xlsx</t>
  </si>
  <si>
    <t>Pinscher</t>
  </si>
  <si>
    <t>BERNESE</t>
  </si>
  <si>
    <t>Rottweiler</t>
  </si>
  <si>
    <t>Shiba Inu</t>
  </si>
  <si>
    <t>american bull</t>
  </si>
  <si>
    <t>Corgi</t>
  </si>
  <si>
    <t>Cavalier King Charles</t>
  </si>
  <si>
    <t>Fox Terrier de pelo liso</t>
  </si>
  <si>
    <t>I</t>
  </si>
  <si>
    <t>Cocker Spaniel Ingles</t>
  </si>
  <si>
    <t>Pinscher Miniatura</t>
  </si>
  <si>
    <t>COELHO</t>
  </si>
  <si>
    <t>Cobaia (porquinho da india)</t>
  </si>
  <si>
    <t>Chihuahua</t>
  </si>
  <si>
    <t>maio</t>
  </si>
  <si>
    <t>Chow Chow</t>
  </si>
  <si>
    <t>Sagui</t>
  </si>
  <si>
    <t>Fox Terrier Miniatura</t>
  </si>
  <si>
    <t>Boston Terrier</t>
  </si>
  <si>
    <t>PAPAGAIO</t>
  </si>
  <si>
    <t>Pastor Australiano (Blue Heeler)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</si>
</sst>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R$&quot;* #,##0.00_);_(&quot;R$&quot;* \(#,##0.00\);_(&quot;R$&quot;* &quot;-&quot;??_);_(@_)"/>
  </numFmts>
  <fonts count="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23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4" fontId="0" fillId="0" borderId="0" xfId="0" applyNumberFormat="1"/>
    <xf numFmtId="2" fontId="0" fillId="0" borderId="0" xfId="0" applyNumberFormat="1"/>
    <xf numFmtId="0" fontId="0" fillId="2" borderId="0" xfId="0" applyFill="1"/>
    <xf numFmtId="0" fontId="0" fillId="0" borderId="3" xfId="0" applyBorder="1" applyAlignment="1">
      <alignment horizontal="center"/>
    </xf>
    <xf numFmtId="0" fontId="1" fillId="0" borderId="0" xfId="0" applyFont="1"/>
    <xf numFmtId="0" fontId="0" fillId="2" borderId="3" xfId="0" applyFill="1" applyBorder="1" applyAlignment="1">
      <alignment horizontal="center"/>
    </xf>
    <xf numFmtId="4" fontId="0" fillId="0" borderId="2" xfId="0" applyNumberFormat="1" applyFont="1" applyBorder="1"/>
    <xf numFmtId="0" fontId="0" fillId="0" borderId="1" xfId="0" applyFont="1" applyFill="1" applyBorder="1"/>
    <xf numFmtId="0" fontId="0" fillId="0" borderId="0" xfId="0" applyFill="1"/>
    <xf numFmtId="0" fontId="2" fillId="0" borderId="1" xfId="0" applyFont="1" applyFill="1" applyBorder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44" fontId="4" fillId="0" borderId="0" xfId="1" applyFont="1" applyBorder="1"/>
    <xf numFmtId="0" fontId="0" fillId="3" borderId="0" xfId="0" applyFill="1"/>
    <xf numFmtId="0" fontId="0" fillId="0" borderId="1" xfId="0" applyBorder="1"/>
    <xf numFmtId="2" fontId="0" fillId="3" borderId="0" xfId="0" applyNumberFormat="1" applyFill="1"/>
    <xf numFmtId="0" fontId="0" fillId="4" borderId="0" xfId="0" applyFill="1"/>
  </cellXfs>
  <cellStyles count="2">
    <cellStyle name="Moeda" xfId="1" builtinId="4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z val="10"/>
      </font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XCV5" s="1"/>
        <tr r="XCV5" s="1"/>
        <tr r="XCV4" s="1"/>
        <tr r="XCV4" s="1"/>
        <tr r="XCV6" s="1"/>
        <tr r="XCV6" s="1"/>
        <tr r="I4" s="8"/>
        <tr r="A6" s="8"/>
        <tr r="A15" s="8"/>
        <tr r="A14" s="8"/>
        <tr r="A17" s="8"/>
        <tr r="B35" s="5"/>
        <tr r="B35" s="5"/>
        <tr r="B35" s="5"/>
        <tr r="B35" s="5"/>
        <tr r="B35" s="5"/>
        <tr r="B35" s="5"/>
        <tr r="B49" s="5"/>
        <tr r="B49" s="5"/>
        <tr r="B49" s="5"/>
        <tr r="B49" s="5"/>
        <tr r="B49" s="5"/>
        <tr r="B49" s="5"/>
        <tr r="B15" s="5"/>
        <tr r="B15" s="5"/>
        <tr r="B15" s="5"/>
        <tr r="B15" s="5"/>
        <tr r="B15" s="5"/>
        <tr r="B15" s="5"/>
        <tr r="XCV3" s="1"/>
        <tr r="I5" s="8"/>
        <tr r="I5" s="8"/>
        <tr r="I5" s="8"/>
        <tr r="I5" s="8"/>
        <tr r="I5" s="8"/>
        <tr r="I5" s="8"/>
        <tr r="A19" s="8"/>
        <tr r="A11" s="8"/>
        <tr r="A13" s="8"/>
        <tr r="C4" s="8"/>
        <tr r="G7" s="8"/>
        <tr r="C15" s="8"/>
        <tr r="C15" s="8"/>
        <tr r="C15" s="8"/>
        <tr r="C15" s="8"/>
        <tr r="C15" s="8"/>
        <tr r="C15" s="8"/>
        <tr r="B16" s="5"/>
        <tr r="B16" s="5"/>
        <tr r="B16" s="5"/>
        <tr r="B16" s="5"/>
        <tr r="B16" s="5"/>
        <tr r="B16" s="5"/>
        <tr r="C7" s="8"/>
        <tr r="C7" s="8"/>
        <tr r="C7" s="8"/>
        <tr r="C7" s="8"/>
        <tr r="C7" s="8"/>
        <tr r="C7" s="8"/>
        <tr r="B21" s="8"/>
        <tr r="B21" s="8"/>
        <tr r="B21" s="8"/>
        <tr r="B21" s="8"/>
        <tr r="B21" s="8"/>
        <tr r="B21" s="8"/>
        <tr r="B10" s="5"/>
        <tr r="B10" s="5"/>
        <tr r="B10" s="5"/>
        <tr r="B10" s="5"/>
        <tr r="B10" s="5"/>
        <tr r="B10" s="5"/>
        <tr r="B11" s="5"/>
        <tr r="B11" s="5"/>
        <tr r="B11" s="5"/>
        <tr r="B11" s="5"/>
        <tr r="B11" s="5"/>
        <tr r="B11" s="5"/>
        <tr r="B53" s="5"/>
        <tr r="B53" s="5"/>
        <tr r="B53" s="5"/>
        <tr r="B53" s="5"/>
        <tr r="B53" s="5"/>
        <tr r="B53" s="5"/>
        <tr r="B31" s="5"/>
        <tr r="B31" s="5"/>
        <tr r="B31" s="5"/>
        <tr r="B31" s="5"/>
        <tr r="B31" s="5"/>
        <tr r="B31" s="5"/>
        <tr r="B32" s="5"/>
        <tr r="B32" s="5"/>
        <tr r="B32" s="5"/>
        <tr r="B32" s="5"/>
        <tr r="B32" s="5"/>
        <tr r="B32" s="5"/>
        <tr r="C11" s="8"/>
        <tr r="C11" s="8"/>
        <tr r="C11" s="8"/>
        <tr r="C11" s="8"/>
        <tr r="C11" s="8"/>
        <tr r="C11" s="8"/>
        <tr r="C14" s="8"/>
        <tr r="C14" s="8"/>
        <tr r="C14" s="8"/>
        <tr r="C14" s="8"/>
        <tr r="C14" s="8"/>
        <tr r="C14" s="8"/>
        <tr r="D6" s="8"/>
        <tr r="D6" s="8"/>
        <tr r="D6" s="8"/>
        <tr r="D6" s="8"/>
        <tr r="D6" s="8"/>
        <tr r="D6" s="8"/>
        <tr r="D21" s="8"/>
        <tr r="D21" s="8"/>
        <tr r="D21" s="8"/>
        <tr r="D21" s="8"/>
        <tr r="D21" s="8"/>
        <tr r="D21" s="8"/>
        <tr r="A21" s="8"/>
        <tr r="H7" s="8"/>
        <tr r="H7" s="8"/>
        <tr r="H7" s="8"/>
        <tr r="H7" s="8"/>
        <tr r="H7" s="8"/>
        <tr r="H7" s="8"/>
        <tr r="D8" s="8"/>
        <tr r="D8" s="8"/>
        <tr r="D8" s="8"/>
        <tr r="D8" s="8"/>
        <tr r="D8" s="8"/>
        <tr r="D8" s="8"/>
        <tr r="D12" s="8"/>
        <tr r="D12" s="8"/>
        <tr r="D12" s="8"/>
        <tr r="D12" s="8"/>
        <tr r="D12" s="8"/>
        <tr r="D12" s="8"/>
        <tr r="B18" s="8"/>
        <tr r="B18" s="8"/>
        <tr r="B18" s="8"/>
        <tr r="B18" s="8"/>
        <tr r="B18" s="8"/>
        <tr r="B18" s="8"/>
        <tr r="C13" s="8"/>
        <tr r="C13" s="8"/>
        <tr r="C13" s="8"/>
        <tr r="C13" s="8"/>
        <tr r="C13" s="8"/>
        <tr r="C13" s="8"/>
        <tr r="B46" s="5"/>
        <tr r="B46" s="5"/>
        <tr r="B46" s="5"/>
        <tr r="B46" s="5"/>
        <tr r="B46" s="5"/>
        <tr r="B46" s="5"/>
        <tr r="B22" s="5"/>
        <tr r="B22" s="5"/>
        <tr r="B22" s="5"/>
        <tr r="B22" s="5"/>
        <tr r="B22" s="5"/>
        <tr r="B22" s="5"/>
        <tr r="B27" s="5"/>
        <tr r="B27" s="5"/>
        <tr r="B27" s="5"/>
        <tr r="B27" s="5"/>
        <tr r="B27" s="5"/>
        <tr r="B27" s="5"/>
        <tr r="B4" s="8"/>
        <tr r="B19" s="8"/>
        <tr r="B19" s="8"/>
        <tr r="B19" s="8"/>
        <tr r="B19" s="8"/>
        <tr r="B19" s="8"/>
        <tr r="B19" s="8"/>
        <tr r="B20" s="5"/>
        <tr r="B20" s="5"/>
        <tr r="B20" s="5"/>
        <tr r="B20" s="5"/>
        <tr r="B20" s="5"/>
        <tr r="B20" s="5"/>
        <tr r="XCU4" s="1"/>
        <tr r="C9" s="8"/>
        <tr r="C9" s="8"/>
        <tr r="C9" s="8"/>
        <tr r="C9" s="8"/>
        <tr r="C9" s="8"/>
        <tr r="C9" s="8"/>
        <tr r="C21" s="8"/>
        <tr r="C21" s="8"/>
        <tr r="C21" s="8"/>
        <tr r="C21" s="8"/>
        <tr r="C21" s="8"/>
        <tr r="C21" s="8"/>
        <tr r="B17" s="8"/>
        <tr r="B17" s="8"/>
        <tr r="B17" s="8"/>
        <tr r="B17" s="8"/>
        <tr r="B17" s="8"/>
        <tr r="B17" s="8"/>
        <tr r="B6" s="8"/>
        <tr r="B6" s="8"/>
        <tr r="B6" s="8"/>
        <tr r="B6" s="8"/>
        <tr r="B6" s="8"/>
        <tr r="B6" s="8"/>
        <tr r="H2" s="8"/>
        <tr r="H2" s="1"/>
        <tr r="H2" s="1"/>
        <tr r="H2" s="1"/>
        <tr r="H2" s="1"/>
        <tr r="H2" s="1"/>
        <tr r="B2" s="8"/>
        <tr r="C18" s="8"/>
        <tr r="C18" s="8"/>
        <tr r="C18" s="8"/>
        <tr r="C18" s="8"/>
        <tr r="C18" s="8"/>
        <tr r="C18" s="8"/>
        <tr r="I9" s="8"/>
        <tr r="I9" s="8"/>
        <tr r="I9" s="8"/>
        <tr r="I9" s="8"/>
        <tr r="I9" s="8"/>
        <tr r="I9" s="8"/>
        <tr r="B41" s="5"/>
        <tr r="B41" s="5"/>
        <tr r="B41" s="5"/>
        <tr r="B41" s="5"/>
        <tr r="B41" s="5"/>
        <tr r="B41" s="5"/>
        <tr r="B11" s="8"/>
        <tr r="B11" s="8"/>
        <tr r="B11" s="8"/>
        <tr r="B11" s="8"/>
        <tr r="B11" s="8"/>
        <tr r="B11" s="8"/>
        <tr r="B33" s="5"/>
        <tr r="B33" s="5"/>
        <tr r="B33" s="5"/>
        <tr r="B33" s="5"/>
        <tr r="B33" s="5"/>
        <tr r="B33" s="5"/>
        <tr r="B50" s="5"/>
        <tr r="B50" s="5"/>
        <tr r="B50" s="5"/>
        <tr r="B50" s="5"/>
        <tr r="B50" s="5"/>
        <tr r="B50" s="5"/>
        <tr r="B51" s="5"/>
        <tr r="B51" s="5"/>
        <tr r="B51" s="5"/>
        <tr r="B51" s="5"/>
        <tr r="B51" s="5"/>
        <tr r="B51" s="5"/>
        <tr r="B29" s="5"/>
        <tr r="B29" s="5"/>
        <tr r="B29" s="5"/>
        <tr r="B29" s="5"/>
        <tr r="B29" s="5"/>
        <tr r="B29" s="5"/>
        <tr r="J4" s="8"/>
        <tr r="G8" s="8"/>
        <tr r="B5" s="5"/>
        <tr r="B5" s="5"/>
        <tr r="B5" s="5"/>
        <tr r="B5" s="5"/>
        <tr r="B5" s="5"/>
        <tr r="B5" s="5"/>
        <tr r="G5" s="8"/>
        <tr r="B13" s="5"/>
        <tr r="B13" s="5"/>
        <tr r="B13" s="5"/>
        <tr r="B13" s="5"/>
        <tr r="B13" s="5"/>
        <tr r="B13" s="5"/>
        <tr r="B56" s="5"/>
        <tr r="B56" s="5"/>
        <tr r="B56" s="5"/>
        <tr r="B56" s="5"/>
        <tr r="B56" s="5"/>
        <tr r="B56" s="5"/>
        <tr r="B52" s="5"/>
        <tr r="B52" s="5"/>
        <tr r="B52" s="5"/>
        <tr r="B52" s="5"/>
        <tr r="B52" s="5"/>
        <tr r="B52" s="5"/>
        <tr r="B5" s="8"/>
        <tr r="B5" s="8"/>
        <tr r="B5" s="8"/>
        <tr r="B5" s="8"/>
        <tr r="B5" s="8"/>
        <tr r="B5" s="8"/>
        <tr r="H9" s="8"/>
        <tr r="H9" s="8"/>
        <tr r="H9" s="8"/>
        <tr r="H9" s="8"/>
        <tr r="H9" s="8"/>
        <tr r="H9" s="8"/>
        <tr r="B38" s="5"/>
        <tr r="B38" s="5"/>
        <tr r="B38" s="5"/>
        <tr r="B38" s="5"/>
        <tr r="B38" s="5"/>
        <tr r="B38" s="5"/>
        <tr r="A10" s="8"/>
        <tr r="A7" s="8"/>
        <tr r="I10" s="8"/>
        <tr r="I10" s="8"/>
        <tr r="I10" s="8"/>
        <tr r="I10" s="8"/>
        <tr r="I10" s="8"/>
        <tr r="I10" s="8"/>
        <tr r="B37" s="5"/>
        <tr r="B37" s="5"/>
        <tr r="B37" s="5"/>
        <tr r="B37" s="5"/>
        <tr r="B37" s="5"/>
        <tr r="B37" s="5"/>
        <tr r="D14" s="8"/>
        <tr r="D14" s="8"/>
        <tr r="D14" s="8"/>
        <tr r="D14" s="8"/>
        <tr r="D14" s="8"/>
        <tr r="D14" s="8"/>
        <tr r="C8" s="8"/>
        <tr r="C8" s="8"/>
        <tr r="C8" s="8"/>
        <tr r="C8" s="8"/>
        <tr r="C8" s="8"/>
        <tr r="C8" s="8"/>
        <tr r="B20" s="8"/>
        <tr r="B20" s="8"/>
        <tr r="B20" s="8"/>
        <tr r="B20" s="8"/>
        <tr r="B20" s="8"/>
        <tr r="B20" s="8"/>
        <tr r="B28" s="5"/>
        <tr r="B28" s="5"/>
        <tr r="B28" s="5"/>
        <tr r="B28" s="5"/>
        <tr r="B28" s="5"/>
        <tr r="B28" s="5"/>
        <tr r="B21" s="5"/>
        <tr r="B21" s="5"/>
        <tr r="B21" s="5"/>
        <tr r="B21" s="5"/>
        <tr r="B21" s="5"/>
        <tr r="B21" s="5"/>
        <tr r="B7" s="8"/>
        <tr r="B7" s="8"/>
        <tr r="B7" s="8"/>
        <tr r="B7" s="8"/>
        <tr r="B7" s="8"/>
        <tr r="B7" s="8"/>
        <tr r="B2" s="5"/>
        <tr r="B2" s="5"/>
        <tr r="B2" s="5"/>
        <tr r="B2" s="5"/>
        <tr r="B2" s="5"/>
        <tr r="B2" s="5"/>
        <tr r="B19" s="5"/>
        <tr r="B19" s="5"/>
        <tr r="B19" s="5"/>
        <tr r="B19" s="5"/>
        <tr r="B19" s="5"/>
        <tr r="B19" s="5"/>
        <tr r="C16" s="8"/>
        <tr r="C16" s="8"/>
        <tr r="C16" s="8"/>
        <tr r="C16" s="8"/>
        <tr r="C16" s="8"/>
        <tr r="C16" s="8"/>
        <tr r="J10" s="8"/>
        <tr r="J10" s="8"/>
        <tr r="J10" s="8"/>
        <tr r="J10" s="8"/>
        <tr r="J10" s="8"/>
        <tr r="J10" s="8"/>
        <tr r="A12" s="8"/>
        <tr r="D17" s="8"/>
        <tr r="D17" s="8"/>
        <tr r="D17" s="8"/>
        <tr r="D17" s="8"/>
        <tr r="D17" s="8"/>
        <tr r="D17" s="8"/>
        <tr r="H10" s="8"/>
        <tr r="H10" s="8"/>
        <tr r="H10" s="8"/>
        <tr r="H10" s="8"/>
        <tr r="H10" s="8"/>
        <tr r="H10" s="8"/>
        <tr r="B10" s="8"/>
        <tr r="B10" s="8"/>
        <tr r="B10" s="8"/>
        <tr r="B10" s="8"/>
        <tr r="B10" s="8"/>
        <tr r="B10" s="8"/>
        <tr r="I7" s="8"/>
        <tr r="I7" s="8"/>
        <tr r="I7" s="8"/>
        <tr r="I7" s="8"/>
        <tr r="I7" s="8"/>
        <tr r="I7" s="8"/>
        <tr r="J6" s="8"/>
        <tr r="J6" s="8"/>
        <tr r="J6" s="8"/>
        <tr r="J6" s="8"/>
        <tr r="J6" s="8"/>
        <tr r="J6" s="8"/>
        <tr r="B13" s="8"/>
        <tr r="B13" s="8"/>
        <tr r="B13" s="8"/>
        <tr r="B13" s="8"/>
        <tr r="B13" s="8"/>
        <tr r="B13" s="8"/>
        <tr r="D16" s="8"/>
        <tr r="D16" s="8"/>
        <tr r="D16" s="8"/>
        <tr r="D16" s="8"/>
        <tr r="D16" s="8"/>
        <tr r="D16" s="8"/>
        <tr r="B9" s="8"/>
        <tr r="B9" s="8"/>
        <tr r="B9" s="8"/>
        <tr r="B9" s="8"/>
        <tr r="B9" s="8"/>
        <tr r="B9" s="8"/>
        <tr r="B16" s="8"/>
        <tr r="B16" s="8"/>
        <tr r="B16" s="8"/>
        <tr r="B16" s="8"/>
        <tr r="B16" s="8"/>
        <tr r="B16" s="8"/>
        <tr r="D9" s="8"/>
        <tr r="D9" s="8"/>
        <tr r="D9" s="8"/>
        <tr r="D9" s="8"/>
        <tr r="D9" s="8"/>
        <tr r="D9" s="8"/>
        <tr r="J8" s="8"/>
        <tr r="J8" s="8"/>
        <tr r="J8" s="8"/>
        <tr r="J8" s="8"/>
        <tr r="J8" s="8"/>
        <tr r="J8" s="8"/>
        <tr r="B58" s="5"/>
        <tr r="B58" s="5"/>
        <tr r="B58" s="5"/>
        <tr r="B58" s="5"/>
        <tr r="B58" s="5"/>
        <tr r="B58" s="5"/>
        <tr r="B57" s="5"/>
        <tr r="B57" s="5"/>
        <tr r="B57" s="5"/>
        <tr r="B57" s="5"/>
        <tr r="B57" s="5"/>
        <tr r="B57" s="5"/>
        <tr r="B24" s="5"/>
        <tr r="B24" s="5"/>
        <tr r="B24" s="5"/>
        <tr r="B24" s="5"/>
        <tr r="B24" s="5"/>
        <tr r="B24" s="5"/>
        <tr r="A18" s="8"/>
        <tr r="H4" s="8"/>
        <tr r="G10" s="8"/>
        <tr r="A20" s="8"/>
        <tr r="C17" s="8"/>
        <tr r="C17" s="8"/>
        <tr r="C17" s="8"/>
        <tr r="C17" s="8"/>
        <tr r="C17" s="8"/>
        <tr r="C17" s="8"/>
        <tr r="B8" s="5"/>
        <tr r="B8" s="5"/>
        <tr r="B8" s="5"/>
        <tr r="B8" s="5"/>
        <tr r="B8" s="5"/>
        <tr r="B36" s="5"/>
        <tr r="B36" s="5"/>
        <tr r="B36" s="5"/>
        <tr r="B36" s="5"/>
        <tr r="B36" s="5"/>
        <tr r="B36" s="5"/>
        <tr r="D20" s="8"/>
        <tr r="D20" s="8"/>
        <tr r="D20" s="8"/>
        <tr r="D20" s="8"/>
        <tr r="D20" s="8"/>
        <tr r="D20" s="8"/>
        <tr r="B8" s="8"/>
        <tr r="B8" s="8"/>
        <tr r="B8" s="8"/>
        <tr r="B8" s="8"/>
        <tr r="B8" s="8"/>
        <tr r="B8" s="8"/>
        <tr r="C6" s="8"/>
        <tr r="C6" s="8"/>
        <tr r="C6" s="8"/>
        <tr r="C6" s="8"/>
        <tr r="C6" s="8"/>
        <tr r="C6" s="8"/>
        <tr r="D5" s="8"/>
        <tr r="D5" s="8"/>
        <tr r="D5" s="8"/>
        <tr r="D5" s="8"/>
        <tr r="D5" s="8"/>
        <tr r="D5" s="8"/>
        <tr r="C12" s="8"/>
        <tr r="C12" s="8"/>
        <tr r="C12" s="8"/>
        <tr r="C12" s="8"/>
        <tr r="C12" s="8"/>
        <tr r="C12" s="8"/>
        <tr r="B26" s="5"/>
        <tr r="B26" s="5"/>
        <tr r="B26" s="5"/>
        <tr r="B26" s="5"/>
        <tr r="B26" s="5"/>
        <tr r="B26" s="5"/>
        <tr r="D13" s="8"/>
        <tr r="D13" s="8"/>
        <tr r="D13" s="8"/>
        <tr r="D13" s="8"/>
        <tr r="D13" s="8"/>
        <tr r="D13" s="8"/>
        <tr r="D11" s="8"/>
        <tr r="D11" s="8"/>
        <tr r="D11" s="8"/>
        <tr r="D11" s="8"/>
        <tr r="D11" s="8"/>
        <tr r="D11" s="8"/>
        <tr r="B4" s="5"/>
        <tr r="B4" s="5"/>
        <tr r="B4" s="5"/>
        <tr r="B4" s="5"/>
        <tr r="B4" s="5"/>
        <tr r="B4" s="5"/>
        <tr r="B42" s="5"/>
        <tr r="B42" s="5"/>
        <tr r="B42" s="5"/>
        <tr r="B42" s="5"/>
        <tr r="B42" s="5"/>
        <tr r="B42" s="5"/>
        <tr r="A9" s="8"/>
        <tr r="C19" s="8"/>
        <tr r="C19" s="8"/>
        <tr r="C19" s="8"/>
        <tr r="C19" s="8"/>
        <tr r="C19" s="8"/>
        <tr r="C19" s="8"/>
        <tr r="B40" s="5"/>
        <tr r="B40" s="5"/>
        <tr r="B40" s="5"/>
        <tr r="B40" s="5"/>
        <tr r="B40" s="5"/>
        <tr r="B40" s="5"/>
        <tr r="H6" s="8"/>
        <tr r="H6" s="8"/>
        <tr r="H6" s="8"/>
        <tr r="H6" s="8"/>
        <tr r="H6" s="8"/>
        <tr r="H6" s="8"/>
        <tr r="D15" s="8"/>
        <tr r="D15" s="8"/>
        <tr r="D15" s="8"/>
        <tr r="D15" s="8"/>
        <tr r="D15" s="8"/>
        <tr r="D15" s="8"/>
        <tr r="H8" s="8"/>
        <tr r="H8" s="8"/>
        <tr r="H8" s="8"/>
        <tr r="H8" s="8"/>
        <tr r="H8" s="8"/>
        <tr r="H8" s="8"/>
        <tr r="H5" s="8"/>
        <tr r="H5" s="8"/>
        <tr r="H5" s="8"/>
        <tr r="H5" s="8"/>
        <tr r="H5" s="8"/>
        <tr r="H5" s="8"/>
        <tr r="XCU6" s="1"/>
        <tr r="B17" s="5"/>
        <tr r="B17" s="5"/>
        <tr r="B17" s="5"/>
        <tr r="B17" s="5"/>
        <tr r="B17" s="5"/>
        <tr r="B17" s="5"/>
        <tr r="H1" s="8"/>
        <tr r="B23" s="5"/>
        <tr r="B23" s="5"/>
        <tr r="B23" s="5"/>
        <tr r="B23" s="5"/>
        <tr r="B23" s="5"/>
        <tr r="B23" s="5"/>
        <tr r="G6" s="8"/>
        <tr r="B34" s="5"/>
        <tr r="B34" s="5"/>
        <tr r="B34" s="5"/>
        <tr r="B34" s="5"/>
        <tr r="B34" s="5"/>
        <tr r="B34" s="5"/>
        <tr r="D10" s="8"/>
        <tr r="D10" s="8"/>
        <tr r="D10" s="8"/>
        <tr r="D10" s="8"/>
        <tr r="D10" s="8"/>
        <tr r="D10" s="8"/>
        <tr r="XCU5" s="1"/>
        <tr r="B59" s="5"/>
        <tr r="B59" s="5"/>
        <tr r="B59" s="5"/>
        <tr r="B59" s="5"/>
        <tr r="B59" s="5"/>
        <tr r="B59" s="5"/>
        <tr r="I8" s="8"/>
        <tr r="I8" s="8"/>
        <tr r="I8" s="8"/>
        <tr r="I8" s="8"/>
        <tr r="I8" s="8"/>
        <tr r="I8" s="8"/>
        <tr r="C10" s="8"/>
        <tr r="C10" s="8"/>
        <tr r="C10" s="8"/>
        <tr r="C10" s="8"/>
        <tr r="C10" s="8"/>
        <tr r="C10" s="8"/>
        <tr r="B15" s="8"/>
        <tr r="B15" s="8"/>
        <tr r="B15" s="8"/>
        <tr r="B15" s="8"/>
        <tr r="B15" s="8"/>
        <tr r="B15" s="8"/>
        <tr r="B6" s="5"/>
        <tr r="B6" s="5"/>
        <tr r="B6" s="5"/>
        <tr r="B6" s="5"/>
        <tr r="B6" s="5"/>
        <tr r="B6" s="5"/>
        <tr r="B12" s="8"/>
        <tr r="B12" s="8"/>
        <tr r="B12" s="8"/>
        <tr r="B12" s="8"/>
        <tr r="B12" s="8"/>
        <tr r="B12" s="8"/>
        <tr r="C20" s="8"/>
        <tr r="C20" s="8"/>
        <tr r="C20" s="8"/>
        <tr r="C20" s="8"/>
        <tr r="C20" s="8"/>
        <tr r="C20" s="8"/>
        <tr r="I6" s="8"/>
        <tr r="I6" s="8"/>
        <tr r="I6" s="8"/>
        <tr r="I6" s="8"/>
        <tr r="I6" s="8"/>
        <tr r="I6" s="8"/>
        <tr r="B43" s="5"/>
        <tr r="B43" s="5"/>
        <tr r="B43" s="5"/>
        <tr r="B43" s="5"/>
        <tr r="B43" s="5"/>
        <tr r="B43" s="5"/>
        <tr r="C5" s="8"/>
        <tr r="C5" s="8"/>
        <tr r="C5" s="8"/>
        <tr r="C5" s="8"/>
        <tr r="C5" s="8"/>
        <tr r="C5" s="8"/>
        <tr r="B18" s="5"/>
        <tr r="B18" s="5"/>
        <tr r="B18" s="5"/>
        <tr r="B18" s="5"/>
        <tr r="B18" s="5"/>
        <tr r="B18" s="5"/>
        <tr r="B30" s="5"/>
        <tr r="B30" s="5"/>
        <tr r="B30" s="5"/>
        <tr r="B30" s="5"/>
        <tr r="B30" s="5"/>
        <tr r="B30" s="5"/>
        <tr r="B55" s="5"/>
        <tr r="B55" s="5"/>
        <tr r="B55" s="5"/>
        <tr r="B55" s="5"/>
        <tr r="B55" s="5"/>
        <tr r="B55" s="5"/>
        <tr r="B3" s="5"/>
        <tr r="B3" s="5"/>
        <tr r="B3" s="5"/>
        <tr r="B3" s="5"/>
        <tr r="B3" s="5"/>
        <tr r="B3" s="5"/>
        <tr r="A8" s="8"/>
        <tr r="B12" s="5"/>
        <tr r="B12" s="5"/>
        <tr r="B12" s="5"/>
        <tr r="B12" s="5"/>
        <tr r="B12" s="5"/>
        <tr r="B12" s="5"/>
        <tr r="I21" s="1"/>
        <tr r="I21" s="1"/>
        <tr r="I21" s="1"/>
        <tr r="I21" s="1"/>
        <tr r="B44" s="5"/>
        <tr r="B44" s="5"/>
        <tr r="B44" s="5"/>
        <tr r="B44" s="5"/>
        <tr r="B44" s="5"/>
        <tr r="B44" s="5"/>
        <tr r="D7" s="8"/>
        <tr r="D7" s="8"/>
        <tr r="D7" s="8"/>
        <tr r="D7" s="8"/>
        <tr r="D7" s="8"/>
        <tr r="D7" s="8"/>
        <tr r="D4" s="8"/>
        <tr r="B54" s="5"/>
        <tr r="B54" s="5"/>
        <tr r="B54" s="5"/>
        <tr r="B54" s="5"/>
        <tr r="B54" s="5"/>
        <tr r="B54" s="5"/>
        <tr r="B39" s="5"/>
        <tr r="B39" s="5"/>
        <tr r="B39" s="5"/>
        <tr r="B39" s="5"/>
        <tr r="B39" s="5"/>
        <tr r="B39" s="5"/>
        <tr r="B14" s="5"/>
        <tr r="B14" s="5"/>
        <tr r="B14" s="5"/>
        <tr r="B14" s="5"/>
        <tr r="B14" s="5"/>
        <tr r="B14" s="5"/>
        <tr r="D19" s="8"/>
        <tr r="D19" s="8"/>
        <tr r="D19" s="8"/>
        <tr r="D19" s="8"/>
        <tr r="D19" s="8"/>
        <tr r="D19" s="8"/>
        <tr r="B25" s="5"/>
        <tr r="B25" s="5"/>
        <tr r="B25" s="5"/>
        <tr r="B25" s="5"/>
        <tr r="B25" s="5"/>
        <tr r="B25" s="5"/>
        <tr r="B7" s="5"/>
        <tr r="B7" s="5"/>
        <tr r="B7" s="5"/>
        <tr r="B7" s="5"/>
        <tr r="B7" s="5"/>
        <tr r="B9" s="5"/>
        <tr r="B9" s="5"/>
        <tr r="B9" s="5"/>
        <tr r="B9" s="5"/>
        <tr r="B9" s="5"/>
        <tr r="B1" s="8"/>
        <tr r="J5" s="8"/>
        <tr r="J5" s="8"/>
        <tr r="J5" s="8"/>
        <tr r="J5" s="8"/>
        <tr r="J5" s="8"/>
        <tr r="J5" s="8"/>
        <tr r="J7" s="8"/>
        <tr r="J7" s="8"/>
        <tr r="J7" s="8"/>
        <tr r="J7" s="8"/>
        <tr r="J7" s="8"/>
        <tr r="J7" s="8"/>
        <tr r="D18" s="8"/>
        <tr r="D18" s="8"/>
        <tr r="D18" s="8"/>
        <tr r="D18" s="8"/>
        <tr r="D18" s="8"/>
        <tr r="D18" s="8"/>
        <tr r="J9" s="8"/>
        <tr r="J9" s="8"/>
        <tr r="J9" s="8"/>
        <tr r="J9" s="8"/>
        <tr r="J9" s="8"/>
        <tr r="J9" s="8"/>
        <tr r="B14" s="8"/>
        <tr r="B14" s="8"/>
        <tr r="B14" s="8"/>
        <tr r="B14" s="8"/>
        <tr r="B14" s="8"/>
        <tr r="B14" s="8"/>
        <tr r="B45" s="5"/>
        <tr r="B45" s="5"/>
        <tr r="B45" s="5"/>
        <tr r="B45" s="5"/>
        <tr r="B45" s="5"/>
        <tr r="B45" s="5"/>
        <tr r="A5" s="8"/>
        <tr r="A16" s="8"/>
        <tr r="G9" s="8"/>
      </tp>
    </main>
  </volType>
</volTypes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sharedStrings" Target="sharedStrings.xml"/><Relationship Id="rId21" Type="http://schemas.microsoft.com/office/2007/relationships/slicerCache" Target="slicerCaches/slicerCache1.xml"/><Relationship Id="rId42" Type="http://schemas.openxmlformats.org/officeDocument/2006/relationships/customXml" Target="../customXml/item13.xml"/><Relationship Id="rId47" Type="http://schemas.openxmlformats.org/officeDocument/2006/relationships/customXml" Target="../customXml/item18.xml"/><Relationship Id="rId63" Type="http://schemas.openxmlformats.org/officeDocument/2006/relationships/customXml" Target="../customXml/item34.xml"/><Relationship Id="rId68" Type="http://schemas.openxmlformats.org/officeDocument/2006/relationships/customXml" Target="../customXml/item39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9.xml"/><Relationship Id="rId29" Type="http://schemas.openxmlformats.org/officeDocument/2006/relationships/calcChain" Target="calcChain.xml"/><Relationship Id="rId11" Type="http://schemas.openxmlformats.org/officeDocument/2006/relationships/pivotCacheDefinition" Target="pivotCache/pivotCacheDefinition4.xml"/><Relationship Id="rId24" Type="http://schemas.openxmlformats.org/officeDocument/2006/relationships/connections" Target="connections.xml"/><Relationship Id="rId32" Type="http://schemas.openxmlformats.org/officeDocument/2006/relationships/customXml" Target="../customXml/item3.xml"/><Relationship Id="rId37" Type="http://schemas.openxmlformats.org/officeDocument/2006/relationships/customXml" Target="../customXml/item8.xml"/><Relationship Id="rId40" Type="http://schemas.openxmlformats.org/officeDocument/2006/relationships/customXml" Target="../customXml/item11.xml"/><Relationship Id="rId45" Type="http://schemas.openxmlformats.org/officeDocument/2006/relationships/customXml" Target="../customXml/item16.xml"/><Relationship Id="rId53" Type="http://schemas.openxmlformats.org/officeDocument/2006/relationships/customXml" Target="../customXml/item24.xml"/><Relationship Id="rId58" Type="http://schemas.openxmlformats.org/officeDocument/2006/relationships/customXml" Target="../customXml/item29.xml"/><Relationship Id="rId66" Type="http://schemas.openxmlformats.org/officeDocument/2006/relationships/customXml" Target="../customXml/item37.xml"/><Relationship Id="rId74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32.xml"/><Relationship Id="rId19" Type="http://schemas.openxmlformats.org/officeDocument/2006/relationships/pivotCacheDefinition" Target="pivotCache/pivotCacheDefinition12.xml"/><Relationship Id="rId14" Type="http://schemas.openxmlformats.org/officeDocument/2006/relationships/pivotCacheDefinition" Target="pivotCache/pivotCacheDefinition7.xml"/><Relationship Id="rId22" Type="http://schemas.microsoft.com/office/2007/relationships/slicerCache" Target="slicerCaches/slicerCache2.xml"/><Relationship Id="rId27" Type="http://schemas.openxmlformats.org/officeDocument/2006/relationships/sheetMetadata" Target="metadata.xml"/><Relationship Id="rId30" Type="http://schemas.openxmlformats.org/officeDocument/2006/relationships/customXml" Target="../customXml/item1.xml"/><Relationship Id="rId35" Type="http://schemas.openxmlformats.org/officeDocument/2006/relationships/customXml" Target="../customXml/item6.xml"/><Relationship Id="rId43" Type="http://schemas.openxmlformats.org/officeDocument/2006/relationships/customXml" Target="../customXml/item14.xml"/><Relationship Id="rId48" Type="http://schemas.openxmlformats.org/officeDocument/2006/relationships/customXml" Target="../customXml/item19.xml"/><Relationship Id="rId56" Type="http://schemas.openxmlformats.org/officeDocument/2006/relationships/customXml" Target="../customXml/item27.xml"/><Relationship Id="rId64" Type="http://schemas.openxmlformats.org/officeDocument/2006/relationships/customXml" Target="../customXml/item35.xml"/><Relationship Id="rId69" Type="http://schemas.openxmlformats.org/officeDocument/2006/relationships/customXml" Target="../customXml/item40.xml"/><Relationship Id="rId8" Type="http://schemas.openxmlformats.org/officeDocument/2006/relationships/pivotCacheDefinition" Target="pivotCache/pivotCacheDefinition1.xml"/><Relationship Id="rId51" Type="http://schemas.openxmlformats.org/officeDocument/2006/relationships/customXml" Target="../customXml/item22.xml"/><Relationship Id="rId72" Type="http://schemas.openxmlformats.org/officeDocument/2006/relationships/customXml" Target="../customXml/item43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5.xml"/><Relationship Id="rId17" Type="http://schemas.openxmlformats.org/officeDocument/2006/relationships/pivotCacheDefinition" Target="pivotCache/pivotCacheDefinition10.xml"/><Relationship Id="rId25" Type="http://schemas.openxmlformats.org/officeDocument/2006/relationships/styles" Target="styles.xml"/><Relationship Id="rId33" Type="http://schemas.openxmlformats.org/officeDocument/2006/relationships/customXml" Target="../customXml/item4.xml"/><Relationship Id="rId38" Type="http://schemas.openxmlformats.org/officeDocument/2006/relationships/customXml" Target="../customXml/item9.xml"/><Relationship Id="rId46" Type="http://schemas.openxmlformats.org/officeDocument/2006/relationships/customXml" Target="../customXml/item17.xml"/><Relationship Id="rId59" Type="http://schemas.openxmlformats.org/officeDocument/2006/relationships/customXml" Target="../customXml/item30.xml"/><Relationship Id="rId67" Type="http://schemas.openxmlformats.org/officeDocument/2006/relationships/customXml" Target="../customXml/item38.xml"/><Relationship Id="rId20" Type="http://schemas.openxmlformats.org/officeDocument/2006/relationships/pivotCacheDefinition" Target="pivotCache/pivotCacheDefinition13.xml"/><Relationship Id="rId41" Type="http://schemas.openxmlformats.org/officeDocument/2006/relationships/customXml" Target="../customXml/item12.xml"/><Relationship Id="rId54" Type="http://schemas.openxmlformats.org/officeDocument/2006/relationships/customXml" Target="../customXml/item25.xml"/><Relationship Id="rId62" Type="http://schemas.openxmlformats.org/officeDocument/2006/relationships/customXml" Target="../customXml/item33.xml"/><Relationship Id="rId70" Type="http://schemas.openxmlformats.org/officeDocument/2006/relationships/customXml" Target="../customXml/item41.xml"/><Relationship Id="rId7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8.xml"/><Relationship Id="rId23" Type="http://schemas.openxmlformats.org/officeDocument/2006/relationships/theme" Target="theme/theme1.xml"/><Relationship Id="rId28" Type="http://schemas.openxmlformats.org/officeDocument/2006/relationships/powerPivotData" Target="model/item.data"/><Relationship Id="rId36" Type="http://schemas.openxmlformats.org/officeDocument/2006/relationships/customXml" Target="../customXml/item7.xml"/><Relationship Id="rId49" Type="http://schemas.openxmlformats.org/officeDocument/2006/relationships/customXml" Target="../customXml/item20.xml"/><Relationship Id="rId57" Type="http://schemas.openxmlformats.org/officeDocument/2006/relationships/customXml" Target="../customXml/item28.xml"/><Relationship Id="rId10" Type="http://schemas.openxmlformats.org/officeDocument/2006/relationships/pivotCacheDefinition" Target="pivotCache/pivotCacheDefinition3.xml"/><Relationship Id="rId31" Type="http://schemas.openxmlformats.org/officeDocument/2006/relationships/customXml" Target="../customXml/item2.xml"/><Relationship Id="rId44" Type="http://schemas.openxmlformats.org/officeDocument/2006/relationships/customXml" Target="../customXml/item15.xml"/><Relationship Id="rId52" Type="http://schemas.openxmlformats.org/officeDocument/2006/relationships/customXml" Target="../customXml/item23.xml"/><Relationship Id="rId60" Type="http://schemas.openxmlformats.org/officeDocument/2006/relationships/customXml" Target="../customXml/item31.xml"/><Relationship Id="rId65" Type="http://schemas.openxmlformats.org/officeDocument/2006/relationships/customXml" Target="../customXml/item36.xml"/><Relationship Id="rId73" Type="http://schemas.openxmlformats.org/officeDocument/2006/relationships/customXml" Target="../customXml/item4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3" Type="http://schemas.openxmlformats.org/officeDocument/2006/relationships/pivotCacheDefinition" Target="pivotCache/pivotCacheDefinition6.xml"/><Relationship Id="rId18" Type="http://schemas.openxmlformats.org/officeDocument/2006/relationships/pivotCacheDefinition" Target="pivotCache/pivotCacheDefinition11.xml"/><Relationship Id="rId39" Type="http://schemas.openxmlformats.org/officeDocument/2006/relationships/customXml" Target="../customXml/item10.xml"/><Relationship Id="rId34" Type="http://schemas.openxmlformats.org/officeDocument/2006/relationships/customXml" Target="../customXml/item5.xml"/><Relationship Id="rId50" Type="http://schemas.openxmlformats.org/officeDocument/2006/relationships/customXml" Target="../customXml/item21.xml"/><Relationship Id="rId55" Type="http://schemas.openxmlformats.org/officeDocument/2006/relationships/customXml" Target="../customXml/item26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4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[Data_Analyses - Cidade dos Bichos V3 - Copia.xlsm]Resumo!Tabela dinâmica3</c:name>
    <c:fmtId val="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>
            <a:bevelT prst="convex"/>
          </a:sp3d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>
            <a:bevelT prst="convex"/>
          </a:sp3d>
        </c:spPr>
      </c:pivotFmt>
      <c:pivotFmt>
        <c:idx val="6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>
            <a:bevelT prst="convex"/>
          </a:sp3d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>
            <a:bevelT prst="convex"/>
          </a:sp3d>
        </c:spPr>
      </c:pivotFmt>
      <c:pivotFmt>
        <c:idx val="8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>
            <a:bevelT prst="convex"/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>
            <a:bevelT prst="convex"/>
          </a:sp3d>
        </c:spPr>
      </c:pivotFmt>
      <c:pivotFmt>
        <c:idx val="10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>
            <a:bevelT prst="convex"/>
          </a:sp3d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>
            <a:bevelT prst="convex"/>
          </a:sp3d>
        </c:spPr>
      </c:pivotFmt>
      <c:pivotFmt>
        <c:idx val="12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>
            <a:bevelT prst="convex"/>
          </a:sp3d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>
            <a:bevelT prst="convex"/>
          </a:sp3d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>
            <a:bevelT prst="convex"/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Resumo!$XDD$2</c:f>
              <c:strCache>
                <c:ptCount val="1"/>
                <c:pt idx="0">
                  <c:v>Total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 prst="convex"/>
            </a:sp3d>
          </c:spPr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prst="convex"/>
              </a:sp3d>
            </c:spPr>
            <c:extLst>
              <c:ext xmlns:c16="http://schemas.microsoft.com/office/drawing/2014/chart" uri="{C3380CC4-5D6E-409C-BE32-E72D297353CC}">
                <c16:uniqueId val="{00000001-70CD-4E2F-89AF-11802C54A5C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prst="convex"/>
              </a:sp3d>
            </c:spPr>
            <c:extLst>
              <c:ext xmlns:c16="http://schemas.microsoft.com/office/drawing/2014/chart" uri="{C3380CC4-5D6E-409C-BE32-E72D297353CC}">
                <c16:uniqueId val="{00000003-70CD-4E2F-89AF-11802C54A5C8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Resumo!$XDC$3:$XDC$7</c:f>
              <c:multiLvlStrCache>
                <c:ptCount val="2"/>
                <c:lvl>
                  <c:pt idx="0">
                    <c:v>Alimentos</c:v>
                  </c:pt>
                  <c:pt idx="1">
                    <c:v>Consultas</c:v>
                  </c:pt>
                </c:lvl>
                <c:lvl>
                  <c:pt idx="0">
                    <c:v>maio</c:v>
                  </c:pt>
                </c:lvl>
                <c:lvl>
                  <c:pt idx="0">
                    <c:v>2022</c:v>
                  </c:pt>
                </c:lvl>
              </c:multiLvlStrCache>
            </c:multiLvlStrRef>
          </c:cat>
          <c:val>
            <c:numRef>
              <c:f>Resumo!$XDD$3:$XDD$7</c:f>
              <c:numCache>
                <c:formatCode>#,##0.00</c:formatCode>
                <c:ptCount val="2"/>
                <c:pt idx="0">
                  <c:v>1186.5900000000004</c:v>
                </c:pt>
                <c:pt idx="1">
                  <c:v>20700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B9A-4F5A-B565-D64DEA7F264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  <a:scene3d>
      <a:camera prst="orthographicFront"/>
      <a:lightRig rig="threePt" dir="t"/>
    </a:scene3d>
    <a:sp3d>
      <a:bevelT prst="relaxedInset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[Data_Analyses - Cidade dos Bichos V3 - Copia.xlsm]Resumo!Tabela dinâmica6</c:name>
    <c:fmtId val="2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/>
            <a:lightRig rig="threePt" dir="t"/>
          </a:scene3d>
          <a:sp3d>
            <a:bevelT prst="convex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34925" cap="rnd">
            <a:solidFill>
              <a:schemeClr val="accent1"/>
            </a:solidFill>
            <a:round/>
          </a:ln>
          <a:effectLst>
            <a:glow rad="101600">
              <a:schemeClr val="accent2">
                <a:satMod val="175000"/>
                <a:alpha val="40000"/>
              </a:schemeClr>
            </a:glo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glow rad="101600">
                <a:schemeClr val="accent2">
                  <a:satMod val="175000"/>
                  <a:alpha val="40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Resumo!$XDL$2</c:f>
              <c:strCache>
                <c:ptCount val="1"/>
                <c:pt idx="0">
                  <c:v>Total Bruto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>
              <a:bevelT prst="convex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Resumo!$XDJ$3:$XDK$9</c:f>
              <c:multiLvlStrCache>
                <c:ptCount val="6"/>
                <c:lvl>
                  <c:pt idx="0">
                    <c:v>dezembro</c:v>
                  </c:pt>
                  <c:pt idx="1">
                    <c:v>janeiro</c:v>
                  </c:pt>
                  <c:pt idx="2">
                    <c:v>fevereiro</c:v>
                  </c:pt>
                  <c:pt idx="3">
                    <c:v>março</c:v>
                  </c:pt>
                  <c:pt idx="4">
                    <c:v>abril</c:v>
                  </c:pt>
                  <c:pt idx="5">
                    <c:v>maio</c:v>
                  </c:pt>
                </c:lvl>
                <c:lvl>
                  <c:pt idx="0">
                    <c:v>2021</c:v>
                  </c:pt>
                  <c:pt idx="1">
                    <c:v>2022</c:v>
                  </c:pt>
                </c:lvl>
              </c:multiLvlStrCache>
            </c:multiLvlStrRef>
          </c:cat>
          <c:val>
            <c:numRef>
              <c:f>Resumo!$XDL$3:$XDL$9</c:f>
              <c:numCache>
                <c:formatCode>#,##0.00</c:formatCode>
                <c:ptCount val="6"/>
                <c:pt idx="0">
                  <c:v>215558.62999999884</c:v>
                </c:pt>
                <c:pt idx="1">
                  <c:v>223791.06999999806</c:v>
                </c:pt>
                <c:pt idx="2">
                  <c:v>226369.98999999891</c:v>
                </c:pt>
                <c:pt idx="3">
                  <c:v>209679.67999999944</c:v>
                </c:pt>
                <c:pt idx="4">
                  <c:v>175986.45999999892</c:v>
                </c:pt>
                <c:pt idx="5">
                  <c:v>179058.30999999976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DA-4150-96EC-5D88F729598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40497999"/>
        <c:axId val="1640494255"/>
      </c:barChart>
      <c:lineChart>
        <c:grouping val="standard"/>
        <c:varyColors val="0"/>
        <c:ser>
          <c:idx val="1"/>
          <c:order val="1"/>
          <c:tx>
            <c:strRef>
              <c:f>Resumo!$XDM$2</c:f>
              <c:strCache>
                <c:ptCount val="1"/>
                <c:pt idx="0">
                  <c:v>Total Quanditade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glow rad="101600">
                <a:schemeClr val="accent2">
                  <a:satMod val="175000"/>
                  <a:alpha val="40000"/>
                </a:schemeClr>
              </a:glo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glow rad="101600">
                  <a:schemeClr val="accent2">
                    <a:satMod val="175000"/>
                    <a:alpha val="40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Resumo!$XDJ$3:$XDK$9</c:f>
              <c:multiLvlStrCache>
                <c:ptCount val="6"/>
                <c:lvl>
                  <c:pt idx="0">
                    <c:v>dezembro</c:v>
                  </c:pt>
                  <c:pt idx="1">
                    <c:v>janeiro</c:v>
                  </c:pt>
                  <c:pt idx="2">
                    <c:v>fevereiro</c:v>
                  </c:pt>
                  <c:pt idx="3">
                    <c:v>março</c:v>
                  </c:pt>
                  <c:pt idx="4">
                    <c:v>abril</c:v>
                  </c:pt>
                  <c:pt idx="5">
                    <c:v>maio</c:v>
                  </c:pt>
                </c:lvl>
                <c:lvl>
                  <c:pt idx="0">
                    <c:v>2021</c:v>
                  </c:pt>
                  <c:pt idx="1">
                    <c:v>2022</c:v>
                  </c:pt>
                </c:lvl>
              </c:multiLvlStrCache>
            </c:multiLvlStrRef>
          </c:cat>
          <c:val>
            <c:numRef>
              <c:f>Resumo!$XDM$3:$XDM$9</c:f>
              <c:numCache>
                <c:formatCode>General</c:formatCode>
                <c:ptCount val="6"/>
                <c:pt idx="0">
                  <c:v>6147</c:v>
                </c:pt>
                <c:pt idx="1">
                  <c:v>6197</c:v>
                </c:pt>
                <c:pt idx="2">
                  <c:v>5916</c:v>
                </c:pt>
                <c:pt idx="3">
                  <c:v>5534</c:v>
                </c:pt>
                <c:pt idx="4">
                  <c:v>4376</c:v>
                </c:pt>
                <c:pt idx="5">
                  <c:v>4268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DA-4150-96EC-5D88F729598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0500911"/>
        <c:axId val="1640496751"/>
      </c:lineChart>
      <c:catAx>
        <c:axId val="1640500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0496751"/>
        <c:crosses val="autoZero"/>
        <c:auto val="1"/>
        <c:lblAlgn val="ctr"/>
        <c:lblOffset val="100"/>
        <c:noMultiLvlLbl val="0"/>
      </c:catAx>
      <c:valAx>
        <c:axId val="1640496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0500911"/>
        <c:crosses val="autoZero"/>
        <c:crossBetween val="between"/>
      </c:valAx>
      <c:valAx>
        <c:axId val="1640494255"/>
        <c:scaling>
          <c:orientation val="minMax"/>
        </c:scaling>
        <c:delete val="0"/>
        <c:axPos val="r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0497999"/>
        <c:crosses val="max"/>
        <c:crossBetween val="between"/>
      </c:valAx>
      <c:catAx>
        <c:axId val="164049799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6404942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[Data_Analyses - Cidade dos Bichos V3 - Copia.xlsm]Resumo!Tabela dinâmica8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marker>
          <c:symbol val="none"/>
        </c:marker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</c:pivotFmt>
      <c:pivotFmt>
        <c:idx val="58"/>
      </c:pivotFmt>
      <c:pivotFmt>
        <c:idx val="59"/>
      </c:pivotFmt>
      <c:pivotFmt>
        <c:idx val="60"/>
      </c:pivotFmt>
      <c:pivotFmt>
        <c:idx val="61"/>
      </c:pivotFmt>
      <c:pivotFmt>
        <c:idx val="62"/>
      </c:pivotFmt>
      <c:pivotFmt>
        <c:idx val="63"/>
      </c:pivotFmt>
      <c:pivotFmt>
        <c:idx val="64"/>
      </c:pivotFmt>
      <c:pivotFmt>
        <c:idx val="65"/>
      </c:pivotFmt>
      <c:pivotFmt>
        <c:idx val="66"/>
      </c:pivotFmt>
      <c:pivotFmt>
        <c:idx val="67"/>
      </c:pivotFmt>
      <c:pivotFmt>
        <c:idx val="68"/>
      </c:pivotFmt>
      <c:pivotFmt>
        <c:idx val="69"/>
      </c:pivotFmt>
      <c:pivotFmt>
        <c:idx val="70"/>
      </c:pivotFmt>
      <c:pivotFmt>
        <c:idx val="71"/>
      </c:pivotFmt>
      <c:pivotFmt>
        <c:idx val="72"/>
      </c:pivotFmt>
      <c:pivotFmt>
        <c:idx val="73"/>
      </c:pivotFmt>
      <c:pivotFmt>
        <c:idx val="74"/>
      </c:pivotFmt>
      <c:pivotFmt>
        <c:idx val="7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</c:pivotFmt>
      <c:pivotFmt>
        <c:idx val="77"/>
      </c:pivotFmt>
      <c:pivotFmt>
        <c:idx val="78"/>
      </c:pivotFmt>
      <c:pivotFmt>
        <c:idx val="79"/>
      </c:pivotFmt>
      <c:pivotFmt>
        <c:idx val="80"/>
      </c:pivotFmt>
      <c:pivotFmt>
        <c:idx val="81"/>
      </c:pivotFmt>
      <c:pivotFmt>
        <c:idx val="82"/>
      </c:pivotFmt>
      <c:pivotFmt>
        <c:idx val="83"/>
      </c:pivotFmt>
      <c:pivotFmt>
        <c:idx val="8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</c:pivotFmt>
      <c:pivotFmt>
        <c:idx val="86"/>
      </c:pivotFmt>
      <c:pivotFmt>
        <c:idx val="87"/>
      </c:pivotFmt>
      <c:pivotFmt>
        <c:idx val="88"/>
      </c:pivotFmt>
      <c:pivotFmt>
        <c:idx val="89"/>
      </c:pivotFmt>
      <c:pivotFmt>
        <c:idx val="90"/>
      </c:pivotFmt>
      <c:pivotFmt>
        <c:idx val="91"/>
      </c:pivotFmt>
      <c:pivotFmt>
        <c:idx val="92"/>
      </c:pivotFmt>
      <c:pivotFmt>
        <c:idx val="9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</c:pivotFmt>
      <c:pivotFmt>
        <c:idx val="95"/>
      </c:pivotFmt>
      <c:pivotFmt>
        <c:idx val="96"/>
      </c:pivotFmt>
      <c:pivotFmt>
        <c:idx val="97"/>
      </c:pivotFmt>
      <c:pivotFmt>
        <c:idx val="98"/>
      </c:pivotFmt>
      <c:pivotFmt>
        <c:idx val="99"/>
      </c:pivotFmt>
      <c:pivotFmt>
        <c:idx val="100"/>
      </c:pivotFmt>
      <c:pivotFmt>
        <c:idx val="101"/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ofPieChart>
        <c:ofPieType val="pie"/>
        <c:varyColors val="1"/>
        <c:ser>
          <c:idx val="0"/>
          <c:order val="0"/>
          <c:tx>
            <c:strRef>
              <c:f>Resumo!$AC$2:$AC$5</c:f>
              <c:strCache>
                <c:ptCount val="1"/>
                <c:pt idx="0">
                  <c:v>2022 - maio - Quant_Animais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F629-42AA-826D-501E021F4CC1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F629-42AA-826D-501E021F4CC1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5-F629-42AA-826D-501E021F4CC1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7-F629-42AA-826D-501E021F4CC1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9-F629-42AA-826D-501E021F4CC1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F629-42AA-826D-501E021F4CC1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D-F629-42AA-826D-501E021F4CC1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F-F629-42AA-826D-501E021F4CC1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11-F629-42AA-826D-501E021F4CC1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3-F629-42AA-826D-501E021F4CC1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5-F629-42AA-826D-501E021F4CC1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7-F629-42AA-826D-501E021F4C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Resumo!$AA$6:$AB$14</c:f>
              <c:multiLvlStrCache>
                <c:ptCount val="9"/>
                <c:lvl>
                  <c:pt idx="0">
                    <c:v>F</c:v>
                  </c:pt>
                  <c:pt idx="1">
                    <c:v>M</c:v>
                  </c:pt>
                  <c:pt idx="2">
                    <c:v>F</c:v>
                  </c:pt>
                  <c:pt idx="3">
                    <c:v>F</c:v>
                  </c:pt>
                  <c:pt idx="4">
                    <c:v>F</c:v>
                  </c:pt>
                  <c:pt idx="5">
                    <c:v>I</c:v>
                  </c:pt>
                  <c:pt idx="6">
                    <c:v>M</c:v>
                  </c:pt>
                  <c:pt idx="7">
                    <c:v>F</c:v>
                  </c:pt>
                  <c:pt idx="8">
                    <c:v>I</c:v>
                  </c:pt>
                </c:lvl>
                <c:lvl>
                  <c:pt idx="0">
                    <c:v>Caninos</c:v>
                  </c:pt>
                  <c:pt idx="2">
                    <c:v>Cunícula</c:v>
                  </c:pt>
                  <c:pt idx="3">
                    <c:v>Felina - nao usar</c:v>
                  </c:pt>
                  <c:pt idx="4">
                    <c:v>Felinos</c:v>
                  </c:pt>
                  <c:pt idx="7">
                    <c:v>Silvestres</c:v>
                  </c:pt>
                </c:lvl>
              </c:multiLvlStrCache>
            </c:multiLvlStrRef>
          </c:cat>
          <c:val>
            <c:numRef>
              <c:f>Resumo!$AC$6:$AC$14</c:f>
              <c:numCache>
                <c:formatCode>General</c:formatCode>
                <c:ptCount val="9"/>
                <c:pt idx="0">
                  <c:v>69</c:v>
                </c:pt>
                <c:pt idx="1">
                  <c:v>78</c:v>
                </c:pt>
                <c:pt idx="2">
                  <c:v>1</c:v>
                </c:pt>
                <c:pt idx="3">
                  <c:v>1</c:v>
                </c:pt>
                <c:pt idx="4">
                  <c:v>33</c:v>
                </c:pt>
                <c:pt idx="5">
                  <c:v>3</c:v>
                </c:pt>
                <c:pt idx="6">
                  <c:v>34</c:v>
                </c:pt>
                <c:pt idx="7">
                  <c:v>2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96-444C-A918-3E84B725FB62}"/>
            </c:ext>
          </c:extLst>
        </c:ser>
        <c:ser>
          <c:idx val="1"/>
          <c:order val="1"/>
          <c:tx>
            <c:strRef>
              <c:f>Resumo!$AD$2:$AD$5</c:f>
              <c:strCache>
                <c:ptCount val="1"/>
                <c:pt idx="0">
                  <c:v>2022 - maio - QTD de Vendas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9-F629-42AA-826D-501E021F4CC1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1B-F629-42AA-826D-501E021F4CC1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1D-F629-42AA-826D-501E021F4CC1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1F-F629-42AA-826D-501E021F4CC1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21-F629-42AA-826D-501E021F4CC1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23-F629-42AA-826D-501E021F4CC1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25-F629-42AA-826D-501E021F4CC1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27-F629-42AA-826D-501E021F4CC1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29-F629-42AA-826D-501E021F4CC1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2B-F629-42AA-826D-501E021F4CC1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2D-F629-42AA-826D-501E021F4CC1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2F-F629-42AA-826D-501E021F4C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Resumo!$AA$6:$AB$14</c:f>
              <c:multiLvlStrCache>
                <c:ptCount val="9"/>
                <c:lvl>
                  <c:pt idx="0">
                    <c:v>F</c:v>
                  </c:pt>
                  <c:pt idx="1">
                    <c:v>M</c:v>
                  </c:pt>
                  <c:pt idx="2">
                    <c:v>F</c:v>
                  </c:pt>
                  <c:pt idx="3">
                    <c:v>F</c:v>
                  </c:pt>
                  <c:pt idx="4">
                    <c:v>F</c:v>
                  </c:pt>
                  <c:pt idx="5">
                    <c:v>I</c:v>
                  </c:pt>
                  <c:pt idx="6">
                    <c:v>M</c:v>
                  </c:pt>
                  <c:pt idx="7">
                    <c:v>F</c:v>
                  </c:pt>
                  <c:pt idx="8">
                    <c:v>I</c:v>
                  </c:pt>
                </c:lvl>
                <c:lvl>
                  <c:pt idx="0">
                    <c:v>Caninos</c:v>
                  </c:pt>
                  <c:pt idx="2">
                    <c:v>Cunícula</c:v>
                  </c:pt>
                  <c:pt idx="3">
                    <c:v>Felina - nao usar</c:v>
                  </c:pt>
                  <c:pt idx="4">
                    <c:v>Felinos</c:v>
                  </c:pt>
                  <c:pt idx="7">
                    <c:v>Silvestres</c:v>
                  </c:pt>
                </c:lvl>
              </c:multiLvlStrCache>
            </c:multiLvlStrRef>
          </c:cat>
          <c:val>
            <c:numRef>
              <c:f>Resumo!$AD$6:$AD$14</c:f>
              <c:numCache>
                <c:formatCode>General</c:formatCode>
                <c:ptCount val="9"/>
                <c:pt idx="0">
                  <c:v>178</c:v>
                </c:pt>
                <c:pt idx="1">
                  <c:v>124</c:v>
                </c:pt>
                <c:pt idx="2">
                  <c:v>1</c:v>
                </c:pt>
                <c:pt idx="3">
                  <c:v>1</c:v>
                </c:pt>
                <c:pt idx="4">
                  <c:v>65</c:v>
                </c:pt>
                <c:pt idx="5">
                  <c:v>3</c:v>
                </c:pt>
                <c:pt idx="6">
                  <c:v>83</c:v>
                </c:pt>
                <c:pt idx="7">
                  <c:v>2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96-444C-A918-3E84B725FB62}"/>
            </c:ext>
          </c:extLst>
        </c:ser>
        <c:ser>
          <c:idx val="2"/>
          <c:order val="2"/>
          <c:tx>
            <c:strRef>
              <c:f>Resumo!$AE$2:$AE$5</c:f>
              <c:strCache>
                <c:ptCount val="1"/>
                <c:pt idx="0">
                  <c:v>2022 - maio - Total Bruto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31-F629-42AA-826D-501E021F4CC1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3-F629-42AA-826D-501E021F4CC1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35-F629-42AA-826D-501E021F4CC1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37-F629-42AA-826D-501E021F4CC1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39-F629-42AA-826D-501E021F4CC1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3B-F629-42AA-826D-501E021F4CC1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3D-F629-42AA-826D-501E021F4CC1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3F-F629-42AA-826D-501E021F4CC1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41-F629-42AA-826D-501E021F4CC1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43-F629-42AA-826D-501E021F4CC1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45-F629-42AA-826D-501E021F4CC1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47-F629-42AA-826D-501E021F4C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Resumo!$AA$6:$AB$14</c:f>
              <c:multiLvlStrCache>
                <c:ptCount val="9"/>
                <c:lvl>
                  <c:pt idx="0">
                    <c:v>F</c:v>
                  </c:pt>
                  <c:pt idx="1">
                    <c:v>M</c:v>
                  </c:pt>
                  <c:pt idx="2">
                    <c:v>F</c:v>
                  </c:pt>
                  <c:pt idx="3">
                    <c:v>F</c:v>
                  </c:pt>
                  <c:pt idx="4">
                    <c:v>F</c:v>
                  </c:pt>
                  <c:pt idx="5">
                    <c:v>I</c:v>
                  </c:pt>
                  <c:pt idx="6">
                    <c:v>M</c:v>
                  </c:pt>
                  <c:pt idx="7">
                    <c:v>F</c:v>
                  </c:pt>
                  <c:pt idx="8">
                    <c:v>I</c:v>
                  </c:pt>
                </c:lvl>
                <c:lvl>
                  <c:pt idx="0">
                    <c:v>Caninos</c:v>
                  </c:pt>
                  <c:pt idx="2">
                    <c:v>Cunícula</c:v>
                  </c:pt>
                  <c:pt idx="3">
                    <c:v>Felina - nao usar</c:v>
                  </c:pt>
                  <c:pt idx="4">
                    <c:v>Felinos</c:v>
                  </c:pt>
                  <c:pt idx="7">
                    <c:v>Silvestres</c:v>
                  </c:pt>
                </c:lvl>
              </c:multiLvlStrCache>
            </c:multiLvlStrRef>
          </c:cat>
          <c:val>
            <c:numRef>
              <c:f>Resumo!$AE$6:$AE$14</c:f>
              <c:numCache>
                <c:formatCode>#,##0.00</c:formatCode>
                <c:ptCount val="9"/>
                <c:pt idx="0">
                  <c:v>69061.110000000132</c:v>
                </c:pt>
                <c:pt idx="1">
                  <c:v>43728.860000000052</c:v>
                </c:pt>
                <c:pt idx="2">
                  <c:v>84.8</c:v>
                </c:pt>
                <c:pt idx="3">
                  <c:v>218.76999999999998</c:v>
                </c:pt>
                <c:pt idx="4">
                  <c:v>27346.939999999959</c:v>
                </c:pt>
                <c:pt idx="5">
                  <c:v>1283.6399999999996</c:v>
                </c:pt>
                <c:pt idx="6">
                  <c:v>36272.65</c:v>
                </c:pt>
                <c:pt idx="7">
                  <c:v>835.09999999999991</c:v>
                </c:pt>
                <c:pt idx="8">
                  <c:v>226.44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96-444C-A918-3E84B725FB62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png"/><Relationship Id="rId5" Type="http://schemas.openxmlformats.org/officeDocument/2006/relationships/hyperlink" Target="#Resumo!AL1"/><Relationship Id="rId4" Type="http://schemas.openxmlformats.org/officeDocument/2006/relationships/hyperlink" Target="#Resum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116205</xdr:colOff>
      <xdr:row>11</xdr:row>
      <xdr:rowOff>80011</xdr:rowOff>
    </xdr:from>
    <xdr:to>
      <xdr:col>12</xdr:col>
      <xdr:colOff>267743</xdr:colOff>
      <xdr:row>22</xdr:row>
      <xdr:rowOff>97156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onth">
              <a:extLst>
                <a:ext uri="{FF2B5EF4-FFF2-40B4-BE49-F238E27FC236}">
                  <a16:creationId xmlns:a16="http://schemas.microsoft.com/office/drawing/2014/main" id="{2EAE2B31-43CB-42A3-9CB7-6324F0B1C32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t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26805" y="2128944"/>
              <a:ext cx="2632075" cy="20717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567266</xdr:colOff>
      <xdr:row>0</xdr:row>
      <xdr:rowOff>72814</xdr:rowOff>
    </xdr:from>
    <xdr:to>
      <xdr:col>3</xdr:col>
      <xdr:colOff>512845</xdr:colOff>
      <xdr:row>9</xdr:row>
      <xdr:rowOff>132504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Month 1">
              <a:extLst>
                <a:ext uri="{FF2B5EF4-FFF2-40B4-BE49-F238E27FC236}">
                  <a16:creationId xmlns:a16="http://schemas.microsoft.com/office/drawing/2014/main" id="{018F7254-8631-411C-A5AF-AB1FF5F36FE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th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07733" y="72814"/>
              <a:ext cx="2003002" cy="17475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4</xdr:col>
      <xdr:colOff>100965</xdr:colOff>
      <xdr:row>11</xdr:row>
      <xdr:rowOff>180975</xdr:rowOff>
    </xdr:from>
    <xdr:to>
      <xdr:col>7</xdr:col>
      <xdr:colOff>400569</xdr:colOff>
      <xdr:row>13</xdr:row>
      <xdr:rowOff>164003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AB25C15E-683D-4EC4-B3EA-A13F9EB16CFE}"/>
            </a:ext>
          </a:extLst>
        </xdr:cNvPr>
        <xdr:cNvSpPr txBox="1"/>
      </xdr:nvSpPr>
      <xdr:spPr>
        <a:xfrm>
          <a:off x="4703445" y="2192655"/>
          <a:ext cx="2296044" cy="348788"/>
        </a:xfrm>
        <a:prstGeom prst="rect">
          <a:avLst/>
        </a:prstGeom>
        <a:solidFill>
          <a:schemeClr val="accent4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Clientes</a:t>
          </a:r>
          <a:r>
            <a:rPr lang="pt-BR" sz="24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ativos</a:t>
          </a:r>
          <a:endParaRPr lang="pt-BR" sz="24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  <xdr:twoCellAnchor>
    <xdr:from>
      <xdr:col>11</xdr:col>
      <xdr:colOff>1905</xdr:colOff>
      <xdr:row>1</xdr:row>
      <xdr:rowOff>0</xdr:rowOff>
    </xdr:from>
    <xdr:to>
      <xdr:col>12</xdr:col>
      <xdr:colOff>492876</xdr:colOff>
      <xdr:row>3</xdr:row>
      <xdr:rowOff>2078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314602B4-5033-48C2-90B2-8E16192AF509}"/>
            </a:ext>
          </a:extLst>
        </xdr:cNvPr>
        <xdr:cNvSpPr txBox="1"/>
      </xdr:nvSpPr>
      <xdr:spPr>
        <a:xfrm>
          <a:off x="10281285" y="182880"/>
          <a:ext cx="1519671" cy="367838"/>
        </a:xfrm>
        <a:prstGeom prst="rect">
          <a:avLst/>
        </a:prstGeom>
        <a:solidFill>
          <a:schemeClr val="accent4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Indices</a:t>
          </a:r>
        </a:p>
      </xdr:txBody>
    </xdr:sp>
    <xdr:clientData/>
  </xdr:twoCellAnchor>
  <xdr:twoCellAnchor>
    <xdr:from>
      <xdr:col>4</xdr:col>
      <xdr:colOff>106680</xdr:colOff>
      <xdr:row>1</xdr:row>
      <xdr:rowOff>9525</xdr:rowOff>
    </xdr:from>
    <xdr:to>
      <xdr:col>7</xdr:col>
      <xdr:colOff>424966</xdr:colOff>
      <xdr:row>3</xdr:row>
      <xdr:rowOff>11603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F15776AA-D61A-49EA-9F94-53722F1D94EB}"/>
            </a:ext>
          </a:extLst>
        </xdr:cNvPr>
        <xdr:cNvSpPr txBox="1"/>
      </xdr:nvSpPr>
      <xdr:spPr>
        <a:xfrm>
          <a:off x="4709160" y="192405"/>
          <a:ext cx="2314726" cy="367838"/>
        </a:xfrm>
        <a:prstGeom prst="rect">
          <a:avLst/>
        </a:prstGeom>
        <a:solidFill>
          <a:schemeClr val="accent4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Pilar</a:t>
          </a:r>
        </a:p>
      </xdr:txBody>
    </xdr:sp>
    <xdr:clientData/>
  </xdr:twoCellAnchor>
  <xdr:twoCellAnchor>
    <xdr:from>
      <xdr:col>0</xdr:col>
      <xdr:colOff>0</xdr:colOff>
      <xdr:row>7</xdr:row>
      <xdr:rowOff>180975</xdr:rowOff>
    </xdr:from>
    <xdr:to>
      <xdr:col>1</xdr:col>
      <xdr:colOff>290830</xdr:colOff>
      <xdr:row>10</xdr:row>
      <xdr:rowOff>173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2E22E79E-2A5B-4D98-9818-4D39B862DCA2}"/>
            </a:ext>
          </a:extLst>
        </xdr:cNvPr>
        <xdr:cNvSpPr txBox="1"/>
      </xdr:nvSpPr>
      <xdr:spPr>
        <a:xfrm>
          <a:off x="0" y="1461135"/>
          <a:ext cx="2279650" cy="367838"/>
        </a:xfrm>
        <a:prstGeom prst="rect">
          <a:avLst/>
        </a:prstGeom>
        <a:solidFill>
          <a:schemeClr val="accent4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Procedimentos</a:t>
          </a:r>
        </a:p>
      </xdr:txBody>
    </xdr:sp>
    <xdr:clientData/>
  </xdr:twoCellAnchor>
  <xdr:twoCellAnchor>
    <xdr:from>
      <xdr:col>5</xdr:col>
      <xdr:colOff>0</xdr:colOff>
      <xdr:row>23</xdr:row>
      <xdr:rowOff>0</xdr:rowOff>
    </xdr:from>
    <xdr:to>
      <xdr:col>12</xdr:col>
      <xdr:colOff>231564</xdr:colOff>
      <xdr:row>29</xdr:row>
      <xdr:rowOff>158327</xdr:rowOff>
    </xdr:to>
    <xdr:sp macro="" textlink="$H$2">
      <xdr:nvSpPr>
        <xdr:cNvPr id="17" name="Retângulo 16">
          <a:extLst>
            <a:ext uri="{FF2B5EF4-FFF2-40B4-BE49-F238E27FC236}">
              <a16:creationId xmlns:a16="http://schemas.microsoft.com/office/drawing/2014/main" id="{BB43A27B-1994-4F03-B3B9-796BDF943AA8}"/>
            </a:ext>
          </a:extLst>
        </xdr:cNvPr>
        <xdr:cNvSpPr/>
      </xdr:nvSpPr>
      <xdr:spPr>
        <a:xfrm>
          <a:off x="4716780" y="4206240"/>
          <a:ext cx="6190404" cy="1255607"/>
        </a:xfrm>
        <a:prstGeom prst="rect">
          <a:avLst/>
        </a:prstGeom>
        <a:solidFill>
          <a:schemeClr val="accent1">
            <a:lumMod val="50000"/>
          </a:schemeClr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5BA6F29-6B61-40B6-973F-43387D3CEF08}" type="TxLink">
            <a:rPr lang="en-US" sz="5400" b="1" i="0" u="none" strike="noStrike" cap="none" spc="50">
              <a:ln w="0"/>
              <a:solidFill>
                <a:srgbClr val="FFFFFF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Calibri"/>
              <a:cs typeface="Calibri"/>
            </a:rPr>
            <a:pPr algn="ctr"/>
            <a:t> R$ 179.058,31 </a:t>
          </a:fld>
          <a:endParaRPr lang="pt-BR" sz="4000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  <xdr:twoCellAnchor>
    <xdr:from>
      <xdr:col>12</xdr:col>
      <xdr:colOff>241089</xdr:colOff>
      <xdr:row>23</xdr:row>
      <xdr:rowOff>10563</xdr:rowOff>
    </xdr:from>
    <xdr:to>
      <xdr:col>15</xdr:col>
      <xdr:colOff>605790</xdr:colOff>
      <xdr:row>30</xdr:row>
      <xdr:rowOff>70260</xdr:rowOff>
    </xdr:to>
    <xdr:sp macro="" textlink="$A$12">
      <xdr:nvSpPr>
        <xdr:cNvPr id="18" name="Fluxograma: Documento 17">
          <a:extLst>
            <a:ext uri="{FF2B5EF4-FFF2-40B4-BE49-F238E27FC236}">
              <a16:creationId xmlns:a16="http://schemas.microsoft.com/office/drawing/2014/main" id="{D352765C-BCE7-474A-8E37-F474AD9CB0B9}"/>
            </a:ext>
          </a:extLst>
        </xdr:cNvPr>
        <xdr:cNvSpPr/>
      </xdr:nvSpPr>
      <xdr:spPr>
        <a:xfrm>
          <a:off x="10916709" y="4216803"/>
          <a:ext cx="2582121" cy="1339857"/>
        </a:xfrm>
        <a:prstGeom prst="flowChartDocument">
          <a:avLst/>
        </a:prstGeom>
        <a:solidFill>
          <a:schemeClr val="accent4">
            <a:lumMod val="50000"/>
          </a:schemeClr>
        </a:solidFill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E8FB8D9-9199-421E-A5DA-48752E4DE9EB}" type="TxLink">
            <a:rPr lang="en-US" sz="8000" b="1" i="0" u="none" strike="noStrike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Calibri"/>
              <a:cs typeface="Calibri"/>
            </a:rPr>
            <a:pPr algn="ctr"/>
            <a:t>2022</a:t>
          </a:fld>
          <a:endParaRPr lang="pt-BR" sz="80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  <xdr:twoCellAnchor>
    <xdr:from>
      <xdr:col>15</xdr:col>
      <xdr:colOff>627804</xdr:colOff>
      <xdr:row>23</xdr:row>
      <xdr:rowOff>10560</xdr:rowOff>
    </xdr:from>
    <xdr:to>
      <xdr:col>20</xdr:col>
      <xdr:colOff>16299</xdr:colOff>
      <xdr:row>29</xdr:row>
      <xdr:rowOff>73639</xdr:rowOff>
    </xdr:to>
    <xdr:sp macro="" textlink="$A$13">
      <xdr:nvSpPr>
        <xdr:cNvPr id="19" name="Fluxograma: Documento 18">
          <a:extLst>
            <a:ext uri="{FF2B5EF4-FFF2-40B4-BE49-F238E27FC236}">
              <a16:creationId xmlns:a16="http://schemas.microsoft.com/office/drawing/2014/main" id="{19486561-6494-48BF-A2F9-C144F1F16A1E}"/>
            </a:ext>
          </a:extLst>
        </xdr:cNvPr>
        <xdr:cNvSpPr/>
      </xdr:nvSpPr>
      <xdr:spPr>
        <a:xfrm>
          <a:off x="13520844" y="4216800"/>
          <a:ext cx="3472815" cy="1160359"/>
        </a:xfrm>
        <a:prstGeom prst="flowChartDocument">
          <a:avLst/>
        </a:prstGeom>
        <a:solidFill>
          <a:schemeClr val="accent1">
            <a:lumMod val="50000"/>
          </a:schemeClr>
        </a:solidFill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CF01B85-149D-4FA6-AF22-4D86F9D4D2D2}" type="TxLink">
            <a:rPr lang="en-US" sz="5400" b="1" i="0" u="none" strike="noStrike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Calibri"/>
              <a:cs typeface="Calibri"/>
            </a:rPr>
            <a:pPr algn="ctr"/>
            <a:t>maio</a:t>
          </a:fld>
          <a:endParaRPr lang="en-US" sz="54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  <xdr:twoCellAnchor>
    <xdr:from>
      <xdr:col>13</xdr:col>
      <xdr:colOff>114300</xdr:colOff>
      <xdr:row>1</xdr:row>
      <xdr:rowOff>0</xdr:rowOff>
    </xdr:from>
    <xdr:to>
      <xdr:col>19</xdr:col>
      <xdr:colOff>1021080</xdr:colOff>
      <xdr:row>22</xdr:row>
      <xdr:rowOff>114300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CAF07460-2FE2-4E1A-B1EB-813A0C19AF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15</xdr:col>
      <xdr:colOff>121920</xdr:colOff>
      <xdr:row>20</xdr:row>
      <xdr:rowOff>114300</xdr:rowOff>
    </xdr:from>
    <xdr:ext cx="3808268" cy="431800"/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20161232-201F-4D7B-BE9F-F51CC41BCA19}"/>
            </a:ext>
          </a:extLst>
        </xdr:cNvPr>
        <xdr:cNvSpPr txBox="1"/>
      </xdr:nvSpPr>
      <xdr:spPr>
        <a:xfrm>
          <a:off x="12778740" y="3771900"/>
          <a:ext cx="3808268" cy="431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pt-BR" sz="1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Comparação</a:t>
          </a:r>
          <a:r>
            <a:rPr lang="pt-BR" sz="18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direta de faturamento</a:t>
          </a:r>
          <a:endParaRPr lang="pt-BR" sz="1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0</xdr:col>
      <xdr:colOff>84667</xdr:colOff>
      <xdr:row>30</xdr:row>
      <xdr:rowOff>135467</xdr:rowOff>
    </xdr:from>
    <xdr:to>
      <xdr:col>20</xdr:col>
      <xdr:colOff>42334</xdr:colOff>
      <xdr:row>45</xdr:row>
      <xdr:rowOff>84667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18A88591-514C-423B-80E3-6443433DB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50798</xdr:colOff>
      <xdr:row>20</xdr:row>
      <xdr:rowOff>84667</xdr:rowOff>
    </xdr:from>
    <xdr:to>
      <xdr:col>37</xdr:col>
      <xdr:colOff>8467</xdr:colOff>
      <xdr:row>44</xdr:row>
      <xdr:rowOff>177800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81331FC-EF36-46B2-A8AB-E8F3D386BF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17</xdr:row>
      <xdr:rowOff>0</xdr:rowOff>
    </xdr:from>
    <xdr:to>
      <xdr:col>26</xdr:col>
      <xdr:colOff>1230730</xdr:colOff>
      <xdr:row>19</xdr:row>
      <xdr:rowOff>38946</xdr:rowOff>
    </xdr:to>
    <xdr:sp macro="" textlink="">
      <xdr:nvSpPr>
        <xdr:cNvPr id="23" name="Seta: para a Esquerda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A0A1978-00AC-4D98-927A-BD2929A00AD4}"/>
            </a:ext>
          </a:extLst>
        </xdr:cNvPr>
        <xdr:cNvSpPr/>
      </xdr:nvSpPr>
      <xdr:spPr>
        <a:xfrm>
          <a:off x="22335067" y="3166533"/>
          <a:ext cx="1230730" cy="411480"/>
        </a:xfrm>
        <a:prstGeom prst="leftArrow">
          <a:avLst/>
        </a:prstGeom>
        <a:solidFill>
          <a:schemeClr val="accent2">
            <a:lumMod val="75000"/>
          </a:schemeClr>
        </a:solidFill>
        <a:ln>
          <a:noFill/>
        </a:ln>
        <a:effectLst>
          <a:glow rad="228600">
            <a:schemeClr val="accent2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33867</xdr:colOff>
      <xdr:row>0</xdr:row>
      <xdr:rowOff>135465</xdr:rowOff>
    </xdr:from>
    <xdr:to>
      <xdr:col>9</xdr:col>
      <xdr:colOff>449736</xdr:colOff>
      <xdr:row>2</xdr:row>
      <xdr:rowOff>138918</xdr:rowOff>
    </xdr:to>
    <xdr:sp macro="" textlink="">
      <xdr:nvSpPr>
        <xdr:cNvPr id="24" name="Seta: para a Direita 2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EE510F2-9777-4144-B9C8-18457E1F6F14}"/>
            </a:ext>
          </a:extLst>
        </xdr:cNvPr>
        <xdr:cNvSpPr/>
      </xdr:nvSpPr>
      <xdr:spPr>
        <a:xfrm>
          <a:off x="7611534" y="135465"/>
          <a:ext cx="1448802" cy="375986"/>
        </a:xfrm>
        <a:prstGeom prst="rightArrow">
          <a:avLst/>
        </a:prstGeom>
        <a:solidFill>
          <a:schemeClr val="accent2">
            <a:lumMod val="75000"/>
          </a:schemeClr>
        </a:solidFill>
        <a:ln>
          <a:noFill/>
        </a:ln>
        <a:effectLst>
          <a:glow rad="228600">
            <a:schemeClr val="accent2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491067</xdr:colOff>
      <xdr:row>0</xdr:row>
      <xdr:rowOff>118536</xdr:rowOff>
    </xdr:from>
    <xdr:to>
      <xdr:col>0</xdr:col>
      <xdr:colOff>2037362</xdr:colOff>
      <xdr:row>7</xdr:row>
      <xdr:rowOff>59857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779B5D-80B6-4D70-8B67-01C54B4E3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067" y="118536"/>
          <a:ext cx="1554656" cy="123756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oneCellAnchor>
    <xdr:from>
      <xdr:col>5</xdr:col>
      <xdr:colOff>33868</xdr:colOff>
      <xdr:row>23</xdr:row>
      <xdr:rowOff>50800</xdr:rowOff>
    </xdr:from>
    <xdr:ext cx="1541317" cy="268432"/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364959C5-1E51-4988-AC15-0147B4828421}"/>
            </a:ext>
          </a:extLst>
        </xdr:cNvPr>
        <xdr:cNvSpPr txBox="1"/>
      </xdr:nvSpPr>
      <xdr:spPr>
        <a:xfrm>
          <a:off x="4851401" y="4334933"/>
          <a:ext cx="1541317" cy="268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Faturamento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561975</xdr:colOff>
      <xdr:row>0</xdr:row>
      <xdr:rowOff>152400</xdr:rowOff>
    </xdr:from>
    <xdr:to>
      <xdr:col>8</xdr:col>
      <xdr:colOff>0</xdr:colOff>
      <xdr:row>4</xdr:row>
      <xdr:rowOff>142875</xdr:rowOff>
    </xdr:to>
    <xdr:sp macro="[0]!medica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6F01DC1-2001-460F-BD0F-67A14879B5E7}"/>
            </a:ext>
          </a:extLst>
        </xdr:cNvPr>
        <xdr:cNvSpPr/>
      </xdr:nvSpPr>
      <xdr:spPr>
        <a:xfrm>
          <a:off x="6858000" y="152400"/>
          <a:ext cx="1876425" cy="752475"/>
        </a:xfrm>
        <a:prstGeom prst="roundRect">
          <a:avLst/>
        </a:prstGeom>
        <a:solidFill>
          <a:schemeClr val="accent2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ysClr val="windowText" lastClr="000000"/>
              </a:solidFill>
            </a:rPr>
            <a:t>Medição</a:t>
          </a:r>
        </a:p>
      </xdr:txBody>
    </xdr:sp>
    <xdr:clientData/>
  </xdr:twoCellAnchor>
  <xdr:twoCellAnchor>
    <xdr:from>
      <xdr:col>4</xdr:col>
      <xdr:colOff>561975</xdr:colOff>
      <xdr:row>7</xdr:row>
      <xdr:rowOff>19050</xdr:rowOff>
    </xdr:from>
    <xdr:to>
      <xdr:col>8</xdr:col>
      <xdr:colOff>0</xdr:colOff>
      <xdr:row>11</xdr:row>
      <xdr:rowOff>9525</xdr:rowOff>
    </xdr:to>
    <xdr:sp macro="[0]!export_plan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FC79EF-E3E4-4F12-8635-28454A15714E}"/>
            </a:ext>
          </a:extLst>
        </xdr:cNvPr>
        <xdr:cNvSpPr/>
      </xdr:nvSpPr>
      <xdr:spPr>
        <a:xfrm>
          <a:off x="6858000" y="1352550"/>
          <a:ext cx="1876425" cy="752475"/>
        </a:xfrm>
        <a:prstGeom prst="roundRect">
          <a:avLst/>
        </a:prstGeom>
        <a:solidFill>
          <a:schemeClr val="accent2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ysClr val="windowText" lastClr="000000"/>
              </a:solidFill>
            </a:rPr>
            <a:t>Importação Quattrus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Marcelo Silveira" refreshedDate="44722.335326157408" backgroundQuery="1" createdVersion="3" refreshedVersion="8" minRefreshableVersion="3" recordCount="0" tupleCache="1" xr:uid="{2C80AD5A-8080-4E90-99C4-3FEA5D6D2D2C}">
  <cacheSource type="external" connectionId="14"/>
  <cacheFields count="7">
    <cacheField name="[Calendar].[Date Hierarchy].[Year]" caption="Year" numFmtId="0" hierarchy="1" level="1">
      <sharedItems containsSemiMixedTypes="0" containsString="0"/>
    </cacheField>
    <cacheField name="[Calendar].[Date Hierarchy].[Month]" caption="Month" numFmtId="0" hierarchy="1" level="2">
      <sharedItems count="3">
        <s v="[Calendar].[Date Hierarchy].[Year].&amp;[2022].&amp;[maio]" c="maio"/>
        <s v="[Calendar].[Date Hierarchy].[Year].&amp;[2021].&amp;[dezembro]" c="dezembro"/>
        <s v="[Calendar].[Date Hierarchy].[Year].&amp;[2022].&amp;[abril]" c="abril"/>
      </sharedItems>
    </cacheField>
    <cacheField name="[Pilar].[Pilar].[Pilar]" caption="Pilar" numFmtId="0" hierarchy="10" level="1">
      <sharedItems count="5">
        <s v="[Pilar].[Pilar].&amp;[Internação]" c="Internação"/>
        <s v="[Pilar].[Pilar].&amp;[Insumos]" c="Insumos"/>
        <s v="[Pilar].[Pilar].&amp;[Cirurgia]" c="Cirurgia"/>
        <s v="[Pilar].[Pilar].&amp;[Clínica]" c="Clínica"/>
        <s v="[Pilar].[Pilar].&amp;[Exames]" c="Exames"/>
      </sharedItems>
    </cacheField>
    <cacheField name="[Reagrupa].[GRUPO].[GRUPO]" caption="GRUPO" numFmtId="0" hierarchy="15" level="1">
      <sharedItems count="16">
        <s v="[Reagrupa].[GRUPO].&amp;[Vacinas]" c="Vacinas"/>
        <s v="[Reagrupa].[GRUPO].&amp;[Imagem]" c="Imagem"/>
        <s v="[Reagrupa].[GRUPO].&amp;[Insumos]" c="Insumos"/>
        <s v="[Reagrupa].[GRUPO].&amp;[Aluguel CC]" c="Aluguel CC"/>
        <s v="[Reagrupa].[GRUPO].&amp;[Internação]" c="Internação"/>
        <s v="[Reagrupa].[GRUPO].&amp;[Especialidades]" c="Especialidades"/>
        <s v="[Reagrupa].[GRUPO].&amp;[Procedimentos Internação]" c="Procedimentos Internação"/>
        <s v="[Reagrupa].[GRUPO].&amp;[Alimentos]" c="Alimentos"/>
        <s v="[Reagrupa].[GRUPO].&amp;[Cirurgias]" c="Cirurgias"/>
        <s v="[Reagrupa].[GRUPO].&amp;[Procedimentos Clinica]" c="Procedimentos Clinica"/>
        <s v="[Reagrupa].[GRUPO].&amp;[Anestesias]" c="Anestesias"/>
        <s v="[Reagrupa].[GRUPO].&amp;[Laboratório]" c="Laboratório"/>
        <s v="[Reagrupa].[GRUPO].&amp;[Doação]" c="Doação"/>
        <s v="[Reagrupa].[GRUPO].&amp;[Farmácia]" c="Farmácia"/>
        <s v="[Reagrupa].[GRUPO].&amp;[Emergencia]" c="Emergencia"/>
        <s v="[Reagrupa].[GRUPO].&amp;[Consultas]" c="Consultas"/>
      </sharedItems>
    </cacheField>
    <cacheField name="[Measures].[MeasuresLevel]" caption="MeasuresLevel" numFmtId="0" hierarchy="8">
      <sharedItems count="9">
        <s v="[Measures].[Preço Médio]" c="Preço Médio"/>
        <s v="[Measures].[Total Quanditade]" c="Total Quanditade"/>
        <s v="[Measures].[Ticket Médio]" c="Ticket Médio"/>
        <s v="[Measures].[Fat. Méd. Clientes]" c="Fat. Méd. Clientes"/>
        <s v="[Measures].[Total Bruto]" c="Total Bruto"/>
        <s v="[Measures].[Consultas/Exames]" c="Consultas/Exames"/>
        <s v="[Measures].[Consultas/Internação]" c="Consultas/Internação"/>
        <s v="[Measures].[Consultas/Cirurgias]" c="Consultas/Cirurgias"/>
        <s v="[Measures].[QTD de Clientes]" c="QTD de Clientes"/>
      </sharedItems>
    </cacheField>
    <cacheField name="[Calendar].[Year].[Year]" caption="Year" numFmtId="0" hierarchy="2" level="1">
      <sharedItems count="1">
        <s v="[Calendar].[Year].&amp;[2022]" c="2022"/>
      </sharedItems>
    </cacheField>
    <cacheField name="[Calendar].[Month].[Month]" caption="Month" numFmtId="0" hierarchy="4" level="1">
      <sharedItems count="3">
        <s v="[Calendar].[Month].&amp;[maio]" c="maio"/>
        <s v="[Calendar].[Month].&amp;[fevereiro]" c="fevereiro"/>
        <s v="[Calendar].[Month].&amp;[abril]" c="abril"/>
      </sharedItems>
    </cacheField>
  </cacheFields>
  <cacheHierarchies count="67">
    <cacheHierarchy uniqueName="[Calendar].[Date]" caption="Date" attribute="1" time="1" keyAttribute="1" defaultMemberUniqueName="[Calendar].[Date].[All]" allUniqueName="[Calendar].[Date].[All]" dimensionUniqueName="[Calendar]" displayFolder="" count="2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4" unbalanced="0">
      <fieldsUsage count="3">
        <fieldUsage x="-1"/>
        <fieldUsage x="0"/>
        <fieldUsage x="1"/>
      </fieldsUsage>
    </cacheHierarchy>
    <cacheHierarchy uniqueName="[Calendar].[Year]" caption="Year" attribute="1" time="1" defaultMemberUniqueName="[Calendar].[Year].[All]" allUniqueName="[Calendar].[Year].[All]" allCaption="All" dimensionUniqueName="[Calendar]" displayFolder="" count="2" memberValueDatatype="20" unbalanced="0">
      <fieldsUsage count="2">
        <fieldUsage x="-1"/>
        <fieldUsage x="5"/>
      </fieldsUsage>
    </cacheHierarchy>
    <cacheHierarchy uniqueName="[Calendar].[Month Number]" caption="Month Number" attribute="1" time="1" defaultMemberUniqueName="[Calendar].[Month Number].[All]" allUniqueName="[Calendar].[Month Number].[All]" dimensionUniqueName="[Calendar]" displayFolder="" count="2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2" memberValueDatatype="130" unbalanced="0">
      <fieldsUsage count="2">
        <fieldUsage x="-1"/>
        <fieldUsage x="6"/>
      </fieldsUsage>
    </cacheHierarchy>
    <cacheHierarchy uniqueName="[Calendar].[MMM-YYYY]" caption="MMM-YYYY" attribute="1" time="1" defaultMemberUniqueName="[Calendar].[MMM-YYYY].[All]" allUniqueName="[Calendar].[MMM-YYYY].[All]" dimensionUniqueName="[Calendar]" displayFolder="" count="2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2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4"/>
      </fieldsUsage>
    </cacheHierarchy>
    <cacheHierarchy uniqueName="[Pilar].[Grupo]" caption="Grupo" attribute="1" defaultMemberUniqueName="[Pilar].[Grupo].[All]" allUniqueName="[Pilar].[Grupo].[All]" dimensionUniqueName="[Pilar]" displayFolder="" count="2" memberValueDatatype="130" unbalanced="0"/>
    <cacheHierarchy uniqueName="[Pilar].[Pilar]" caption="Pilar" attribute="1" defaultMemberUniqueName="[Pilar].[Pilar].[All]" allUniqueName="[Pilar].[Pilar].[All]" allCaption="All" dimensionUniqueName="[Pilar]" displayFolder="" count="2" memberValueDatatype="130" unbalanced="0">
      <fieldsUsage count="2">
        <fieldUsage x="-1"/>
        <fieldUsage x="2"/>
      </fieldsUsage>
    </cacheHierarchy>
    <cacheHierarchy uniqueName="[Pilar].[Column3]" caption="Column3" attribute="1" defaultMemberUniqueName="[Pilar].[Column3].[All]" allUniqueName="[Pilar].[Column3].[All]" dimensionUniqueName="[Pilar]" displayFolder="" count="2" memberValueDatatype="130" unbalanced="0"/>
    <cacheHierarchy uniqueName="[Pilar].[Column4]" caption="Column4" attribute="1" defaultMemberUniqueName="[Pilar].[Column4].[All]" allUniqueName="[Pilar].[Column4].[All]" dimensionUniqueName="[Pilar]" displayFolder="" count="2" memberValueDatatype="130" unbalanced="0"/>
    <cacheHierarchy uniqueName="[Pilar].[Column5]" caption="Column5" attribute="1" defaultMemberUniqueName="[Pilar].[Column5].[All]" allUniqueName="[Pilar].[Column5].[All]" dimensionUniqueName="[Pilar]" displayFolder="" count="2" memberValueDatatype="130" unbalanced="0"/>
    <cacheHierarchy uniqueName="[Reagrupa].[PRODUTOS/SERVIÇO]" caption="PRODUTOS/SERVIÇO" attribute="1" defaultMemberUniqueName="[Reagrupa].[PRODUTOS/SERVIÇO].[All]" allUniqueName="[Reagrupa].[PRODUTOS/SERVIÇO].[All]" dimensionUniqueName="[Reagrupa]" displayFolder="" count="2" memberValueDatatype="130" unbalanced="0"/>
    <cacheHierarchy uniqueName="[Reagrupa].[GRUPO]" caption="GRUPO" attribute="1" defaultMemberUniqueName="[Reagrupa].[GRUPO].[All]" allUniqueName="[Reagrupa].[GRUPO].[All]" allCaption="All" dimensionUniqueName="[Reagrupa]" displayFolder="" count="2" memberValueDatatype="130" unbalanced="0">
      <fieldsUsage count="2">
        <fieldUsage x="-1"/>
        <fieldUsage x="3"/>
      </fieldsUsage>
    </cacheHierarchy>
    <cacheHierarchy uniqueName="[Vendas].[Nome da Origem]" caption="Nome da Origem" attribute="1" defaultMemberUniqueName="[Vendas].[Nome da Origem].[All]" allUniqueName="[Vendas].[Nome da Origem].[All]" dimensionUniqueName="[Vendas]" displayFolder="" count="2" memberValueDatatype="130" unbalanced="0"/>
    <cacheHierarchy uniqueName="[Vendas].[Data e hora]" caption="Data e hora" attribute="1" time="1" defaultMemberUniqueName="[Vendas].[Data e hora].[All]" allUniqueName="[Vendas].[Data e hora].[All]" dimensionUniqueName="[Vendas]" displayFolder="" count="2" memberValueDatatype="7" unbalanced="0"/>
    <cacheHierarchy uniqueName="[Vendas].[Venda]" caption="Venda" attribute="1" defaultMemberUniqueName="[Vendas].[Venda].[All]" allUniqueName="[Vendas].[Venda].[All]" dimensionUniqueName="[Vendas]" displayFolder="" count="2" memberValueDatatype="130" unbalanced="0"/>
    <cacheHierarchy uniqueName="[Vendas].[Status da venda]" caption="Status da venda" attribute="1" defaultMemberUniqueName="[Vendas].[Status da venda].[All]" allUniqueName="[Vendas].[Status da venda].[All]" dimensionUniqueName="[Vendas]" displayFolder="" count="2" memberValueDatatype="130" unbalanced="0"/>
    <cacheHierarchy uniqueName="[Vendas].[Data baixa]" caption="Data baixa" attribute="1" defaultMemberUniqueName="[Vendas].[Data baixa].[All]" allUniqueName="[Vendas].[Data baixa].[All]" dimensionUniqueName="[Vendas]" displayFolder="" count="2" memberValueDatatype="130" unbalanced="0"/>
    <cacheHierarchy uniqueName="[Vendas].[Forma pagamento]" caption="Forma pagamento" attribute="1" defaultMemberUniqueName="[Vendas].[Forma pagamento].[All]" allUniqueName="[Vendas].[Forma pagamento].[All]" dimensionUniqueName="[Vendas]" displayFolder="" count="2" memberValueDatatype="130" unbalanced="0"/>
    <cacheHierarchy uniqueName="[Vendas].[Funcionário]" caption="Funcionário" attribute="1" defaultMemberUniqueName="[Vendas].[Funcionário].[All]" allUniqueName="[Vendas].[Funcionário].[All]" dimensionUniqueName="[Vendas]" displayFolder="" count="2" memberValueDatatype="130" unbalanced="0"/>
    <cacheHierarchy uniqueName="[Vendas].[Cliente]" caption="Cliente" attribute="1" defaultMemberUniqueName="[Vendas].[Cliente].[All]" allUniqueName="[Vendas].[Cliente].[All]" dimensionUniqueName="[Vendas]" displayFolder="" count="2" memberValueDatatype="130" unbalanced="0"/>
    <cacheHierarchy uniqueName="[Vendas].[Código]" caption="Código" attribute="1" defaultMemberUniqueName="[Vendas].[Código].[All]" allUniqueName="[Vendas].[Código].[All]" dimensionUniqueName="[Vendas]" displayFolder="" count="2" memberValueDatatype="130" unbalanced="0"/>
    <cacheHierarchy uniqueName="[Vendas].[CPF]" caption="CPF" attribute="1" defaultMemberUniqueName="[Vendas].[CPF].[All]" allUniqueName="[Vendas].[CPF].[All]" dimensionUniqueName="[Vendas]" displayFolder="" count="2" memberValueDatatype="130" unbalanced="0"/>
    <cacheHierarchy uniqueName="[Vendas].[Sexo]" caption="Sexo" attribute="1" defaultMemberUniqueName="[Vendas].[Sexo].[All]" allUniqueName="[Vendas].[Sexo].[All]" dimensionUniqueName="[Vendas]" displayFolder="" count="2" memberValueDatatype="130" unbalanced="0"/>
    <cacheHierarchy uniqueName="[Vendas].[CEP]" caption="CEP" attribute="1" defaultMemberUniqueName="[Vendas].[CEP].[All]" allUniqueName="[Vendas].[CEP].[All]" dimensionUniqueName="[Vendas]" displayFolder="" count="2" memberValueDatatype="130" unbalanced="0"/>
    <cacheHierarchy uniqueName="[Vendas].[Endereço]" caption="Endereço" attribute="1" defaultMemberUniqueName="[Vendas].[Endereço].[All]" allUniqueName="[Vendas].[Endereço].[All]" dimensionUniqueName="[Vendas]" displayFolder="" count="2" memberValueDatatype="130" unbalanced="0"/>
    <cacheHierarchy uniqueName="[Vendas].[Número]" caption="Número" attribute="1" defaultMemberUniqueName="[Vendas].[Número].[All]" allUniqueName="[Vendas].[Número].[All]" dimensionUniqueName="[Vendas]" displayFolder="" count="2" memberValueDatatype="130" unbalanced="0"/>
    <cacheHierarchy uniqueName="[Vendas].[Bairro]" caption="Bairro" attribute="1" defaultMemberUniqueName="[Vendas].[Bairro].[All]" allUniqueName="[Vendas].[Bairro].[All]" dimensionUniqueName="[Vendas]" displayFolder="" count="2" memberValueDatatype="130" unbalanced="0"/>
    <cacheHierarchy uniqueName="[Vendas].[Email]" caption="Email" attribute="1" defaultMemberUniqueName="[Vendas].[Email].[All]" allUniqueName="[Vendas].[Email].[All]" dimensionUniqueName="[Vendas]" displayFolder="" count="2" memberValueDatatype="130" unbalanced="0"/>
    <cacheHierarchy uniqueName="[Vendas].[Celular]" caption="Celular" attribute="1" defaultMemberUniqueName="[Vendas].[Celular].[All]" allUniqueName="[Vendas].[Celular].[All]" dimensionUniqueName="[Vendas]" displayFolder="" count="2" memberValueDatatype="130" unbalanced="0"/>
    <cacheHierarchy uniqueName="[Vendas].[Animal]" caption="Animal" attribute="1" defaultMemberUniqueName="[Vendas].[Animal].[All]" allUniqueName="[Vendas].[Animal].[All]" dimensionUniqueName="[Vendas]" displayFolder="" count="2" memberValueDatatype="130" unbalanced="0"/>
    <cacheHierarchy uniqueName="[Vendas].[Espécie]" caption="Espécie" attribute="1" defaultMemberUniqueName="[Vendas].[Espécie].[All]" allUniqueName="[Vendas].[Espécie].[All]" dimensionUniqueName="[Vendas]" displayFolder="" count="2" memberValueDatatype="130" unbalanced="0"/>
    <cacheHierarchy uniqueName="[Vendas].[Sexo_1]" caption="Sexo_1" attribute="1" defaultMemberUniqueName="[Vendas].[Sexo_1].[All]" allUniqueName="[Vendas].[Sexo_1].[All]" dimensionUniqueName="[Vendas]" displayFolder="" count="2" memberValueDatatype="130" unbalanced="0"/>
    <cacheHierarchy uniqueName="[Vendas].[Raça]" caption="Raça" attribute="1" defaultMemberUniqueName="[Vendas].[Raça].[All]" allUniqueName="[Vendas].[Raça].[All]" dimensionUniqueName="[Vendas]" displayFolder="" count="2" memberValueDatatype="130" unbalanced="0"/>
    <cacheHierarchy uniqueName="[Vendas].[Tipo do Item]" caption="Tipo do Item" attribute="1" defaultMemberUniqueName="[Vendas].[Tipo do Item].[All]" allUniqueName="[Vendas].[Tipo do Item].[All]" dimensionUniqueName="[Vendas]" displayFolder="" count="2" memberValueDatatype="130" unbalanced="0"/>
    <cacheHierarchy uniqueName="[Vendas].[Grupo]" caption="Grupo" attribute="1" defaultMemberUniqueName="[Vendas].[Grupo].[All]" allUniqueName="[Vendas].[Grupo].[All]" dimensionUniqueName="[Vendas]" displayFolder="" count="2" memberValueDatatype="130" unbalanced="0"/>
    <cacheHierarchy uniqueName="[Vendas].[Produto/serviço]" caption="Produto/serviço" attribute="1" defaultMemberUniqueName="[Vendas].[Produto/serviço].[All]" allUniqueName="[Vendas].[Produto/serviço].[All]" dimensionUniqueName="[Vendas]" displayFolder="" count="2" memberValueDatatype="130" unbalanced="0"/>
    <cacheHierarchy uniqueName="[Vendas].[Valor Unitário]" caption="Valor Unitário" attribute="1" defaultMemberUniqueName="[Vendas].[Valor Unitário].[All]" allUniqueName="[Vendas].[Valor Unitário].[All]" dimensionUniqueName="[Vendas]" displayFolder="" count="2" memberValueDatatype="130" unbalanced="0"/>
    <cacheHierarchy uniqueName="[Vendas].[Quantidade]" caption="Quantidade" attribute="1" defaultMemberUniqueName="[Vendas].[Quantidade].[All]" allUniqueName="[Vendas].[Quantidade].[All]" dimensionUniqueName="[Vendas]" displayFolder="" count="2" memberValueDatatype="20" unbalanced="0"/>
    <cacheHierarchy uniqueName="[Vendas].[Bruto]" caption="Bruto" attribute="1" defaultMemberUniqueName="[Vendas].[Bruto].[All]" allUniqueName="[Vendas].[Bruto].[All]" dimensionUniqueName="[Vendas]" displayFolder="" count="2" memberValueDatatype="5" unbalanced="0"/>
    <cacheHierarchy uniqueName="[Vendas].[Desconto]" caption="Desconto" attribute="1" defaultMemberUniqueName="[Vendas].[Desconto].[All]" allUniqueName="[Vendas].[Desconto].[All]" dimensionUniqueName="[Vendas]" displayFolder="" count="2" memberValueDatatype="5" unbalanced="0"/>
    <cacheHierarchy uniqueName="[Vendas].[Líquido]" caption="Líquido" attribute="1" defaultMemberUniqueName="[Vendas].[Líquido].[All]" allUniqueName="[Vendas].[Líquido].[All]" dimensionUniqueName="[Vendas]" displayFolder="" count="2" memberValueDatatype="5" unbalanced="0"/>
    <cacheHierarchy uniqueName="[Vendas].[Column1]" caption="Column1" attribute="1" defaultMemberUniqueName="[Vendas].[Column1].[All]" allUniqueName="[Vendas].[Column1].[All]" dimensionUniqueName="[Vendas]" displayFolder="" count="2" memberValueDatatype="130" unbalanced="0"/>
    <cacheHierarchy uniqueName="[Measures].[Contagem de Pilar]" caption="Contagem de Pilar" measure="1" displayFolder="" measureGroup="Pilar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tal Quanditade]" caption="Total Quanditade" measure="1" displayFolder="" measureGroup="Vendas" count="0"/>
    <cacheHierarchy uniqueName="[Measures].[QTD de Clientes]" caption="QTD de Clientes" measure="1" displayFolder="" measureGroup="Vendas" count="0"/>
    <cacheHierarchy uniqueName="[Measures].[QTD de Vendas]" caption="QTD de Vendas" measure="1" displayFolder="" measureGroup="Vendas" count="0"/>
    <cacheHierarchy uniqueName="[Measures].[Total Bruto]" caption="Total Bruto" measure="1" displayFolder="" measureGroup="Vendas" count="0"/>
    <cacheHierarchy uniqueName="[Measures].[Ticket Médio]" caption="Ticket Médio" measure="1" displayFolder="" measureGroup="Vendas" count="0"/>
    <cacheHierarchy uniqueName="[Measures].[Preço Médio]" caption="Preço Médio" measure="1" displayFolder="" measureGroup="Vendas" count="0"/>
    <cacheHierarchy uniqueName="[Measures].[Fat. Méd. Clientes]" caption="Fat. Méd. Clientes" measure="1" displayFolder="" measureGroup="Vendas" count="0"/>
    <cacheHierarchy uniqueName="[Measures].[Consulta]" caption="Consulta" measure="1" displayFolder="" measureGroup="Vendas" count="0"/>
    <cacheHierarchy uniqueName="[Measures].[Exames]" caption="Exames" measure="1" displayFolder="" measureGroup="Vendas" count="0"/>
    <cacheHierarchy uniqueName="[Measures].[Internação]" caption="Internação" measure="1" displayFolder="" measureGroup="Vendas" count="0"/>
    <cacheHierarchy uniqueName="[Measures].[Cirurgia]" caption="Cirurgia" measure="1" displayFolder="" measureGroup="Vendas" count="0"/>
    <cacheHierarchy uniqueName="[Measures].[Consultas/Internação]" caption="Consultas/Internação" measure="1" displayFolder="" measureGroup="Vendas" count="0"/>
    <cacheHierarchy uniqueName="[Measures].[Consultas/Cirurgias]" caption="Consultas/Cirurgias" measure="1" displayFolder="" measureGroup="Vendas" count="0"/>
    <cacheHierarchy uniqueName="[Measures].[Consultas/Exames]" caption="Consultas/Exames" measure="1" displayFolder="" measureGroup="Vendas" count="0"/>
    <cacheHierarchy uniqueName="[Measures].[Quant_Animais]" caption="Quant_Animais" measure="1" displayFolder="" measureGroup="Vendas" count="0"/>
    <cacheHierarchy uniqueName="[Measures].[__XL_Count Vendas]" caption="__XL_Count Vendas" measure="1" displayFolder="" measureGroup="Vendas" count="0" hidden="1"/>
    <cacheHierarchy uniqueName="[Measures].[__XL_Count Reagrupa]" caption="__XL_Count Reagrupa" measure="1" displayFolder="" measureGroup="Reagrupa" count="0" hidden="1"/>
    <cacheHierarchy uniqueName="[Measures].[__XL_Count Calendar]" caption="__XL_Count Calendar" measure="1" displayFolder="" measureGroup="Calendar" count="0" hidden="1"/>
    <cacheHierarchy uniqueName="[Measures].[__XL_Count Pilar]" caption="__XL_Count Pilar" measure="1" displayFolder="" measureGroup="Pilar" count="0" hidden="1"/>
    <cacheHierarchy uniqueName="[Measures].[__No measures defined]" caption="__No measures defined" measure="1" displayFolder="" count="0" hidden="1"/>
  </cacheHierarchies>
  <kpis count="0"/>
  <tupleCache>
    <entries count="159">
      <n v="19" in="0">
        <tpls c="5">
          <tpl hier="1" item="0"/>
          <tpl fld="5" item="0"/>
          <tpl fld="6" item="0"/>
          <tpl fld="4" item="1"/>
          <tpl fld="3" item="5"/>
        </tpls>
      </n>
      <n v="32296.44000000001" in="1">
        <tpls c="5">
          <tpl hier="1" item="0"/>
          <tpl fld="5" item="0"/>
          <tpl fld="6" item="0"/>
          <tpl fld="4" item="4"/>
          <tpl fld="3" item="2"/>
        </tpls>
      </n>
      <n v="8150" in="1">
        <tpls c="5">
          <tpl hier="1" item="0"/>
          <tpl fld="5" item="0"/>
          <tpl fld="6" item="0"/>
          <tpl fld="4" item="4"/>
          <tpl fld="3" item="10"/>
        </tpls>
      </n>
      <n v="41.953680880974687" in="1">
        <tpls c="5">
          <tpl hier="1" item="0"/>
          <tpl fld="5" item="0"/>
          <tpl fld="6" item="0"/>
          <tpl fld="4" item="0"/>
          <tpl hier="15" item="4294967295"/>
        </tpls>
      </n>
      <n v="1286.4473684210527" in="1">
        <tpls c="5">
          <tpl hier="1" item="0"/>
          <tpl fld="5" item="0"/>
          <tpl fld="6" item="0"/>
          <tpl fld="4" item="2"/>
          <tpl fld="2" item="2"/>
        </tpls>
      </n>
      <m in="0">
        <tpls c="5">
          <tpl hier="1" item="0"/>
          <tpl fld="5" item="0"/>
          <tpl fld="6" item="0"/>
          <tpl fld="4" item="1"/>
          <tpl fld="3" item="3"/>
        </tpls>
      </m>
      <n v="174.79158415841582" in="1">
        <tpls c="5">
          <tpl hier="1" item="0"/>
          <tpl fld="5" item="0"/>
          <tpl fld="6" item="0"/>
          <tpl fld="4" item="0"/>
          <tpl fld="3" item="11"/>
        </tpls>
      </n>
      <m in="1">
        <tpls c="5">
          <tpl hier="1" item="0"/>
          <tpl fld="5" item="0"/>
          <tpl fld="6" item="0"/>
          <tpl fld="4" item="4"/>
          <tpl fld="3" item="3"/>
        </tpls>
      </m>
      <n v="47.960634920634888" in="1">
        <tpls c="5">
          <tpl hier="1" item="0"/>
          <tpl fld="5" item="0"/>
          <tpl fld="6" item="0"/>
          <tpl fld="4" item="0"/>
          <tpl fld="3" item="9"/>
        </tpls>
      </n>
      <n v="63.65" in="1">
        <tpls c="5">
          <tpl hier="1" item="0"/>
          <tpl fld="5" item="0"/>
          <tpl fld="6" item="0"/>
          <tpl fld="4" item="4"/>
          <tpl fld="3" item="12"/>
        </tpls>
      </n>
      <m in="1">
        <tpls c="5">
          <tpl hier="1" item="0"/>
          <tpl fld="5" item="0"/>
          <tpl fld="6" item="0"/>
          <tpl fld="4" item="0"/>
          <tpl fld="3" item="3"/>
        </tpls>
      </m>
      <n v="114.12169611307425" in="1">
        <tpls c="5">
          <tpl hier="1" item="0"/>
          <tpl fld="5" item="0"/>
          <tpl fld="6" item="0"/>
          <tpl fld="4" item="2"/>
          <tpl fld="2" item="1"/>
        </tpls>
      </n>
      <n v="1186.5900000000004" in="1">
        <tpls c="5">
          <tpl hier="1" item="0"/>
          <tpl fld="5" item="0"/>
          <tpl fld="6" item="0"/>
          <tpl fld="4" item="4"/>
          <tpl fld="3" item="7"/>
        </tpls>
      </n>
      <n v="20905" in="1">
        <tpls c="5">
          <tpl hier="1" item="0"/>
          <tpl fld="5" item="0"/>
          <tpl fld="6" item="0"/>
          <tpl fld="4" item="4"/>
          <tpl fld="3" item="1"/>
        </tpls>
      </n>
      <n v="16" in="0">
        <tpls c="5">
          <tpl hier="1" item="0"/>
          <tpl fld="5" item="0"/>
          <tpl fld="6" item="0"/>
          <tpl fld="4" item="1"/>
          <tpl fld="3" item="13"/>
        </tpls>
      </n>
      <n v="202" in="0">
        <tpls c="5">
          <tpl hier="1" item="0"/>
          <tpl fld="5" item="0"/>
          <tpl fld="6" item="0"/>
          <tpl fld="4" item="1"/>
          <tpl fld="3" item="11"/>
        </tpls>
      </n>
      <n v="149.08571428571429" in="1">
        <tpls c="5">
          <tpl hier="1" item="0"/>
          <tpl fld="5" item="0"/>
          <tpl fld="6" item="0"/>
          <tpl fld="4" item="0"/>
          <tpl fld="3" item="6"/>
        </tpls>
      </n>
      <n v="9064.559999999994" in="1">
        <tpls c="5">
          <tpl hier="1" item="0"/>
          <tpl fld="5" item="0"/>
          <tpl fld="6" item="0"/>
          <tpl fld="4" item="4"/>
          <tpl fld="3" item="9"/>
        </tpls>
      </n>
      <n v="169" in="0">
        <tpls c="5">
          <tpl hier="1" item="0"/>
          <tpl fld="5" item="0"/>
          <tpl fld="6" item="0"/>
          <tpl fld="4" item="1"/>
          <tpl fld="3" item="1"/>
        </tpls>
      </n>
      <n v="9.7073760144274157" in="1">
        <tpls c="5">
          <tpl hier="1" item="0"/>
          <tpl fld="5" item="0"/>
          <tpl fld="6" item="0"/>
          <tpl fld="4" item="0"/>
          <tpl fld="3" item="2"/>
        </tpls>
      </n>
      <n v="16292.5" in="1">
        <tpls c="5">
          <tpl hier="1" item="0"/>
          <tpl fld="5" item="0"/>
          <tpl fld="6" item="0"/>
          <tpl fld="4" item="4"/>
          <tpl fld="3" item="8"/>
        </tpls>
      </n>
      <n v="555.14499999999998" in="1">
        <tpls c="5">
          <tpl hier="1" item="0"/>
          <tpl fld="5" item="0"/>
          <tpl fld="6" item="0"/>
          <tpl fld="4" item="3"/>
          <tpl fld="2" item="0"/>
        </tpls>
      </n>
      <n v="19075" in="1">
        <tpls c="5">
          <tpl hier="1" item="0"/>
          <tpl fld="5" item="0"/>
          <tpl fld="6" item="0"/>
          <tpl fld="4" item="4"/>
          <tpl fld="3" item="4"/>
        </tpls>
      </n>
      <n v="394.40156387665189" in="1">
        <tpls c="5">
          <tpl hier="1" item="0"/>
          <tpl fld="5" item="0"/>
          <tpl fld="6" item="0"/>
          <tpl fld="4" item="2"/>
          <tpl hier="10" item="4294967295"/>
        </tpls>
      </n>
      <n v="3327" in="0">
        <tpls c="5">
          <tpl hier="1" item="0"/>
          <tpl fld="5" item="0"/>
          <tpl fld="6" item="0"/>
          <tpl fld="4" item="1"/>
          <tpl fld="3" item="2"/>
        </tpls>
      </n>
      <n v="3715.5999999999995" in="1">
        <tpls c="5">
          <tpl hier="1" item="0"/>
          <tpl fld="5" item="0"/>
          <tpl fld="6" item="0"/>
          <tpl fld="4" item="4"/>
          <tpl fld="3" item="0"/>
        </tpls>
      </n>
      <n v="9" in="0">
        <tpls c="5">
          <tpl hier="1" item="0"/>
          <tpl fld="5" item="0"/>
          <tpl fld="6" item="0"/>
          <tpl fld="4" item="1"/>
          <tpl fld="3" item="14"/>
        </tpls>
      </n>
      <n v="160.22142335766443" in="1">
        <tpls c="5">
          <tpl hier="1" item="0"/>
          <tpl fld="5" item="0"/>
          <tpl fld="6" item="0"/>
          <tpl fld="4" item="2"/>
          <tpl fld="2" item="3"/>
        </tpls>
      </n>
      <n v="763.828125" in="1">
        <tpls c="5">
          <tpl hier="1" item="0"/>
          <tpl fld="5" item="0"/>
          <tpl fld="6" item="0"/>
          <tpl fld="4" item="0"/>
          <tpl fld="2" item="2"/>
        </tpls>
      </n>
      <n v="192.24071428571438" in="1">
        <tpls c="5">
          <tpl hier="1" item="0"/>
          <tpl fld="5" item="0"/>
          <tpl fld="6" item="0"/>
          <tpl fld="4" item="3"/>
          <tpl fld="2" item="1"/>
        </tpls>
      </n>
      <n v="3150" in="1">
        <tpls c="5">
          <tpl hier="1" item="0"/>
          <tpl fld="5" item="0"/>
          <tpl fld="6" item="0"/>
          <tpl fld="4" item="4"/>
          <tpl fld="3" item="14"/>
        </tpls>
      </n>
      <n v="5600" in="1">
        <tpls c="5">
          <tpl hier="1" item="0"/>
          <tpl fld="5" item="0"/>
          <tpl fld="6" item="0"/>
          <tpl fld="4" item="4"/>
          <tpl fld="3" item="5"/>
        </tpls>
      </n>
      <n v="4.8961538461538456" in="1">
        <tpls c="5">
          <tpl hier="1" item="0"/>
          <tpl fld="5" item="0"/>
          <tpl fld="6" item="0"/>
          <tpl fld="4" item="0"/>
          <tpl fld="3" item="12"/>
        </tpls>
      </n>
      <n v="112.59393939393938" in="1">
        <tpls c="5">
          <tpl hier="1" item="0"/>
          <tpl fld="5" item="0"/>
          <tpl fld="6" item="0"/>
          <tpl fld="4" item="0"/>
          <tpl fld="3" item="0"/>
        </tpls>
      </n>
      <n v="468.44083333333339" in="1">
        <tpls c="5">
          <tpl hier="1" item="0"/>
          <tpl fld="5" item="0"/>
          <tpl fld="6" item="0"/>
          <tpl fld="4" item="3"/>
          <tpl fld="2" item="4"/>
        </tpls>
      </n>
      <n v="41" in="0">
        <tpls c="5">
          <tpl hier="1" item="0"/>
          <tpl fld="5" item="0"/>
          <tpl fld="6" item="0"/>
          <tpl fld="4" item="1"/>
          <tpl fld="3" item="7"/>
        </tpls>
      </n>
      <n v="150" in="1">
        <tpls c="5">
          <tpl hier="1" item="0"/>
          <tpl fld="5" item="0"/>
          <tpl fld="6" item="0"/>
          <tpl fld="4" item="0"/>
          <tpl fld="3" item="15"/>
        </tpls>
      </n>
      <n v="350" in="1">
        <tpls c="5">
          <tpl hier="1" item="0"/>
          <tpl fld="5" item="0"/>
          <tpl fld="6" item="0"/>
          <tpl fld="4" item="0"/>
          <tpl fld="3" item="14"/>
        </tpls>
      </n>
      <n v="26.266874999999999" in="1">
        <tpls c="5">
          <tpl hier="1" item="0"/>
          <tpl fld="5" item="0"/>
          <tpl fld="6" item="0"/>
          <tpl fld="4" item="0"/>
          <tpl fld="3" item="13"/>
        </tpls>
      </n>
      <n v="3130.8" in="1">
        <tpls c="5">
          <tpl hier="1" item="0"/>
          <tpl fld="5" item="0"/>
          <tpl fld="6" item="0"/>
          <tpl fld="4" item="4"/>
          <tpl fld="3" item="6"/>
        </tpls>
      </n>
      <n v="21" in="0">
        <tpls c="5">
          <tpl hier="1" item="0"/>
          <tpl fld="5" item="0"/>
          <tpl fld="6" item="0"/>
          <tpl fld="4" item="1"/>
          <tpl fld="3" item="6"/>
        </tpls>
      </n>
      <n v="1286.4473684210527" in="1">
        <tpls c="5">
          <tpl hier="1" item="0"/>
          <tpl fld="5" item="0"/>
          <tpl fld="6" item="0"/>
          <tpl fld="4" item="3"/>
          <tpl fld="2" item="2"/>
        </tpls>
      </n>
      <n v="151.51725067385448" in="1">
        <tpls c="5">
          <tpl hier="1" item="0"/>
          <tpl fld="5" item="0"/>
          <tpl fld="6" item="0"/>
          <tpl fld="4" item="0"/>
          <tpl fld="2" item="4"/>
        </tpls>
      </n>
      <n v="277.57249999999999" in="1">
        <tpls c="5">
          <tpl hier="1" item="0"/>
          <tpl fld="5" item="0"/>
          <tpl fld="6" item="0"/>
          <tpl fld="4" item="0"/>
          <tpl fld="2" item="0"/>
        </tpls>
      </n>
      <n v="95.852991266375668" in="1">
        <tpls c="5">
          <tpl hier="1" item="0"/>
          <tpl fld="5" item="0"/>
          <tpl fld="6" item="0"/>
          <tpl fld="4" item="0"/>
          <tpl fld="2" item="3"/>
        </tpls>
      </n>
      <n v="20700" in="1">
        <tpls c="5">
          <tpl hier="1" item="0"/>
          <tpl fld="5" item="0"/>
          <tpl fld="6" item="0"/>
          <tpl fld="4" item="4"/>
          <tpl fld="3" item="15"/>
        </tpls>
      </n>
      <n v="189" in="0">
        <tpls c="5">
          <tpl hier="1" item="0"/>
          <tpl fld="5" item="0"/>
          <tpl fld="6" item="0"/>
          <tpl fld="4" item="1"/>
          <tpl fld="3" item="9"/>
        </tpls>
      </n>
      <n v="13" in="0">
        <tpls c="5">
          <tpl hier="1" item="0"/>
          <tpl fld="5" item="0"/>
          <tpl fld="6" item="0"/>
          <tpl fld="4" item="1"/>
          <tpl fld="3" item="12"/>
        </tpls>
      </n>
      <n v="294.73684210526318" in="1">
        <tpls c="5">
          <tpl hier="1" item="0"/>
          <tpl fld="5" item="0"/>
          <tpl fld="6" item="0"/>
          <tpl fld="4" item="0"/>
          <tpl fld="3" item="5"/>
        </tpls>
      </n>
      <n v="1.7250000000000001" in="1">
        <tpls c="4">
          <tpl hier="1" item="0"/>
          <tpl fld="5" item="0"/>
          <tpl fld="6" item="0"/>
          <tpl fld="4" item="6"/>
        </tpls>
      </n>
      <n v="33" in="0">
        <tpls c="5">
          <tpl hier="1" item="0"/>
          <tpl fld="5" item="0"/>
          <tpl fld="6" item="0"/>
          <tpl fld="4" item="1"/>
          <tpl fld="3" item="0"/>
        </tpls>
      </n>
      <n v="323.30508474576271" in="1">
        <tpls c="5">
          <tpl hier="1" item="0"/>
          <tpl fld="5" item="0"/>
          <tpl fld="6" item="0"/>
          <tpl fld="4" item="0"/>
          <tpl fld="3" item="4"/>
        </tpls>
      </n>
      <n v="18" in="0">
        <tpls c="5">
          <tpl hier="1" item="0"/>
          <tpl fld="5" item="0"/>
          <tpl fld="6" item="0"/>
          <tpl fld="4" item="1"/>
          <tpl fld="3" item="8"/>
        </tpls>
      </n>
      <n v="138" in="0">
        <tpls c="5">
          <tpl hier="1" item="0"/>
          <tpl fld="5" item="0"/>
          <tpl fld="6" item="0"/>
          <tpl fld="4" item="1"/>
          <tpl fld="3" item="15"/>
        </tpls>
      </n>
      <n v="14" in="0">
        <tpls c="5">
          <tpl hier="1" item="0"/>
          <tpl fld="5" item="0"/>
          <tpl fld="6" item="0"/>
          <tpl fld="4" item="1"/>
          <tpl fld="3" item="10"/>
        </tpls>
      </n>
      <n v="7.666666666666667" in="1">
        <tpls c="4">
          <tpl hier="1" item="0"/>
          <tpl fld="5" item="0"/>
          <tpl fld="6" item="0"/>
          <tpl fld="4" item="7"/>
        </tpls>
      </n>
      <n v="420.27" in="1">
        <tpls c="5">
          <tpl hier="1" item="0"/>
          <tpl fld="5" item="0"/>
          <tpl fld="6" item="0"/>
          <tpl fld="4" item="4"/>
          <tpl fld="3" item="13"/>
        </tpls>
      </n>
      <n v="179058.30999999997" in="1">
        <tpls c="4">
          <tpl fld="5" item="0"/>
          <tpl fld="6" item="0"/>
          <tpl fld="4" item="4"/>
          <tpl hier="15" item="4294967295"/>
        </tpls>
      </n>
      <n v="179058.30999999997" in="1">
        <tpls c="5">
          <tpl hier="1" item="0"/>
          <tpl fld="5" item="0"/>
          <tpl fld="6" item="0"/>
          <tpl fld="4" item="4"/>
          <tpl hier="15" item="4294967295"/>
        </tpls>
      </n>
      <n v="236.02510752688201" in="1">
        <tpls c="5">
          <tpl hier="1" item="0"/>
          <tpl fld="5" item="0"/>
          <tpl fld="6" item="0"/>
          <tpl fld="4" item="3"/>
          <tpl fld="2" item="3"/>
        </tpls>
      </n>
      <n v="123.69822485207101" in="1">
        <tpls c="5">
          <tpl hier="1" item="0"/>
          <tpl fld="5" item="0"/>
          <tpl fld="6" item="0"/>
          <tpl fld="4" item="0"/>
          <tpl fld="3" item="1"/>
        </tpls>
      </n>
      <n v="582.14285714285711" in="1">
        <tpls c="5">
          <tpl hier="1" item="0"/>
          <tpl fld="5" item="0"/>
          <tpl fld="6" item="0"/>
          <tpl fld="4" item="0"/>
          <tpl fld="3" item="10"/>
        </tpls>
      </n>
      <n v="905.13888888888891" in="1">
        <tpls c="5">
          <tpl hier="1" item="0"/>
          <tpl fld="5" item="0"/>
          <tpl fld="6" item="0"/>
          <tpl fld="4" item="0"/>
          <tpl fld="3" item="8"/>
        </tpls>
      </n>
      <n v="35307.899999999994" in="1">
        <tpls c="5">
          <tpl hier="1" item="0"/>
          <tpl fld="5" item="0"/>
          <tpl fld="6" item="0"/>
          <tpl fld="4" item="4"/>
          <tpl fld="3" item="11"/>
        </tpls>
      </n>
      <n v="0.3719676549865229" in="1">
        <tpls c="4">
          <tpl hier="1" item="0"/>
          <tpl fld="5" item="0"/>
          <tpl fld="6" item="0"/>
          <tpl fld="4" item="5"/>
        </tpls>
      </n>
      <n v="9.7073760144274157" in="1">
        <tpls c="5">
          <tpl hier="1" item="0"/>
          <tpl fld="5" item="0"/>
          <tpl fld="6" item="0"/>
          <tpl fld="4" item="0"/>
          <tpl fld="2" item="1"/>
        </tpls>
      </n>
      <n v="4268" in="0">
        <tpls c="5">
          <tpl hier="1" item="0"/>
          <tpl fld="5" item="0"/>
          <tpl fld="6" item="0"/>
          <tpl fld="4" item="1"/>
          <tpl hier="15" item="4294967295"/>
        </tpls>
      </n>
      <n v="41.953680880974687" in="1">
        <tpls c="5">
          <tpl hier="1" item="0"/>
          <tpl fld="5" item="0"/>
          <tpl fld="6" item="0"/>
          <tpl fld="4" item="0"/>
          <tpl hier="10" item="4294967295"/>
        </tpls>
      </n>
      <n v="28.941219512195133" in="1">
        <tpls c="5">
          <tpl hier="1" item="0"/>
          <tpl fld="5" item="0"/>
          <tpl fld="6" item="0"/>
          <tpl fld="4" item="0"/>
          <tpl fld="3" item="7"/>
        </tpls>
      </n>
      <m>
        <tpls c="3">
          <tpl hier="1" item="0"/>
          <tpl fld="6" item="1"/>
          <tpl fld="4" item="7"/>
        </tpls>
      </m>
      <n v="795.81471111111102" in="1">
        <tpls c="5">
          <tpl hier="1" item="0"/>
          <tpl fld="5" item="0"/>
          <tpl fld="6" item="0"/>
          <tpl fld="4" item="3"/>
          <tpl hier="10" item="4294967295"/>
        </tpls>
      </n>
      <n v="286.80051020408166" in="1">
        <tpls c="5">
          <tpl hier="1" item="0"/>
          <tpl fld="5" item="0"/>
          <tpl fld="6" item="0"/>
          <tpl fld="4" item="2"/>
          <tpl fld="2" item="4"/>
        </tpls>
      </n>
      <n v="296.07733333333334" in="1">
        <tpls c="5">
          <tpl hier="1" item="0"/>
          <tpl fld="5" item="0"/>
          <tpl fld="6" item="0"/>
          <tpl fld="4" item="2"/>
          <tpl fld="2" item="0"/>
        </tpls>
      </n>
      <n v="59" in="0">
        <tpls c="5">
          <tpl hier="1" item="0"/>
          <tpl fld="5" item="0"/>
          <tpl fld="6" item="0"/>
          <tpl fld="4" item="1"/>
          <tpl fld="3" item="4"/>
        </tpls>
      </n>
      <n v="1228" in="0">
        <tpls c="3">
          <tpl hier="1" item="1"/>
          <tpl hier="2" item="4294967295"/>
          <tpl fld="4" item="8"/>
        </tpls>
      </n>
      <m>
        <tpls c="3">
          <tpl hier="1" item="0"/>
          <tpl fld="6" item="1"/>
          <tpl fld="4" item="6"/>
        </tpls>
      </m>
      <m>
        <tpls c="3">
          <tpl hier="1" item="0"/>
          <tpl fld="6" item="1"/>
          <tpl fld="4" item="5"/>
        </tpls>
      </m>
      <n v="19" in="0">
        <tpls c="5">
          <tpl hier="1" item="2"/>
          <tpl fld="5" item="0"/>
          <tpl fld="6" item="2"/>
          <tpl fld="4" item="1"/>
          <tpl fld="3" item="5"/>
        </tpls>
      </n>
      <n v="28238.759999999987" in="1">
        <tpls c="5">
          <tpl hier="1" item="2"/>
          <tpl fld="5" item="0"/>
          <tpl fld="6" item="2"/>
          <tpl fld="4" item="4"/>
          <tpl fld="3" item="2"/>
        </tpls>
      </n>
      <n v="2250" in="1">
        <tpls c="5">
          <tpl hier="1" item="2"/>
          <tpl fld="5" item="0"/>
          <tpl fld="6" item="2"/>
          <tpl fld="4" item="4"/>
          <tpl fld="3" item="10"/>
        </tpls>
      </n>
      <n v="40.216284277879332" in="1">
        <tpls c="5">
          <tpl hier="1" item="2"/>
          <tpl fld="5" item="0"/>
          <tpl fld="6" item="2"/>
          <tpl fld="4" item="0"/>
          <tpl hier="15" item="4294967295"/>
        </tpls>
      </n>
      <n v="669.44444444444446" in="1">
        <tpls c="5">
          <tpl hier="1" item="2"/>
          <tpl fld="5" item="0"/>
          <tpl fld="6" item="2"/>
          <tpl fld="4" item="2"/>
          <tpl fld="2" item="2"/>
        </tpls>
      </n>
      <m in="0">
        <tpls c="5">
          <tpl hier="1" item="2"/>
          <tpl fld="5" item="0"/>
          <tpl fld="6" item="2"/>
          <tpl fld="4" item="1"/>
          <tpl fld="3" item="3"/>
        </tpls>
      </m>
      <n v="170.04031372549019" in="1">
        <tpls c="5">
          <tpl hier="1" item="2"/>
          <tpl fld="5" item="0"/>
          <tpl fld="6" item="2"/>
          <tpl fld="4" item="0"/>
          <tpl fld="3" item="11"/>
        </tpls>
      </n>
      <m in="1">
        <tpls c="5">
          <tpl hier="1" item="2"/>
          <tpl fld="5" item="0"/>
          <tpl fld="6" item="2"/>
          <tpl fld="4" item="4"/>
          <tpl fld="3" item="3"/>
        </tpls>
      </m>
      <n v="50.089861111111112" in="1">
        <tpls c="5">
          <tpl hier="1" item="2"/>
          <tpl fld="5" item="0"/>
          <tpl fld="6" item="2"/>
          <tpl fld="4" item="0"/>
          <tpl fld="3" item="9"/>
        </tpls>
      </n>
      <n v="205.91" in="1">
        <tpls c="5">
          <tpl hier="1" item="2"/>
          <tpl fld="5" item="0"/>
          <tpl fld="6" item="2"/>
          <tpl fld="4" item="4"/>
          <tpl fld="3" item="12"/>
        </tpls>
      </n>
      <m in="1">
        <tpls c="5">
          <tpl hier="1" item="2"/>
          <tpl fld="5" item="0"/>
          <tpl fld="6" item="2"/>
          <tpl fld="4" item="0"/>
          <tpl fld="3" item="3"/>
        </tpls>
      </m>
      <n v="89.363164556961991" in="1">
        <tpls c="5">
          <tpl hier="1" item="2"/>
          <tpl fld="5" item="0"/>
          <tpl fld="6" item="2"/>
          <tpl fld="4" item="2"/>
          <tpl fld="2" item="1"/>
        </tpls>
      </n>
      <n v="1450.5899999999997" in="1">
        <tpls c="5">
          <tpl hier="1" item="2"/>
          <tpl fld="5" item="0"/>
          <tpl fld="6" item="2"/>
          <tpl fld="4" item="4"/>
          <tpl fld="3" item="7"/>
        </tpls>
      </n>
      <n v="22700" in="1">
        <tpls c="5">
          <tpl hier="1" item="2"/>
          <tpl fld="5" item="0"/>
          <tpl fld="6" item="2"/>
          <tpl fld="4" item="4"/>
          <tpl fld="3" item="1"/>
        </tpls>
      </n>
      <n v="11" in="0">
        <tpls c="5">
          <tpl hier="1" item="2"/>
          <tpl fld="5" item="0"/>
          <tpl fld="6" item="2"/>
          <tpl fld="4" item="1"/>
          <tpl fld="3" item="13"/>
        </tpls>
      </n>
      <n v="255" in="0">
        <tpls c="5">
          <tpl hier="1" item="2"/>
          <tpl fld="5" item="0"/>
          <tpl fld="6" item="2"/>
          <tpl fld="4" item="1"/>
          <tpl fld="3" item="11"/>
        </tpls>
      </n>
      <n v="133.52000000000001" in="1">
        <tpls c="5">
          <tpl hier="1" item="2"/>
          <tpl fld="5" item="0"/>
          <tpl fld="6" item="2"/>
          <tpl fld="4" item="0"/>
          <tpl fld="3" item="6"/>
        </tpls>
      </n>
      <n v="10819.41" in="1">
        <tpls c="5">
          <tpl hier="1" item="2"/>
          <tpl fld="5" item="0"/>
          <tpl fld="6" item="2"/>
          <tpl fld="4" item="4"/>
          <tpl fld="3" item="9"/>
        </tpls>
      </n>
      <n v="192" in="0">
        <tpls c="5">
          <tpl hier="1" item="2"/>
          <tpl fld="5" item="0"/>
          <tpl fld="6" item="2"/>
          <tpl fld="4" item="1"/>
          <tpl fld="3" item="1"/>
        </tpls>
      </n>
      <n v="8.5858193979933066" in="1">
        <tpls c="5">
          <tpl hier="1" item="2"/>
          <tpl fld="5" item="0"/>
          <tpl fld="6" item="2"/>
          <tpl fld="4" item="0"/>
          <tpl fld="3" item="2"/>
        </tpls>
      </n>
      <n v="3775" in="1">
        <tpls c="5">
          <tpl hier="1" item="2"/>
          <tpl fld="5" item="0"/>
          <tpl fld="6" item="2"/>
          <tpl fld="4" item="4"/>
          <tpl fld="3" item="8"/>
        </tpls>
      </n>
      <n v="686.18888888888887" in="1">
        <tpls c="5">
          <tpl hier="1" item="2"/>
          <tpl fld="5" item="0"/>
          <tpl fld="6" item="2"/>
          <tpl fld="4" item="3"/>
          <tpl fld="2" item="0"/>
        </tpls>
      </n>
      <n v="22700" in="1">
        <tpls c="5">
          <tpl hier="1" item="2"/>
          <tpl fld="5" item="0"/>
          <tpl fld="6" item="2"/>
          <tpl fld="4" item="4"/>
          <tpl fld="3" item="4"/>
        </tpls>
      </n>
      <n v="357.6960569105691" in="1">
        <tpls c="5">
          <tpl hier="1" item="2"/>
          <tpl fld="5" item="0"/>
          <tpl fld="6" item="2"/>
          <tpl fld="4" item="2"/>
          <tpl hier="10" item="4294967295"/>
        </tpls>
      </n>
      <n v="3289" in="0">
        <tpls c="5">
          <tpl hier="1" item="2"/>
          <tpl fld="5" item="0"/>
          <tpl fld="6" item="2"/>
          <tpl fld="4" item="1"/>
          <tpl fld="3" item="2"/>
        </tpls>
      </n>
      <n v="6026.2000000000025" in="1">
        <tpls c="5">
          <tpl hier="1" item="2"/>
          <tpl fld="5" item="0"/>
          <tpl fld="6" item="2"/>
          <tpl fld="4" item="4"/>
          <tpl fld="3" item="0"/>
        </tpls>
      </n>
      <n v="11" in="0">
        <tpls c="5">
          <tpl hier="1" item="2"/>
          <tpl fld="5" item="0"/>
          <tpl fld="6" item="2"/>
          <tpl fld="4" item="1"/>
          <tpl fld="3" item="14"/>
        </tpls>
      </n>
      <n v="171.00543624161071" in="1">
        <tpls c="5">
          <tpl hier="1" item="2"/>
          <tpl fld="5" item="0"/>
          <tpl fld="6" item="2"/>
          <tpl fld="4" item="2"/>
          <tpl fld="2" item="3"/>
        </tpls>
      </n>
      <n v="547.72727272727275" in="1">
        <tpls c="5">
          <tpl hier="1" item="2"/>
          <tpl fld="5" item="0"/>
          <tpl fld="6" item="2"/>
          <tpl fld="4" item="0"/>
          <tpl fld="2" item="2"/>
        </tpls>
      </n>
      <n v="145.56061855670097" in="1">
        <tpls c="5">
          <tpl hier="1" item="2"/>
          <tpl fld="5" item="0"/>
          <tpl fld="6" item="2"/>
          <tpl fld="4" item="3"/>
          <tpl fld="2" item="1"/>
        </tpls>
      </n>
      <n v="3850" in="1">
        <tpls c="5">
          <tpl hier="1" item="2"/>
          <tpl fld="5" item="0"/>
          <tpl fld="6" item="2"/>
          <tpl fld="4" item="4"/>
          <tpl fld="3" item="14"/>
        </tpls>
      </n>
      <n v="5960" in="1">
        <tpls c="5">
          <tpl hier="1" item="2"/>
          <tpl fld="5" item="0"/>
          <tpl fld="6" item="2"/>
          <tpl fld="4" item="4"/>
          <tpl fld="3" item="5"/>
        </tpls>
      </n>
      <n v="3.7438181818181819" in="1">
        <tpls c="5">
          <tpl hier="1" item="2"/>
          <tpl fld="5" item="0"/>
          <tpl fld="6" item="2"/>
          <tpl fld="4" item="0"/>
          <tpl fld="3" item="12"/>
        </tpls>
      </n>
      <n v="120.52400000000006" in="1">
        <tpls c="5">
          <tpl hier="1" item="2"/>
          <tpl fld="5" item="0"/>
          <tpl fld="6" item="2"/>
          <tpl fld="4" item="0"/>
          <tpl fld="3" item="0"/>
        </tpls>
      </n>
      <n v="465.21323943661963" in="1">
        <tpls c="5">
          <tpl hier="1" item="2"/>
          <tpl fld="5" item="0"/>
          <tpl fld="6" item="2"/>
          <tpl fld="4" item="3"/>
          <tpl fld="2" item="4"/>
        </tpls>
      </n>
      <n v="44" in="0">
        <tpls c="5">
          <tpl hier="1" item="2"/>
          <tpl fld="5" item="0"/>
          <tpl fld="6" item="2"/>
          <tpl fld="4" item="1"/>
          <tpl fld="3" item="7"/>
        </tpls>
      </n>
      <n v="150" in="1">
        <tpls c="5">
          <tpl hier="1" item="2"/>
          <tpl fld="5" item="0"/>
          <tpl fld="6" item="2"/>
          <tpl fld="4" item="0"/>
          <tpl fld="3" item="15"/>
        </tpls>
      </n>
      <n v="350" in="1">
        <tpls c="5">
          <tpl hier="1" item="2"/>
          <tpl fld="5" item="0"/>
          <tpl fld="6" item="2"/>
          <tpl fld="4" item="0"/>
          <tpl fld="3" item="14"/>
        </tpls>
      </n>
      <n v="54.319090909090917" in="1">
        <tpls c="5">
          <tpl hier="1" item="2"/>
          <tpl fld="5" item="0"/>
          <tpl fld="6" item="2"/>
          <tpl fld="4" item="0"/>
          <tpl fld="3" item="13"/>
        </tpls>
      </n>
      <n v="2002.8" in="1">
        <tpls c="5">
          <tpl hier="1" item="2"/>
          <tpl fld="5" item="0"/>
          <tpl fld="6" item="2"/>
          <tpl fld="4" item="4"/>
          <tpl fld="3" item="6"/>
        </tpls>
      </n>
      <n v="15" in="0">
        <tpls c="5">
          <tpl hier="1" item="2"/>
          <tpl fld="5" item="0"/>
          <tpl fld="6" item="2"/>
          <tpl fld="4" item="1"/>
          <tpl fld="3" item="6"/>
        </tpls>
      </n>
      <n v="860.71428571428567" in="1">
        <tpls c="5">
          <tpl hier="1" item="2"/>
          <tpl fld="5" item="0"/>
          <tpl fld="6" item="2"/>
          <tpl fld="4" item="3"/>
          <tpl fld="2" item="2"/>
        </tpls>
      </n>
      <n v="147.78586129753913" in="1">
        <tpls c="5">
          <tpl hier="1" item="2"/>
          <tpl fld="5" item="0"/>
          <tpl fld="6" item="2"/>
          <tpl fld="4" item="0"/>
          <tpl fld="2" item="4"/>
        </tpls>
      </n>
      <n v="325.03684210526313" in="1">
        <tpls c="5">
          <tpl hier="1" item="2"/>
          <tpl fld="5" item="0"/>
          <tpl fld="6" item="2"/>
          <tpl fld="4" item="0"/>
          <tpl fld="2" item="0"/>
        </tpls>
      </n>
      <n v="92.151211573236878" in="1">
        <tpls c="5">
          <tpl hier="1" item="2"/>
          <tpl fld="5" item="0"/>
          <tpl fld="6" item="2"/>
          <tpl fld="4" item="0"/>
          <tpl fld="2" item="3"/>
        </tpls>
      </n>
      <n v="22050" in="1">
        <tpls c="5">
          <tpl hier="1" item="2"/>
          <tpl fld="5" item="0"/>
          <tpl fld="6" item="2"/>
          <tpl fld="4" item="4"/>
          <tpl fld="3" item="15"/>
        </tpls>
      </n>
      <n v="216" in="0">
        <tpls c="5">
          <tpl hier="1" item="2"/>
          <tpl fld="5" item="0"/>
          <tpl fld="6" item="2"/>
          <tpl fld="4" item="1"/>
          <tpl fld="3" item="9"/>
        </tpls>
      </n>
      <n v="55" in="0">
        <tpls c="5">
          <tpl hier="1" item="2"/>
          <tpl fld="5" item="0"/>
          <tpl fld="6" item="2"/>
          <tpl fld="4" item="1"/>
          <tpl fld="3" item="12"/>
        </tpls>
      </n>
      <n v="313.68421052631578" in="1">
        <tpls c="5">
          <tpl hier="1" item="2"/>
          <tpl fld="5" item="0"/>
          <tpl fld="6" item="2"/>
          <tpl fld="4" item="0"/>
          <tpl fld="3" item="5"/>
        </tpls>
      </n>
      <n v="1.9342105263157894" in="1">
        <tpls c="4">
          <tpl hier="1" item="2"/>
          <tpl fld="5" item="0"/>
          <tpl fld="6" item="2"/>
          <tpl fld="4" item="6"/>
        </tpls>
      </n>
      <n v="50" in="0">
        <tpls c="5">
          <tpl hier="1" item="2"/>
          <tpl fld="5" item="0"/>
          <tpl fld="6" item="2"/>
          <tpl fld="4" item="1"/>
          <tpl fld="3" item="0"/>
        </tpls>
      </n>
      <n v="372.13114754098359" in="1">
        <tpls c="5">
          <tpl hier="1" item="2"/>
          <tpl fld="5" item="0"/>
          <tpl fld="6" item="2"/>
          <tpl fld="4" item="0"/>
          <tpl fld="3" item="4"/>
        </tpls>
      </n>
      <n v="8" in="0">
        <tpls c="5">
          <tpl hier="1" item="2"/>
          <tpl fld="5" item="0"/>
          <tpl fld="6" item="2"/>
          <tpl fld="4" item="1"/>
          <tpl fld="3" item="8"/>
        </tpls>
      </n>
      <n v="147" in="0">
        <tpls c="5">
          <tpl hier="1" item="2"/>
          <tpl fld="5" item="0"/>
          <tpl fld="6" item="2"/>
          <tpl fld="4" item="1"/>
          <tpl fld="3" item="15"/>
        </tpls>
      </n>
      <n v="3" in="0">
        <tpls c="5">
          <tpl hier="1" item="2"/>
          <tpl fld="5" item="0"/>
          <tpl fld="6" item="2"/>
          <tpl fld="4" item="1"/>
          <tpl fld="3" item="10"/>
        </tpls>
      </n>
      <n v="18.375" in="1">
        <tpls c="4">
          <tpl hier="1" item="2"/>
          <tpl fld="5" item="0"/>
          <tpl fld="6" item="2"/>
          <tpl fld="4" item="7"/>
        </tpls>
      </n>
      <n v="597.5100000000001" in="1">
        <tpls c="5">
          <tpl hier="1" item="2"/>
          <tpl fld="5" item="0"/>
          <tpl fld="6" item="2"/>
          <tpl fld="4" item="4"/>
          <tpl fld="3" item="13"/>
        </tpls>
      </n>
      <n v="175986.46" in="1">
        <tpls c="4">
          <tpl fld="5" item="0"/>
          <tpl fld="6" item="2"/>
          <tpl fld="4" item="4"/>
          <tpl hier="15" item="4294967295"/>
        </tpls>
      </n>
      <n v="175986.46" in="1">
        <tpls c="5">
          <tpl hier="1" item="2"/>
          <tpl fld="5" item="0"/>
          <tpl fld="6" item="2"/>
          <tpl fld="4" item="4"/>
          <tpl hier="15" item="4294967295"/>
        </tpls>
      </n>
      <n v="243.82593301435404" in="1">
        <tpls c="5">
          <tpl hier="1" item="2"/>
          <tpl fld="5" item="0"/>
          <tpl fld="6" item="2"/>
          <tpl fld="4" item="3"/>
          <tpl fld="2" item="3"/>
        </tpls>
      </n>
      <n v="118.22916666666667" in="1">
        <tpls c="5">
          <tpl hier="1" item="2"/>
          <tpl fld="5" item="0"/>
          <tpl fld="6" item="2"/>
          <tpl fld="4" item="0"/>
          <tpl fld="3" item="1"/>
        </tpls>
      </n>
      <n v="750" in="1">
        <tpls c="5">
          <tpl hier="1" item="2"/>
          <tpl fld="5" item="0"/>
          <tpl fld="6" item="2"/>
          <tpl fld="4" item="0"/>
          <tpl fld="3" item="10"/>
        </tpls>
      </n>
      <n v="471.875" in="1">
        <tpls c="5">
          <tpl hier="1" item="2"/>
          <tpl fld="5" item="0"/>
          <tpl fld="6" item="2"/>
          <tpl fld="4" item="0"/>
          <tpl fld="3" item="8"/>
        </tpls>
      </n>
      <n v="43360.28" in="1">
        <tpls c="5">
          <tpl hier="1" item="2"/>
          <tpl fld="5" item="0"/>
          <tpl fld="6" item="2"/>
          <tpl fld="4" item="4"/>
          <tpl fld="3" item="11"/>
        </tpls>
      </n>
      <n v="0.32885906040268459" in="1">
        <tpls c="4">
          <tpl hier="1" item="2"/>
          <tpl fld="5" item="0"/>
          <tpl fld="6" item="2"/>
          <tpl fld="4" item="5"/>
        </tpls>
      </n>
      <n v="8.5858193979933066" in="1">
        <tpls c="5">
          <tpl hier="1" item="2"/>
          <tpl fld="5" item="0"/>
          <tpl fld="6" item="2"/>
          <tpl fld="4" item="0"/>
          <tpl fld="2" item="1"/>
        </tpls>
      </n>
      <n v="4376" in="0">
        <tpls c="5">
          <tpl hier="1" item="2"/>
          <tpl fld="5" item="0"/>
          <tpl fld="6" item="2"/>
          <tpl fld="4" item="1"/>
          <tpl hier="15" item="4294967295"/>
        </tpls>
      </n>
      <n v="40.216284277879332" in="1">
        <tpls c="5">
          <tpl hier="1" item="2"/>
          <tpl fld="5" item="0"/>
          <tpl fld="6" item="2"/>
          <tpl fld="4" item="0"/>
          <tpl hier="10" item="4294967295"/>
        </tpls>
      </n>
      <n v="32.967954545454539" in="1">
        <tpls c="5">
          <tpl hier="1" item="2"/>
          <tpl fld="5" item="0"/>
          <tpl fld="6" item="2"/>
          <tpl fld="4" item="0"/>
          <tpl fld="3" item="7"/>
        </tpls>
      </n>
      <m>
        <tpls c="3">
          <tpl hier="1" item="2"/>
          <tpl fld="6" item="1"/>
          <tpl fld="4" item="7"/>
        </tpls>
      </m>
      <n v="739.43890756302517" in="1">
        <tpls c="5">
          <tpl hier="1" item="2"/>
          <tpl fld="5" item="0"/>
          <tpl fld="6" item="2"/>
          <tpl fld="4" item="3"/>
          <tpl hier="10" item="4294967295"/>
        </tpls>
      </n>
      <n v="264.24111999999991" in="1">
        <tpls c="5">
          <tpl hier="1" item="2"/>
          <tpl fld="5" item="0"/>
          <tpl fld="6" item="2"/>
          <tpl fld="4" item="2"/>
          <tpl fld="2" item="4"/>
        </tpls>
      </n>
      <n v="343.09444444444443" in="1">
        <tpls c="5">
          <tpl hier="1" item="2"/>
          <tpl fld="5" item="0"/>
          <tpl fld="6" item="2"/>
          <tpl fld="4" item="2"/>
          <tpl fld="2" item="0"/>
        </tpls>
      </n>
      <n v="61" in="0">
        <tpls c="5">
          <tpl hier="1" item="2"/>
          <tpl fld="5" item="0"/>
          <tpl fld="6" item="2"/>
          <tpl fld="4" item="1"/>
          <tpl fld="3" item="4"/>
        </tpls>
      </n>
      <m>
        <tpls c="3">
          <tpl hier="1" item="2"/>
          <tpl fld="6" item="1"/>
          <tpl fld="4" item="6"/>
        </tpls>
      </m>
      <m>
        <tpls c="3">
          <tpl hier="1" item="2"/>
          <tpl fld="6" item="1"/>
          <tpl fld="4" item="5"/>
        </tpls>
      </m>
      <n v="225" in="0">
        <tpls c="3">
          <tpl hier="1" item="0"/>
          <tpl hier="2" item="4294967295"/>
          <tpl fld="4" item="8"/>
        </tpls>
      </n>
      <n v="415" in="0">
        <tpls c="3">
          <tpl hier="1" item="3"/>
          <tpl hier="2" item="4294967295"/>
          <tpl fld="4" item="8"/>
        </tpls>
      </n>
      <n v="614" in="0">
        <tpls c="3">
          <tpl hier="1" item="4"/>
          <tpl hier="2" item="4294967295"/>
          <tpl fld="4" item="8"/>
        </tpls>
      </n>
      <n v="806" in="0">
        <tpls c="3">
          <tpl hier="1" item="5"/>
          <tpl hier="2" item="4294967295"/>
          <tpl fld="4" item="8"/>
        </tpls>
      </n>
      <n v="1021" in="0">
        <tpls c="3">
          <tpl hier="1" item="6"/>
          <tpl hier="2" item="4294967295"/>
          <tpl fld="4" item="8"/>
        </tpls>
      </n>
      <n v="1190" in="0">
        <tpls c="3">
          <tpl hier="1" item="7"/>
          <tpl hier="2" item="4294967295"/>
          <tpl fld="4" item="8"/>
        </tpls>
      </n>
    </entries>
    <sets count="8">
      <set count="1" maxRank="1" setDefinition="{[Calendar].[Date Hierarchy].[Year].&amp;[2022].&amp;[maio]}">
        <tpls c="1">
          <tpl fld="1" item="0"/>
        </tpls>
      </set>
      <set count="6" maxRank="1" setDefinition="{[Calendar].[Date Hierarchy].[Year].&amp;[2021].&amp;[dezembro],[Calendar].[Date Hierarchy].[Year].&amp;[2021].&amp;[novembro],[Calendar].[Date Hierarchy].[Year].&amp;[2022].&amp;[abril],[Calendar].[Date Hierarchy].[Year].&amp;[2022].&amp;[fevereiro],[Calendar].[Date Hierarchy].[Year].&amp;[2022].&amp;[janeiro],[Calendar].[Date Hierarchy].[Year].&amp;[2022].&amp;[março]}">
        <tpls c="1">
          <tpl fld="1" item="1"/>
        </tpls>
      </set>
      <set count="1" maxRank="1" setDefinition="{[Calendar].[Date Hierarchy].[Year].&amp;[2022].&amp;[abril]}">
        <tpls c="1">
          <tpl fld="1" item="2"/>
        </tpls>
      </set>
      <set count="2" maxRank="1" setDefinition="{[Calendar].[Date Hierarchy].[Year].&amp;[2022].&amp;[abril],[Calendar].[Date Hierarchy].[Year].&amp;[2022].&amp;[maio]}">
        <tpls c="1">
          <tpl fld="1" item="2"/>
        </tpls>
      </set>
      <set count="3" maxRank="1" setDefinition="{[Calendar].[Date Hierarchy].[Year].&amp;[2022].&amp;[abril],[Calendar].[Date Hierarchy].[Year].&amp;[2022].&amp;[maio],[Calendar].[Date Hierarchy].[Year].&amp;[2022].&amp;[março]}">
        <tpls c="1">
          <tpl fld="1" item="2"/>
        </tpls>
      </set>
      <set count="4" maxRank="1" setDefinition="{[Calendar].[Date Hierarchy].[Year].&amp;[2022].&amp;[abril],[Calendar].[Date Hierarchy].[Year].&amp;[2022].&amp;[fevereiro],[Calendar].[Date Hierarchy].[Year].&amp;[2022].&amp;[maio],[Calendar].[Date Hierarchy].[Year].&amp;[2022].&amp;[março]}">
        <tpls c="1">
          <tpl fld="1" item="2"/>
        </tpls>
      </set>
      <set count="5" maxRank="1" setDefinition="{[Calendar].[Date Hierarchy].[Year].&amp;[2022].&amp;[abril],[Calendar].[Date Hierarchy].[Year].&amp;[2022].&amp;[fevereiro],[Calendar].[Date Hierarchy].[Year].&amp;[2022].&amp;[janeiro],[Calendar].[Date Hierarchy].[Year].&amp;[2022].&amp;[maio],[Calendar].[Date Hierarchy].[Year].&amp;[2022].&amp;[março]}">
        <tpls c="1">
          <tpl fld="1" item="2"/>
        </tpls>
      </set>
      <set count="6" maxRank="1" setDefinition="{[Calendar].[Date Hierarchy].[Year].&amp;[2021].&amp;[dezembro],[Calendar].[Date Hierarchy].[Year].&amp;[2022].&amp;[abril],[Calendar].[Date Hierarchy].[Year].&amp;[2022].&amp;[fevereiro],[Calendar].[Date Hierarchy].[Year].&amp;[2022].&amp;[janeiro],[Calendar].[Date Hierarchy].[Year].&amp;[2022].&amp;[maio],[Calendar].[Date Hierarchy].[Year].&amp;[2022].&amp;[março]}">
        <tpls c="1">
          <tpl fld="1" item="1"/>
        </tpls>
      </set>
    </sets>
    <queryCache count="39">
      <query mdx="[Pilar].[Pilar].&amp;[Internação]">
        <tpls c="1">
          <tpl fld="2" item="0"/>
        </tpls>
      </query>
      <query mdx="[Reagrupa].[GRUPO].&amp;[Vacinas]">
        <tpls c="1">
          <tpl fld="3" item="0"/>
        </tpls>
      </query>
      <query mdx="[Pilar].[Pilar].[All]">
        <tpls c="1">
          <tpl hier="10" item="4294967295"/>
        </tpls>
      </query>
      <query mdx="[Pilar].[Pilar].&amp;[Insumos]">
        <tpls c="1">
          <tpl fld="2" item="1"/>
        </tpls>
      </query>
      <query mdx="[Reagrupa].[GRUPO].&amp;[Imagem]">
        <tpls c="1">
          <tpl fld="3" item="1"/>
        </tpls>
      </query>
      <query mdx="[Reagrupa].[GRUPO].&amp;[Insumos]">
        <tpls c="1">
          <tpl fld="3" item="2"/>
        </tpls>
      </query>
      <query mdx="[Reagrupa].[GRUPO].&amp;[Aluguel CC]">
        <tpls c="1">
          <tpl fld="3" item="3"/>
        </tpls>
      </query>
      <query mdx="[Measures].[Preço Médio]">
        <tpls c="1">
          <tpl fld="4" item="0"/>
        </tpls>
      </query>
      <query mdx="[Reagrupa].[GRUPO].&amp;[Internação]">
        <tpls c="1">
          <tpl fld="3" item="4"/>
        </tpls>
      </query>
      <query mdx="[Calendar].[Year].[All].[2022]">
        <tpls c="1">
          <tpl fld="5" item="0"/>
        </tpls>
      </query>
      <query mdx="[Calendar].[Month].[maio]">
        <tpls c="1">
          <tpl fld="6" item="0"/>
        </tpls>
      </query>
      <query mdx="[Reagrupa].[GRUPO].&amp;[Especialidades]">
        <tpls c="1">
          <tpl fld="3" item="5"/>
        </tpls>
      </query>
      <query mdx="[Measures].[Total Quanditade]">
        <tpls c="1">
          <tpl fld="4" item="1"/>
        </tpls>
      </query>
      <query mdx="[Measures].[Ticket Médio]">
        <tpls c="1">
          <tpl fld="4" item="2"/>
        </tpls>
      </query>
      <query mdx="[Measures].[Fat. Méd. Clientes]">
        <tpls c="1">
          <tpl fld="4" item="3"/>
        </tpls>
      </query>
      <query mdx="[Measures].[Total Bruto]">
        <tpls c="1">
          <tpl fld="4" item="4"/>
        </tpls>
      </query>
      <query mdx="[Reagrupa].[GRUPO].[All]">
        <tpls c="1">
          <tpl hier="15" item="4294967295"/>
        </tpls>
      </query>
      <query mdx="[Measures].[Consultas/Exames]">
        <tpls c="1">
          <tpl fld="4" item="5"/>
        </tpls>
      </query>
      <query mdx="[Reagrupa].[GRUPO].&amp;[Procedimentos Internação]">
        <tpls c="1">
          <tpl fld="3" item="6"/>
        </tpls>
      </query>
      <query mdx="[Reagrupa].[GRUPO].&amp;[Alimentos]">
        <tpls c="1">
          <tpl fld="3" item="7"/>
        </tpls>
      </query>
      <query mdx="[Reagrupa].[GRUPO].&amp;[Cirurgias]">
        <tpls c="1">
          <tpl fld="3" item="8"/>
        </tpls>
      </query>
      <query mdx="[Reagrupa].[GRUPO].&amp;[Procedimentos Clinica]">
        <tpls c="1">
          <tpl fld="3" item="9"/>
        </tpls>
      </query>
      <query mdx="[Reagrupa].[GRUPO].&amp;[Anestesias]">
        <tpls c="1">
          <tpl fld="3" item="10"/>
        </tpls>
      </query>
      <query mdx="[Pilar].[Pilar].&amp;[Cirurgia]">
        <tpls c="1">
          <tpl fld="2" item="2"/>
        </tpls>
      </query>
      <query mdx="[Reagrupa].[GRUPO].&amp;[Laboratório]">
        <tpls c="1">
          <tpl fld="3" item="11"/>
        </tpls>
      </query>
      <query mdx="[Reagrupa].[GRUPO].&amp;[Doação]">
        <tpls c="1">
          <tpl fld="3" item="12"/>
        </tpls>
      </query>
      <query mdx="[Reagrupa].[GRUPO].&amp;[Farmácia]">
        <tpls c="1">
          <tpl fld="3" item="13"/>
        </tpls>
      </query>
      <query mdx="[Reagrupa].[GRUPO].&amp;[Emergencia]">
        <tpls c="1">
          <tpl fld="3" item="14"/>
        </tpls>
      </query>
      <query mdx="[Pilar].[Pilar].&amp;[Clínica]">
        <tpls c="1">
          <tpl fld="2" item="3"/>
        </tpls>
      </query>
      <query mdx="[Pilar].[Pilar].&amp;[Exames]">
        <tpls c="1">
          <tpl fld="2" item="4"/>
        </tpls>
      </query>
      <query mdx="[Reagrupa].[GRUPO].&amp;[Consultas]">
        <tpls c="1">
          <tpl fld="3" item="15"/>
        </tpls>
      </query>
      <query mdx="[Calendar].[Month].&amp;[fevereiro]">
        <tpls c="1">
          <tpl fld="6" item="1"/>
        </tpls>
      </query>
      <query mdx="[Measures].[Consultas/Internação]">
        <tpls c="1">
          <tpl fld="4" item="6"/>
        </tpls>
      </query>
      <query mdx="[Measures].[Consultas/Cirurgias]">
        <tpls c="1">
          <tpl fld="4" item="7"/>
        </tpls>
      </query>
      <query mdx="[Calendar].[Month].[All].[maio]">
        <tpls c="1">
          <tpl fld="6" item="0"/>
        </tpls>
      </query>
      <query mdx="[Calendar].[Year].[All]">
        <tpls c="1">
          <tpl hier="2" item="4294967295"/>
        </tpls>
      </query>
      <query mdx="[Measures].[QTD de Clientes]">
        <tpls c="1">
          <tpl fld="4" item="8"/>
        </tpls>
      </query>
      <query mdx="[Calendar].[Month].[abril]">
        <tpls c="1">
          <tpl fld="6" item="2"/>
        </tpls>
      </query>
      <query mdx="[Calendar].[Month].[All].[abril]">
        <tpls c="1">
          <tpl fld="6" item="2"/>
        </tpls>
      </query>
    </queryCache>
    <serverFormats count="2">
      <serverFormat format=""/>
      <serverFormat format="#,0.00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elo Silveira" refreshedDate="44722.335335069445" backgroundQuery="1" createdVersion="7" refreshedVersion="8" minRefreshableVersion="3" recordCount="0" supportSubquery="1" supportAdvancedDrill="1" xr:uid="{8A863878-4584-4CC9-AC71-A69C5FB85192}">
  <cacheSource type="external" connectionId="14"/>
  <cacheFields count="4">
    <cacheField name="[Calendar].[Year].[Year]" caption="Year" numFmtId="0" hierarchy="2" level="1">
      <sharedItems containsSemiMixedTypes="0" containsString="0" containsNumber="1" containsInteger="1" minValue="2021" maxValue="2022" count="2">
        <n v="2021"/>
        <n v="2022"/>
      </sharedItems>
      <extLst>
        <ext xmlns:x15="http://schemas.microsoft.com/office/spreadsheetml/2010/11/main" uri="{4F2E5C28-24EA-4eb8-9CBF-B6C8F9C3D259}">
          <x15:cachedUniqueNames>
            <x15:cachedUniqueName index="0" name="[Calendar].[Year].&amp;[2021]"/>
            <x15:cachedUniqueName index="1" name="[Calendar].[Year].&amp;[2022]"/>
          </x15:cachedUniqueNames>
        </ext>
      </extLst>
    </cacheField>
    <cacheField name="[Vendas].[Espécie].[Espécie]" caption="Espécie" numFmtId="0" hierarchy="33" level="1">
      <sharedItems count="12">
        <s v=""/>
        <s v="Avícola"/>
        <s v="Caninos"/>
        <s v="Cunícula"/>
        <s v="Equina"/>
        <s v="Felina - nao usar"/>
        <s v="Felinos"/>
        <s v="Outras"/>
        <s v="Pássaros"/>
        <s v="Psitacídeos"/>
        <s v="Roedor"/>
        <s v="Silvestres"/>
      </sharedItems>
    </cacheField>
    <cacheField name="[Measures].[QTD de Vendas]" caption="QTD de Vendas" numFmtId="0" hierarchy="48" level="32767"/>
    <cacheField name="[Measures].[Total Bruto]" caption="Total Bruto" numFmtId="0" hierarchy="49" level="32767"/>
  </cacheFields>
  <cacheHierarchies count="66"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0" unbalanced="0"/>
    <cacheHierarchy uniqueName="[Calendar].[Year]" caption="Year" attribute="1" time="1" defaultMemberUniqueName="[Calendar].[Year].[All]" allUniqueName="[Calendar].[Year].[All]" dimensionUniqueName="[Calendar]" displayFolder="" count="2" memberValueDatatype="20" unbalanced="0">
      <fieldsUsage count="2">
        <fieldUsage x="-1"/>
        <fieldUsage x="0"/>
      </fieldsUsage>
    </cacheHierarchy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0" memberValueDatatype="130" unbalanced="0"/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Pilar].[Grupo]" caption="Grupo" attribute="1" defaultMemberUniqueName="[Pilar].[Grupo].[All]" allUniqueName="[Pilar].[Grupo].[All]" dimensionUniqueName="[Pilar]" displayFolder="" count="0" memberValueDatatype="130" unbalanced="0"/>
    <cacheHierarchy uniqueName="[Pilar].[Pilar]" caption="Pilar" attribute="1" defaultMemberUniqueName="[Pilar].[Pilar].[All]" allUniqueName="[Pilar].[Pilar].[All]" dimensionUniqueName="[Pilar]" displayFolder="" count="0" memberValueDatatype="130" unbalanced="0"/>
    <cacheHierarchy uniqueName="[Pilar].[Column3]" caption="Column3" attribute="1" defaultMemberUniqueName="[Pilar].[Column3].[All]" allUniqueName="[Pilar].[Column3].[All]" dimensionUniqueName="[Pilar]" displayFolder="" count="0" memberValueDatatype="130" unbalanced="0"/>
    <cacheHierarchy uniqueName="[Pilar].[Column4]" caption="Column4" attribute="1" defaultMemberUniqueName="[Pilar].[Column4].[All]" allUniqueName="[Pilar].[Column4].[All]" dimensionUniqueName="[Pilar]" displayFolder="" count="0" memberValueDatatype="130" unbalanced="0"/>
    <cacheHierarchy uniqueName="[Pilar].[Column5]" caption="Column5" attribute="1" defaultMemberUniqueName="[Pilar].[Column5].[All]" allUniqueName="[Pilar].[Column5].[All]" dimensionUniqueName="[Pilar]" displayFolder="" count="0" memberValueDatatype="130" unbalanced="0"/>
    <cacheHierarchy uniqueName="[Reagrupa].[PRODUTOS/SERVIÇO]" caption="PRODUTOS/SERVIÇO" attribute="1" defaultMemberUniqueName="[Reagrupa].[PRODUTOS/SERVIÇO].[All]" allUniqueName="[Reagrupa].[PRODUTOS/SERVIÇO].[All]" dimensionUniqueName="[Reagrupa]" displayFolder="" count="0" memberValueDatatype="130" unbalanced="0"/>
    <cacheHierarchy uniqueName="[Reagrupa].[GRUPO]" caption="GRUPO" attribute="1" defaultMemberUniqueName="[Reagrupa].[GRUPO].[All]" allUniqueName="[Reagrupa].[GRUPO].[All]" dimensionUniqueName="[Reagrupa]" displayFolder="" count="0" memberValueDatatype="130" unbalanced="0"/>
    <cacheHierarchy uniqueName="[Vendas].[Nome da Origem]" caption="Nome da Origem" attribute="1" defaultMemberUniqueName="[Vendas].[Nome da Origem].[All]" allUniqueName="[Vendas].[Nome da Origem].[All]" dimensionUniqueName="[Vendas]" displayFolder="" count="0" memberValueDatatype="130" unbalanced="0"/>
    <cacheHierarchy uniqueName="[Vendas].[Data e hora]" caption="Data e hora" attribute="1" time="1" defaultMemberUniqueName="[Vendas].[Data e hora].[All]" allUniqueName="[Vendas].[Data e hora].[All]" dimensionUniqueName="[Vendas]" displayFolder="" count="0" memberValueDatatype="7" unbalanced="0"/>
    <cacheHierarchy uniqueName="[Vendas].[Venda]" caption="Venda" attribute="1" defaultMemberUniqueName="[Vendas].[Venda].[All]" allUniqueName="[Vendas].[Venda].[All]" dimensionUniqueName="[Vendas]" displayFolder="" count="0" memberValueDatatype="130" unbalanced="0"/>
    <cacheHierarchy uniqueName="[Vendas].[Status da venda]" caption="Status da venda" attribute="1" defaultMemberUniqueName="[Vendas].[Status da venda].[All]" allUniqueName="[Vendas].[Status da venda].[All]" dimensionUniqueName="[Vendas]" displayFolder="" count="0" memberValueDatatype="130" unbalanced="0"/>
    <cacheHierarchy uniqueName="[Vendas].[Data baixa]" caption="Data baixa" attribute="1" defaultMemberUniqueName="[Vendas].[Data baixa].[All]" allUniqueName="[Vendas].[Data baixa].[All]" dimensionUniqueName="[Vendas]" displayFolder="" count="0" memberValueDatatype="130" unbalanced="0"/>
    <cacheHierarchy uniqueName="[Vendas].[Forma pagamento]" caption="Forma pagamento" attribute="1" defaultMemberUniqueName="[Vendas].[Forma pagamento].[All]" allUniqueName="[Vendas].[Forma pagamento].[All]" dimensionUniqueName="[Vendas]" displayFolder="" count="0" memberValueDatatype="130" unbalanced="0"/>
    <cacheHierarchy uniqueName="[Vendas].[Funcionário]" caption="Funcionário" attribute="1" defaultMemberUniqueName="[Vendas].[Funcionário].[All]" allUniqueName="[Vendas].[Funcionário].[All]" dimensionUniqueName="[Vendas]" displayFolder="" count="0" memberValueDatatype="130" unbalanced="0"/>
    <cacheHierarchy uniqueName="[Vendas].[Cliente]" caption="Cliente" attribute="1" defaultMemberUniqueName="[Vendas].[Cliente].[All]" allUniqueName="[Vendas].[Cliente].[All]" dimensionUniqueName="[Vendas]" displayFolder="" count="0" memberValueDatatype="130" unbalanced="0"/>
    <cacheHierarchy uniqueName="[Vendas].[Código]" caption="Código" attribute="1" defaultMemberUniqueName="[Vendas].[Código].[All]" allUniqueName="[Vendas].[Código].[All]" dimensionUniqueName="[Vendas]" displayFolder="" count="0" memberValueDatatype="130" unbalanced="0"/>
    <cacheHierarchy uniqueName="[Vendas].[CPF]" caption="CPF" attribute="1" defaultMemberUniqueName="[Vendas].[CPF].[All]" allUniqueName="[Vendas].[CPF].[All]" dimensionUniqueName="[Vendas]" displayFolder="" count="0" memberValueDatatype="130" unbalanced="0"/>
    <cacheHierarchy uniqueName="[Vendas].[Sexo]" caption="Sexo" attribute="1" defaultMemberUniqueName="[Vendas].[Sexo].[All]" allUniqueName="[Vendas].[Sexo].[All]" dimensionUniqueName="[Vendas]" displayFolder="" count="0" memberValueDatatype="130" unbalanced="0"/>
    <cacheHierarchy uniqueName="[Vendas].[CEP]" caption="CEP" attribute="1" defaultMemberUniqueName="[Vendas].[CEP].[All]" allUniqueName="[Vendas].[CEP].[All]" dimensionUniqueName="[Vendas]" displayFolder="" count="0" memberValueDatatype="130" unbalanced="0"/>
    <cacheHierarchy uniqueName="[Vendas].[Endereço]" caption="Endereço" attribute="1" defaultMemberUniqueName="[Vendas].[Endereço].[All]" allUniqueName="[Vendas].[Endereço].[All]" dimensionUniqueName="[Vendas]" displayFolder="" count="0" memberValueDatatype="130" unbalanced="0"/>
    <cacheHierarchy uniqueName="[Vendas].[Número]" caption="Número" attribute="1" defaultMemberUniqueName="[Vendas].[Número].[All]" allUniqueName="[Vendas].[Número].[All]" dimensionUniqueName="[Vendas]" displayFolder="" count="0" memberValueDatatype="130" unbalanced="0"/>
    <cacheHierarchy uniqueName="[Vendas].[Bairro]" caption="Bairro" attribute="1" defaultMemberUniqueName="[Vendas].[Bairro].[All]" allUniqueName="[Vendas].[Bairro].[All]" dimensionUniqueName="[Vendas]" displayFolder="" count="0" memberValueDatatype="130" unbalanced="0"/>
    <cacheHierarchy uniqueName="[Vendas].[Email]" caption="Email" attribute="1" defaultMemberUniqueName="[Vendas].[Email].[All]" allUniqueName="[Vendas].[Email].[All]" dimensionUniqueName="[Vendas]" displayFolder="" count="0" memberValueDatatype="130" unbalanced="0"/>
    <cacheHierarchy uniqueName="[Vendas].[Celular]" caption="Celular" attribute="1" defaultMemberUniqueName="[Vendas].[Celular].[All]" allUniqueName="[Vendas].[Celular].[All]" dimensionUniqueName="[Vendas]" displayFolder="" count="0" memberValueDatatype="130" unbalanced="0"/>
    <cacheHierarchy uniqueName="[Vendas].[Animal]" caption="Animal" attribute="1" defaultMemberUniqueName="[Vendas].[Animal].[All]" allUniqueName="[Vendas].[Animal].[All]" dimensionUniqueName="[Vendas]" displayFolder="" count="0" memberValueDatatype="130" unbalanced="0"/>
    <cacheHierarchy uniqueName="[Vendas].[Espécie]" caption="Espécie" attribute="1" defaultMemberUniqueName="[Vendas].[Espécie].[All]" allUniqueName="[Vendas].[Espécie].[All]" dimensionUniqueName="[Vendas]" displayFolder="" count="2" memberValueDatatype="130" unbalanced="0">
      <fieldsUsage count="2">
        <fieldUsage x="-1"/>
        <fieldUsage x="1"/>
      </fieldsUsage>
    </cacheHierarchy>
    <cacheHierarchy uniqueName="[Vendas].[Sexo_1]" caption="Sexo_1" attribute="1" defaultMemberUniqueName="[Vendas].[Sexo_1].[All]" allUniqueName="[Vendas].[Sexo_1].[All]" dimensionUniqueName="[Vendas]" displayFolder="" count="0" memberValueDatatype="130" unbalanced="0"/>
    <cacheHierarchy uniqueName="[Vendas].[Raça]" caption="Raça" attribute="1" defaultMemberUniqueName="[Vendas].[Raça].[All]" allUniqueName="[Vendas].[Raça].[All]" dimensionUniqueName="[Vendas]" displayFolder="" count="0" memberValueDatatype="130" unbalanced="0"/>
    <cacheHierarchy uniqueName="[Vendas].[Tipo do Item]" caption="Tipo do Item" attribute="1" defaultMemberUniqueName="[Vendas].[Tipo do Item].[All]" allUniqueName="[Vendas].[Tipo do Item].[All]" dimensionUniqueName="[Vendas]" displayFolder="" count="0" memberValueDatatype="130" unbalanced="0"/>
    <cacheHierarchy uniqueName="[Vendas].[Grupo]" caption="Grupo" attribute="1" defaultMemberUniqueName="[Vendas].[Grupo].[All]" allUniqueName="[Vendas].[Grupo].[All]" dimensionUniqueName="[Vendas]" displayFolder="" count="0" memberValueDatatype="130" unbalanced="0"/>
    <cacheHierarchy uniqueName="[Vendas].[Produto/serviço]" caption="Produto/serviço" attribute="1" defaultMemberUniqueName="[Vendas].[Produto/serviço].[All]" allUniqueName="[Vendas].[Produto/serviço].[All]" dimensionUniqueName="[Vendas]" displayFolder="" count="0" memberValueDatatype="130" unbalanced="0"/>
    <cacheHierarchy uniqueName="[Vendas].[Valor Unitário]" caption="Valor Unitário" attribute="1" defaultMemberUniqueName="[Vendas].[Valor Unitário].[All]" allUniqueName="[Vendas].[Valor Unitário].[All]" dimensionUniqueName="[Vendas]" displayFolder="" count="0" memberValueDatatype="130" unbalanced="0"/>
    <cacheHierarchy uniqueName="[Vendas].[Quantidade]" caption="Quantidade" attribute="1" defaultMemberUniqueName="[Vendas].[Quantidade].[All]" allUniqueName="[Vendas].[Quantidade].[All]" dimensionUniqueName="[Vendas]" displayFolder="" count="0" memberValueDatatype="20" unbalanced="0"/>
    <cacheHierarchy uniqueName="[Vendas].[Bruto]" caption="Bruto" attribute="1" defaultMemberUniqueName="[Vendas].[Bruto].[All]" allUniqueName="[Vendas].[Bruto].[All]" dimensionUniqueName="[Vendas]" displayFolder="" count="0" memberValueDatatype="5" unbalanced="0"/>
    <cacheHierarchy uniqueName="[Vendas].[Desconto]" caption="Desconto" attribute="1" defaultMemberUniqueName="[Vendas].[Desconto].[All]" allUniqueName="[Vendas].[Desconto].[All]" dimensionUniqueName="[Vendas]" displayFolder="" count="0" memberValueDatatype="5" unbalanced="0"/>
    <cacheHierarchy uniqueName="[Vendas].[Líquido]" caption="Líquido" attribute="1" defaultMemberUniqueName="[Vendas].[Líquido].[All]" allUniqueName="[Vendas].[Líquido].[All]" dimensionUniqueName="[Vendas]" displayFolder="" count="0" memberValueDatatype="5" unbalanced="0"/>
    <cacheHierarchy uniqueName="[Vendas].[Column1]" caption="Column1" attribute="1" defaultMemberUniqueName="[Vendas].[Column1].[All]" allUniqueName="[Vendas].[Column1].[All]" dimensionUniqueName="[Vendas]" displayFolder="" count="0" memberValueDatatype="130" unbalanced="0"/>
    <cacheHierarchy uniqueName="[Measures].[Contagem de Pilar]" caption="Contagem de Pilar" measure="1" displayFolder="" measureGroup="Pilar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Total Quanditade]" caption="Total Quanditade" measure="1" displayFolder="" measureGroup="Vendas" count="0"/>
    <cacheHierarchy uniqueName="[Measures].[QTD de Clientes]" caption="QTD de Clientes" measure="1" displayFolder="" measureGroup="Vendas" count="0"/>
    <cacheHierarchy uniqueName="[Measures].[QTD de Vendas]" caption="QTD de Vendas" measure="1" displayFolder="" measureGroup="Vendas" count="0" oneField="1">
      <fieldsUsage count="1">
        <fieldUsage x="2"/>
      </fieldsUsage>
    </cacheHierarchy>
    <cacheHierarchy uniqueName="[Measures].[Total Bruto]" caption="Total Bruto" measure="1" displayFolder="" measureGroup="Vendas" count="0" oneField="1">
      <fieldsUsage count="1">
        <fieldUsage x="3"/>
      </fieldsUsage>
    </cacheHierarchy>
    <cacheHierarchy uniqueName="[Measures].[Ticket Médio]" caption="Ticket Médio" measure="1" displayFolder="" measureGroup="Vendas" count="0"/>
    <cacheHierarchy uniqueName="[Measures].[Preço Médio]" caption="Preço Médio" measure="1" displayFolder="" measureGroup="Vendas" count="0"/>
    <cacheHierarchy uniqueName="[Measures].[Fat. Méd. Clientes]" caption="Fat. Méd. Clientes" measure="1" displayFolder="" measureGroup="Vendas" count="0"/>
    <cacheHierarchy uniqueName="[Measures].[Consulta]" caption="Consulta" measure="1" displayFolder="" measureGroup="Vendas" count="0"/>
    <cacheHierarchy uniqueName="[Measures].[Exames]" caption="Exames" measure="1" displayFolder="" measureGroup="Vendas" count="0"/>
    <cacheHierarchy uniqueName="[Measures].[Internação]" caption="Internação" measure="1" displayFolder="" measureGroup="Vendas" count="0"/>
    <cacheHierarchy uniqueName="[Measures].[Cirurgia]" caption="Cirurgia" measure="1" displayFolder="" measureGroup="Vendas" count="0"/>
    <cacheHierarchy uniqueName="[Measures].[Consultas/Internação]" caption="Consultas/Internação" measure="1" displayFolder="" measureGroup="Vendas" count="0"/>
    <cacheHierarchy uniqueName="[Measures].[Consultas/Cirurgias]" caption="Consultas/Cirurgias" measure="1" displayFolder="" measureGroup="Vendas" count="0"/>
    <cacheHierarchy uniqueName="[Measures].[Consultas/Exames]" caption="Consultas/Exames" measure="1" displayFolder="" measureGroup="Vendas" count="0"/>
    <cacheHierarchy uniqueName="[Measures].[Quant_Animais]" caption="Quant_Animais" measure="1" displayFolder="" measureGroup="Vendas" count="0"/>
    <cacheHierarchy uniqueName="[Measures].[__XL_Count Vendas]" caption="__XL_Count Vendas" measure="1" displayFolder="" measureGroup="Vendas" count="0" hidden="1"/>
    <cacheHierarchy uniqueName="[Measures].[__XL_Count Reagrupa]" caption="__XL_Count Reagrupa" measure="1" displayFolder="" measureGroup="Reagrupa" count="0" hidden="1"/>
    <cacheHierarchy uniqueName="[Measures].[__XL_Count Calendar]" caption="__XL_Count Calendar" measure="1" displayFolder="" measureGroup="Calendar" count="0" hidden="1"/>
    <cacheHierarchy uniqueName="[Measures].[__XL_Count Pilar]" caption="__XL_Count Pilar" measure="1" displayFolder="" measureGroup="Pilar" count="0" hidden="1"/>
    <cacheHierarchy uniqueName="[Measures].[__No measures defined]" caption="__No measures defined" measure="1" displayFolder="" count="0" hidden="1"/>
  </cacheHierarchies>
  <kpis count="0"/>
  <dimensions count="5">
    <dimension name="Calendar" uniqueName="[Calendar]" caption="Calendar"/>
    <dimension measure="1" name="Measures" uniqueName="[Measures]" caption="Measures"/>
    <dimension name="Pilar" uniqueName="[Pilar]" caption="Pilar"/>
    <dimension name="Reagrupa" uniqueName="[Reagrupa]" caption="Reagrupa"/>
    <dimension name="Vendas" uniqueName="[Vendas]" caption="Vendas"/>
  </dimensions>
  <measureGroups count="4">
    <measureGroup name="Calendar" caption="Calendar"/>
    <measureGroup name="Pilar" caption="Pilar"/>
    <measureGroup name="Reagrupa" caption="Reagrupa"/>
    <measureGroup name="Vendas" caption="Vendas"/>
  </measureGroups>
  <maps count="8">
    <map measureGroup="0" dimension="0"/>
    <map measureGroup="1" dimension="2"/>
    <map measureGroup="2" dimension="2"/>
    <map measureGroup="2" dimension="3"/>
    <map measureGroup="3" dimension="0"/>
    <map measureGroup="3" dimension="2"/>
    <map measureGroup="3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elo Silveira" refreshedDate="44722.335337268516" backgroundQuery="1" createdVersion="7" refreshedVersion="8" minRefreshableVersion="3" recordCount="0" supportSubquery="1" supportAdvancedDrill="1" xr:uid="{BC3DC7C4-1EF9-449D-A18C-D50D481B50F2}">
  <cacheSource type="external" connectionId="14"/>
  <cacheFields count="5">
    <cacheField name="[Measures].[Total Bruto]" caption="Total Bruto" numFmtId="0" hierarchy="49" level="32767"/>
    <cacheField name="[Vendas].[Produto/serviço].[Produto/serviço]" caption="Produto/serviço" numFmtId="0" hierarchy="38" level="1">
      <sharedItems containsNonDate="0" count="291">
        <s v="RAÇAO RECOVERY ROYAL CANIN - LATA 195G"/>
        <s v="SACHE RAÇAO KITTEN ROYAL CANIN - 85G"/>
        <s v="SACHÊ RAÇAO PROPLAN (SABOR FRANGO) - POR SACHE"/>
        <s v="SACHE RAÇÃO SELECTA DOG EXCELLENCE FILHOTE - 100 G"/>
        <s v="ALUGUEL CENTRO CIRÚRGICO - Convênio"/>
        <s v="ASA 1 e 2: ANESTESIA 05,1 a 10kg"/>
        <s v="ASA 1 e 2: ANESTESIA Acima de 40kg"/>
        <s v="ASA 1 e 2: ANESTESIA ATÉ 5kg"/>
        <s v="ASA 1 e 2: HORA ADICIONAL 05,1 a 10kg"/>
        <s v="ASA 3 a 5: ANESTESIA 05,1 a 10kg"/>
        <s v="ASA 3 a 5: ANESTESIA Acima de 40kg"/>
        <s v="ASA 3 a 5: ANESTESIA ATÉ 5kg"/>
        <s v="BLEFAROPLASTIA"/>
        <s v="BLOCO CIRÚRGICO (Cirurgia acima de R$ 2000,00)"/>
        <s v="BLOCO CIRÚRGICO (Cirurgia entre R$ 1000,00 e R$ 1999,99)"/>
        <s v="campanha - CASTRAÇÃO CÃO (incluso anestesia)"/>
        <s v="campanha - CASTRAÇÃO FÊMEA CANINA (acima de 10KG) (incluso anestesia)"/>
        <s v="CÃO - TTO PERIODONTAL SEVERO 2 (TP 4) - DRA NAIÁ"/>
        <s v="COLOCAÇAO DE SONDA ESOFÁGICA/DRENO TORÁCICO"/>
        <s v="LAPAROTOMIA EXPLATORIA P ( ATE 11,9 KG)"/>
        <s v="OSTEOSSÍNTESE - Dr Gabriel Bressan"/>
        <s v="ACOMPANHAMENTO DOENÇA CRÔNICA"/>
        <s v="CONSULTA (hora marcada: 9 as 17hs, 2as a 6as feiras)"/>
        <s v="CONSULTA + RETORNO EM 30 DIAS"/>
        <s v="D - (FOSFATO SÓDICO DE) PREDNISOLONA 3MG/ML - POR ML"/>
        <s v="D - AMOXICILINA 875MG + CLAVULANATO - POR COMPRIMIDO"/>
        <s v="D - GABAPENTINA 100MG - por capsula"/>
        <s v="D - HIDROXIDO DE ALUMINIO SOL. ORAL - POR ML"/>
        <s v="D - METRONIDAZOL 250MG - POR COMPRIMIDO"/>
        <s v="D - OMEPRAZOL 10MG  - POR CAPSULA"/>
        <s v="GABAPENTINA 38MG - POR CAPSULA"/>
        <s v="ATENDIMENTO DE EMERGÊNCIA/URGÊNCIA - não inclui medicaçao, insumos ou oxigênio"/>
        <s v="CONSULTA CARDIOLOGISTA - Dra Amanda Faria"/>
        <s v="CONSULTA DERMATOLOGISTA - Dr Mauricio Piovesan"/>
        <s v="CONSULTA ENDOCRINOLOGISTA - Dra Caroline"/>
        <s v="CONSULTA FELINOS - Dra Bruna Padin"/>
        <s v="CONSULTA NEUROLOGISTA - Dra Mirela"/>
        <s v="CONSULTA ODONTOLOGISTA - Dra Naiá"/>
        <s v="CONSULTA OFTALMOLOGISTA - Dra Laysa"/>
        <s v="CONSULTA ONCOLOGISTA - Dra. Jessica"/>
        <s v="CONSULTA SILVESTRES - Dr Marcel"/>
        <s v="FLAMAVET 0,2 MG - C/10 COMPRIMIDOS (GATOS) - POR CARTELA"/>
        <s v="FLAMAVET 0,5 MG - C/10 COMPRIMIDOS (CAES) - POR CARTELA"/>
        <s v="CISTOCENTESE GUIADA POR ULTRASSOM"/>
        <s v="Dr PET - ELETROCARDIOGRAMA"/>
        <s v="ECOCARDIOGRAMA (Hovet)"/>
        <s v="ELETROCARDIOGRAMA (Hovet)"/>
        <s v="PROJEÇÃO RAIO-X (1a projeção)"/>
        <s v="PROJEÇÃO RAIO-X (avaliação de sonda nasoesofágica/esofágica/dreno torácico)"/>
        <s v="PROJEÇÃO RAIO-X (demais projeções)"/>
        <s v="PROJECÃO RAIO-X CRÂNIO (3 projeçoes) OBS: Necessário agendamento c/ Dr. Felype"/>
        <s v="PROJEÇÃO RAIO-X Silvestres (1a projeção)"/>
        <s v="PROJEÇÃO RAIO-X Silvestres (demais projeções)"/>
        <s v="T- FAST/A-FAST"/>
        <s v="ULTRASSOM (Hovet - abdômem)"/>
        <s v="ULTRASSOM EXTRA (Hovet)"/>
        <s v="ABAIXADOR DE LINGUA - UNIDADE"/>
        <s v="AC TRANEXAMICO (TRANSAMIN) - POR AMPOLA"/>
        <s v="ACEPRAN 0,2%  - POR ML"/>
        <s v="ACETILCISTEÍNA - POR AMPOLA"/>
        <s v="ADAPTADOR PRN"/>
        <s v="AGULHA PRETA 25X7 - POR UNIDADE"/>
        <s v="AGULHA ROSA 40X12 - POR UNIDADE"/>
        <s v="AGULHA ROXA 20X5,5 - POR UNIDADE"/>
        <s v="AGULHA VERDE 30X8 - POR UNIDADE"/>
        <s v="ALGODÃO ORTOPEDICO 8X10CM - UNIDADE"/>
        <s v="AMPICILINA+SULBACTAM 1,5GR - POR FRASCO AMPOLA"/>
        <s v="AREIA HOSPITALAR - POR SACO"/>
        <s v="ATADURA DE CREPE 30CM X 1,8M - POR UNIDADE"/>
        <s v="ATADURA DE CREPE 6CM X 1,8M - POR UNIDADE"/>
        <s v="ATADURA DE CREPE 8CM X 1,8M - POR UNIDADE"/>
        <s v="ATROPINA 0,25MG/ML (1ML) - POR AMPOLA"/>
        <s v="BOLSA CONCENTRADO DE HEMÁCEAS CANINO - PETS&amp;LIFE"/>
        <s v="BOLSA DE PLAQUETAS - UNIDADE"/>
        <s v="BUSCOFIN COMPOSTO - POR ML"/>
        <s v="CARVÃO ATIVADO - POR GRAMA"/>
        <s v="CATETER 16G CINZA Nipro"/>
        <s v="CATETER 18G VERDE Nipro"/>
        <s v="CATETER 20G ROSA Nipro"/>
        <s v="CATETER 22G AZUL Nipro"/>
        <s v="CATETER 24G AMARELO Nipro"/>
        <s v="CATETER 26G ROXO NEO Tkl"/>
        <s v="CEFTRIAXONA 1G - POR FRASCO-AMPOLA"/>
        <s v="CERENIA (20ml) - POR ML"/>
        <s v="CERUMINULITICO (Clean up 100ml) - POR ML"/>
        <s v="CLORETO DE POTASSIO 19,1% - POR AMPOLA"/>
        <s v="COBAVITAL 4MG - POR COMPRIMIDO"/>
        <s v="COLETOR UNIVERSAL C/ TAMPA 80ML - UNIDADE"/>
        <s v="DEXAMETASONA 4MG/ML (AMP 2,5ML) - POR AMPOLA"/>
        <s v="DIAZEPAN 5MG/ML (2ML) - POR AMPOLA"/>
        <s v="DIPIRONA 500MG/ML 2ML - POR AMPOLA"/>
        <s v="ENROFLOXACINA 10% (50ML) - POR ML"/>
        <s v="ENROLFOXACINA 2,5% (20ml) - POR ML"/>
        <s v="EPINEFRINA (ADRENALINA 1MG/ML) - POR AMPOLA"/>
        <s v="EQUIPO MACRO FOTOSENSIVEL"/>
        <s v="EQUIPO MACROGOTAS"/>
        <s v="EQUIPO MICROGOTAS"/>
        <s v="EQUIPO PARA TRANSFUSAO DE SANGUE ESTERIL - POR UNIDADE"/>
        <s v="ERITROPOETINA 4.000UI (1ml) - FRASCO"/>
        <s v="EXTENSOR DE EQUIPO - 1,20M LA VITA"/>
        <s v="FENOBARBITAL (100MG/ML) 2ML - POR AMPOLA"/>
        <s v="FIO NYLON 0-0 sem AGULHA"/>
        <s v="FIO NYLON 2-0 sem AGULHA"/>
        <s v="FIO NYLON 3-0 sem AGULHA"/>
        <s v="FITOMENADIONA (VITAMINA K) - POR AMPOLA"/>
        <s v="FLIXOTIDE 50MCG SPRAY - POR BORRIFADA"/>
        <s v="FUROSEMIDA 10MG/ML - POR AMPOLA"/>
        <s v="FUROSEMIDA 40mg - POR COMPRIMIDO"/>
        <s v="GABAPENTINA 40MG - POR CAPSULA"/>
        <s v="GABAPENTINA 70MG - POR CAPSULA"/>
        <s v="GLICOSE 50% 10ML - POR AMPOLA"/>
        <s v="GLICOSE 50% 20ML - POR AMPOLA"/>
        <s v="HIDROXIDO DE ALUMINIO 240ML - POR ML"/>
        <s v="IMIDOCARB (IMIZOL/IZOOT - 15ml) - POR ML"/>
        <s v="INSULINA REGULAR (100Ui/ml, 10ml) - POR FRASCO"/>
        <s v="INTERNAÇÃO - MIRTAZAPINA 2MG - POR COMPRIMIDO"/>
        <s v="INTERNAÇÃO - OMEPRAZOL 10MG - POR COMPRIMIDO"/>
        <s v="INTERNAÇÃO - OMEPRAZOL 20MG - POR COMPRIMIDO"/>
        <s v="INTERNAÇÃO - PREDNISONA 20MG - POR COMPRIMIDO"/>
        <s v="ISOFLURANO - POR ML"/>
        <s v="KIT MÁSCARA DE INALAÇÃO - POR KIT"/>
        <s v="LAMINA BISTURI N. 23 - POR UNIDADE"/>
        <s v="LAMINA MICROSCOPIO C/50 UN - POR UNIDADE"/>
        <s v="LIDOCAINA 1% (1ML) - POR AMPOLA"/>
        <s v="LUVA ESTERIL N.  6,5 - unidade"/>
        <s v="LUVA ESTERIL N.  7,5 - unidade"/>
        <s v="LUVA ESTERIL N. 7 - unidade"/>
        <s v="MELOXICAN 0,2% (20ml) - POR ML"/>
        <s v="MEPERIDINA (PETIDINA) 50MG/ML (PETIDINA) - POR AMPOLA"/>
        <s v="MERCEPTON 100ML- POR ML"/>
        <s v="METADONA 10MG/ML - POR AMPOLA"/>
        <s v="METOCLOPRAMIDA 5MG/ML- POR AMPOLA"/>
        <s v="METRONIDAZOL 5MG/ML (100ML) - POR FRASCO"/>
        <s v="MICROCHIP 12mm - UNIDADE"/>
        <s v="MIDAZOLAM - POR AMPOLA"/>
        <s v="MIRTAZAPINA 15MG - POR COMPRIMIDO"/>
        <s v="MORFINA - POR AMPOLA"/>
        <s v="NORAEPINEFRINA (NORADRENALINA) - POR AMPOLA"/>
        <s v="ONDANSETRONA 2MG/ML (4ML) - POR AMPOLA"/>
        <s v="OXIGENIO - POR 12 HORAS"/>
        <s v="PROMETAZINA 25MG/ML- POR AMPOLA"/>
        <s v="PROPOFOL (PROPOTIL) 10MG/ML 20ML - POR AMPOLA"/>
        <s v="PROPOFOL (PROVIVE) 1% 20ML - POR FRASCO"/>
        <s v="QUETAMINA (CETAMINA) 10% (10, 20 ou 50ml) - POR ML"/>
        <s v="SCALP N. 19"/>
        <s v="SCALP N. 21"/>
        <s v="SCALP N. 23"/>
        <s v="SCALP N. 25"/>
        <s v="SCALP N. 27"/>
        <s v="SERETIDE 25MCG/50MCG (120 DOSES) - POR BORRIFADA"/>
        <s v="SERINGA 10ML"/>
        <s v="SERINGA 1ML"/>
        <s v="SERINGA 20ML"/>
        <s v="SERINGA 3ML"/>
        <s v="SERINGA 5ML"/>
        <s v="SONDA ENDOTRAQUEAL 3.0 C/CUFF - POR UNID"/>
        <s v="SONDA ENDOTRAQUEAL 3.5 C/CUFF - POR UNID"/>
        <s v="SONDA ENDOTRAQUEAL 4.0 C/CUFF - POR UNID"/>
        <s v="SONDA ENDOTRAQUEAL 4.5 C/CUFF - POR UNID"/>
        <s v="SONDA ENDOTRAQUEAL 8.0 C/CUFF - POR UNID"/>
        <s v="SONDA NASOGÁSTRICA LONGA N. 04"/>
        <s v="SONDA NASOGASTRICA LONGA N. 06"/>
        <s v="SONDA NASOGASTRICA LONGA N. 08"/>
        <s v="SONDA NASOGASTRICA LONGA N. 10"/>
        <s v="SONDA NASOGASTRICA LONGA N. 12"/>
        <s v="SONDA NASOGASTRICA LONGA N. 14"/>
        <s v="SONDA NASOGASTRICA LONGA N. 16"/>
        <s v="SONDA URETRAL N. 04"/>
        <s v="SONDA URETRAL N. 06"/>
        <s v="SONDA URETRAL N. 08"/>
        <s v="SONDA URETRAL N. 10"/>
        <s v="SORO FISIOLOGICO 0,9%  10ML - AMPOLA"/>
        <s v="SORO FISIOLOGICO 100ML - POR FRASCO"/>
        <s v="SORO FISIOLOGICO 250ML - POR FRASCO"/>
        <s v="SORO FISIOLOGICO 500ML - POR FRASCO"/>
        <s v="SORO GLICOSE 5% 500ML - POR FRASCO"/>
        <s v="SORO MANITOL 250ML - POR FRASCO"/>
        <s v="SORO RINGER LACTATO 250ml - POR FRASCO"/>
        <s v="SORO RINGER LACTATO 500ML - POR FRASCO"/>
        <s v="SUCRALFATO 2G - POR FLACONETE"/>
        <s v="SWAB COM GEL - UNIDADE"/>
        <s v="SWAB SECO - UNIDADE"/>
        <s v="TALA METÁLICA (16mm x 250mm) - UNIDADE"/>
        <s v="TAPETE HIGIENICO HOSPITALAR - UNIDADE"/>
        <s v="TIRA CETONA - por unidade"/>
        <s v="TIRA DE FLUORESCEINA- unidade"/>
        <s v="TIRA DE GLICEMIA - Por unidade"/>
        <s v="TIRA LACTATO - Por unidade"/>
        <s v="TORNEIRA 3 vias - UNIDADE"/>
        <s v="TRAMADOL 50MG/ML - POR AMPOLA"/>
        <s v="TUBO CAPILAR - POR UNIDADE"/>
        <s v="TUBO TAMPA AMARELA 5ML - POR UNIDADE"/>
        <s v="TUBO TAMPA AZUL 4ML - POR UNIDADE"/>
        <s v="TUBO TAMPA CINZA 4ML - POR UNIDADE"/>
        <s v="TUBO TAMPA ROXA 4ML - POR UNIDADE"/>
        <s v="TUBO TAMPA VERDE (HEPARINA DE LÍTIO) p/ HEMOGASOMETRIA - 4ML"/>
        <s v="TUBO TAMPA VERMELHA 10ML - POR UNIDADE"/>
        <s v="VITAMINA B12  (HIPOVITA B12)  20ml - POR ML"/>
        <s v="DINTER - HOSPEDAGEM ASSISTIDA (alta temporada: dez, jan, jul e feriados)"/>
        <s v="DINTER - HOSPITAL DIA/NOITE SEMI INTENSIVA"/>
        <s v="DINTER - RECUPERAÇÃO/ENFERMARIA (DEMAIS DIÁRIAS)"/>
        <s v="DINTER - SEMI INTENSIVA (1a. DIARIA)"/>
        <s v="BOLSA DE CONCENTRADO DE HEMÁCEAS FELINO - CEVET"/>
        <s v="campanha - ELETROCARDIOGRAMA"/>
        <s v="campanha - EXAMES BIOQUÍMICOS FÇ RENAL E HEPÁTICA)"/>
        <s v="campanha - HEMOGRAMA (ALCHEMYPET)"/>
        <s v="CITOLOGIA ASPIRATIVA (1 SITIO) - HISTOPET"/>
        <s v="Cod. 074 - CITOLOGIA OTOLÓGICA - 1 CONDUTO - (ALCHEMY PET)"/>
        <s v="Cod. 075 - CITOLOGIA OTOLÓGICA - 2 CONDUTOS - (ALCHEMY PET)"/>
        <s v="Cod. 081 - COLORAÇÃO DE GRAM - MICROBIOLOGIA (ALCHEMY)"/>
        <s v="Cod. 084 - ANALISE DE LIQUIDO PERITONEAL (ALCHEMY PET)"/>
        <s v="Cod. 085 - ANALISE DE LIQUIDO PLEURAL (ALCHEMY PET)"/>
        <s v="Cod. 088 - CONTAGEM DE PLAQUETAS (ALCHEMYPET)"/>
        <s v="Cod. 089 - CONTAGEM DE RETICULOCITOS (ALCHEMY PET)"/>
        <s v="Cod. 091 - HEMATÓCRITO (ALCHEMY PET)"/>
        <s v="Cod. 093 - HEMOGRAMA COMPLETO - ALCHEMY PET"/>
        <s v="Cod. 103 - FIBRINOGENIO - (ALCHEMY PET)"/>
        <s v="Cod. 105 - TP (TEMPO DE PROTROMBINA) - ALCHEMYPET"/>
        <s v="Cod. 107 - TTPA (TEMPO DE TROBOPLASTINA PARCIAL ATIVADA - ALCHEMYPET"/>
        <s v="Cod. 112 - ALBUMINA - ALCHEMY PET"/>
        <s v="Cod. 120 - CK TOTAL (ALCHEMY PET)"/>
        <s v="Cod. 131 - GLICOSE (ALCHEMY PET)"/>
        <s v="Cod. 153 - RELAÇAO PROTEÍNA/CREATININA NA URINA (ALCHEMY PET)"/>
        <s v="Cod. 156 - URINA I (ALCHEMY PET)"/>
        <s v="Cod. 172 - CULTURA DE  FUNGOS (ALCHEMY PET)"/>
        <s v="Cod. 187 - PCR LEPTOSPIROSE (ALCHEMYPET)"/>
        <s v="Cod. 189 - PCR MICOPLASMOSE (ALCHEMYPET)"/>
        <s v="Cod. 199 - ERLICHIA CANIS (pesquisa IgG - ELISA c/ titulaçao) (ALCHEMY PET)"/>
        <s v="Cod. 207 - SNAPTEST FIV anticorpo/FELV antígeno - ALCHEMY PET"/>
        <s v="Cod. 212 - COPROPARASITOLÓGICO (AMOSTRA ÚNICA) - ALCHEMYPET"/>
        <s v="Cod. 213 - COPROPARASITOLÓGICO SERIADO (3 AMOSTRAS) (ALCHEMY PET)"/>
        <s v="Cod. 234 - T4 TOTAL FELINO (ALCHEMY PET)"/>
        <s v="Cod. 260 - MINI PAINEL HEPÁTICO (ALT e FA) -  ALCHEMYPET"/>
        <s v="Cod. 261 - PERFIL RENAL 1 (UREIA e CREATINA) - ALCHEMY PET"/>
        <s v="Cod. 312 - PCR BABESIA SPP (ALCHEMY PET)"/>
        <s v="Cod. 422 - ONE GOLD(Hg+PgerGGT+AST+Pt+ALB+GLB+FR+Lip+COL frç+TG+BIL fç+F+Ca+Cl+Cai+Na+K+Mg)(ALCHEMY)"/>
        <s v="Cod. 424 - ONE PRIME (Hemog+PGer+GGT+AST+Pt+ALB+GLOB+FRUTO+COL+TRIG+Bil e frações+F+Ca) - ALCHEMYPET"/>
        <s v="Cod. 444 - TLI CÃO (TRIPSONOGENIO PANCREATICO) - ALCHEMYPET"/>
        <s v="Cod. 707 - CULTURA E ATB AERÓBIAS (MIC) - ALCHEMYPET"/>
        <s v="Cod. 709 - CULTURA E ATB AERÓBIAS - 2 condutos auditivos (MIC) - (ALCHEMY PET)"/>
        <s v="Cod. 712 - UROCULTURA e ANTIBIOGRAMA (MIC) - ALCHEMY PET"/>
        <s v="Cod. 762 - PARASITOLOGICO FECAL + SNAP DE GIARDIA +SNAP PARVOVIROSE (ALCHEMY)"/>
        <s v="Cod. CB1 - COPROPARASITOLÓGICO SERIADO (3 AMOSTRAS) + SNAP GIARDIA - ALCHEMYPET"/>
        <s v="Cod. CB2 - PERFIL HEMOPARASITOSE (Tit Erliq+Babesia + PCR Erliqu, Babesia, Anapla) (ALCHEMYPET)"/>
        <s v="Cod. CB3 - PERFIL ONEHeath GOLD + RETICULÓCITOS - ALCHEMYPET"/>
        <s v="Cod. CB5 - PERFIL ACOMPANHAMENTO PIF (hg+ureia+creat+ALT+FA+alb+Glob+Bil Total e frç) (ALCHEMYPET)"/>
        <s v="Cod. CB6 - PERFIL GERAL CÃO (UREIA+CREAT+ALT+FA) - ALCHEMYPET"/>
        <s v="Cod. CB7 - PERFIL GERAL GATO (UREIA+CREAT+ALT+FA+GGT) - ALCHEMYPET"/>
        <s v="EPOC HEMOGASO - (NA+,CL-, K+, ICA++,CREAT, PH, PCO2, GLU, LAC, PO2, HCT) - HVCB"/>
        <s v="HISTOPATOLOGICO (1 AMOSTRA) - HISTOPET"/>
        <s v="PRESSAO ARTERIAL"/>
        <s v="TAXA DE ENTREGA BOLSA FELINOS - CEVET"/>
        <s v="TAXA ENTREGA BOLSA HEMODERIVADOS"/>
        <s v="TESTE DE COMPATIBILIDADE - CEVET"/>
        <s v="TESTE DE COMPATIBILIDADE (acima de 2 bolsas) - PETS&amp;LIFE"/>
        <s v="TESTE DE COMPATIBILIDADE (teste de 2 bolsas) - PETS&amp;LIFE"/>
        <s v="APLICAÇÃO  OTOLÓGICA - não inclui medicaçao ou insumos"/>
        <s v="APLICAÇÃO DE MEDICAÇÃO - não inclui medicaçao ou insumos"/>
        <s v="APLICAÇÃO DE MEDICAÇÃO EXTRA - não inclui medicaçao ou insumos"/>
        <s v="APLICAÇAO FLUIDO intravenoso - não inclui medicaçao ou insumos"/>
        <s v="APLICAÇAO FLUIDO intravenoso EXTRA - não inclui medicaçao ou insumos"/>
        <s v="APLICAÇAO FLUIDO subcutaneo - não inclui medicaçao ou insumos"/>
        <s v="APLICAÇAO FLUIDO subcutaneo EXTRA - não inclui medicaçao ou insumos"/>
        <s v="CURATIVO 1 (LIMPEZA + CURATIVO ABERTO) - não inclui medicaçao ou insumos"/>
        <s v="CURATIVO 2 (LIMPEZA + CURATIVO FECHADO) - ATE 15KG - não inclui medicaçao ou insumos"/>
        <s v="GLICEMIA CLINICA - não inclui medicaçao ou insumos"/>
        <s v="GLICEMIA CLINICA EXTRA - não inclui medicaçao ou insumos"/>
        <s v="IMOBILIZAÇAO P (C/ TALA) - (ATÉ 11,9KG) - não inclui insumos"/>
        <s v="MEDICACAO OFTALMICA"/>
        <s v="MEDICACAO OFTALMICA EXTRA (COLIRIO/FLUO/ANEST)"/>
        <s v="MEDICACAO VIA ORAL EXTRA - não inclui medicaçao ou insumos"/>
        <s v="MICROCHIP - APLICAÇÃO SUBCUTÂNEA - não inclui microchip"/>
        <s v="PUNÇÃO/DRENAGEM CISTO - não inclui medicaçao ou insumos"/>
        <s v="PUNÇÃO/DRENAGEM CISTO EXTRA - não inclui medicaçao ou insumos"/>
        <s v="RETIRADA DE MIIASE 1 (não inclui sedação)"/>
        <s v="RETIRADA DE MIIASE 2 (não inclui sedação)"/>
        <s v="SEDAÇÃO"/>
        <s v="ABDOMINOCENTESE EXTRA - não inclui medicaçao ou insumos"/>
        <s v="ATROVENT (B. IPRATROPIO) 0,25MG/ML (20ML) - POR ML"/>
        <s v="ENEMA EXTRA - não inclui medicaçao ou insumos"/>
        <s v="Taxa Corpinho M (de 12 a 23,9 kg)"/>
        <s v="Taxa corpinho P (ate 11,9 kg)"/>
        <s v="TORACOCENTESE BILATERAL EXTRA - não inclui medicaçao ou insumos"/>
        <s v="TORACOCENTESE UNILATERAL - não inclui medicaçao ou insumos"/>
        <s v="TORACOCENTESE UNILATERAL EXTRA - não inclui medicaçao ou insumos"/>
        <s v="TRANSFUSAO HEMODERIVADOS (ACOMPANHAMENTO) - não inclui medicaçao ou insumos"/>
        <s v="ANTIRABICA"/>
        <s v="BRONCHI/PNEUMO"/>
        <s v="GIARDIA"/>
        <s v="V10"/>
        <s v="V5 (V4 felina + Felv)"/>
      </sharedItems>
    </cacheField>
    <cacheField name="[Reagrupa].[GRUPO].[GRUPO]" caption="GRUPO" numFmtId="0" hierarchy="14" level="1">
      <sharedItems containsNonDate="0" count="16">
        <s v="Alimentos"/>
        <s v="Aluguel CC"/>
        <s v="Anestesias"/>
        <s v="Cirurgias"/>
        <s v="Consultas"/>
        <s v="Doação"/>
        <s v="Emergencia"/>
        <s v="Especialidades"/>
        <s v="Farmácia"/>
        <s v="Imagem"/>
        <s v="Insumos"/>
        <s v="Internação"/>
        <s v="Laboratório"/>
        <s v="Procedimentos Clinica"/>
        <s v="Procedimentos Internação"/>
        <s v="Vacinas"/>
      </sharedItems>
    </cacheField>
    <cacheField name="[Calendar].[Year].[Year]" caption="Year" numFmtId="0" hierarchy="2" level="1">
      <sharedItems containsSemiMixedTypes="0" containsString="0" containsNumber="1" containsInteger="1" minValue="2021" maxValue="2022" count="2">
        <n v="2021"/>
        <n v="2022"/>
      </sharedItems>
      <extLst>
        <ext xmlns:x15="http://schemas.microsoft.com/office/spreadsheetml/2010/11/main" uri="{4F2E5C28-24EA-4eb8-9CBF-B6C8F9C3D259}">
          <x15:cachedUniqueNames>
            <x15:cachedUniqueName index="0" name="[Calendar].[Year].&amp;[2021]"/>
            <x15:cachedUniqueName index="1" name="[Calendar].[Year].&amp;[2022]"/>
          </x15:cachedUniqueNames>
        </ext>
      </extLst>
    </cacheField>
    <cacheField name="[Calendar].[Month].[Month]" caption="Month" numFmtId="0" hierarchy="4" level="1">
      <sharedItems containsNonDate="0" count="4">
        <s v="janeiro"/>
        <s v="fevereiro"/>
        <s v="março"/>
        <s v="abril"/>
      </sharedItems>
    </cacheField>
  </cacheFields>
  <cacheHierarchies count="66"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0" unbalanced="0"/>
    <cacheHierarchy uniqueName="[Calendar].[Year]" caption="Year" attribute="1" time="1" defaultMemberUniqueName="[Calendar].[Year].[All]" allUniqueName="[Calendar].[Year].[All]" dimensionUniqueName="[Calendar]" displayFolder="" count="2" memberValueDatatype="20" unbalanced="0">
      <fieldsUsage count="2">
        <fieldUsage x="-1"/>
        <fieldUsage x="3"/>
      </fieldsUsage>
    </cacheHierarchy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2" memberValueDatatype="130" unbalanced="0">
      <fieldsUsage count="2">
        <fieldUsage x="-1"/>
        <fieldUsage x="4"/>
      </fieldsUsage>
    </cacheHierarchy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Pilar].[Grupo]" caption="Grupo" attribute="1" defaultMemberUniqueName="[Pilar].[Grupo].[All]" allUniqueName="[Pilar].[Grupo].[All]" dimensionUniqueName="[Pilar]" displayFolder="" count="0" memberValueDatatype="130" unbalanced="0"/>
    <cacheHierarchy uniqueName="[Pilar].[Pilar]" caption="Pilar" attribute="1" defaultMemberUniqueName="[Pilar].[Pilar].[All]" allUniqueName="[Pilar].[Pilar].[All]" dimensionUniqueName="[Pilar]" displayFolder="" count="0" memberValueDatatype="130" unbalanced="0"/>
    <cacheHierarchy uniqueName="[Pilar].[Column3]" caption="Column3" attribute="1" defaultMemberUniqueName="[Pilar].[Column3].[All]" allUniqueName="[Pilar].[Column3].[All]" dimensionUniqueName="[Pilar]" displayFolder="" count="0" memberValueDatatype="130" unbalanced="0"/>
    <cacheHierarchy uniqueName="[Pilar].[Column4]" caption="Column4" attribute="1" defaultMemberUniqueName="[Pilar].[Column4].[All]" allUniqueName="[Pilar].[Column4].[All]" dimensionUniqueName="[Pilar]" displayFolder="" count="0" memberValueDatatype="130" unbalanced="0"/>
    <cacheHierarchy uniqueName="[Pilar].[Column5]" caption="Column5" attribute="1" defaultMemberUniqueName="[Pilar].[Column5].[All]" allUniqueName="[Pilar].[Column5].[All]" dimensionUniqueName="[Pilar]" displayFolder="" count="0" memberValueDatatype="130" unbalanced="0"/>
    <cacheHierarchy uniqueName="[Reagrupa].[PRODUTOS/SERVIÇO]" caption="PRODUTOS/SERVIÇO" attribute="1" defaultMemberUniqueName="[Reagrupa].[PRODUTOS/SERVIÇO].[All]" allUniqueName="[Reagrupa].[PRODUTOS/SERVIÇO].[All]" dimensionUniqueName="[Reagrupa]" displayFolder="" count="0" memberValueDatatype="130" unbalanced="0"/>
    <cacheHierarchy uniqueName="[Reagrupa].[GRUPO]" caption="GRUPO" attribute="1" defaultMemberUniqueName="[Reagrupa].[GRUPO].[All]" allUniqueName="[Reagrupa].[GRUPO].[All]" dimensionUniqueName="[Reagrupa]" displayFolder="" count="2" memberValueDatatype="130" unbalanced="0">
      <fieldsUsage count="2">
        <fieldUsage x="-1"/>
        <fieldUsage x="2"/>
      </fieldsUsage>
    </cacheHierarchy>
    <cacheHierarchy uniqueName="[Vendas].[Nome da Origem]" caption="Nome da Origem" attribute="1" defaultMemberUniqueName="[Vendas].[Nome da Origem].[All]" allUniqueName="[Vendas].[Nome da Origem].[All]" dimensionUniqueName="[Vendas]" displayFolder="" count="0" memberValueDatatype="130" unbalanced="0"/>
    <cacheHierarchy uniqueName="[Vendas].[Data e hora]" caption="Data e hora" attribute="1" time="1" defaultMemberUniqueName="[Vendas].[Data e hora].[All]" allUniqueName="[Vendas].[Data e hora].[All]" dimensionUniqueName="[Vendas]" displayFolder="" count="0" memberValueDatatype="7" unbalanced="0"/>
    <cacheHierarchy uniqueName="[Vendas].[Venda]" caption="Venda" attribute="1" defaultMemberUniqueName="[Vendas].[Venda].[All]" allUniqueName="[Vendas].[Venda].[All]" dimensionUniqueName="[Vendas]" displayFolder="" count="0" memberValueDatatype="130" unbalanced="0"/>
    <cacheHierarchy uniqueName="[Vendas].[Status da venda]" caption="Status da venda" attribute="1" defaultMemberUniqueName="[Vendas].[Status da venda].[All]" allUniqueName="[Vendas].[Status da venda].[All]" dimensionUniqueName="[Vendas]" displayFolder="" count="0" memberValueDatatype="130" unbalanced="0"/>
    <cacheHierarchy uniqueName="[Vendas].[Data baixa]" caption="Data baixa" attribute="1" defaultMemberUniqueName="[Vendas].[Data baixa].[All]" allUniqueName="[Vendas].[Data baixa].[All]" dimensionUniqueName="[Vendas]" displayFolder="" count="0" memberValueDatatype="130" unbalanced="0"/>
    <cacheHierarchy uniqueName="[Vendas].[Forma pagamento]" caption="Forma pagamento" attribute="1" defaultMemberUniqueName="[Vendas].[Forma pagamento].[All]" allUniqueName="[Vendas].[Forma pagamento].[All]" dimensionUniqueName="[Vendas]" displayFolder="" count="0" memberValueDatatype="130" unbalanced="0"/>
    <cacheHierarchy uniqueName="[Vendas].[Funcionário]" caption="Funcionário" attribute="1" defaultMemberUniqueName="[Vendas].[Funcionário].[All]" allUniqueName="[Vendas].[Funcionário].[All]" dimensionUniqueName="[Vendas]" displayFolder="" count="0" memberValueDatatype="130" unbalanced="0"/>
    <cacheHierarchy uniqueName="[Vendas].[Cliente]" caption="Cliente" attribute="1" defaultMemberUniqueName="[Vendas].[Cliente].[All]" allUniqueName="[Vendas].[Cliente].[All]" dimensionUniqueName="[Vendas]" displayFolder="" count="0" memberValueDatatype="130" unbalanced="0"/>
    <cacheHierarchy uniqueName="[Vendas].[Código]" caption="Código" attribute="1" defaultMemberUniqueName="[Vendas].[Código].[All]" allUniqueName="[Vendas].[Código].[All]" dimensionUniqueName="[Vendas]" displayFolder="" count="0" memberValueDatatype="130" unbalanced="0"/>
    <cacheHierarchy uniqueName="[Vendas].[CPF]" caption="CPF" attribute="1" defaultMemberUniqueName="[Vendas].[CPF].[All]" allUniqueName="[Vendas].[CPF].[All]" dimensionUniqueName="[Vendas]" displayFolder="" count="0" memberValueDatatype="130" unbalanced="0"/>
    <cacheHierarchy uniqueName="[Vendas].[Sexo]" caption="Sexo" attribute="1" defaultMemberUniqueName="[Vendas].[Sexo].[All]" allUniqueName="[Vendas].[Sexo].[All]" dimensionUniqueName="[Vendas]" displayFolder="" count="0" memberValueDatatype="130" unbalanced="0"/>
    <cacheHierarchy uniqueName="[Vendas].[CEP]" caption="CEP" attribute="1" defaultMemberUniqueName="[Vendas].[CEP].[All]" allUniqueName="[Vendas].[CEP].[All]" dimensionUniqueName="[Vendas]" displayFolder="" count="0" memberValueDatatype="130" unbalanced="0"/>
    <cacheHierarchy uniqueName="[Vendas].[Endereço]" caption="Endereço" attribute="1" defaultMemberUniqueName="[Vendas].[Endereço].[All]" allUniqueName="[Vendas].[Endereço].[All]" dimensionUniqueName="[Vendas]" displayFolder="" count="0" memberValueDatatype="130" unbalanced="0"/>
    <cacheHierarchy uniqueName="[Vendas].[Número]" caption="Número" attribute="1" defaultMemberUniqueName="[Vendas].[Número].[All]" allUniqueName="[Vendas].[Número].[All]" dimensionUniqueName="[Vendas]" displayFolder="" count="0" memberValueDatatype="130" unbalanced="0"/>
    <cacheHierarchy uniqueName="[Vendas].[Bairro]" caption="Bairro" attribute="1" defaultMemberUniqueName="[Vendas].[Bairro].[All]" allUniqueName="[Vendas].[Bairro].[All]" dimensionUniqueName="[Vendas]" displayFolder="" count="0" memberValueDatatype="130" unbalanced="0"/>
    <cacheHierarchy uniqueName="[Vendas].[Email]" caption="Email" attribute="1" defaultMemberUniqueName="[Vendas].[Email].[All]" allUniqueName="[Vendas].[Email].[All]" dimensionUniqueName="[Vendas]" displayFolder="" count="0" memberValueDatatype="130" unbalanced="0"/>
    <cacheHierarchy uniqueName="[Vendas].[Celular]" caption="Celular" attribute="1" defaultMemberUniqueName="[Vendas].[Celular].[All]" allUniqueName="[Vendas].[Celular].[All]" dimensionUniqueName="[Vendas]" displayFolder="" count="0" memberValueDatatype="130" unbalanced="0"/>
    <cacheHierarchy uniqueName="[Vendas].[Animal]" caption="Animal" attribute="1" defaultMemberUniqueName="[Vendas].[Animal].[All]" allUniqueName="[Vendas].[Animal].[All]" dimensionUniqueName="[Vendas]" displayFolder="" count="0" memberValueDatatype="130" unbalanced="0"/>
    <cacheHierarchy uniqueName="[Vendas].[Espécie]" caption="Espécie" attribute="1" defaultMemberUniqueName="[Vendas].[Espécie].[All]" allUniqueName="[Vendas].[Espécie].[All]" dimensionUniqueName="[Vendas]" displayFolder="" count="0" memberValueDatatype="130" unbalanced="0"/>
    <cacheHierarchy uniqueName="[Vendas].[Sexo_1]" caption="Sexo_1" attribute="1" defaultMemberUniqueName="[Vendas].[Sexo_1].[All]" allUniqueName="[Vendas].[Sexo_1].[All]" dimensionUniqueName="[Vendas]" displayFolder="" count="0" memberValueDatatype="130" unbalanced="0"/>
    <cacheHierarchy uniqueName="[Vendas].[Raça]" caption="Raça" attribute="1" defaultMemberUniqueName="[Vendas].[Raça].[All]" allUniqueName="[Vendas].[Raça].[All]" dimensionUniqueName="[Vendas]" displayFolder="" count="0" memberValueDatatype="130" unbalanced="0"/>
    <cacheHierarchy uniqueName="[Vendas].[Tipo do Item]" caption="Tipo do Item" attribute="1" defaultMemberUniqueName="[Vendas].[Tipo do Item].[All]" allUniqueName="[Vendas].[Tipo do Item].[All]" dimensionUniqueName="[Vendas]" displayFolder="" count="0" memberValueDatatype="130" unbalanced="0"/>
    <cacheHierarchy uniqueName="[Vendas].[Grupo]" caption="Grupo" attribute="1" defaultMemberUniqueName="[Vendas].[Grupo].[All]" allUniqueName="[Vendas].[Grupo].[All]" dimensionUniqueName="[Vendas]" displayFolder="" count="0" memberValueDatatype="130" unbalanced="0"/>
    <cacheHierarchy uniqueName="[Vendas].[Produto/serviço]" caption="Produto/serviço" attribute="1" defaultMemberUniqueName="[Vendas].[Produto/serviço].[All]" allUniqueName="[Vendas].[Produto/serviço].[All]" dimensionUniqueName="[Vendas]" displayFolder="" count="2" memberValueDatatype="130" unbalanced="0">
      <fieldsUsage count="2">
        <fieldUsage x="-1"/>
        <fieldUsage x="1"/>
      </fieldsUsage>
    </cacheHierarchy>
    <cacheHierarchy uniqueName="[Vendas].[Valor Unitário]" caption="Valor Unitário" attribute="1" defaultMemberUniqueName="[Vendas].[Valor Unitário].[All]" allUniqueName="[Vendas].[Valor Unitário].[All]" dimensionUniqueName="[Vendas]" displayFolder="" count="0" memberValueDatatype="130" unbalanced="0"/>
    <cacheHierarchy uniqueName="[Vendas].[Quantidade]" caption="Quantidade" attribute="1" defaultMemberUniqueName="[Vendas].[Quantidade].[All]" allUniqueName="[Vendas].[Quantidade].[All]" dimensionUniqueName="[Vendas]" displayFolder="" count="0" memberValueDatatype="20" unbalanced="0"/>
    <cacheHierarchy uniqueName="[Vendas].[Bruto]" caption="Bruto" attribute="1" defaultMemberUniqueName="[Vendas].[Bruto].[All]" allUniqueName="[Vendas].[Bruto].[All]" dimensionUniqueName="[Vendas]" displayFolder="" count="0" memberValueDatatype="5" unbalanced="0"/>
    <cacheHierarchy uniqueName="[Vendas].[Desconto]" caption="Desconto" attribute="1" defaultMemberUniqueName="[Vendas].[Desconto].[All]" allUniqueName="[Vendas].[Desconto].[All]" dimensionUniqueName="[Vendas]" displayFolder="" count="0" memberValueDatatype="5" unbalanced="0"/>
    <cacheHierarchy uniqueName="[Vendas].[Líquido]" caption="Líquido" attribute="1" defaultMemberUniqueName="[Vendas].[Líquido].[All]" allUniqueName="[Vendas].[Líquido].[All]" dimensionUniqueName="[Vendas]" displayFolder="" count="0" memberValueDatatype="5" unbalanced="0"/>
    <cacheHierarchy uniqueName="[Vendas].[Column1]" caption="Column1" attribute="1" defaultMemberUniqueName="[Vendas].[Column1].[All]" allUniqueName="[Vendas].[Column1].[All]" dimensionUniqueName="[Vendas]" displayFolder="" count="0" memberValueDatatype="130" unbalanced="0"/>
    <cacheHierarchy uniqueName="[Measures].[Contagem de Pilar]" caption="Contagem de Pilar" measure="1" displayFolder="" measureGroup="Pilar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Total Quanditade]" caption="Total Quanditade" measure="1" displayFolder="" measureGroup="Vendas" count="0"/>
    <cacheHierarchy uniqueName="[Measures].[QTD de Clientes]" caption="QTD de Clientes" measure="1" displayFolder="" measureGroup="Vendas" count="0"/>
    <cacheHierarchy uniqueName="[Measures].[QTD de Vendas]" caption="QTD de Vendas" measure="1" displayFolder="" measureGroup="Vendas" count="0"/>
    <cacheHierarchy uniqueName="[Measures].[Total Bruto]" caption="Total Bruto" measure="1" displayFolder="" measureGroup="Vendas" count="0" oneField="1">
      <fieldsUsage count="1">
        <fieldUsage x="0"/>
      </fieldsUsage>
    </cacheHierarchy>
    <cacheHierarchy uniqueName="[Measures].[Ticket Médio]" caption="Ticket Médio" measure="1" displayFolder="" measureGroup="Vendas" count="0"/>
    <cacheHierarchy uniqueName="[Measures].[Preço Médio]" caption="Preço Médio" measure="1" displayFolder="" measureGroup="Vendas" count="0"/>
    <cacheHierarchy uniqueName="[Measures].[Fat. Méd. Clientes]" caption="Fat. Méd. Clientes" measure="1" displayFolder="" measureGroup="Vendas" count="0"/>
    <cacheHierarchy uniqueName="[Measures].[Consulta]" caption="Consulta" measure="1" displayFolder="" measureGroup="Vendas" count="0"/>
    <cacheHierarchy uniqueName="[Measures].[Exames]" caption="Exames" measure="1" displayFolder="" measureGroup="Vendas" count="0"/>
    <cacheHierarchy uniqueName="[Measures].[Internação]" caption="Internação" measure="1" displayFolder="" measureGroup="Vendas" count="0"/>
    <cacheHierarchy uniqueName="[Measures].[Cirurgia]" caption="Cirurgia" measure="1" displayFolder="" measureGroup="Vendas" count="0"/>
    <cacheHierarchy uniqueName="[Measures].[Consultas/Internação]" caption="Consultas/Internação" measure="1" displayFolder="" measureGroup="Vendas" count="0"/>
    <cacheHierarchy uniqueName="[Measures].[Consultas/Cirurgias]" caption="Consultas/Cirurgias" measure="1" displayFolder="" measureGroup="Vendas" count="0"/>
    <cacheHierarchy uniqueName="[Measures].[Consultas/Exames]" caption="Consultas/Exames" measure="1" displayFolder="" measureGroup="Vendas" count="0"/>
    <cacheHierarchy uniqueName="[Measures].[Quant_Animais]" caption="Quant_Animais" measure="1" displayFolder="" measureGroup="Vendas" count="0"/>
    <cacheHierarchy uniqueName="[Measures].[__XL_Count Vendas]" caption="__XL_Count Vendas" measure="1" displayFolder="" measureGroup="Vendas" count="0" hidden="1"/>
    <cacheHierarchy uniqueName="[Measures].[__XL_Count Reagrupa]" caption="__XL_Count Reagrupa" measure="1" displayFolder="" measureGroup="Reagrupa" count="0" hidden="1"/>
    <cacheHierarchy uniqueName="[Measures].[__XL_Count Calendar]" caption="__XL_Count Calendar" measure="1" displayFolder="" measureGroup="Calendar" count="0" hidden="1"/>
    <cacheHierarchy uniqueName="[Measures].[__XL_Count Pilar]" caption="__XL_Count Pilar" measure="1" displayFolder="" measureGroup="Pilar" count="0" hidden="1"/>
    <cacheHierarchy uniqueName="[Measures].[__No measures defined]" caption="__No measures defined" measure="1" displayFolder="" count="0" hidden="1"/>
  </cacheHierarchies>
  <kpis count="0"/>
  <dimensions count="5">
    <dimension name="Calendar" uniqueName="[Calendar]" caption="Calendar"/>
    <dimension measure="1" name="Measures" uniqueName="[Measures]" caption="Measures"/>
    <dimension name="Pilar" uniqueName="[Pilar]" caption="Pilar"/>
    <dimension name="Reagrupa" uniqueName="[Reagrupa]" caption="Reagrupa"/>
    <dimension name="Vendas" uniqueName="[Vendas]" caption="Vendas"/>
  </dimensions>
  <measureGroups count="4">
    <measureGroup name="Calendar" caption="Calendar"/>
    <measureGroup name="Pilar" caption="Pilar"/>
    <measureGroup name="Reagrupa" caption="Reagrupa"/>
    <measureGroup name="Vendas" caption="Vendas"/>
  </measureGroups>
  <maps count="8">
    <map measureGroup="0" dimension="0"/>
    <map measureGroup="1" dimension="2"/>
    <map measureGroup="2" dimension="2"/>
    <map measureGroup="2" dimension="3"/>
    <map measureGroup="3" dimension="0"/>
    <map measureGroup="3" dimension="2"/>
    <map measureGroup="3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elo Silveira" refreshedDate="44722.335576967591" backgroundQuery="1" createdVersion="7" refreshedVersion="8" minRefreshableVersion="3" recordCount="0" supportSubquery="1" supportAdvancedDrill="1" xr:uid="{23D97443-1E86-42BA-8A12-48828B8D0864}">
  <cacheSource type="external" connectionId="14"/>
  <cacheFields count="9">
    <cacheField name="[Reagrupa].[GRUPO].[GRUPO]" caption="GRUPO" numFmtId="0" hierarchy="14" level="1">
      <sharedItems count="15">
        <s v="Alimentos"/>
        <s v="Anestesias"/>
        <s v="Cirurgias"/>
        <s v="Consultas"/>
        <s v="Doação"/>
        <s v="Emergencia"/>
        <s v="Especialidades"/>
        <s v="Farmácia"/>
        <s v="Imagem"/>
        <s v="Insumos"/>
        <s v="Internação"/>
        <s v="Laboratório"/>
        <s v="Procedimentos Clinica"/>
        <s v="Procedimentos Internação"/>
        <s v="Vacinas"/>
      </sharedItems>
    </cacheField>
    <cacheField name="[Calendar].[Year].[Year]" caption="Year" numFmtId="0" hierarchy="2" level="1">
      <sharedItems containsSemiMixedTypes="0" containsString="0" containsNumber="1" containsInteger="1" minValue="2022" maxValue="2022" count="1">
        <n v="2022"/>
      </sharedItems>
      <extLst>
        <ext xmlns:x15="http://schemas.microsoft.com/office/spreadsheetml/2010/11/main" uri="{4F2E5C28-24EA-4eb8-9CBF-B6C8F9C3D259}">
          <x15:cachedUniqueNames>
            <x15:cachedUniqueName index="0" name="[Calendar].[Year].&amp;[2022]"/>
          </x15:cachedUniqueNames>
        </ext>
      </extLst>
    </cacheField>
    <cacheField name="[Calendar].[Month].[Month]" caption="Month" numFmtId="0" hierarchy="4" level="1">
      <sharedItems count="1">
        <s v="maio"/>
      </sharedItems>
    </cacheField>
    <cacheField name="[Measures].[Total Bruto]" caption="Total Bruto" numFmtId="0" hierarchy="49" level="32767"/>
    <cacheField name="[Measures].[Total Quanditade]" caption="Total Quanditade" numFmtId="0" hierarchy="46" level="32767"/>
    <cacheField name="[Measures].[Preço Médio]" caption="Preço Médio" numFmtId="0" hierarchy="51" level="32767"/>
    <cacheField name="[Calendar].[Date Hierarchy].[Year]" caption="Year" numFmtId="0" hierarchy="1" level="1">
      <sharedItems containsSemiMixedTypes="0" containsNonDate="0" containsString="0"/>
    </cacheField>
    <cacheField name="[Calendar].[Date Hierarchy].[Month]" caption="Month" numFmtId="0" hierarchy="1" level="2">
      <sharedItems containsSemiMixedTypes="0" containsNonDate="0" containsString="0"/>
    </cacheField>
    <cacheField name="[Calendar].[Date Hierarchy].[DateColumn]" caption="DateColumn" numFmtId="0" hierarchy="1" level="3">
      <sharedItems containsSemiMixedTypes="0" containsNonDate="0" containsString="0"/>
    </cacheField>
  </cacheFields>
  <cacheHierarchies count="66"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4" unbalanced="0">
      <fieldsUsage count="4">
        <fieldUsage x="-1"/>
        <fieldUsage x="6"/>
        <fieldUsage x="7"/>
        <fieldUsage x="8"/>
      </fieldsUsage>
    </cacheHierarchy>
    <cacheHierarchy uniqueName="[Calendar].[Year]" caption="Year" attribute="1" time="1" defaultMemberUniqueName="[Calendar].[Year].[All]" allUniqueName="[Calendar].[Year].[All]" dimensionUniqueName="[Calendar]" displayFolder="" count="2" memberValueDatatype="20" unbalanced="0">
      <fieldsUsage count="2">
        <fieldUsage x="-1"/>
        <fieldUsage x="1"/>
      </fieldsUsage>
    </cacheHierarchy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2" memberValueDatatype="130" unbalanced="0">
      <fieldsUsage count="2">
        <fieldUsage x="-1"/>
        <fieldUsage x="2"/>
      </fieldsUsage>
    </cacheHierarchy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Pilar].[Grupo]" caption="Grupo" attribute="1" defaultMemberUniqueName="[Pilar].[Grupo].[All]" allUniqueName="[Pilar].[Grupo].[All]" dimensionUniqueName="[Pilar]" displayFolder="" count="0" memberValueDatatype="130" unbalanced="0"/>
    <cacheHierarchy uniqueName="[Pilar].[Pilar]" caption="Pilar" attribute="1" defaultMemberUniqueName="[Pilar].[Pilar].[All]" allUniqueName="[Pilar].[Pilar].[All]" dimensionUniqueName="[Pilar]" displayFolder="" count="0" memberValueDatatype="130" unbalanced="0"/>
    <cacheHierarchy uniqueName="[Pilar].[Column3]" caption="Column3" attribute="1" defaultMemberUniqueName="[Pilar].[Column3].[All]" allUniqueName="[Pilar].[Column3].[All]" dimensionUniqueName="[Pilar]" displayFolder="" count="0" memberValueDatatype="130" unbalanced="0"/>
    <cacheHierarchy uniqueName="[Pilar].[Column4]" caption="Column4" attribute="1" defaultMemberUniqueName="[Pilar].[Column4].[All]" allUniqueName="[Pilar].[Column4].[All]" dimensionUniqueName="[Pilar]" displayFolder="" count="0" memberValueDatatype="130" unbalanced="0"/>
    <cacheHierarchy uniqueName="[Pilar].[Column5]" caption="Column5" attribute="1" defaultMemberUniqueName="[Pilar].[Column5].[All]" allUniqueName="[Pilar].[Column5].[All]" dimensionUniqueName="[Pilar]" displayFolder="" count="0" memberValueDatatype="130" unbalanced="0"/>
    <cacheHierarchy uniqueName="[Reagrupa].[PRODUTOS/SERVIÇO]" caption="PRODUTOS/SERVIÇO" attribute="1" defaultMemberUniqueName="[Reagrupa].[PRODUTOS/SERVIÇO].[All]" allUniqueName="[Reagrupa].[PRODUTOS/SERVIÇO].[All]" dimensionUniqueName="[Reagrupa]" displayFolder="" count="0" memberValueDatatype="130" unbalanced="0"/>
    <cacheHierarchy uniqueName="[Reagrupa].[GRUPO]" caption="GRUPO" attribute="1" defaultMemberUniqueName="[Reagrupa].[GRUPO].[All]" allUniqueName="[Reagrupa].[GRUPO].[All]" dimensionUniqueName="[Reagrupa]" displayFolder="" count="2" memberValueDatatype="130" unbalanced="0">
      <fieldsUsage count="2">
        <fieldUsage x="-1"/>
        <fieldUsage x="0"/>
      </fieldsUsage>
    </cacheHierarchy>
    <cacheHierarchy uniqueName="[Vendas].[Nome da Origem]" caption="Nome da Origem" attribute="1" defaultMemberUniqueName="[Vendas].[Nome da Origem].[All]" allUniqueName="[Vendas].[Nome da Origem].[All]" dimensionUniqueName="[Vendas]" displayFolder="" count="0" memberValueDatatype="130" unbalanced="0"/>
    <cacheHierarchy uniqueName="[Vendas].[Data e hora]" caption="Data e hora" attribute="1" time="1" defaultMemberUniqueName="[Vendas].[Data e hora].[All]" allUniqueName="[Vendas].[Data e hora].[All]" dimensionUniqueName="[Vendas]" displayFolder="" count="0" memberValueDatatype="7" unbalanced="0"/>
    <cacheHierarchy uniqueName="[Vendas].[Venda]" caption="Venda" attribute="1" defaultMemberUniqueName="[Vendas].[Venda].[All]" allUniqueName="[Vendas].[Venda].[All]" dimensionUniqueName="[Vendas]" displayFolder="" count="0" memberValueDatatype="130" unbalanced="0"/>
    <cacheHierarchy uniqueName="[Vendas].[Status da venda]" caption="Status da venda" attribute="1" defaultMemberUniqueName="[Vendas].[Status da venda].[All]" allUniqueName="[Vendas].[Status da venda].[All]" dimensionUniqueName="[Vendas]" displayFolder="" count="0" memberValueDatatype="130" unbalanced="0"/>
    <cacheHierarchy uniqueName="[Vendas].[Data baixa]" caption="Data baixa" attribute="1" defaultMemberUniqueName="[Vendas].[Data baixa].[All]" allUniqueName="[Vendas].[Data baixa].[All]" dimensionUniqueName="[Vendas]" displayFolder="" count="0" memberValueDatatype="130" unbalanced="0"/>
    <cacheHierarchy uniqueName="[Vendas].[Forma pagamento]" caption="Forma pagamento" attribute="1" defaultMemberUniqueName="[Vendas].[Forma pagamento].[All]" allUniqueName="[Vendas].[Forma pagamento].[All]" dimensionUniqueName="[Vendas]" displayFolder="" count="0" memberValueDatatype="130" unbalanced="0"/>
    <cacheHierarchy uniqueName="[Vendas].[Funcionário]" caption="Funcionário" attribute="1" defaultMemberUniqueName="[Vendas].[Funcionário].[All]" allUniqueName="[Vendas].[Funcionário].[All]" dimensionUniqueName="[Vendas]" displayFolder="" count="0" memberValueDatatype="130" unbalanced="0"/>
    <cacheHierarchy uniqueName="[Vendas].[Cliente]" caption="Cliente" attribute="1" defaultMemberUniqueName="[Vendas].[Cliente].[All]" allUniqueName="[Vendas].[Cliente].[All]" dimensionUniqueName="[Vendas]" displayFolder="" count="0" memberValueDatatype="130" unbalanced="0"/>
    <cacheHierarchy uniqueName="[Vendas].[Código]" caption="Código" attribute="1" defaultMemberUniqueName="[Vendas].[Código].[All]" allUniqueName="[Vendas].[Código].[All]" dimensionUniqueName="[Vendas]" displayFolder="" count="0" memberValueDatatype="130" unbalanced="0"/>
    <cacheHierarchy uniqueName="[Vendas].[CPF]" caption="CPF" attribute="1" defaultMemberUniqueName="[Vendas].[CPF].[All]" allUniqueName="[Vendas].[CPF].[All]" dimensionUniqueName="[Vendas]" displayFolder="" count="0" memberValueDatatype="130" unbalanced="0"/>
    <cacheHierarchy uniqueName="[Vendas].[Sexo]" caption="Sexo" attribute="1" defaultMemberUniqueName="[Vendas].[Sexo].[All]" allUniqueName="[Vendas].[Sexo].[All]" dimensionUniqueName="[Vendas]" displayFolder="" count="0" memberValueDatatype="130" unbalanced="0"/>
    <cacheHierarchy uniqueName="[Vendas].[CEP]" caption="CEP" attribute="1" defaultMemberUniqueName="[Vendas].[CEP].[All]" allUniqueName="[Vendas].[CEP].[All]" dimensionUniqueName="[Vendas]" displayFolder="" count="0" memberValueDatatype="130" unbalanced="0"/>
    <cacheHierarchy uniqueName="[Vendas].[Endereço]" caption="Endereço" attribute="1" defaultMemberUniqueName="[Vendas].[Endereço].[All]" allUniqueName="[Vendas].[Endereço].[All]" dimensionUniqueName="[Vendas]" displayFolder="" count="0" memberValueDatatype="130" unbalanced="0"/>
    <cacheHierarchy uniqueName="[Vendas].[Número]" caption="Número" attribute="1" defaultMemberUniqueName="[Vendas].[Número].[All]" allUniqueName="[Vendas].[Número].[All]" dimensionUniqueName="[Vendas]" displayFolder="" count="0" memberValueDatatype="130" unbalanced="0"/>
    <cacheHierarchy uniqueName="[Vendas].[Bairro]" caption="Bairro" attribute="1" defaultMemberUniqueName="[Vendas].[Bairro].[All]" allUniqueName="[Vendas].[Bairro].[All]" dimensionUniqueName="[Vendas]" displayFolder="" count="0" memberValueDatatype="130" unbalanced="0"/>
    <cacheHierarchy uniqueName="[Vendas].[Email]" caption="Email" attribute="1" defaultMemberUniqueName="[Vendas].[Email].[All]" allUniqueName="[Vendas].[Email].[All]" dimensionUniqueName="[Vendas]" displayFolder="" count="0" memberValueDatatype="130" unbalanced="0"/>
    <cacheHierarchy uniqueName="[Vendas].[Celular]" caption="Celular" attribute="1" defaultMemberUniqueName="[Vendas].[Celular].[All]" allUniqueName="[Vendas].[Celular].[All]" dimensionUniqueName="[Vendas]" displayFolder="" count="0" memberValueDatatype="130" unbalanced="0"/>
    <cacheHierarchy uniqueName="[Vendas].[Animal]" caption="Animal" attribute="1" defaultMemberUniqueName="[Vendas].[Animal].[All]" allUniqueName="[Vendas].[Animal].[All]" dimensionUniqueName="[Vendas]" displayFolder="" count="0" memberValueDatatype="130" unbalanced="0"/>
    <cacheHierarchy uniqueName="[Vendas].[Espécie]" caption="Espécie" attribute="1" defaultMemberUniqueName="[Vendas].[Espécie].[All]" allUniqueName="[Vendas].[Espécie].[All]" dimensionUniqueName="[Vendas]" displayFolder="" count="0" memberValueDatatype="130" unbalanced="0"/>
    <cacheHierarchy uniqueName="[Vendas].[Sexo_1]" caption="Sexo_1" attribute="1" defaultMemberUniqueName="[Vendas].[Sexo_1].[All]" allUniqueName="[Vendas].[Sexo_1].[All]" dimensionUniqueName="[Vendas]" displayFolder="" count="0" memberValueDatatype="130" unbalanced="0"/>
    <cacheHierarchy uniqueName="[Vendas].[Raça]" caption="Raça" attribute="1" defaultMemberUniqueName="[Vendas].[Raça].[All]" allUniqueName="[Vendas].[Raça].[All]" dimensionUniqueName="[Vendas]" displayFolder="" count="0" memberValueDatatype="130" unbalanced="0"/>
    <cacheHierarchy uniqueName="[Vendas].[Tipo do Item]" caption="Tipo do Item" attribute="1" defaultMemberUniqueName="[Vendas].[Tipo do Item].[All]" allUniqueName="[Vendas].[Tipo do Item].[All]" dimensionUniqueName="[Vendas]" displayFolder="" count="0" memberValueDatatype="130" unbalanced="0"/>
    <cacheHierarchy uniqueName="[Vendas].[Grupo]" caption="Grupo" attribute="1" defaultMemberUniqueName="[Vendas].[Grupo].[All]" allUniqueName="[Vendas].[Grupo].[All]" dimensionUniqueName="[Vendas]" displayFolder="" count="0" memberValueDatatype="130" unbalanced="0"/>
    <cacheHierarchy uniqueName="[Vendas].[Produto/serviço]" caption="Produto/serviço" attribute="1" defaultMemberUniqueName="[Vendas].[Produto/serviço].[All]" allUniqueName="[Vendas].[Produto/serviço].[All]" dimensionUniqueName="[Vendas]" displayFolder="" count="0" memberValueDatatype="130" unbalanced="0"/>
    <cacheHierarchy uniqueName="[Vendas].[Valor Unitário]" caption="Valor Unitário" attribute="1" defaultMemberUniqueName="[Vendas].[Valor Unitário].[All]" allUniqueName="[Vendas].[Valor Unitário].[All]" dimensionUniqueName="[Vendas]" displayFolder="" count="0" memberValueDatatype="130" unbalanced="0"/>
    <cacheHierarchy uniqueName="[Vendas].[Quantidade]" caption="Quantidade" attribute="1" defaultMemberUniqueName="[Vendas].[Quantidade].[All]" allUniqueName="[Vendas].[Quantidade].[All]" dimensionUniqueName="[Vendas]" displayFolder="" count="0" memberValueDatatype="20" unbalanced="0"/>
    <cacheHierarchy uniqueName="[Vendas].[Bruto]" caption="Bruto" attribute="1" defaultMemberUniqueName="[Vendas].[Bruto].[All]" allUniqueName="[Vendas].[Bruto].[All]" dimensionUniqueName="[Vendas]" displayFolder="" count="0" memberValueDatatype="5" unbalanced="0"/>
    <cacheHierarchy uniqueName="[Vendas].[Desconto]" caption="Desconto" attribute="1" defaultMemberUniqueName="[Vendas].[Desconto].[All]" allUniqueName="[Vendas].[Desconto].[All]" dimensionUniqueName="[Vendas]" displayFolder="" count="0" memberValueDatatype="5" unbalanced="0"/>
    <cacheHierarchy uniqueName="[Vendas].[Líquido]" caption="Líquido" attribute="1" defaultMemberUniqueName="[Vendas].[Líquido].[All]" allUniqueName="[Vendas].[Líquido].[All]" dimensionUniqueName="[Vendas]" displayFolder="" count="0" memberValueDatatype="5" unbalanced="0"/>
    <cacheHierarchy uniqueName="[Vendas].[Column1]" caption="Column1" attribute="1" defaultMemberUniqueName="[Vendas].[Column1].[All]" allUniqueName="[Vendas].[Column1].[All]" dimensionUniqueName="[Vendas]" displayFolder="" count="0" memberValueDatatype="130" unbalanced="0"/>
    <cacheHierarchy uniqueName="[Measures].[Contagem de Pilar]" caption="Contagem de Pilar" measure="1" displayFolder="" measureGroup="Pilar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Total Quanditade]" caption="Total Quanditade" measure="1" displayFolder="" measureGroup="Vendas" count="0" oneField="1">
      <fieldsUsage count="1">
        <fieldUsage x="4"/>
      </fieldsUsage>
    </cacheHierarchy>
    <cacheHierarchy uniqueName="[Measures].[QTD de Clientes]" caption="QTD de Clientes" measure="1" displayFolder="" measureGroup="Vendas" count="0"/>
    <cacheHierarchy uniqueName="[Measures].[QTD de Vendas]" caption="QTD de Vendas" measure="1" displayFolder="" measureGroup="Vendas" count="0"/>
    <cacheHierarchy uniqueName="[Measures].[Total Bruto]" caption="Total Bruto" measure="1" displayFolder="" measureGroup="Vendas" count="0" oneField="1">
      <fieldsUsage count="1">
        <fieldUsage x="3"/>
      </fieldsUsage>
    </cacheHierarchy>
    <cacheHierarchy uniqueName="[Measures].[Ticket Médio]" caption="Ticket Médio" measure="1" displayFolder="" measureGroup="Vendas" count="0"/>
    <cacheHierarchy uniqueName="[Measures].[Preço Médio]" caption="Preço Médio" measure="1" displayFolder="" measureGroup="Vendas" count="0" oneField="1">
      <fieldsUsage count="1">
        <fieldUsage x="5"/>
      </fieldsUsage>
    </cacheHierarchy>
    <cacheHierarchy uniqueName="[Measures].[Fat. Méd. Clientes]" caption="Fat. Méd. Clientes" measure="1" displayFolder="" measureGroup="Vendas" count="0"/>
    <cacheHierarchy uniqueName="[Measures].[Consulta]" caption="Consulta" measure="1" displayFolder="" measureGroup="Vendas" count="0"/>
    <cacheHierarchy uniqueName="[Measures].[Exames]" caption="Exames" measure="1" displayFolder="" measureGroup="Vendas" count="0"/>
    <cacheHierarchy uniqueName="[Measures].[Internação]" caption="Internação" measure="1" displayFolder="" measureGroup="Vendas" count="0"/>
    <cacheHierarchy uniqueName="[Measures].[Cirurgia]" caption="Cirurgia" measure="1" displayFolder="" measureGroup="Vendas" count="0"/>
    <cacheHierarchy uniqueName="[Measures].[Consultas/Internação]" caption="Consultas/Internação" measure="1" displayFolder="" measureGroup="Vendas" count="0"/>
    <cacheHierarchy uniqueName="[Measures].[Consultas/Cirurgias]" caption="Consultas/Cirurgias" measure="1" displayFolder="" measureGroup="Vendas" count="0"/>
    <cacheHierarchy uniqueName="[Measures].[Consultas/Exames]" caption="Consultas/Exames" measure="1" displayFolder="" measureGroup="Vendas" count="0"/>
    <cacheHierarchy uniqueName="[Measures].[Quant_Animais]" caption="Quant_Animais" measure="1" displayFolder="" measureGroup="Vendas" count="0"/>
    <cacheHierarchy uniqueName="[Measures].[__XL_Count Vendas]" caption="__XL_Count Vendas" measure="1" displayFolder="" measureGroup="Vendas" count="0" hidden="1"/>
    <cacheHierarchy uniqueName="[Measures].[__XL_Count Reagrupa]" caption="__XL_Count Reagrupa" measure="1" displayFolder="" measureGroup="Reagrupa" count="0" hidden="1"/>
    <cacheHierarchy uniqueName="[Measures].[__XL_Count Calendar]" caption="__XL_Count Calendar" measure="1" displayFolder="" measureGroup="Calendar" count="0" hidden="1"/>
    <cacheHierarchy uniqueName="[Measures].[__XL_Count Pilar]" caption="__XL_Count Pilar" measure="1" displayFolder="" measureGroup="Pilar" count="0" hidden="1"/>
    <cacheHierarchy uniqueName="[Measures].[__No measures defined]" caption="__No measures defined" measure="1" displayFolder="" count="0" hidden="1"/>
  </cacheHierarchies>
  <kpis count="0"/>
  <dimensions count="5">
    <dimension name="Calendar" uniqueName="[Calendar]" caption="Calendar"/>
    <dimension measure="1" name="Measures" uniqueName="[Measures]" caption="Measures"/>
    <dimension name="Pilar" uniqueName="[Pilar]" caption="Pilar"/>
    <dimension name="Reagrupa" uniqueName="[Reagrupa]" caption="Reagrupa"/>
    <dimension name="Vendas" uniqueName="[Vendas]" caption="Vendas"/>
  </dimensions>
  <measureGroups count="4">
    <measureGroup name="Calendar" caption="Calendar"/>
    <measureGroup name="Pilar" caption="Pilar"/>
    <measureGroup name="Reagrupa" caption="Reagrupa"/>
    <measureGroup name="Vendas" caption="Vendas"/>
  </measureGroups>
  <maps count="8">
    <map measureGroup="0" dimension="0"/>
    <map measureGroup="1" dimension="2"/>
    <map measureGroup="2" dimension="2"/>
    <map measureGroup="2" dimension="3"/>
    <map measureGroup="3" dimension="0"/>
    <map measureGroup="3" dimension="2"/>
    <map measureGroup="3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elo Silveira" refreshedDate="44722.335578124999" backgroundQuery="1" createdVersion="7" refreshedVersion="8" minRefreshableVersion="3" recordCount="0" supportSubquery="1" supportAdvancedDrill="1" xr:uid="{857FA775-C05A-4EEF-B5A1-9E3357B96AA3}">
  <cacheSource type="external" connectionId="14"/>
  <cacheFields count="10">
    <cacheField name="[Calendar].[Year].[Year]" caption="Year" numFmtId="0" hierarchy="2" level="1">
      <sharedItems containsSemiMixedTypes="0" containsString="0" containsNumber="1" containsInteger="1" minValue="2022" maxValue="2022" count="1">
        <n v="2022"/>
      </sharedItems>
      <extLst>
        <ext xmlns:x15="http://schemas.microsoft.com/office/spreadsheetml/2010/11/main" uri="{4F2E5C28-24EA-4eb8-9CBF-B6C8F9C3D259}">
          <x15:cachedUniqueNames>
            <x15:cachedUniqueName index="0" name="[Calendar].[Year].&amp;[2022]"/>
          </x15:cachedUniqueNames>
        </ext>
      </extLst>
    </cacheField>
    <cacheField name="[Measures].[Ticket Médio]" caption="Ticket Médio" numFmtId="0" hierarchy="50" level="32767"/>
    <cacheField name="[Measures].[Preço Médio]" caption="Preço Médio" numFmtId="0" hierarchy="51" level="32767"/>
    <cacheField name="[Measures].[Fat. Méd. Clientes]" caption="Fat. Méd. Clientes" numFmtId="0" hierarchy="52" level="32767"/>
    <cacheField name="[Calendar].[Date Hierarchy].[Year]" caption="Year" numFmtId="0" hierarchy="1" level="1">
      <sharedItems containsSemiMixedTypes="0" containsNonDate="0" containsString="0"/>
    </cacheField>
    <cacheField name="[Calendar].[Date Hierarchy].[Month]" caption="Month" numFmtId="0" hierarchy="1" level="2">
      <sharedItems containsSemiMixedTypes="0" containsNonDate="0" containsString="0"/>
    </cacheField>
    <cacheField name="[Calendar].[Date Hierarchy].[DateColumn]" caption="DateColumn" numFmtId="0" hierarchy="1" level="3">
      <sharedItems containsSemiMixedTypes="0" containsNonDate="0" containsString="0"/>
    </cacheField>
    <cacheField name="[Pilar].[Pilar].[Pilar]" caption="Pilar" numFmtId="0" hierarchy="9" level="1">
      <sharedItems count="5">
        <s v="Cirurgia"/>
        <s v="Clínica"/>
        <s v="Exames"/>
        <s v="Insumos"/>
        <s v="Internação"/>
      </sharedItems>
    </cacheField>
    <cacheField name="[Calendar].[Month].[Month]" caption="Month" numFmtId="0" hierarchy="4" level="1">
      <sharedItems count="1">
        <s v="maio"/>
      </sharedItems>
    </cacheField>
    <cacheField name="[Measures].[Total Bruto]" caption="Total Bruto" numFmtId="0" hierarchy="49" level="32767"/>
  </cacheFields>
  <cacheHierarchies count="66"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4" unbalanced="0">
      <fieldsUsage count="4">
        <fieldUsage x="-1"/>
        <fieldUsage x="4"/>
        <fieldUsage x="5"/>
        <fieldUsage x="6"/>
      </fieldsUsage>
    </cacheHierarchy>
    <cacheHierarchy uniqueName="[Calendar].[Year]" caption="Year" attribute="1" time="1" defaultMemberUniqueName="[Calendar].[Year].[All]" allUniqueName="[Calendar].[Year].[All]" dimensionUniqueName="[Calendar]" displayFolder="" count="2" memberValueDatatype="20" unbalanced="0">
      <fieldsUsage count="2">
        <fieldUsage x="-1"/>
        <fieldUsage x="0"/>
      </fieldsUsage>
    </cacheHierarchy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2" memberValueDatatype="130" unbalanced="0">
      <fieldsUsage count="2">
        <fieldUsage x="-1"/>
        <fieldUsage x="8"/>
      </fieldsUsage>
    </cacheHierarchy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Pilar].[Grupo]" caption="Grupo" attribute="1" defaultMemberUniqueName="[Pilar].[Grupo].[All]" allUniqueName="[Pilar].[Grupo].[All]" dimensionUniqueName="[Pilar]" displayFolder="" count="0" memberValueDatatype="130" unbalanced="0"/>
    <cacheHierarchy uniqueName="[Pilar].[Pilar]" caption="Pilar" attribute="1" defaultMemberUniqueName="[Pilar].[Pilar].[All]" allUniqueName="[Pilar].[Pilar].[All]" dimensionUniqueName="[Pilar]" displayFolder="" count="2" memberValueDatatype="130" unbalanced="0">
      <fieldsUsage count="2">
        <fieldUsage x="-1"/>
        <fieldUsage x="7"/>
      </fieldsUsage>
    </cacheHierarchy>
    <cacheHierarchy uniqueName="[Pilar].[Column3]" caption="Column3" attribute="1" defaultMemberUniqueName="[Pilar].[Column3].[All]" allUniqueName="[Pilar].[Column3].[All]" dimensionUniqueName="[Pilar]" displayFolder="" count="0" memberValueDatatype="130" unbalanced="0"/>
    <cacheHierarchy uniqueName="[Pilar].[Column4]" caption="Column4" attribute="1" defaultMemberUniqueName="[Pilar].[Column4].[All]" allUniqueName="[Pilar].[Column4].[All]" dimensionUniqueName="[Pilar]" displayFolder="" count="0" memberValueDatatype="130" unbalanced="0"/>
    <cacheHierarchy uniqueName="[Pilar].[Column5]" caption="Column5" attribute="1" defaultMemberUniqueName="[Pilar].[Column5].[All]" allUniqueName="[Pilar].[Column5].[All]" dimensionUniqueName="[Pilar]" displayFolder="" count="0" memberValueDatatype="130" unbalanced="0"/>
    <cacheHierarchy uniqueName="[Reagrupa].[PRODUTOS/SERVIÇO]" caption="PRODUTOS/SERVIÇO" attribute="1" defaultMemberUniqueName="[Reagrupa].[PRODUTOS/SERVIÇO].[All]" allUniqueName="[Reagrupa].[PRODUTOS/SERVIÇO].[All]" dimensionUniqueName="[Reagrupa]" displayFolder="" count="0" memberValueDatatype="130" unbalanced="0"/>
    <cacheHierarchy uniqueName="[Reagrupa].[GRUPO]" caption="GRUPO" attribute="1" defaultMemberUniqueName="[Reagrupa].[GRUPO].[All]" allUniqueName="[Reagrupa].[GRUPO].[All]" dimensionUniqueName="[Reagrupa]" displayFolder="" count="0" memberValueDatatype="130" unbalanced="0"/>
    <cacheHierarchy uniqueName="[Vendas].[Nome da Origem]" caption="Nome da Origem" attribute="1" defaultMemberUniqueName="[Vendas].[Nome da Origem].[All]" allUniqueName="[Vendas].[Nome da Origem].[All]" dimensionUniqueName="[Vendas]" displayFolder="" count="0" memberValueDatatype="130" unbalanced="0"/>
    <cacheHierarchy uniqueName="[Vendas].[Data e hora]" caption="Data e hora" attribute="1" time="1" defaultMemberUniqueName="[Vendas].[Data e hora].[All]" allUniqueName="[Vendas].[Data e hora].[All]" dimensionUniqueName="[Vendas]" displayFolder="" count="0" memberValueDatatype="7" unbalanced="0"/>
    <cacheHierarchy uniqueName="[Vendas].[Venda]" caption="Venda" attribute="1" defaultMemberUniqueName="[Vendas].[Venda].[All]" allUniqueName="[Vendas].[Venda].[All]" dimensionUniqueName="[Vendas]" displayFolder="" count="0" memberValueDatatype="130" unbalanced="0"/>
    <cacheHierarchy uniqueName="[Vendas].[Status da venda]" caption="Status da venda" attribute="1" defaultMemberUniqueName="[Vendas].[Status da venda].[All]" allUniqueName="[Vendas].[Status da venda].[All]" dimensionUniqueName="[Vendas]" displayFolder="" count="0" memberValueDatatype="130" unbalanced="0"/>
    <cacheHierarchy uniqueName="[Vendas].[Data baixa]" caption="Data baixa" attribute="1" defaultMemberUniqueName="[Vendas].[Data baixa].[All]" allUniqueName="[Vendas].[Data baixa].[All]" dimensionUniqueName="[Vendas]" displayFolder="" count="0" memberValueDatatype="130" unbalanced="0"/>
    <cacheHierarchy uniqueName="[Vendas].[Forma pagamento]" caption="Forma pagamento" attribute="1" defaultMemberUniqueName="[Vendas].[Forma pagamento].[All]" allUniqueName="[Vendas].[Forma pagamento].[All]" dimensionUniqueName="[Vendas]" displayFolder="" count="0" memberValueDatatype="130" unbalanced="0"/>
    <cacheHierarchy uniqueName="[Vendas].[Funcionário]" caption="Funcionário" attribute="1" defaultMemberUniqueName="[Vendas].[Funcionário].[All]" allUniqueName="[Vendas].[Funcionário].[All]" dimensionUniqueName="[Vendas]" displayFolder="" count="0" memberValueDatatype="130" unbalanced="0"/>
    <cacheHierarchy uniqueName="[Vendas].[Cliente]" caption="Cliente" attribute="1" defaultMemberUniqueName="[Vendas].[Cliente].[All]" allUniqueName="[Vendas].[Cliente].[All]" dimensionUniqueName="[Vendas]" displayFolder="" count="0" memberValueDatatype="130" unbalanced="0"/>
    <cacheHierarchy uniqueName="[Vendas].[Código]" caption="Código" attribute="1" defaultMemberUniqueName="[Vendas].[Código].[All]" allUniqueName="[Vendas].[Código].[All]" dimensionUniqueName="[Vendas]" displayFolder="" count="0" memberValueDatatype="130" unbalanced="0"/>
    <cacheHierarchy uniqueName="[Vendas].[CPF]" caption="CPF" attribute="1" defaultMemberUniqueName="[Vendas].[CPF].[All]" allUniqueName="[Vendas].[CPF].[All]" dimensionUniqueName="[Vendas]" displayFolder="" count="0" memberValueDatatype="130" unbalanced="0"/>
    <cacheHierarchy uniqueName="[Vendas].[Sexo]" caption="Sexo" attribute="1" defaultMemberUniqueName="[Vendas].[Sexo].[All]" allUniqueName="[Vendas].[Sexo].[All]" dimensionUniqueName="[Vendas]" displayFolder="" count="0" memberValueDatatype="130" unbalanced="0"/>
    <cacheHierarchy uniqueName="[Vendas].[CEP]" caption="CEP" attribute="1" defaultMemberUniqueName="[Vendas].[CEP].[All]" allUniqueName="[Vendas].[CEP].[All]" dimensionUniqueName="[Vendas]" displayFolder="" count="0" memberValueDatatype="130" unbalanced="0"/>
    <cacheHierarchy uniqueName="[Vendas].[Endereço]" caption="Endereço" attribute="1" defaultMemberUniqueName="[Vendas].[Endereço].[All]" allUniqueName="[Vendas].[Endereço].[All]" dimensionUniqueName="[Vendas]" displayFolder="" count="0" memberValueDatatype="130" unbalanced="0"/>
    <cacheHierarchy uniqueName="[Vendas].[Número]" caption="Número" attribute="1" defaultMemberUniqueName="[Vendas].[Número].[All]" allUniqueName="[Vendas].[Número].[All]" dimensionUniqueName="[Vendas]" displayFolder="" count="0" memberValueDatatype="130" unbalanced="0"/>
    <cacheHierarchy uniqueName="[Vendas].[Bairro]" caption="Bairro" attribute="1" defaultMemberUniqueName="[Vendas].[Bairro].[All]" allUniqueName="[Vendas].[Bairro].[All]" dimensionUniqueName="[Vendas]" displayFolder="" count="0" memberValueDatatype="130" unbalanced="0"/>
    <cacheHierarchy uniqueName="[Vendas].[Email]" caption="Email" attribute="1" defaultMemberUniqueName="[Vendas].[Email].[All]" allUniqueName="[Vendas].[Email].[All]" dimensionUniqueName="[Vendas]" displayFolder="" count="0" memberValueDatatype="130" unbalanced="0"/>
    <cacheHierarchy uniqueName="[Vendas].[Celular]" caption="Celular" attribute="1" defaultMemberUniqueName="[Vendas].[Celular].[All]" allUniqueName="[Vendas].[Celular].[All]" dimensionUniqueName="[Vendas]" displayFolder="" count="0" memberValueDatatype="130" unbalanced="0"/>
    <cacheHierarchy uniqueName="[Vendas].[Animal]" caption="Animal" attribute="1" defaultMemberUniqueName="[Vendas].[Animal].[All]" allUniqueName="[Vendas].[Animal].[All]" dimensionUniqueName="[Vendas]" displayFolder="" count="0" memberValueDatatype="130" unbalanced="0"/>
    <cacheHierarchy uniqueName="[Vendas].[Espécie]" caption="Espécie" attribute="1" defaultMemberUniqueName="[Vendas].[Espécie].[All]" allUniqueName="[Vendas].[Espécie].[All]" dimensionUniqueName="[Vendas]" displayFolder="" count="0" memberValueDatatype="130" unbalanced="0"/>
    <cacheHierarchy uniqueName="[Vendas].[Sexo_1]" caption="Sexo_1" attribute="1" defaultMemberUniqueName="[Vendas].[Sexo_1].[All]" allUniqueName="[Vendas].[Sexo_1].[All]" dimensionUniqueName="[Vendas]" displayFolder="" count="0" memberValueDatatype="130" unbalanced="0"/>
    <cacheHierarchy uniqueName="[Vendas].[Raça]" caption="Raça" attribute="1" defaultMemberUniqueName="[Vendas].[Raça].[All]" allUniqueName="[Vendas].[Raça].[All]" dimensionUniqueName="[Vendas]" displayFolder="" count="0" memberValueDatatype="130" unbalanced="0"/>
    <cacheHierarchy uniqueName="[Vendas].[Tipo do Item]" caption="Tipo do Item" attribute="1" defaultMemberUniqueName="[Vendas].[Tipo do Item].[All]" allUniqueName="[Vendas].[Tipo do Item].[All]" dimensionUniqueName="[Vendas]" displayFolder="" count="0" memberValueDatatype="130" unbalanced="0"/>
    <cacheHierarchy uniqueName="[Vendas].[Grupo]" caption="Grupo" attribute="1" defaultMemberUniqueName="[Vendas].[Grupo].[All]" allUniqueName="[Vendas].[Grupo].[All]" dimensionUniqueName="[Vendas]" displayFolder="" count="0" memberValueDatatype="130" unbalanced="0"/>
    <cacheHierarchy uniqueName="[Vendas].[Produto/serviço]" caption="Produto/serviço" attribute="1" defaultMemberUniqueName="[Vendas].[Produto/serviço].[All]" allUniqueName="[Vendas].[Produto/serviço].[All]" dimensionUniqueName="[Vendas]" displayFolder="" count="0" memberValueDatatype="130" unbalanced="0"/>
    <cacheHierarchy uniqueName="[Vendas].[Valor Unitário]" caption="Valor Unitário" attribute="1" defaultMemberUniqueName="[Vendas].[Valor Unitário].[All]" allUniqueName="[Vendas].[Valor Unitário].[All]" dimensionUniqueName="[Vendas]" displayFolder="" count="0" memberValueDatatype="130" unbalanced="0"/>
    <cacheHierarchy uniqueName="[Vendas].[Quantidade]" caption="Quantidade" attribute="1" defaultMemberUniqueName="[Vendas].[Quantidade].[All]" allUniqueName="[Vendas].[Quantidade].[All]" dimensionUniqueName="[Vendas]" displayFolder="" count="0" memberValueDatatype="20" unbalanced="0"/>
    <cacheHierarchy uniqueName="[Vendas].[Bruto]" caption="Bruto" attribute="1" defaultMemberUniqueName="[Vendas].[Bruto].[All]" allUniqueName="[Vendas].[Bruto].[All]" dimensionUniqueName="[Vendas]" displayFolder="" count="0" memberValueDatatype="5" unbalanced="0"/>
    <cacheHierarchy uniqueName="[Vendas].[Desconto]" caption="Desconto" attribute="1" defaultMemberUniqueName="[Vendas].[Desconto].[All]" allUniqueName="[Vendas].[Desconto].[All]" dimensionUniqueName="[Vendas]" displayFolder="" count="0" memberValueDatatype="5" unbalanced="0"/>
    <cacheHierarchy uniqueName="[Vendas].[Líquido]" caption="Líquido" attribute="1" defaultMemberUniqueName="[Vendas].[Líquido].[All]" allUniqueName="[Vendas].[Líquido].[All]" dimensionUniqueName="[Vendas]" displayFolder="" count="0" memberValueDatatype="5" unbalanced="0"/>
    <cacheHierarchy uniqueName="[Vendas].[Column1]" caption="Column1" attribute="1" defaultMemberUniqueName="[Vendas].[Column1].[All]" allUniqueName="[Vendas].[Column1].[All]" dimensionUniqueName="[Vendas]" displayFolder="" count="0" memberValueDatatype="130" unbalanced="0"/>
    <cacheHierarchy uniqueName="[Measures].[Contagem de Pilar]" caption="Contagem de Pilar" measure="1" displayFolder="" measureGroup="Pilar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Total Quanditade]" caption="Total Quanditade" measure="1" displayFolder="" measureGroup="Vendas" count="0"/>
    <cacheHierarchy uniqueName="[Measures].[QTD de Clientes]" caption="QTD de Clientes" measure="1" displayFolder="" measureGroup="Vendas" count="0"/>
    <cacheHierarchy uniqueName="[Measures].[QTD de Vendas]" caption="QTD de Vendas" measure="1" displayFolder="" measureGroup="Vendas" count="0"/>
    <cacheHierarchy uniqueName="[Measures].[Total Bruto]" caption="Total Bruto" measure="1" displayFolder="" measureGroup="Vendas" count="0" oneField="1">
      <fieldsUsage count="1">
        <fieldUsage x="9"/>
      </fieldsUsage>
    </cacheHierarchy>
    <cacheHierarchy uniqueName="[Measures].[Ticket Médio]" caption="Ticket Médio" measure="1" displayFolder="" measureGroup="Vendas" count="0" oneField="1">
      <fieldsUsage count="1">
        <fieldUsage x="1"/>
      </fieldsUsage>
    </cacheHierarchy>
    <cacheHierarchy uniqueName="[Measures].[Preço Médio]" caption="Preço Médio" measure="1" displayFolder="" measureGroup="Vendas" count="0" oneField="1">
      <fieldsUsage count="1">
        <fieldUsage x="2"/>
      </fieldsUsage>
    </cacheHierarchy>
    <cacheHierarchy uniqueName="[Measures].[Fat. Méd. Clientes]" caption="Fat. Méd. Clientes" measure="1" displayFolder="" measureGroup="Vendas" count="0" oneField="1">
      <fieldsUsage count="1">
        <fieldUsage x="3"/>
      </fieldsUsage>
    </cacheHierarchy>
    <cacheHierarchy uniqueName="[Measures].[Consulta]" caption="Consulta" measure="1" displayFolder="" measureGroup="Vendas" count="0"/>
    <cacheHierarchy uniqueName="[Measures].[Exames]" caption="Exames" measure="1" displayFolder="" measureGroup="Vendas" count="0"/>
    <cacheHierarchy uniqueName="[Measures].[Internação]" caption="Internação" measure="1" displayFolder="" measureGroup="Vendas" count="0"/>
    <cacheHierarchy uniqueName="[Measures].[Cirurgia]" caption="Cirurgia" measure="1" displayFolder="" measureGroup="Vendas" count="0"/>
    <cacheHierarchy uniqueName="[Measures].[Consultas/Internação]" caption="Consultas/Internação" measure="1" displayFolder="" measureGroup="Vendas" count="0"/>
    <cacheHierarchy uniqueName="[Measures].[Consultas/Cirurgias]" caption="Consultas/Cirurgias" measure="1" displayFolder="" measureGroup="Vendas" count="0"/>
    <cacheHierarchy uniqueName="[Measures].[Consultas/Exames]" caption="Consultas/Exames" measure="1" displayFolder="" measureGroup="Vendas" count="0"/>
    <cacheHierarchy uniqueName="[Measures].[Quant_Animais]" caption="Quant_Animais" measure="1" displayFolder="" measureGroup="Vendas" count="0"/>
    <cacheHierarchy uniqueName="[Measures].[__XL_Count Vendas]" caption="__XL_Count Vendas" measure="1" displayFolder="" measureGroup="Vendas" count="0" hidden="1"/>
    <cacheHierarchy uniqueName="[Measures].[__XL_Count Reagrupa]" caption="__XL_Count Reagrupa" measure="1" displayFolder="" measureGroup="Reagrupa" count="0" hidden="1"/>
    <cacheHierarchy uniqueName="[Measures].[__XL_Count Calendar]" caption="__XL_Count Calendar" measure="1" displayFolder="" measureGroup="Calendar" count="0" hidden="1"/>
    <cacheHierarchy uniqueName="[Measures].[__XL_Count Pilar]" caption="__XL_Count Pilar" measure="1" displayFolder="" measureGroup="Pilar" count="0" hidden="1"/>
    <cacheHierarchy uniqueName="[Measures].[__No measures defined]" caption="__No measures defined" measure="1" displayFolder="" count="0" hidden="1"/>
  </cacheHierarchies>
  <kpis count="0"/>
  <dimensions count="5">
    <dimension name="Calendar" uniqueName="[Calendar]" caption="Calendar"/>
    <dimension measure="1" name="Measures" uniqueName="[Measures]" caption="Measures"/>
    <dimension name="Pilar" uniqueName="[Pilar]" caption="Pilar"/>
    <dimension name="Reagrupa" uniqueName="[Reagrupa]" caption="Reagrupa"/>
    <dimension name="Vendas" uniqueName="[Vendas]" caption="Vendas"/>
  </dimensions>
  <measureGroups count="4">
    <measureGroup name="Calendar" caption="Calendar"/>
    <measureGroup name="Pilar" caption="Pilar"/>
    <measureGroup name="Reagrupa" caption="Reagrupa"/>
    <measureGroup name="Vendas" caption="Vendas"/>
  </measureGroups>
  <maps count="8">
    <map measureGroup="0" dimension="0"/>
    <map measureGroup="1" dimension="2"/>
    <map measureGroup="2" dimension="2"/>
    <map measureGroup="2" dimension="3"/>
    <map measureGroup="3" dimension="0"/>
    <map measureGroup="3" dimension="2"/>
    <map measureGroup="3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elo Silveira" refreshedDate="44722.335579166669" backgroundQuery="1" createdVersion="7" refreshedVersion="8" minRefreshableVersion="3" recordCount="0" supportSubquery="1" supportAdvancedDrill="1" xr:uid="{7AA3BB2D-207B-485F-8510-35EE30C25027}">
  <cacheSource type="external" connectionId="14"/>
  <cacheFields count="8">
    <cacheField name="[Calendar].[Year].[Year]" caption="Year" numFmtId="0" hierarchy="2" level="1">
      <sharedItems containsSemiMixedTypes="0" containsString="0" containsNumber="1" containsInteger="1" minValue="2022" maxValue="2022" count="1">
        <n v="2022"/>
      </sharedItems>
      <extLst>
        <ext xmlns:x15="http://schemas.microsoft.com/office/spreadsheetml/2010/11/main" uri="{4F2E5C28-24EA-4eb8-9CBF-B6C8F9C3D259}">
          <x15:cachedUniqueNames>
            <x15:cachedUniqueName index="0" name="[Calendar].[Year].&amp;[2022]"/>
          </x15:cachedUniqueNames>
        </ext>
      </extLst>
    </cacheField>
    <cacheField name="[Calendar].[Month].[Month]" caption="Month" numFmtId="0" hierarchy="4" level="1">
      <sharedItems count="1">
        <s v="maio"/>
      </sharedItems>
    </cacheField>
    <cacheField name="[Measures].[Consultas/Internação]" caption="Consultas/Internação" numFmtId="0" hierarchy="57" level="32767"/>
    <cacheField name="[Measures].[Consultas/Cirurgias]" caption="Consultas/Cirurgias" numFmtId="0" hierarchy="58" level="32767"/>
    <cacheField name="[Calendar].[Date Hierarchy].[Year]" caption="Year" numFmtId="0" hierarchy="1" level="1">
      <sharedItems containsSemiMixedTypes="0" containsNonDate="0" containsString="0"/>
    </cacheField>
    <cacheField name="[Calendar].[Date Hierarchy].[Month]" caption="Month" numFmtId="0" hierarchy="1" level="2">
      <sharedItems containsSemiMixedTypes="0" containsNonDate="0" containsString="0"/>
    </cacheField>
    <cacheField name="[Calendar].[Date Hierarchy].[DateColumn]" caption="DateColumn" numFmtId="0" hierarchy="1" level="3">
      <sharedItems containsSemiMixedTypes="0" containsNonDate="0" containsString="0"/>
    </cacheField>
    <cacheField name="[Measures].[Consultas/Exames]" caption="Consultas/Exames" numFmtId="0" hierarchy="59" level="32767"/>
  </cacheFields>
  <cacheHierarchies count="66"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4" unbalanced="0">
      <fieldsUsage count="4">
        <fieldUsage x="-1"/>
        <fieldUsage x="4"/>
        <fieldUsage x="5"/>
        <fieldUsage x="6"/>
      </fieldsUsage>
    </cacheHierarchy>
    <cacheHierarchy uniqueName="[Calendar].[Year]" caption="Year" attribute="1" time="1" defaultMemberUniqueName="[Calendar].[Year].[All]" allUniqueName="[Calendar].[Year].[All]" dimensionUniqueName="[Calendar]" displayFolder="" count="2" memberValueDatatype="20" unbalanced="0">
      <fieldsUsage count="2">
        <fieldUsage x="-1"/>
        <fieldUsage x="0"/>
      </fieldsUsage>
    </cacheHierarchy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2" memberValueDatatype="130" unbalanced="0">
      <fieldsUsage count="2">
        <fieldUsage x="-1"/>
        <fieldUsage x="1"/>
      </fieldsUsage>
    </cacheHierarchy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Pilar].[Grupo]" caption="Grupo" attribute="1" defaultMemberUniqueName="[Pilar].[Grupo].[All]" allUniqueName="[Pilar].[Grupo].[All]" dimensionUniqueName="[Pilar]" displayFolder="" count="0" memberValueDatatype="130" unbalanced="0"/>
    <cacheHierarchy uniqueName="[Pilar].[Pilar]" caption="Pilar" attribute="1" defaultMemberUniqueName="[Pilar].[Pilar].[All]" allUniqueName="[Pilar].[Pilar].[All]" dimensionUniqueName="[Pilar]" displayFolder="" count="0" memberValueDatatype="130" unbalanced="0"/>
    <cacheHierarchy uniqueName="[Pilar].[Column3]" caption="Column3" attribute="1" defaultMemberUniqueName="[Pilar].[Column3].[All]" allUniqueName="[Pilar].[Column3].[All]" dimensionUniqueName="[Pilar]" displayFolder="" count="0" memberValueDatatype="130" unbalanced="0"/>
    <cacheHierarchy uniqueName="[Pilar].[Column4]" caption="Column4" attribute="1" defaultMemberUniqueName="[Pilar].[Column4].[All]" allUniqueName="[Pilar].[Column4].[All]" dimensionUniqueName="[Pilar]" displayFolder="" count="0" memberValueDatatype="130" unbalanced="0"/>
    <cacheHierarchy uniqueName="[Pilar].[Column5]" caption="Column5" attribute="1" defaultMemberUniqueName="[Pilar].[Column5].[All]" allUniqueName="[Pilar].[Column5].[All]" dimensionUniqueName="[Pilar]" displayFolder="" count="0" memberValueDatatype="130" unbalanced="0"/>
    <cacheHierarchy uniqueName="[Reagrupa].[PRODUTOS/SERVIÇO]" caption="PRODUTOS/SERVIÇO" attribute="1" defaultMemberUniqueName="[Reagrupa].[PRODUTOS/SERVIÇO].[All]" allUniqueName="[Reagrupa].[PRODUTOS/SERVIÇO].[All]" dimensionUniqueName="[Reagrupa]" displayFolder="" count="0" memberValueDatatype="130" unbalanced="0"/>
    <cacheHierarchy uniqueName="[Reagrupa].[GRUPO]" caption="GRUPO" attribute="1" defaultMemberUniqueName="[Reagrupa].[GRUPO].[All]" allUniqueName="[Reagrupa].[GRUPO].[All]" dimensionUniqueName="[Reagrupa]" displayFolder="" count="0" memberValueDatatype="130" unbalanced="0"/>
    <cacheHierarchy uniqueName="[Vendas].[Nome da Origem]" caption="Nome da Origem" attribute="1" defaultMemberUniqueName="[Vendas].[Nome da Origem].[All]" allUniqueName="[Vendas].[Nome da Origem].[All]" dimensionUniqueName="[Vendas]" displayFolder="" count="0" memberValueDatatype="130" unbalanced="0"/>
    <cacheHierarchy uniqueName="[Vendas].[Data e hora]" caption="Data e hora" attribute="1" time="1" defaultMemberUniqueName="[Vendas].[Data e hora].[All]" allUniqueName="[Vendas].[Data e hora].[All]" dimensionUniqueName="[Vendas]" displayFolder="" count="0" memberValueDatatype="7" unbalanced="0"/>
    <cacheHierarchy uniqueName="[Vendas].[Venda]" caption="Venda" attribute="1" defaultMemberUniqueName="[Vendas].[Venda].[All]" allUniqueName="[Vendas].[Venda].[All]" dimensionUniqueName="[Vendas]" displayFolder="" count="0" memberValueDatatype="130" unbalanced="0"/>
    <cacheHierarchy uniqueName="[Vendas].[Status da venda]" caption="Status da venda" attribute="1" defaultMemberUniqueName="[Vendas].[Status da venda].[All]" allUniqueName="[Vendas].[Status da venda].[All]" dimensionUniqueName="[Vendas]" displayFolder="" count="0" memberValueDatatype="130" unbalanced="0"/>
    <cacheHierarchy uniqueName="[Vendas].[Data baixa]" caption="Data baixa" attribute="1" defaultMemberUniqueName="[Vendas].[Data baixa].[All]" allUniqueName="[Vendas].[Data baixa].[All]" dimensionUniqueName="[Vendas]" displayFolder="" count="0" memberValueDatatype="130" unbalanced="0"/>
    <cacheHierarchy uniqueName="[Vendas].[Forma pagamento]" caption="Forma pagamento" attribute="1" defaultMemberUniqueName="[Vendas].[Forma pagamento].[All]" allUniqueName="[Vendas].[Forma pagamento].[All]" dimensionUniqueName="[Vendas]" displayFolder="" count="0" memberValueDatatype="130" unbalanced="0"/>
    <cacheHierarchy uniqueName="[Vendas].[Funcionário]" caption="Funcionário" attribute="1" defaultMemberUniqueName="[Vendas].[Funcionário].[All]" allUniqueName="[Vendas].[Funcionário].[All]" dimensionUniqueName="[Vendas]" displayFolder="" count="0" memberValueDatatype="130" unbalanced="0"/>
    <cacheHierarchy uniqueName="[Vendas].[Cliente]" caption="Cliente" attribute="1" defaultMemberUniqueName="[Vendas].[Cliente].[All]" allUniqueName="[Vendas].[Cliente].[All]" dimensionUniqueName="[Vendas]" displayFolder="" count="0" memberValueDatatype="130" unbalanced="0"/>
    <cacheHierarchy uniqueName="[Vendas].[Código]" caption="Código" attribute="1" defaultMemberUniqueName="[Vendas].[Código].[All]" allUniqueName="[Vendas].[Código].[All]" dimensionUniqueName="[Vendas]" displayFolder="" count="0" memberValueDatatype="130" unbalanced="0"/>
    <cacheHierarchy uniqueName="[Vendas].[CPF]" caption="CPF" attribute="1" defaultMemberUniqueName="[Vendas].[CPF].[All]" allUniqueName="[Vendas].[CPF].[All]" dimensionUniqueName="[Vendas]" displayFolder="" count="0" memberValueDatatype="130" unbalanced="0"/>
    <cacheHierarchy uniqueName="[Vendas].[Sexo]" caption="Sexo" attribute="1" defaultMemberUniqueName="[Vendas].[Sexo].[All]" allUniqueName="[Vendas].[Sexo].[All]" dimensionUniqueName="[Vendas]" displayFolder="" count="0" memberValueDatatype="130" unbalanced="0"/>
    <cacheHierarchy uniqueName="[Vendas].[CEP]" caption="CEP" attribute="1" defaultMemberUniqueName="[Vendas].[CEP].[All]" allUniqueName="[Vendas].[CEP].[All]" dimensionUniqueName="[Vendas]" displayFolder="" count="0" memberValueDatatype="130" unbalanced="0"/>
    <cacheHierarchy uniqueName="[Vendas].[Endereço]" caption="Endereço" attribute="1" defaultMemberUniqueName="[Vendas].[Endereço].[All]" allUniqueName="[Vendas].[Endereço].[All]" dimensionUniqueName="[Vendas]" displayFolder="" count="0" memberValueDatatype="130" unbalanced="0"/>
    <cacheHierarchy uniqueName="[Vendas].[Número]" caption="Número" attribute="1" defaultMemberUniqueName="[Vendas].[Número].[All]" allUniqueName="[Vendas].[Número].[All]" dimensionUniqueName="[Vendas]" displayFolder="" count="0" memberValueDatatype="130" unbalanced="0"/>
    <cacheHierarchy uniqueName="[Vendas].[Bairro]" caption="Bairro" attribute="1" defaultMemberUniqueName="[Vendas].[Bairro].[All]" allUniqueName="[Vendas].[Bairro].[All]" dimensionUniqueName="[Vendas]" displayFolder="" count="0" memberValueDatatype="130" unbalanced="0"/>
    <cacheHierarchy uniqueName="[Vendas].[Email]" caption="Email" attribute="1" defaultMemberUniqueName="[Vendas].[Email].[All]" allUniqueName="[Vendas].[Email].[All]" dimensionUniqueName="[Vendas]" displayFolder="" count="0" memberValueDatatype="130" unbalanced="0"/>
    <cacheHierarchy uniqueName="[Vendas].[Celular]" caption="Celular" attribute="1" defaultMemberUniqueName="[Vendas].[Celular].[All]" allUniqueName="[Vendas].[Celular].[All]" dimensionUniqueName="[Vendas]" displayFolder="" count="0" memberValueDatatype="130" unbalanced="0"/>
    <cacheHierarchy uniqueName="[Vendas].[Animal]" caption="Animal" attribute="1" defaultMemberUniqueName="[Vendas].[Animal].[All]" allUniqueName="[Vendas].[Animal].[All]" dimensionUniqueName="[Vendas]" displayFolder="" count="0" memberValueDatatype="130" unbalanced="0"/>
    <cacheHierarchy uniqueName="[Vendas].[Espécie]" caption="Espécie" attribute="1" defaultMemberUniqueName="[Vendas].[Espécie].[All]" allUniqueName="[Vendas].[Espécie].[All]" dimensionUniqueName="[Vendas]" displayFolder="" count="0" memberValueDatatype="130" unbalanced="0"/>
    <cacheHierarchy uniqueName="[Vendas].[Sexo_1]" caption="Sexo_1" attribute="1" defaultMemberUniqueName="[Vendas].[Sexo_1].[All]" allUniqueName="[Vendas].[Sexo_1].[All]" dimensionUniqueName="[Vendas]" displayFolder="" count="0" memberValueDatatype="130" unbalanced="0"/>
    <cacheHierarchy uniqueName="[Vendas].[Raça]" caption="Raça" attribute="1" defaultMemberUniqueName="[Vendas].[Raça].[All]" allUniqueName="[Vendas].[Raça].[All]" dimensionUniqueName="[Vendas]" displayFolder="" count="0" memberValueDatatype="130" unbalanced="0"/>
    <cacheHierarchy uniqueName="[Vendas].[Tipo do Item]" caption="Tipo do Item" attribute="1" defaultMemberUniqueName="[Vendas].[Tipo do Item].[All]" allUniqueName="[Vendas].[Tipo do Item].[All]" dimensionUniqueName="[Vendas]" displayFolder="" count="0" memberValueDatatype="130" unbalanced="0"/>
    <cacheHierarchy uniqueName="[Vendas].[Grupo]" caption="Grupo" attribute="1" defaultMemberUniqueName="[Vendas].[Grupo].[All]" allUniqueName="[Vendas].[Grupo].[All]" dimensionUniqueName="[Vendas]" displayFolder="" count="0" memberValueDatatype="130" unbalanced="0"/>
    <cacheHierarchy uniqueName="[Vendas].[Produto/serviço]" caption="Produto/serviço" attribute="1" defaultMemberUniqueName="[Vendas].[Produto/serviço].[All]" allUniqueName="[Vendas].[Produto/serviço].[All]" dimensionUniqueName="[Vendas]" displayFolder="" count="0" memberValueDatatype="130" unbalanced="0"/>
    <cacheHierarchy uniqueName="[Vendas].[Valor Unitário]" caption="Valor Unitário" attribute="1" defaultMemberUniqueName="[Vendas].[Valor Unitário].[All]" allUniqueName="[Vendas].[Valor Unitário].[All]" dimensionUniqueName="[Vendas]" displayFolder="" count="0" memberValueDatatype="130" unbalanced="0"/>
    <cacheHierarchy uniqueName="[Vendas].[Quantidade]" caption="Quantidade" attribute="1" defaultMemberUniqueName="[Vendas].[Quantidade].[All]" allUniqueName="[Vendas].[Quantidade].[All]" dimensionUniqueName="[Vendas]" displayFolder="" count="0" memberValueDatatype="20" unbalanced="0"/>
    <cacheHierarchy uniqueName="[Vendas].[Bruto]" caption="Bruto" attribute="1" defaultMemberUniqueName="[Vendas].[Bruto].[All]" allUniqueName="[Vendas].[Bruto].[All]" dimensionUniqueName="[Vendas]" displayFolder="" count="0" memberValueDatatype="5" unbalanced="0"/>
    <cacheHierarchy uniqueName="[Vendas].[Desconto]" caption="Desconto" attribute="1" defaultMemberUniqueName="[Vendas].[Desconto].[All]" allUniqueName="[Vendas].[Desconto].[All]" dimensionUniqueName="[Vendas]" displayFolder="" count="0" memberValueDatatype="5" unbalanced="0"/>
    <cacheHierarchy uniqueName="[Vendas].[Líquido]" caption="Líquido" attribute="1" defaultMemberUniqueName="[Vendas].[Líquido].[All]" allUniqueName="[Vendas].[Líquido].[All]" dimensionUniqueName="[Vendas]" displayFolder="" count="0" memberValueDatatype="5" unbalanced="0"/>
    <cacheHierarchy uniqueName="[Vendas].[Column1]" caption="Column1" attribute="1" defaultMemberUniqueName="[Vendas].[Column1].[All]" allUniqueName="[Vendas].[Column1].[All]" dimensionUniqueName="[Vendas]" displayFolder="" count="0" memberValueDatatype="130" unbalanced="0"/>
    <cacheHierarchy uniqueName="[Measures].[Contagem de Pilar]" caption="Contagem de Pilar" measure="1" displayFolder="" measureGroup="Pilar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Total Quanditade]" caption="Total Quanditade" measure="1" displayFolder="" measureGroup="Vendas" count="0"/>
    <cacheHierarchy uniqueName="[Measures].[QTD de Clientes]" caption="QTD de Clientes" measure="1" displayFolder="" measureGroup="Vendas" count="0"/>
    <cacheHierarchy uniqueName="[Measures].[QTD de Vendas]" caption="QTD de Vendas" measure="1" displayFolder="" measureGroup="Vendas" count="0"/>
    <cacheHierarchy uniqueName="[Measures].[Total Bruto]" caption="Total Bruto" measure="1" displayFolder="" measureGroup="Vendas" count="0"/>
    <cacheHierarchy uniqueName="[Measures].[Ticket Médio]" caption="Ticket Médio" measure="1" displayFolder="" measureGroup="Vendas" count="0"/>
    <cacheHierarchy uniqueName="[Measures].[Preço Médio]" caption="Preço Médio" measure="1" displayFolder="" measureGroup="Vendas" count="0"/>
    <cacheHierarchy uniqueName="[Measures].[Fat. Méd. Clientes]" caption="Fat. Méd. Clientes" measure="1" displayFolder="" measureGroup="Vendas" count="0"/>
    <cacheHierarchy uniqueName="[Measures].[Consulta]" caption="Consulta" measure="1" displayFolder="" measureGroup="Vendas" count="0"/>
    <cacheHierarchy uniqueName="[Measures].[Exames]" caption="Exames" measure="1" displayFolder="" measureGroup="Vendas" count="0"/>
    <cacheHierarchy uniqueName="[Measures].[Internação]" caption="Internação" measure="1" displayFolder="" measureGroup="Vendas" count="0"/>
    <cacheHierarchy uniqueName="[Measures].[Cirurgia]" caption="Cirurgia" measure="1" displayFolder="" measureGroup="Vendas" count="0"/>
    <cacheHierarchy uniqueName="[Measures].[Consultas/Internação]" caption="Consultas/Internação" measure="1" displayFolder="" measureGroup="Vendas" count="0" oneField="1">
      <fieldsUsage count="1">
        <fieldUsage x="2"/>
      </fieldsUsage>
    </cacheHierarchy>
    <cacheHierarchy uniqueName="[Measures].[Consultas/Cirurgias]" caption="Consultas/Cirurgias" measure="1" displayFolder="" measureGroup="Vendas" count="0" oneField="1">
      <fieldsUsage count="1">
        <fieldUsage x="3"/>
      </fieldsUsage>
    </cacheHierarchy>
    <cacheHierarchy uniqueName="[Measures].[Consultas/Exames]" caption="Consultas/Exames" measure="1" displayFolder="" measureGroup="Vendas" count="0" oneField="1">
      <fieldsUsage count="1">
        <fieldUsage x="7"/>
      </fieldsUsage>
    </cacheHierarchy>
    <cacheHierarchy uniqueName="[Measures].[Quant_Animais]" caption="Quant_Animais" measure="1" displayFolder="" measureGroup="Vendas" count="0"/>
    <cacheHierarchy uniqueName="[Measures].[__XL_Count Vendas]" caption="__XL_Count Vendas" measure="1" displayFolder="" measureGroup="Vendas" count="0" hidden="1"/>
    <cacheHierarchy uniqueName="[Measures].[__XL_Count Reagrupa]" caption="__XL_Count Reagrupa" measure="1" displayFolder="" measureGroup="Reagrupa" count="0" hidden="1"/>
    <cacheHierarchy uniqueName="[Measures].[__XL_Count Calendar]" caption="__XL_Count Calendar" measure="1" displayFolder="" measureGroup="Calendar" count="0" hidden="1"/>
    <cacheHierarchy uniqueName="[Measures].[__XL_Count Pilar]" caption="__XL_Count Pilar" measure="1" displayFolder="" measureGroup="Pilar" count="0" hidden="1"/>
    <cacheHierarchy uniqueName="[Measures].[__No measures defined]" caption="__No measures defined" measure="1" displayFolder="" count="0" hidden="1"/>
  </cacheHierarchies>
  <kpis count="0"/>
  <dimensions count="5">
    <dimension name="Calendar" uniqueName="[Calendar]" caption="Calendar"/>
    <dimension measure="1" name="Measures" uniqueName="[Measures]" caption="Measures"/>
    <dimension name="Pilar" uniqueName="[Pilar]" caption="Pilar"/>
    <dimension name="Reagrupa" uniqueName="[Reagrupa]" caption="Reagrupa"/>
    <dimension name="Vendas" uniqueName="[Vendas]" caption="Vendas"/>
  </dimensions>
  <measureGroups count="4">
    <measureGroup name="Calendar" caption="Calendar"/>
    <measureGroup name="Pilar" caption="Pilar"/>
    <measureGroup name="Reagrupa" caption="Reagrupa"/>
    <measureGroup name="Vendas" caption="Vendas"/>
  </measureGroups>
  <maps count="8">
    <map measureGroup="0" dimension="0"/>
    <map measureGroup="1" dimension="2"/>
    <map measureGroup="2" dimension="2"/>
    <map measureGroup="2" dimension="3"/>
    <map measureGroup="3" dimension="0"/>
    <map measureGroup="3" dimension="2"/>
    <map measureGroup="3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elo Silveira" refreshedDate="44722.335580208332" backgroundQuery="1" createdVersion="7" refreshedVersion="8" minRefreshableVersion="3" recordCount="0" supportSubquery="1" supportAdvancedDrill="1" xr:uid="{68F216AD-1381-4B60-AA2E-D406C1250D6E}">
  <cacheSource type="external" connectionId="14"/>
  <cacheFields count="7">
    <cacheField name="[Calendar].[Year].[Year]" caption="Year" numFmtId="0" hierarchy="2" level="1">
      <sharedItems containsSemiMixedTypes="0" containsString="0" containsNumber="1" containsInteger="1" minValue="2022" maxValue="2022" count="1">
        <n v="2022"/>
      </sharedItems>
      <extLst>
        <ext xmlns:x15="http://schemas.microsoft.com/office/spreadsheetml/2010/11/main" uri="{4F2E5C28-24EA-4eb8-9CBF-B6C8F9C3D259}">
          <x15:cachedUniqueNames>
            <x15:cachedUniqueName index="0" name="[Calendar].[Year].&amp;[2022]"/>
          </x15:cachedUniqueNames>
        </ext>
      </extLst>
    </cacheField>
    <cacheField name="[Calendar].[Month].[Month]" caption="Month" numFmtId="0" hierarchy="4" level="1">
      <sharedItems count="4">
        <s v="maio"/>
        <s v="abril" u="1"/>
        <s v="março" u="1"/>
        <s v="fevereiro" u="1"/>
      </sharedItems>
    </cacheField>
    <cacheField name="[Reagrupa].[GRUPO].[GRUPO]" caption="GRUPO" numFmtId="0" hierarchy="14" level="1">
      <sharedItems count="4">
        <s v="Alimentos"/>
        <s v="Consultas"/>
        <s v="Anestesias" u="1"/>
        <s v="Cirurgias" u="1"/>
      </sharedItems>
    </cacheField>
    <cacheField name="[Measures].[Total Bruto]" caption="Total Bruto" numFmtId="0" hierarchy="49" level="32767"/>
    <cacheField name="[Calendar].[Date Hierarchy].[Year]" caption="Year" numFmtId="0" hierarchy="1" level="1">
      <sharedItems containsSemiMixedTypes="0" containsNonDate="0" containsString="0"/>
    </cacheField>
    <cacheField name="[Calendar].[Date Hierarchy].[Month]" caption="Month" numFmtId="0" hierarchy="1" level="2">
      <sharedItems containsSemiMixedTypes="0" containsNonDate="0" containsString="0"/>
    </cacheField>
    <cacheField name="[Calendar].[Date Hierarchy].[DateColumn]" caption="DateColumn" numFmtId="0" hierarchy="1" level="3">
      <sharedItems containsSemiMixedTypes="0" containsNonDate="0" containsString="0"/>
    </cacheField>
  </cacheFields>
  <cacheHierarchies count="66"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4" unbalanced="0">
      <fieldsUsage count="4">
        <fieldUsage x="-1"/>
        <fieldUsage x="4"/>
        <fieldUsage x="5"/>
        <fieldUsage x="6"/>
      </fieldsUsage>
    </cacheHierarchy>
    <cacheHierarchy uniqueName="[Calendar].[Year]" caption="Year" attribute="1" time="1" defaultMemberUniqueName="[Calendar].[Year].[All]" allUniqueName="[Calendar].[Year].[All]" dimensionUniqueName="[Calendar]" displayFolder="" count="2" memberValueDatatype="20" unbalanced="0">
      <fieldsUsage count="2">
        <fieldUsage x="-1"/>
        <fieldUsage x="0"/>
      </fieldsUsage>
    </cacheHierarchy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2" memberValueDatatype="130" unbalanced="0">
      <fieldsUsage count="2">
        <fieldUsage x="-1"/>
        <fieldUsage x="1"/>
      </fieldsUsage>
    </cacheHierarchy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Pilar].[Grupo]" caption="Grupo" attribute="1" defaultMemberUniqueName="[Pilar].[Grupo].[All]" allUniqueName="[Pilar].[Grupo].[All]" dimensionUniqueName="[Pilar]" displayFolder="" count="0" memberValueDatatype="130" unbalanced="0"/>
    <cacheHierarchy uniqueName="[Pilar].[Pilar]" caption="Pilar" attribute="1" defaultMemberUniqueName="[Pilar].[Pilar].[All]" allUniqueName="[Pilar].[Pilar].[All]" dimensionUniqueName="[Pilar]" displayFolder="" count="0" memberValueDatatype="130" unbalanced="0"/>
    <cacheHierarchy uniqueName="[Pilar].[Column3]" caption="Column3" attribute="1" defaultMemberUniqueName="[Pilar].[Column3].[All]" allUniqueName="[Pilar].[Column3].[All]" dimensionUniqueName="[Pilar]" displayFolder="" count="0" memberValueDatatype="130" unbalanced="0"/>
    <cacheHierarchy uniqueName="[Pilar].[Column4]" caption="Column4" attribute="1" defaultMemberUniqueName="[Pilar].[Column4].[All]" allUniqueName="[Pilar].[Column4].[All]" dimensionUniqueName="[Pilar]" displayFolder="" count="0" memberValueDatatype="130" unbalanced="0"/>
    <cacheHierarchy uniqueName="[Pilar].[Column5]" caption="Column5" attribute="1" defaultMemberUniqueName="[Pilar].[Column5].[All]" allUniqueName="[Pilar].[Column5].[All]" dimensionUniqueName="[Pilar]" displayFolder="" count="0" memberValueDatatype="130" unbalanced="0"/>
    <cacheHierarchy uniqueName="[Reagrupa].[PRODUTOS/SERVIÇO]" caption="PRODUTOS/SERVIÇO" attribute="1" defaultMemberUniqueName="[Reagrupa].[PRODUTOS/SERVIÇO].[All]" allUniqueName="[Reagrupa].[PRODUTOS/SERVIÇO].[All]" dimensionUniqueName="[Reagrupa]" displayFolder="" count="0" memberValueDatatype="130" unbalanced="0"/>
    <cacheHierarchy uniqueName="[Reagrupa].[GRUPO]" caption="GRUPO" attribute="1" defaultMemberUniqueName="[Reagrupa].[GRUPO].[All]" allUniqueName="[Reagrupa].[GRUPO].[All]" dimensionUniqueName="[Reagrupa]" displayFolder="" count="2" memberValueDatatype="130" unbalanced="0">
      <fieldsUsage count="2">
        <fieldUsage x="-1"/>
        <fieldUsage x="2"/>
      </fieldsUsage>
    </cacheHierarchy>
    <cacheHierarchy uniqueName="[Vendas].[Nome da Origem]" caption="Nome da Origem" attribute="1" defaultMemberUniqueName="[Vendas].[Nome da Origem].[All]" allUniqueName="[Vendas].[Nome da Origem].[All]" dimensionUniqueName="[Vendas]" displayFolder="" count="0" memberValueDatatype="130" unbalanced="0"/>
    <cacheHierarchy uniqueName="[Vendas].[Data e hora]" caption="Data e hora" attribute="1" time="1" defaultMemberUniqueName="[Vendas].[Data e hora].[All]" allUniqueName="[Vendas].[Data e hora].[All]" dimensionUniqueName="[Vendas]" displayFolder="" count="0" memberValueDatatype="7" unbalanced="0"/>
    <cacheHierarchy uniqueName="[Vendas].[Venda]" caption="Venda" attribute="1" defaultMemberUniqueName="[Vendas].[Venda].[All]" allUniqueName="[Vendas].[Venda].[All]" dimensionUniqueName="[Vendas]" displayFolder="" count="0" memberValueDatatype="130" unbalanced="0"/>
    <cacheHierarchy uniqueName="[Vendas].[Status da venda]" caption="Status da venda" attribute="1" defaultMemberUniqueName="[Vendas].[Status da venda].[All]" allUniqueName="[Vendas].[Status da venda].[All]" dimensionUniqueName="[Vendas]" displayFolder="" count="0" memberValueDatatype="130" unbalanced="0"/>
    <cacheHierarchy uniqueName="[Vendas].[Data baixa]" caption="Data baixa" attribute="1" defaultMemberUniqueName="[Vendas].[Data baixa].[All]" allUniqueName="[Vendas].[Data baixa].[All]" dimensionUniqueName="[Vendas]" displayFolder="" count="0" memberValueDatatype="130" unbalanced="0"/>
    <cacheHierarchy uniqueName="[Vendas].[Forma pagamento]" caption="Forma pagamento" attribute="1" defaultMemberUniqueName="[Vendas].[Forma pagamento].[All]" allUniqueName="[Vendas].[Forma pagamento].[All]" dimensionUniqueName="[Vendas]" displayFolder="" count="0" memberValueDatatype="130" unbalanced="0"/>
    <cacheHierarchy uniqueName="[Vendas].[Funcionário]" caption="Funcionário" attribute="1" defaultMemberUniqueName="[Vendas].[Funcionário].[All]" allUniqueName="[Vendas].[Funcionário].[All]" dimensionUniqueName="[Vendas]" displayFolder="" count="0" memberValueDatatype="130" unbalanced="0"/>
    <cacheHierarchy uniqueName="[Vendas].[Cliente]" caption="Cliente" attribute="1" defaultMemberUniqueName="[Vendas].[Cliente].[All]" allUniqueName="[Vendas].[Cliente].[All]" dimensionUniqueName="[Vendas]" displayFolder="" count="0" memberValueDatatype="130" unbalanced="0"/>
    <cacheHierarchy uniqueName="[Vendas].[Código]" caption="Código" attribute="1" defaultMemberUniqueName="[Vendas].[Código].[All]" allUniqueName="[Vendas].[Código].[All]" dimensionUniqueName="[Vendas]" displayFolder="" count="0" memberValueDatatype="130" unbalanced="0"/>
    <cacheHierarchy uniqueName="[Vendas].[CPF]" caption="CPF" attribute="1" defaultMemberUniqueName="[Vendas].[CPF].[All]" allUniqueName="[Vendas].[CPF].[All]" dimensionUniqueName="[Vendas]" displayFolder="" count="0" memberValueDatatype="130" unbalanced="0"/>
    <cacheHierarchy uniqueName="[Vendas].[Sexo]" caption="Sexo" attribute="1" defaultMemberUniqueName="[Vendas].[Sexo].[All]" allUniqueName="[Vendas].[Sexo].[All]" dimensionUniqueName="[Vendas]" displayFolder="" count="0" memberValueDatatype="130" unbalanced="0"/>
    <cacheHierarchy uniqueName="[Vendas].[CEP]" caption="CEP" attribute="1" defaultMemberUniqueName="[Vendas].[CEP].[All]" allUniqueName="[Vendas].[CEP].[All]" dimensionUniqueName="[Vendas]" displayFolder="" count="0" memberValueDatatype="130" unbalanced="0"/>
    <cacheHierarchy uniqueName="[Vendas].[Endereço]" caption="Endereço" attribute="1" defaultMemberUniqueName="[Vendas].[Endereço].[All]" allUniqueName="[Vendas].[Endereço].[All]" dimensionUniqueName="[Vendas]" displayFolder="" count="0" memberValueDatatype="130" unbalanced="0"/>
    <cacheHierarchy uniqueName="[Vendas].[Número]" caption="Número" attribute="1" defaultMemberUniqueName="[Vendas].[Número].[All]" allUniqueName="[Vendas].[Número].[All]" dimensionUniqueName="[Vendas]" displayFolder="" count="0" memberValueDatatype="130" unbalanced="0"/>
    <cacheHierarchy uniqueName="[Vendas].[Bairro]" caption="Bairro" attribute="1" defaultMemberUniqueName="[Vendas].[Bairro].[All]" allUniqueName="[Vendas].[Bairro].[All]" dimensionUniqueName="[Vendas]" displayFolder="" count="0" memberValueDatatype="130" unbalanced="0"/>
    <cacheHierarchy uniqueName="[Vendas].[Email]" caption="Email" attribute="1" defaultMemberUniqueName="[Vendas].[Email].[All]" allUniqueName="[Vendas].[Email].[All]" dimensionUniqueName="[Vendas]" displayFolder="" count="0" memberValueDatatype="130" unbalanced="0"/>
    <cacheHierarchy uniqueName="[Vendas].[Celular]" caption="Celular" attribute="1" defaultMemberUniqueName="[Vendas].[Celular].[All]" allUniqueName="[Vendas].[Celular].[All]" dimensionUniqueName="[Vendas]" displayFolder="" count="0" memberValueDatatype="130" unbalanced="0"/>
    <cacheHierarchy uniqueName="[Vendas].[Animal]" caption="Animal" attribute="1" defaultMemberUniqueName="[Vendas].[Animal].[All]" allUniqueName="[Vendas].[Animal].[All]" dimensionUniqueName="[Vendas]" displayFolder="" count="0" memberValueDatatype="130" unbalanced="0"/>
    <cacheHierarchy uniqueName="[Vendas].[Espécie]" caption="Espécie" attribute="1" defaultMemberUniqueName="[Vendas].[Espécie].[All]" allUniqueName="[Vendas].[Espécie].[All]" dimensionUniqueName="[Vendas]" displayFolder="" count="0" memberValueDatatype="130" unbalanced="0"/>
    <cacheHierarchy uniqueName="[Vendas].[Sexo_1]" caption="Sexo_1" attribute="1" defaultMemberUniqueName="[Vendas].[Sexo_1].[All]" allUniqueName="[Vendas].[Sexo_1].[All]" dimensionUniqueName="[Vendas]" displayFolder="" count="0" memberValueDatatype="130" unbalanced="0"/>
    <cacheHierarchy uniqueName="[Vendas].[Raça]" caption="Raça" attribute="1" defaultMemberUniqueName="[Vendas].[Raça].[All]" allUniqueName="[Vendas].[Raça].[All]" dimensionUniqueName="[Vendas]" displayFolder="" count="0" memberValueDatatype="130" unbalanced="0"/>
    <cacheHierarchy uniqueName="[Vendas].[Tipo do Item]" caption="Tipo do Item" attribute="1" defaultMemberUniqueName="[Vendas].[Tipo do Item].[All]" allUniqueName="[Vendas].[Tipo do Item].[All]" dimensionUniqueName="[Vendas]" displayFolder="" count="0" memberValueDatatype="130" unbalanced="0"/>
    <cacheHierarchy uniqueName="[Vendas].[Grupo]" caption="Grupo" attribute="1" defaultMemberUniqueName="[Vendas].[Grupo].[All]" allUniqueName="[Vendas].[Grupo].[All]" dimensionUniqueName="[Vendas]" displayFolder="" count="0" memberValueDatatype="130" unbalanced="0"/>
    <cacheHierarchy uniqueName="[Vendas].[Produto/serviço]" caption="Produto/serviço" attribute="1" defaultMemberUniqueName="[Vendas].[Produto/serviço].[All]" allUniqueName="[Vendas].[Produto/serviço].[All]" dimensionUniqueName="[Vendas]" displayFolder="" count="0" memberValueDatatype="130" unbalanced="0"/>
    <cacheHierarchy uniqueName="[Vendas].[Valor Unitário]" caption="Valor Unitário" attribute="1" defaultMemberUniqueName="[Vendas].[Valor Unitário].[All]" allUniqueName="[Vendas].[Valor Unitário].[All]" dimensionUniqueName="[Vendas]" displayFolder="" count="0" memberValueDatatype="130" unbalanced="0"/>
    <cacheHierarchy uniqueName="[Vendas].[Quantidade]" caption="Quantidade" attribute="1" defaultMemberUniqueName="[Vendas].[Quantidade].[All]" allUniqueName="[Vendas].[Quantidade].[All]" dimensionUniqueName="[Vendas]" displayFolder="" count="0" memberValueDatatype="20" unbalanced="0"/>
    <cacheHierarchy uniqueName="[Vendas].[Bruto]" caption="Bruto" attribute="1" defaultMemberUniqueName="[Vendas].[Bruto].[All]" allUniqueName="[Vendas].[Bruto].[All]" dimensionUniqueName="[Vendas]" displayFolder="" count="0" memberValueDatatype="5" unbalanced="0"/>
    <cacheHierarchy uniqueName="[Vendas].[Desconto]" caption="Desconto" attribute="1" defaultMemberUniqueName="[Vendas].[Desconto].[All]" allUniqueName="[Vendas].[Desconto].[All]" dimensionUniqueName="[Vendas]" displayFolder="" count="0" memberValueDatatype="5" unbalanced="0"/>
    <cacheHierarchy uniqueName="[Vendas].[Líquido]" caption="Líquido" attribute="1" defaultMemberUniqueName="[Vendas].[Líquido].[All]" allUniqueName="[Vendas].[Líquido].[All]" dimensionUniqueName="[Vendas]" displayFolder="" count="0" memberValueDatatype="5" unbalanced="0"/>
    <cacheHierarchy uniqueName="[Vendas].[Column1]" caption="Column1" attribute="1" defaultMemberUniqueName="[Vendas].[Column1].[All]" allUniqueName="[Vendas].[Column1].[All]" dimensionUniqueName="[Vendas]" displayFolder="" count="0" memberValueDatatype="130" unbalanced="0"/>
    <cacheHierarchy uniqueName="[Measures].[Contagem de Pilar]" caption="Contagem de Pilar" measure="1" displayFolder="" measureGroup="Pilar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Total Quanditade]" caption="Total Quanditade" measure="1" displayFolder="" measureGroup="Vendas" count="0"/>
    <cacheHierarchy uniqueName="[Measures].[QTD de Clientes]" caption="QTD de Clientes" measure="1" displayFolder="" measureGroup="Vendas" count="0"/>
    <cacheHierarchy uniqueName="[Measures].[QTD de Vendas]" caption="QTD de Vendas" measure="1" displayFolder="" measureGroup="Vendas" count="0"/>
    <cacheHierarchy uniqueName="[Measures].[Total Bruto]" caption="Total Bruto" measure="1" displayFolder="" measureGroup="Vendas" count="0" oneField="1">
      <fieldsUsage count="1">
        <fieldUsage x="3"/>
      </fieldsUsage>
    </cacheHierarchy>
    <cacheHierarchy uniqueName="[Measures].[Ticket Médio]" caption="Ticket Médio" measure="1" displayFolder="" measureGroup="Vendas" count="0"/>
    <cacheHierarchy uniqueName="[Measures].[Preço Médio]" caption="Preço Médio" measure="1" displayFolder="" measureGroup="Vendas" count="0"/>
    <cacheHierarchy uniqueName="[Measures].[Fat. Méd. Clientes]" caption="Fat. Méd. Clientes" measure="1" displayFolder="" measureGroup="Vendas" count="0"/>
    <cacheHierarchy uniqueName="[Measures].[Consulta]" caption="Consulta" measure="1" displayFolder="" measureGroup="Vendas" count="0"/>
    <cacheHierarchy uniqueName="[Measures].[Exames]" caption="Exames" measure="1" displayFolder="" measureGroup="Vendas" count="0"/>
    <cacheHierarchy uniqueName="[Measures].[Internação]" caption="Internação" measure="1" displayFolder="" measureGroup="Vendas" count="0"/>
    <cacheHierarchy uniqueName="[Measures].[Cirurgia]" caption="Cirurgia" measure="1" displayFolder="" measureGroup="Vendas" count="0"/>
    <cacheHierarchy uniqueName="[Measures].[Consultas/Internação]" caption="Consultas/Internação" measure="1" displayFolder="" measureGroup="Vendas" count="0"/>
    <cacheHierarchy uniqueName="[Measures].[Consultas/Cirurgias]" caption="Consultas/Cirurgias" measure="1" displayFolder="" measureGroup="Vendas" count="0"/>
    <cacheHierarchy uniqueName="[Measures].[Consultas/Exames]" caption="Consultas/Exames" measure="1" displayFolder="" measureGroup="Vendas" count="0"/>
    <cacheHierarchy uniqueName="[Measures].[Quant_Animais]" caption="Quant_Animais" measure="1" displayFolder="" measureGroup="Vendas" count="0"/>
    <cacheHierarchy uniqueName="[Measures].[__XL_Count Vendas]" caption="__XL_Count Vendas" measure="1" displayFolder="" measureGroup="Vendas" count="0" hidden="1"/>
    <cacheHierarchy uniqueName="[Measures].[__XL_Count Reagrupa]" caption="__XL_Count Reagrupa" measure="1" displayFolder="" measureGroup="Reagrupa" count="0" hidden="1"/>
    <cacheHierarchy uniqueName="[Measures].[__XL_Count Calendar]" caption="__XL_Count Calendar" measure="1" displayFolder="" measureGroup="Calendar" count="0" hidden="1"/>
    <cacheHierarchy uniqueName="[Measures].[__XL_Count Pilar]" caption="__XL_Count Pilar" measure="1" displayFolder="" measureGroup="Pilar" count="0" hidden="1"/>
    <cacheHierarchy uniqueName="[Measures].[__No measures defined]" caption="__No measures defined" measure="1" displayFolder="" count="0" hidden="1"/>
  </cacheHierarchies>
  <kpis count="0"/>
  <dimensions count="5">
    <dimension name="Calendar" uniqueName="[Calendar]" caption="Calendar"/>
    <dimension measure="1" name="Measures" uniqueName="[Measures]" caption="Measures"/>
    <dimension name="Pilar" uniqueName="[Pilar]" caption="Pilar"/>
    <dimension name="Reagrupa" uniqueName="[Reagrupa]" caption="Reagrupa"/>
    <dimension name="Vendas" uniqueName="[Vendas]" caption="Vendas"/>
  </dimensions>
  <measureGroups count="4">
    <measureGroup name="Calendar" caption="Calendar"/>
    <measureGroup name="Pilar" caption="Pilar"/>
    <measureGroup name="Reagrupa" caption="Reagrupa"/>
    <measureGroup name="Vendas" caption="Vendas"/>
  </measureGroups>
  <maps count="8">
    <map measureGroup="0" dimension="0"/>
    <map measureGroup="1" dimension="2"/>
    <map measureGroup="2" dimension="2"/>
    <map measureGroup="2" dimension="3"/>
    <map measureGroup="3" dimension="0"/>
    <map measureGroup="3" dimension="2"/>
    <map measureGroup="3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elo Silveira" refreshedDate="44722.335581597225" backgroundQuery="1" createdVersion="7" refreshedVersion="8" minRefreshableVersion="3" recordCount="0" supportSubquery="1" supportAdvancedDrill="1" xr:uid="{C1E34DB6-DF8D-403C-81E1-BD8FE41C14D8}">
  <cacheSource type="external" connectionId="14"/>
  <cacheFields count="9">
    <cacheField name="[Calendar].[Year].[Year]" caption="Year" numFmtId="0" hierarchy="2" level="1">
      <sharedItems containsSemiMixedTypes="0" containsString="0" containsNumber="1" containsInteger="1" minValue="2022" maxValue="2022" count="1">
        <n v="2022"/>
      </sharedItems>
      <extLst>
        <ext xmlns:x15="http://schemas.microsoft.com/office/spreadsheetml/2010/11/main" uri="{4F2E5C28-24EA-4eb8-9CBF-B6C8F9C3D259}">
          <x15:cachedUniqueNames>
            <x15:cachedUniqueName index="0" name="[Calendar].[Year].&amp;[2022]"/>
          </x15:cachedUniqueNames>
        </ext>
      </extLst>
    </cacheField>
    <cacheField name="[Calendar].[Month].[Month]" caption="Month" numFmtId="0" hierarchy="4" level="1">
      <sharedItems count="1">
        <s v="maio"/>
      </sharedItems>
    </cacheField>
    <cacheField name="[Vendas].[Raça].[Raça]" caption="Raça" numFmtId="0" hierarchy="35" level="1">
      <sharedItems count="45">
        <s v=""/>
        <s v="Airedale Terrier"/>
        <s v="american bull"/>
        <s v="Beagle"/>
        <s v="BERNESE"/>
        <s v="Border Collie"/>
        <s v="Boston Terrier"/>
        <s v="Boxer"/>
        <s v="Buldogue"/>
        <s v="Bull Terrier"/>
        <s v="Cavalier King Charles"/>
        <s v="Chihuahua"/>
        <s v="Chow Chow"/>
        <s v="Cobaia (porquinho da india)"/>
        <s v="Cocker Spaniel Ingles"/>
        <s v="COELHO"/>
        <s v="Corgi"/>
        <s v="Coton de Tulear"/>
        <s v="Dachshund Miniatura"/>
        <s v="Fox Terrier de pelo liso"/>
        <s v="Fox Terrier Miniatura"/>
        <s v="Golden Retriever"/>
        <s v="Labrador"/>
        <s v="Lhasa Apso"/>
        <s v="Lulu da Pomerania"/>
        <s v="Maine Coon"/>
        <s v="Maltes"/>
        <s v="PAPAGAIO"/>
        <s v="Pastor Australiano (Blue Heeler)"/>
        <s v="Persa"/>
        <s v="Pinscher"/>
        <s v="Pinscher Miniatura"/>
        <s v="Pit Bull"/>
        <s v="Poodle Miniatura"/>
        <s v="Poodle Toy"/>
        <s v="Pug"/>
        <s v="Rottweiler"/>
        <s v="Sagui"/>
        <s v="Schnauzer"/>
        <s v="Shiba Inu"/>
        <s v="Shih Tzu"/>
        <s v="Spitz Alemão"/>
        <s v="SRD - SEM RAÇA DEFINIDA"/>
        <s v="West Highland White Terrier"/>
        <s v="Yorkshire Terrier"/>
      </sharedItems>
    </cacheField>
    <cacheField name="[Measures].[QTD de Vendas]" caption="QTD de Vendas" numFmtId="0" hierarchy="48" level="32767"/>
    <cacheField name="[Measures].[Total Bruto]" caption="Total Bruto" numFmtId="0" hierarchy="49" level="32767"/>
    <cacheField name="[Calendar].[Date Hierarchy].[Year]" caption="Year" numFmtId="0" hierarchy="1" level="1">
      <sharedItems containsSemiMixedTypes="0" containsNonDate="0" containsString="0"/>
    </cacheField>
    <cacheField name="[Calendar].[Date Hierarchy].[Month]" caption="Month" numFmtId="0" hierarchy="1" level="2">
      <sharedItems containsSemiMixedTypes="0" containsNonDate="0" containsString="0"/>
    </cacheField>
    <cacheField name="[Calendar].[Date Hierarchy].[DateColumn]" caption="DateColumn" numFmtId="0" hierarchy="1" level="3">
      <sharedItems containsSemiMixedTypes="0" containsNonDate="0" containsString="0"/>
    </cacheField>
    <cacheField name="[Measures].[Quant_Animais]" caption="Quant_Animais" numFmtId="0" hierarchy="60" level="32767"/>
  </cacheFields>
  <cacheHierarchies count="66"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4" unbalanced="0">
      <fieldsUsage count="4">
        <fieldUsage x="-1"/>
        <fieldUsage x="5"/>
        <fieldUsage x="6"/>
        <fieldUsage x="7"/>
      </fieldsUsage>
    </cacheHierarchy>
    <cacheHierarchy uniqueName="[Calendar].[Year]" caption="Year" attribute="1" time="1" defaultMemberUniqueName="[Calendar].[Year].[All]" allUniqueName="[Calendar].[Year].[All]" dimensionUniqueName="[Calendar]" displayFolder="" count="2" memberValueDatatype="20" unbalanced="0">
      <fieldsUsage count="2">
        <fieldUsage x="-1"/>
        <fieldUsage x="0"/>
      </fieldsUsage>
    </cacheHierarchy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2" memberValueDatatype="130" unbalanced="0">
      <fieldsUsage count="2">
        <fieldUsage x="-1"/>
        <fieldUsage x="1"/>
      </fieldsUsage>
    </cacheHierarchy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Pilar].[Grupo]" caption="Grupo" attribute="1" defaultMemberUniqueName="[Pilar].[Grupo].[All]" allUniqueName="[Pilar].[Grupo].[All]" dimensionUniqueName="[Pilar]" displayFolder="" count="0" memberValueDatatype="130" unbalanced="0"/>
    <cacheHierarchy uniqueName="[Pilar].[Pilar]" caption="Pilar" attribute="1" defaultMemberUniqueName="[Pilar].[Pilar].[All]" allUniqueName="[Pilar].[Pilar].[All]" dimensionUniqueName="[Pilar]" displayFolder="" count="0" memberValueDatatype="130" unbalanced="0"/>
    <cacheHierarchy uniqueName="[Pilar].[Column3]" caption="Column3" attribute="1" defaultMemberUniqueName="[Pilar].[Column3].[All]" allUniqueName="[Pilar].[Column3].[All]" dimensionUniqueName="[Pilar]" displayFolder="" count="0" memberValueDatatype="130" unbalanced="0"/>
    <cacheHierarchy uniqueName="[Pilar].[Column4]" caption="Column4" attribute="1" defaultMemberUniqueName="[Pilar].[Column4].[All]" allUniqueName="[Pilar].[Column4].[All]" dimensionUniqueName="[Pilar]" displayFolder="" count="0" memberValueDatatype="130" unbalanced="0"/>
    <cacheHierarchy uniqueName="[Pilar].[Column5]" caption="Column5" attribute="1" defaultMemberUniqueName="[Pilar].[Column5].[All]" allUniqueName="[Pilar].[Column5].[All]" dimensionUniqueName="[Pilar]" displayFolder="" count="0" memberValueDatatype="130" unbalanced="0"/>
    <cacheHierarchy uniqueName="[Reagrupa].[PRODUTOS/SERVIÇO]" caption="PRODUTOS/SERVIÇO" attribute="1" defaultMemberUniqueName="[Reagrupa].[PRODUTOS/SERVIÇO].[All]" allUniqueName="[Reagrupa].[PRODUTOS/SERVIÇO].[All]" dimensionUniqueName="[Reagrupa]" displayFolder="" count="0" memberValueDatatype="130" unbalanced="0"/>
    <cacheHierarchy uniqueName="[Reagrupa].[GRUPO]" caption="GRUPO" attribute="1" defaultMemberUniqueName="[Reagrupa].[GRUPO].[All]" allUniqueName="[Reagrupa].[GRUPO].[All]" dimensionUniqueName="[Reagrupa]" displayFolder="" count="0" memberValueDatatype="130" unbalanced="0"/>
    <cacheHierarchy uniqueName="[Vendas].[Nome da Origem]" caption="Nome da Origem" attribute="1" defaultMemberUniqueName="[Vendas].[Nome da Origem].[All]" allUniqueName="[Vendas].[Nome da Origem].[All]" dimensionUniqueName="[Vendas]" displayFolder="" count="0" memberValueDatatype="130" unbalanced="0"/>
    <cacheHierarchy uniqueName="[Vendas].[Data e hora]" caption="Data e hora" attribute="1" time="1" defaultMemberUniqueName="[Vendas].[Data e hora].[All]" allUniqueName="[Vendas].[Data e hora].[All]" dimensionUniqueName="[Vendas]" displayFolder="" count="0" memberValueDatatype="7" unbalanced="0"/>
    <cacheHierarchy uniqueName="[Vendas].[Venda]" caption="Venda" attribute="1" defaultMemberUniqueName="[Vendas].[Venda].[All]" allUniqueName="[Vendas].[Venda].[All]" dimensionUniqueName="[Vendas]" displayFolder="" count="0" memberValueDatatype="130" unbalanced="0"/>
    <cacheHierarchy uniqueName="[Vendas].[Status da venda]" caption="Status da venda" attribute="1" defaultMemberUniqueName="[Vendas].[Status da venda].[All]" allUniqueName="[Vendas].[Status da venda].[All]" dimensionUniqueName="[Vendas]" displayFolder="" count="0" memberValueDatatype="130" unbalanced="0"/>
    <cacheHierarchy uniqueName="[Vendas].[Data baixa]" caption="Data baixa" attribute="1" defaultMemberUniqueName="[Vendas].[Data baixa].[All]" allUniqueName="[Vendas].[Data baixa].[All]" dimensionUniqueName="[Vendas]" displayFolder="" count="0" memberValueDatatype="130" unbalanced="0"/>
    <cacheHierarchy uniqueName="[Vendas].[Forma pagamento]" caption="Forma pagamento" attribute="1" defaultMemberUniqueName="[Vendas].[Forma pagamento].[All]" allUniqueName="[Vendas].[Forma pagamento].[All]" dimensionUniqueName="[Vendas]" displayFolder="" count="0" memberValueDatatype="130" unbalanced="0"/>
    <cacheHierarchy uniqueName="[Vendas].[Funcionário]" caption="Funcionário" attribute="1" defaultMemberUniqueName="[Vendas].[Funcionário].[All]" allUniqueName="[Vendas].[Funcionário].[All]" dimensionUniqueName="[Vendas]" displayFolder="" count="0" memberValueDatatype="130" unbalanced="0"/>
    <cacheHierarchy uniqueName="[Vendas].[Cliente]" caption="Cliente" attribute="1" defaultMemberUniqueName="[Vendas].[Cliente].[All]" allUniqueName="[Vendas].[Cliente].[All]" dimensionUniqueName="[Vendas]" displayFolder="" count="0" memberValueDatatype="130" unbalanced="0"/>
    <cacheHierarchy uniqueName="[Vendas].[Código]" caption="Código" attribute="1" defaultMemberUniqueName="[Vendas].[Código].[All]" allUniqueName="[Vendas].[Código].[All]" dimensionUniqueName="[Vendas]" displayFolder="" count="0" memberValueDatatype="130" unbalanced="0"/>
    <cacheHierarchy uniqueName="[Vendas].[CPF]" caption="CPF" attribute="1" defaultMemberUniqueName="[Vendas].[CPF].[All]" allUniqueName="[Vendas].[CPF].[All]" dimensionUniqueName="[Vendas]" displayFolder="" count="0" memberValueDatatype="130" unbalanced="0"/>
    <cacheHierarchy uniqueName="[Vendas].[Sexo]" caption="Sexo" attribute="1" defaultMemberUniqueName="[Vendas].[Sexo].[All]" allUniqueName="[Vendas].[Sexo].[All]" dimensionUniqueName="[Vendas]" displayFolder="" count="0" memberValueDatatype="130" unbalanced="0"/>
    <cacheHierarchy uniqueName="[Vendas].[CEP]" caption="CEP" attribute="1" defaultMemberUniqueName="[Vendas].[CEP].[All]" allUniqueName="[Vendas].[CEP].[All]" dimensionUniqueName="[Vendas]" displayFolder="" count="0" memberValueDatatype="130" unbalanced="0"/>
    <cacheHierarchy uniqueName="[Vendas].[Endereço]" caption="Endereço" attribute="1" defaultMemberUniqueName="[Vendas].[Endereço].[All]" allUniqueName="[Vendas].[Endereço].[All]" dimensionUniqueName="[Vendas]" displayFolder="" count="0" memberValueDatatype="130" unbalanced="0"/>
    <cacheHierarchy uniqueName="[Vendas].[Número]" caption="Número" attribute="1" defaultMemberUniqueName="[Vendas].[Número].[All]" allUniqueName="[Vendas].[Número].[All]" dimensionUniqueName="[Vendas]" displayFolder="" count="0" memberValueDatatype="130" unbalanced="0"/>
    <cacheHierarchy uniqueName="[Vendas].[Bairro]" caption="Bairro" attribute="1" defaultMemberUniqueName="[Vendas].[Bairro].[All]" allUniqueName="[Vendas].[Bairro].[All]" dimensionUniqueName="[Vendas]" displayFolder="" count="0" memberValueDatatype="130" unbalanced="0"/>
    <cacheHierarchy uniqueName="[Vendas].[Email]" caption="Email" attribute="1" defaultMemberUniqueName="[Vendas].[Email].[All]" allUniqueName="[Vendas].[Email].[All]" dimensionUniqueName="[Vendas]" displayFolder="" count="0" memberValueDatatype="130" unbalanced="0"/>
    <cacheHierarchy uniqueName="[Vendas].[Celular]" caption="Celular" attribute="1" defaultMemberUniqueName="[Vendas].[Celular].[All]" allUniqueName="[Vendas].[Celular].[All]" dimensionUniqueName="[Vendas]" displayFolder="" count="0" memberValueDatatype="130" unbalanced="0"/>
    <cacheHierarchy uniqueName="[Vendas].[Animal]" caption="Animal" attribute="1" defaultMemberUniqueName="[Vendas].[Animal].[All]" allUniqueName="[Vendas].[Animal].[All]" dimensionUniqueName="[Vendas]" displayFolder="" count="0" memberValueDatatype="130" unbalanced="0"/>
    <cacheHierarchy uniqueName="[Vendas].[Espécie]" caption="Espécie" attribute="1" defaultMemberUniqueName="[Vendas].[Espécie].[All]" allUniqueName="[Vendas].[Espécie].[All]" dimensionUniqueName="[Vendas]" displayFolder="" count="0" memberValueDatatype="130" unbalanced="0"/>
    <cacheHierarchy uniqueName="[Vendas].[Sexo_1]" caption="Sexo_1" attribute="1" defaultMemberUniqueName="[Vendas].[Sexo_1].[All]" allUniqueName="[Vendas].[Sexo_1].[All]" dimensionUniqueName="[Vendas]" displayFolder="" count="0" memberValueDatatype="130" unbalanced="0"/>
    <cacheHierarchy uniqueName="[Vendas].[Raça]" caption="Raça" attribute="1" defaultMemberUniqueName="[Vendas].[Raça].[All]" allUniqueName="[Vendas].[Raça].[All]" dimensionUniqueName="[Vendas]" displayFolder="" count="2" memberValueDatatype="130" unbalanced="0">
      <fieldsUsage count="2">
        <fieldUsage x="-1"/>
        <fieldUsage x="2"/>
      </fieldsUsage>
    </cacheHierarchy>
    <cacheHierarchy uniqueName="[Vendas].[Tipo do Item]" caption="Tipo do Item" attribute="1" defaultMemberUniqueName="[Vendas].[Tipo do Item].[All]" allUniqueName="[Vendas].[Tipo do Item].[All]" dimensionUniqueName="[Vendas]" displayFolder="" count="0" memberValueDatatype="130" unbalanced="0"/>
    <cacheHierarchy uniqueName="[Vendas].[Grupo]" caption="Grupo" attribute="1" defaultMemberUniqueName="[Vendas].[Grupo].[All]" allUniqueName="[Vendas].[Grupo].[All]" dimensionUniqueName="[Vendas]" displayFolder="" count="0" memberValueDatatype="130" unbalanced="0"/>
    <cacheHierarchy uniqueName="[Vendas].[Produto/serviço]" caption="Produto/serviço" attribute="1" defaultMemberUniqueName="[Vendas].[Produto/serviço].[All]" allUniqueName="[Vendas].[Produto/serviço].[All]" dimensionUniqueName="[Vendas]" displayFolder="" count="0" memberValueDatatype="130" unbalanced="0"/>
    <cacheHierarchy uniqueName="[Vendas].[Valor Unitário]" caption="Valor Unitário" attribute="1" defaultMemberUniqueName="[Vendas].[Valor Unitário].[All]" allUniqueName="[Vendas].[Valor Unitário].[All]" dimensionUniqueName="[Vendas]" displayFolder="" count="0" memberValueDatatype="130" unbalanced="0"/>
    <cacheHierarchy uniqueName="[Vendas].[Quantidade]" caption="Quantidade" attribute="1" defaultMemberUniqueName="[Vendas].[Quantidade].[All]" allUniqueName="[Vendas].[Quantidade].[All]" dimensionUniqueName="[Vendas]" displayFolder="" count="0" memberValueDatatype="20" unbalanced="0"/>
    <cacheHierarchy uniqueName="[Vendas].[Bruto]" caption="Bruto" attribute="1" defaultMemberUniqueName="[Vendas].[Bruto].[All]" allUniqueName="[Vendas].[Bruto].[All]" dimensionUniqueName="[Vendas]" displayFolder="" count="0" memberValueDatatype="5" unbalanced="0"/>
    <cacheHierarchy uniqueName="[Vendas].[Desconto]" caption="Desconto" attribute="1" defaultMemberUniqueName="[Vendas].[Desconto].[All]" allUniqueName="[Vendas].[Desconto].[All]" dimensionUniqueName="[Vendas]" displayFolder="" count="0" memberValueDatatype="5" unbalanced="0"/>
    <cacheHierarchy uniqueName="[Vendas].[Líquido]" caption="Líquido" attribute="1" defaultMemberUniqueName="[Vendas].[Líquido].[All]" allUniqueName="[Vendas].[Líquido].[All]" dimensionUniqueName="[Vendas]" displayFolder="" count="0" memberValueDatatype="5" unbalanced="0"/>
    <cacheHierarchy uniqueName="[Vendas].[Column1]" caption="Column1" attribute="1" defaultMemberUniqueName="[Vendas].[Column1].[All]" allUniqueName="[Vendas].[Column1].[All]" dimensionUniqueName="[Vendas]" displayFolder="" count="0" memberValueDatatype="130" unbalanced="0"/>
    <cacheHierarchy uniqueName="[Measures].[Contagem de Pilar]" caption="Contagem de Pilar" measure="1" displayFolder="" measureGroup="Pilar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Total Quanditade]" caption="Total Quanditade" measure="1" displayFolder="" measureGroup="Vendas" count="0"/>
    <cacheHierarchy uniqueName="[Measures].[QTD de Clientes]" caption="QTD de Clientes" measure="1" displayFolder="" measureGroup="Vendas" count="0"/>
    <cacheHierarchy uniqueName="[Measures].[QTD de Vendas]" caption="QTD de Vendas" measure="1" displayFolder="" measureGroup="Vendas" count="0" oneField="1">
      <fieldsUsage count="1">
        <fieldUsage x="3"/>
      </fieldsUsage>
    </cacheHierarchy>
    <cacheHierarchy uniqueName="[Measures].[Total Bruto]" caption="Total Bruto" measure="1" displayFolder="" measureGroup="Vendas" count="0" oneField="1">
      <fieldsUsage count="1">
        <fieldUsage x="4"/>
      </fieldsUsage>
    </cacheHierarchy>
    <cacheHierarchy uniqueName="[Measures].[Ticket Médio]" caption="Ticket Médio" measure="1" displayFolder="" measureGroup="Vendas" count="0"/>
    <cacheHierarchy uniqueName="[Measures].[Preço Médio]" caption="Preço Médio" measure="1" displayFolder="" measureGroup="Vendas" count="0"/>
    <cacheHierarchy uniqueName="[Measures].[Fat. Méd. Clientes]" caption="Fat. Méd. Clientes" measure="1" displayFolder="" measureGroup="Vendas" count="0"/>
    <cacheHierarchy uniqueName="[Measures].[Consulta]" caption="Consulta" measure="1" displayFolder="" measureGroup="Vendas" count="0"/>
    <cacheHierarchy uniqueName="[Measures].[Exames]" caption="Exames" measure="1" displayFolder="" measureGroup="Vendas" count="0"/>
    <cacheHierarchy uniqueName="[Measures].[Internação]" caption="Internação" measure="1" displayFolder="" measureGroup="Vendas" count="0"/>
    <cacheHierarchy uniqueName="[Measures].[Cirurgia]" caption="Cirurgia" measure="1" displayFolder="" measureGroup="Vendas" count="0"/>
    <cacheHierarchy uniqueName="[Measures].[Consultas/Internação]" caption="Consultas/Internação" measure="1" displayFolder="" measureGroup="Vendas" count="0"/>
    <cacheHierarchy uniqueName="[Measures].[Consultas/Cirurgias]" caption="Consultas/Cirurgias" measure="1" displayFolder="" measureGroup="Vendas" count="0"/>
    <cacheHierarchy uniqueName="[Measures].[Consultas/Exames]" caption="Consultas/Exames" measure="1" displayFolder="" measureGroup="Vendas" count="0"/>
    <cacheHierarchy uniqueName="[Measures].[Quant_Animais]" caption="Quant_Animais" measure="1" displayFolder="" measureGroup="Vendas" count="0" oneField="1">
      <fieldsUsage count="1">
        <fieldUsage x="8"/>
      </fieldsUsage>
    </cacheHierarchy>
    <cacheHierarchy uniqueName="[Measures].[__XL_Count Vendas]" caption="__XL_Count Vendas" measure="1" displayFolder="" measureGroup="Vendas" count="0" hidden="1"/>
    <cacheHierarchy uniqueName="[Measures].[__XL_Count Reagrupa]" caption="__XL_Count Reagrupa" measure="1" displayFolder="" measureGroup="Reagrupa" count="0" hidden="1"/>
    <cacheHierarchy uniqueName="[Measures].[__XL_Count Calendar]" caption="__XL_Count Calendar" measure="1" displayFolder="" measureGroup="Calendar" count="0" hidden="1"/>
    <cacheHierarchy uniqueName="[Measures].[__XL_Count Pilar]" caption="__XL_Count Pilar" measure="1" displayFolder="" measureGroup="Pilar" count="0" hidden="1"/>
    <cacheHierarchy uniqueName="[Measures].[__No measures defined]" caption="__No measures defined" measure="1" displayFolder="" count="0" hidden="1"/>
  </cacheHierarchies>
  <kpis count="0"/>
  <dimensions count="5">
    <dimension name="Calendar" uniqueName="[Calendar]" caption="Calendar"/>
    <dimension measure="1" name="Measures" uniqueName="[Measures]" caption="Measures"/>
    <dimension name="Pilar" uniqueName="[Pilar]" caption="Pilar"/>
    <dimension name="Reagrupa" uniqueName="[Reagrupa]" caption="Reagrupa"/>
    <dimension name="Vendas" uniqueName="[Vendas]" caption="Vendas"/>
  </dimensions>
  <measureGroups count="4">
    <measureGroup name="Calendar" caption="Calendar"/>
    <measureGroup name="Pilar" caption="Pilar"/>
    <measureGroup name="Reagrupa" caption="Reagrupa"/>
    <measureGroup name="Vendas" caption="Vendas"/>
  </measureGroups>
  <maps count="8">
    <map measureGroup="0" dimension="0"/>
    <map measureGroup="1" dimension="2"/>
    <map measureGroup="2" dimension="2"/>
    <map measureGroup="2" dimension="3"/>
    <map measureGroup="3" dimension="0"/>
    <map measureGroup="3" dimension="2"/>
    <map measureGroup="3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elo Silveira" refreshedDate="44722.33558240741" backgroundQuery="1" createdVersion="7" refreshedVersion="8" minRefreshableVersion="3" recordCount="0" supportSubquery="1" supportAdvancedDrill="1" xr:uid="{EC379BE4-E4D7-4661-932F-D770C9C29E6C}">
  <cacheSource type="external" connectionId="14"/>
  <cacheFields count="10">
    <cacheField name="[Calendar].[Year].[Year]" caption="Year" numFmtId="0" hierarchy="2" level="1">
      <sharedItems containsSemiMixedTypes="0" containsString="0" containsNumber="1" containsInteger="1" minValue="2021" maxValue="2022" count="2">
        <n v="2022"/>
        <n v="2021" u="1"/>
      </sharedItems>
      <extLst>
        <ext xmlns:x15="http://schemas.microsoft.com/office/spreadsheetml/2010/11/main" uri="{4F2E5C28-24EA-4eb8-9CBF-B6C8F9C3D259}">
          <x15:cachedUniqueNames>
            <x15:cachedUniqueName index="0" name="[Calendar].[Year].&amp;[2022]"/>
            <x15:cachedUniqueName index="1" name="[Calendar].[Year].&amp;[2021]"/>
          </x15:cachedUniqueNames>
        </ext>
      </extLst>
    </cacheField>
    <cacheField name="[Calendar].[Month].[Month]" caption="Month" numFmtId="0" hierarchy="4" level="1">
      <sharedItems count="6">
        <s v="maio"/>
        <s v="abril" u="1"/>
        <s v="março" u="1"/>
        <s v="fevereiro" u="1"/>
        <s v="janeiro" u="1"/>
        <s v="dezembro" u="1"/>
      </sharedItems>
    </cacheField>
    <cacheField name="[Vendas].[Espécie].[Espécie]" caption="Espécie" numFmtId="0" hierarchy="33" level="1">
      <sharedItems count="10">
        <s v="Caninos"/>
        <s v="Cunícula"/>
        <s v="Felina - nao usar"/>
        <s v="Felinos"/>
        <s v="Silvestres"/>
        <s v="Roedor" u="1"/>
        <s v="" u="1"/>
        <s v="Avícola" u="1"/>
        <s v="Equina" u="1"/>
        <s v="Pássaros" u="1"/>
      </sharedItems>
    </cacheField>
    <cacheField name="[Vendas].[Sexo_1].[Sexo_1]" caption="Sexo_1" numFmtId="0" hierarchy="34" level="1">
      <sharedItems count="4">
        <s v="F"/>
        <s v="M"/>
        <s v="I"/>
        <s v="" u="1"/>
      </sharedItems>
    </cacheField>
    <cacheField name="[Measures].[Quant_Animais]" caption="Quant_Animais" numFmtId="0" hierarchy="60" level="32767"/>
    <cacheField name="[Measures].[QTD de Vendas]" caption="QTD de Vendas" numFmtId="0" hierarchy="48" level="32767"/>
    <cacheField name="[Measures].[Total Bruto]" caption="Total Bruto" numFmtId="0" hierarchy="49" level="32767"/>
    <cacheField name="[Calendar].[Date Hierarchy].[Year]" caption="Year" numFmtId="0" hierarchy="1" level="1">
      <sharedItems containsSemiMixedTypes="0" containsNonDate="0" containsString="0"/>
    </cacheField>
    <cacheField name="[Calendar].[Date Hierarchy].[Month]" caption="Month" numFmtId="0" hierarchy="1" level="2">
      <sharedItems containsSemiMixedTypes="0" containsNonDate="0" containsString="0"/>
    </cacheField>
    <cacheField name="[Calendar].[Date Hierarchy].[DateColumn]" caption="DateColumn" numFmtId="0" hierarchy="1" level="3">
      <sharedItems containsSemiMixedTypes="0" containsNonDate="0" containsString="0"/>
    </cacheField>
  </cacheFields>
  <cacheHierarchies count="66"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4" unbalanced="0">
      <fieldsUsage count="4">
        <fieldUsage x="-1"/>
        <fieldUsage x="7"/>
        <fieldUsage x="8"/>
        <fieldUsage x="9"/>
      </fieldsUsage>
    </cacheHierarchy>
    <cacheHierarchy uniqueName="[Calendar].[Year]" caption="Year" attribute="1" time="1" defaultMemberUniqueName="[Calendar].[Year].[All]" allUniqueName="[Calendar].[Year].[All]" dimensionUniqueName="[Calendar]" displayFolder="" count="2" memberValueDatatype="20" unbalanced="0">
      <fieldsUsage count="2">
        <fieldUsage x="-1"/>
        <fieldUsage x="0"/>
      </fieldsUsage>
    </cacheHierarchy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2" memberValueDatatype="130" unbalanced="0">
      <fieldsUsage count="2">
        <fieldUsage x="-1"/>
        <fieldUsage x="1"/>
      </fieldsUsage>
    </cacheHierarchy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Pilar].[Grupo]" caption="Grupo" attribute="1" defaultMemberUniqueName="[Pilar].[Grupo].[All]" allUniqueName="[Pilar].[Grupo].[All]" dimensionUniqueName="[Pilar]" displayFolder="" count="0" memberValueDatatype="130" unbalanced="0"/>
    <cacheHierarchy uniqueName="[Pilar].[Pilar]" caption="Pilar" attribute="1" defaultMemberUniqueName="[Pilar].[Pilar].[All]" allUniqueName="[Pilar].[Pilar].[All]" dimensionUniqueName="[Pilar]" displayFolder="" count="0" memberValueDatatype="130" unbalanced="0"/>
    <cacheHierarchy uniqueName="[Pilar].[Column3]" caption="Column3" attribute="1" defaultMemberUniqueName="[Pilar].[Column3].[All]" allUniqueName="[Pilar].[Column3].[All]" dimensionUniqueName="[Pilar]" displayFolder="" count="0" memberValueDatatype="130" unbalanced="0"/>
    <cacheHierarchy uniqueName="[Pilar].[Column4]" caption="Column4" attribute="1" defaultMemberUniqueName="[Pilar].[Column4].[All]" allUniqueName="[Pilar].[Column4].[All]" dimensionUniqueName="[Pilar]" displayFolder="" count="0" memberValueDatatype="130" unbalanced="0"/>
    <cacheHierarchy uniqueName="[Pilar].[Column5]" caption="Column5" attribute="1" defaultMemberUniqueName="[Pilar].[Column5].[All]" allUniqueName="[Pilar].[Column5].[All]" dimensionUniqueName="[Pilar]" displayFolder="" count="0" memberValueDatatype="130" unbalanced="0"/>
    <cacheHierarchy uniqueName="[Reagrupa].[PRODUTOS/SERVIÇO]" caption="PRODUTOS/SERVIÇO" attribute="1" defaultMemberUniqueName="[Reagrupa].[PRODUTOS/SERVIÇO].[All]" allUniqueName="[Reagrupa].[PRODUTOS/SERVIÇO].[All]" dimensionUniqueName="[Reagrupa]" displayFolder="" count="0" memberValueDatatype="130" unbalanced="0"/>
    <cacheHierarchy uniqueName="[Reagrupa].[GRUPO]" caption="GRUPO" attribute="1" defaultMemberUniqueName="[Reagrupa].[GRUPO].[All]" allUniqueName="[Reagrupa].[GRUPO].[All]" dimensionUniqueName="[Reagrupa]" displayFolder="" count="0" memberValueDatatype="130" unbalanced="0"/>
    <cacheHierarchy uniqueName="[Vendas].[Nome da Origem]" caption="Nome da Origem" attribute="1" defaultMemberUniqueName="[Vendas].[Nome da Origem].[All]" allUniqueName="[Vendas].[Nome da Origem].[All]" dimensionUniqueName="[Vendas]" displayFolder="" count="0" memberValueDatatype="130" unbalanced="0"/>
    <cacheHierarchy uniqueName="[Vendas].[Data e hora]" caption="Data e hora" attribute="1" time="1" defaultMemberUniqueName="[Vendas].[Data e hora].[All]" allUniqueName="[Vendas].[Data e hora].[All]" dimensionUniqueName="[Vendas]" displayFolder="" count="0" memberValueDatatype="7" unbalanced="0"/>
    <cacheHierarchy uniqueName="[Vendas].[Venda]" caption="Venda" attribute="1" defaultMemberUniqueName="[Vendas].[Venda].[All]" allUniqueName="[Vendas].[Venda].[All]" dimensionUniqueName="[Vendas]" displayFolder="" count="0" memberValueDatatype="130" unbalanced="0"/>
    <cacheHierarchy uniqueName="[Vendas].[Status da venda]" caption="Status da venda" attribute="1" defaultMemberUniqueName="[Vendas].[Status da venda].[All]" allUniqueName="[Vendas].[Status da venda].[All]" dimensionUniqueName="[Vendas]" displayFolder="" count="0" memberValueDatatype="130" unbalanced="0"/>
    <cacheHierarchy uniqueName="[Vendas].[Data baixa]" caption="Data baixa" attribute="1" defaultMemberUniqueName="[Vendas].[Data baixa].[All]" allUniqueName="[Vendas].[Data baixa].[All]" dimensionUniqueName="[Vendas]" displayFolder="" count="0" memberValueDatatype="130" unbalanced="0"/>
    <cacheHierarchy uniqueName="[Vendas].[Forma pagamento]" caption="Forma pagamento" attribute="1" defaultMemberUniqueName="[Vendas].[Forma pagamento].[All]" allUniqueName="[Vendas].[Forma pagamento].[All]" dimensionUniqueName="[Vendas]" displayFolder="" count="0" memberValueDatatype="130" unbalanced="0"/>
    <cacheHierarchy uniqueName="[Vendas].[Funcionário]" caption="Funcionário" attribute="1" defaultMemberUniqueName="[Vendas].[Funcionário].[All]" allUniqueName="[Vendas].[Funcionário].[All]" dimensionUniqueName="[Vendas]" displayFolder="" count="0" memberValueDatatype="130" unbalanced="0"/>
    <cacheHierarchy uniqueName="[Vendas].[Cliente]" caption="Cliente" attribute="1" defaultMemberUniqueName="[Vendas].[Cliente].[All]" allUniqueName="[Vendas].[Cliente].[All]" dimensionUniqueName="[Vendas]" displayFolder="" count="0" memberValueDatatype="130" unbalanced="0"/>
    <cacheHierarchy uniqueName="[Vendas].[Código]" caption="Código" attribute="1" defaultMemberUniqueName="[Vendas].[Código].[All]" allUniqueName="[Vendas].[Código].[All]" dimensionUniqueName="[Vendas]" displayFolder="" count="0" memberValueDatatype="130" unbalanced="0"/>
    <cacheHierarchy uniqueName="[Vendas].[CPF]" caption="CPF" attribute="1" defaultMemberUniqueName="[Vendas].[CPF].[All]" allUniqueName="[Vendas].[CPF].[All]" dimensionUniqueName="[Vendas]" displayFolder="" count="0" memberValueDatatype="130" unbalanced="0"/>
    <cacheHierarchy uniqueName="[Vendas].[Sexo]" caption="Sexo" attribute="1" defaultMemberUniqueName="[Vendas].[Sexo].[All]" allUniqueName="[Vendas].[Sexo].[All]" dimensionUniqueName="[Vendas]" displayFolder="" count="0" memberValueDatatype="130" unbalanced="0"/>
    <cacheHierarchy uniqueName="[Vendas].[CEP]" caption="CEP" attribute="1" defaultMemberUniqueName="[Vendas].[CEP].[All]" allUniqueName="[Vendas].[CEP].[All]" dimensionUniqueName="[Vendas]" displayFolder="" count="0" memberValueDatatype="130" unbalanced="0"/>
    <cacheHierarchy uniqueName="[Vendas].[Endereço]" caption="Endereço" attribute="1" defaultMemberUniqueName="[Vendas].[Endereço].[All]" allUniqueName="[Vendas].[Endereço].[All]" dimensionUniqueName="[Vendas]" displayFolder="" count="0" memberValueDatatype="130" unbalanced="0"/>
    <cacheHierarchy uniqueName="[Vendas].[Número]" caption="Número" attribute="1" defaultMemberUniqueName="[Vendas].[Número].[All]" allUniqueName="[Vendas].[Número].[All]" dimensionUniqueName="[Vendas]" displayFolder="" count="0" memberValueDatatype="130" unbalanced="0"/>
    <cacheHierarchy uniqueName="[Vendas].[Bairro]" caption="Bairro" attribute="1" defaultMemberUniqueName="[Vendas].[Bairro].[All]" allUniqueName="[Vendas].[Bairro].[All]" dimensionUniqueName="[Vendas]" displayFolder="" count="0" memberValueDatatype="130" unbalanced="0"/>
    <cacheHierarchy uniqueName="[Vendas].[Email]" caption="Email" attribute="1" defaultMemberUniqueName="[Vendas].[Email].[All]" allUniqueName="[Vendas].[Email].[All]" dimensionUniqueName="[Vendas]" displayFolder="" count="0" memberValueDatatype="130" unbalanced="0"/>
    <cacheHierarchy uniqueName="[Vendas].[Celular]" caption="Celular" attribute="1" defaultMemberUniqueName="[Vendas].[Celular].[All]" allUniqueName="[Vendas].[Celular].[All]" dimensionUniqueName="[Vendas]" displayFolder="" count="0" memberValueDatatype="130" unbalanced="0"/>
    <cacheHierarchy uniqueName="[Vendas].[Animal]" caption="Animal" attribute="1" defaultMemberUniqueName="[Vendas].[Animal].[All]" allUniqueName="[Vendas].[Animal].[All]" dimensionUniqueName="[Vendas]" displayFolder="" count="0" memberValueDatatype="130" unbalanced="0"/>
    <cacheHierarchy uniqueName="[Vendas].[Espécie]" caption="Espécie" attribute="1" defaultMemberUniqueName="[Vendas].[Espécie].[All]" allUniqueName="[Vendas].[Espécie].[All]" dimensionUniqueName="[Vendas]" displayFolder="" count="2" memberValueDatatype="130" unbalanced="0">
      <fieldsUsage count="2">
        <fieldUsage x="-1"/>
        <fieldUsage x="2"/>
      </fieldsUsage>
    </cacheHierarchy>
    <cacheHierarchy uniqueName="[Vendas].[Sexo_1]" caption="Sexo_1" attribute="1" defaultMemberUniqueName="[Vendas].[Sexo_1].[All]" allUniqueName="[Vendas].[Sexo_1].[All]" dimensionUniqueName="[Vendas]" displayFolder="" count="2" memberValueDatatype="130" unbalanced="0">
      <fieldsUsage count="2">
        <fieldUsage x="-1"/>
        <fieldUsage x="3"/>
      </fieldsUsage>
    </cacheHierarchy>
    <cacheHierarchy uniqueName="[Vendas].[Raça]" caption="Raça" attribute="1" defaultMemberUniqueName="[Vendas].[Raça].[All]" allUniqueName="[Vendas].[Raça].[All]" dimensionUniqueName="[Vendas]" displayFolder="" count="0" memberValueDatatype="130" unbalanced="0"/>
    <cacheHierarchy uniqueName="[Vendas].[Tipo do Item]" caption="Tipo do Item" attribute="1" defaultMemberUniqueName="[Vendas].[Tipo do Item].[All]" allUniqueName="[Vendas].[Tipo do Item].[All]" dimensionUniqueName="[Vendas]" displayFolder="" count="0" memberValueDatatype="130" unbalanced="0"/>
    <cacheHierarchy uniqueName="[Vendas].[Grupo]" caption="Grupo" attribute="1" defaultMemberUniqueName="[Vendas].[Grupo].[All]" allUniqueName="[Vendas].[Grupo].[All]" dimensionUniqueName="[Vendas]" displayFolder="" count="0" memberValueDatatype="130" unbalanced="0"/>
    <cacheHierarchy uniqueName="[Vendas].[Produto/serviço]" caption="Produto/serviço" attribute="1" defaultMemberUniqueName="[Vendas].[Produto/serviço].[All]" allUniqueName="[Vendas].[Produto/serviço].[All]" dimensionUniqueName="[Vendas]" displayFolder="" count="0" memberValueDatatype="130" unbalanced="0"/>
    <cacheHierarchy uniqueName="[Vendas].[Valor Unitário]" caption="Valor Unitário" attribute="1" defaultMemberUniqueName="[Vendas].[Valor Unitário].[All]" allUniqueName="[Vendas].[Valor Unitário].[All]" dimensionUniqueName="[Vendas]" displayFolder="" count="0" memberValueDatatype="130" unbalanced="0"/>
    <cacheHierarchy uniqueName="[Vendas].[Quantidade]" caption="Quantidade" attribute="1" defaultMemberUniqueName="[Vendas].[Quantidade].[All]" allUniqueName="[Vendas].[Quantidade].[All]" dimensionUniqueName="[Vendas]" displayFolder="" count="0" memberValueDatatype="20" unbalanced="0"/>
    <cacheHierarchy uniqueName="[Vendas].[Bruto]" caption="Bruto" attribute="1" defaultMemberUniqueName="[Vendas].[Bruto].[All]" allUniqueName="[Vendas].[Bruto].[All]" dimensionUniqueName="[Vendas]" displayFolder="" count="0" memberValueDatatype="5" unbalanced="0"/>
    <cacheHierarchy uniqueName="[Vendas].[Desconto]" caption="Desconto" attribute="1" defaultMemberUniqueName="[Vendas].[Desconto].[All]" allUniqueName="[Vendas].[Desconto].[All]" dimensionUniqueName="[Vendas]" displayFolder="" count="0" memberValueDatatype="5" unbalanced="0"/>
    <cacheHierarchy uniqueName="[Vendas].[Líquido]" caption="Líquido" attribute="1" defaultMemberUniqueName="[Vendas].[Líquido].[All]" allUniqueName="[Vendas].[Líquido].[All]" dimensionUniqueName="[Vendas]" displayFolder="" count="0" memberValueDatatype="5" unbalanced="0"/>
    <cacheHierarchy uniqueName="[Vendas].[Column1]" caption="Column1" attribute="1" defaultMemberUniqueName="[Vendas].[Column1].[All]" allUniqueName="[Vendas].[Column1].[All]" dimensionUniqueName="[Vendas]" displayFolder="" count="0" memberValueDatatype="130" unbalanced="0"/>
    <cacheHierarchy uniqueName="[Measures].[Contagem de Pilar]" caption="Contagem de Pilar" measure="1" displayFolder="" measureGroup="Pilar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Total Quanditade]" caption="Total Quanditade" measure="1" displayFolder="" measureGroup="Vendas" count="0"/>
    <cacheHierarchy uniqueName="[Measures].[QTD de Clientes]" caption="QTD de Clientes" measure="1" displayFolder="" measureGroup="Vendas" count="0"/>
    <cacheHierarchy uniqueName="[Measures].[QTD de Vendas]" caption="QTD de Vendas" measure="1" displayFolder="" measureGroup="Vendas" count="0" oneField="1">
      <fieldsUsage count="1">
        <fieldUsage x="5"/>
      </fieldsUsage>
    </cacheHierarchy>
    <cacheHierarchy uniqueName="[Measures].[Total Bruto]" caption="Total Bruto" measure="1" displayFolder="" measureGroup="Vendas" count="0" oneField="1">
      <fieldsUsage count="1">
        <fieldUsage x="6"/>
      </fieldsUsage>
    </cacheHierarchy>
    <cacheHierarchy uniqueName="[Measures].[Ticket Médio]" caption="Ticket Médio" measure="1" displayFolder="" measureGroup="Vendas" count="0"/>
    <cacheHierarchy uniqueName="[Measures].[Preço Médio]" caption="Preço Médio" measure="1" displayFolder="" measureGroup="Vendas" count="0"/>
    <cacheHierarchy uniqueName="[Measures].[Fat. Méd. Clientes]" caption="Fat. Méd. Clientes" measure="1" displayFolder="" measureGroup="Vendas" count="0"/>
    <cacheHierarchy uniqueName="[Measures].[Consulta]" caption="Consulta" measure="1" displayFolder="" measureGroup="Vendas" count="0"/>
    <cacheHierarchy uniqueName="[Measures].[Exames]" caption="Exames" measure="1" displayFolder="" measureGroup="Vendas" count="0"/>
    <cacheHierarchy uniqueName="[Measures].[Internação]" caption="Internação" measure="1" displayFolder="" measureGroup="Vendas" count="0"/>
    <cacheHierarchy uniqueName="[Measures].[Cirurgia]" caption="Cirurgia" measure="1" displayFolder="" measureGroup="Vendas" count="0"/>
    <cacheHierarchy uniqueName="[Measures].[Consultas/Internação]" caption="Consultas/Internação" measure="1" displayFolder="" measureGroup="Vendas" count="0"/>
    <cacheHierarchy uniqueName="[Measures].[Consultas/Cirurgias]" caption="Consultas/Cirurgias" measure="1" displayFolder="" measureGroup="Vendas" count="0"/>
    <cacheHierarchy uniqueName="[Measures].[Consultas/Exames]" caption="Consultas/Exames" measure="1" displayFolder="" measureGroup="Vendas" count="0"/>
    <cacheHierarchy uniqueName="[Measures].[Quant_Animais]" caption="Quant_Animais" measure="1" displayFolder="" measureGroup="Vendas" count="0" oneField="1">
      <fieldsUsage count="1">
        <fieldUsage x="4"/>
      </fieldsUsage>
    </cacheHierarchy>
    <cacheHierarchy uniqueName="[Measures].[__XL_Count Vendas]" caption="__XL_Count Vendas" measure="1" displayFolder="" measureGroup="Vendas" count="0" hidden="1"/>
    <cacheHierarchy uniqueName="[Measures].[__XL_Count Reagrupa]" caption="__XL_Count Reagrupa" measure="1" displayFolder="" measureGroup="Reagrupa" count="0" hidden="1"/>
    <cacheHierarchy uniqueName="[Measures].[__XL_Count Calendar]" caption="__XL_Count Calendar" measure="1" displayFolder="" measureGroup="Calendar" count="0" hidden="1"/>
    <cacheHierarchy uniqueName="[Measures].[__XL_Count Pilar]" caption="__XL_Count Pilar" measure="1" displayFolder="" measureGroup="Pilar" count="0" hidden="1"/>
    <cacheHierarchy uniqueName="[Measures].[__No measures defined]" caption="__No measures defined" measure="1" displayFolder="" count="0" hidden="1"/>
  </cacheHierarchies>
  <kpis count="0"/>
  <dimensions count="5">
    <dimension name="Calendar" uniqueName="[Calendar]" caption="Calendar"/>
    <dimension measure="1" name="Measures" uniqueName="[Measures]" caption="Measures"/>
    <dimension name="Pilar" uniqueName="[Pilar]" caption="Pilar"/>
    <dimension name="Reagrupa" uniqueName="[Reagrupa]" caption="Reagrupa"/>
    <dimension name="Vendas" uniqueName="[Vendas]" caption="Vendas"/>
  </dimensions>
  <measureGroups count="4">
    <measureGroup name="Calendar" caption="Calendar"/>
    <measureGroup name="Pilar" caption="Pilar"/>
    <measureGroup name="Reagrupa" caption="Reagrupa"/>
    <measureGroup name="Vendas" caption="Vendas"/>
  </measureGroups>
  <maps count="8">
    <map measureGroup="0" dimension="0"/>
    <map measureGroup="1" dimension="2"/>
    <map measureGroup="2" dimension="2"/>
    <map measureGroup="2" dimension="3"/>
    <map measureGroup="3" dimension="0"/>
    <map measureGroup="3" dimension="2"/>
    <map measureGroup="3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elo Silveira" refreshedDate="44722.336310416664" backgroundQuery="1" createdVersion="7" refreshedVersion="8" minRefreshableVersion="3" recordCount="0" supportSubquery="1" supportAdvancedDrill="1" xr:uid="{C2060C93-354B-48B5-A244-FDCB9756B9B0}">
  <cacheSource type="external" connectionId="14"/>
  <cacheFields count="6">
    <cacheField name="[Calendar].[Year].[Year]" caption="Year" numFmtId="0" hierarchy="2" level="1">
      <sharedItems containsSemiMixedTypes="0" containsString="0" containsNumber="1" containsInteger="1" minValue="2021" maxValue="2022" count="2">
        <n v="2021"/>
        <n v="2022"/>
      </sharedItems>
      <extLst>
        <ext xmlns:x15="http://schemas.microsoft.com/office/spreadsheetml/2010/11/main" uri="{4F2E5C28-24EA-4eb8-9CBF-B6C8F9C3D259}">
          <x15:cachedUniqueNames>
            <x15:cachedUniqueName index="0" name="[Calendar].[Year].&amp;[2021]"/>
            <x15:cachedUniqueName index="1" name="[Calendar].[Year].&amp;[2022]"/>
          </x15:cachedUniqueNames>
        </ext>
      </extLst>
    </cacheField>
    <cacheField name="[Calendar].[Month].[Month]" caption="Month" numFmtId="0" hierarchy="4" level="1">
      <sharedItems count="6">
        <s v="dezembro"/>
        <s v="janeiro"/>
        <s v="fevereiro"/>
        <s v="março"/>
        <s v="abril"/>
        <s v="maio"/>
      </sharedItems>
    </cacheField>
    <cacheField name="[Measures].[QTD de Clientes]" caption="QTD de Clientes" numFmtId="0" hierarchy="47" level="32767"/>
    <cacheField name="[Calendar].[Date Hierarchy].[Year]" caption="Year" numFmtId="0" hierarchy="1" level="1">
      <sharedItems containsSemiMixedTypes="0" containsNonDate="0" containsString="0"/>
    </cacheField>
    <cacheField name="[Calendar].[Date Hierarchy].[Month]" caption="Month" numFmtId="0" hierarchy="1" level="2">
      <sharedItems containsSemiMixedTypes="0" containsNonDate="0" containsString="0"/>
    </cacheField>
    <cacheField name="[Calendar].[Date Hierarchy].[DateColumn]" caption="DateColumn" numFmtId="0" hierarchy="1" level="3">
      <sharedItems containsSemiMixedTypes="0" containsNonDate="0" containsString="0"/>
    </cacheField>
  </cacheFields>
  <cacheHierarchies count="66"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4" unbalanced="0">
      <fieldsUsage count="4">
        <fieldUsage x="-1"/>
        <fieldUsage x="3"/>
        <fieldUsage x="4"/>
        <fieldUsage x="5"/>
      </fieldsUsage>
    </cacheHierarchy>
    <cacheHierarchy uniqueName="[Calendar].[Year]" caption="Year" attribute="1" time="1" defaultMemberUniqueName="[Calendar].[Year].[All]" allUniqueName="[Calendar].[Year].[All]" dimensionUniqueName="[Calendar]" displayFolder="" count="2" memberValueDatatype="20" unbalanced="0">
      <fieldsUsage count="2">
        <fieldUsage x="-1"/>
        <fieldUsage x="0"/>
      </fieldsUsage>
    </cacheHierarchy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2" memberValueDatatype="130" unbalanced="0">
      <fieldsUsage count="2">
        <fieldUsage x="-1"/>
        <fieldUsage x="1"/>
      </fieldsUsage>
    </cacheHierarchy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Pilar].[Grupo]" caption="Grupo" attribute="1" defaultMemberUniqueName="[Pilar].[Grupo].[All]" allUniqueName="[Pilar].[Grupo].[All]" dimensionUniqueName="[Pilar]" displayFolder="" count="0" memberValueDatatype="130" unbalanced="0"/>
    <cacheHierarchy uniqueName="[Pilar].[Pilar]" caption="Pilar" attribute="1" defaultMemberUniqueName="[Pilar].[Pilar].[All]" allUniqueName="[Pilar].[Pilar].[All]" dimensionUniqueName="[Pilar]" displayFolder="" count="0" memberValueDatatype="130" unbalanced="0"/>
    <cacheHierarchy uniqueName="[Pilar].[Column3]" caption="Column3" attribute="1" defaultMemberUniqueName="[Pilar].[Column3].[All]" allUniqueName="[Pilar].[Column3].[All]" dimensionUniqueName="[Pilar]" displayFolder="" count="0" memberValueDatatype="130" unbalanced="0"/>
    <cacheHierarchy uniqueName="[Pilar].[Column4]" caption="Column4" attribute="1" defaultMemberUniqueName="[Pilar].[Column4].[All]" allUniqueName="[Pilar].[Column4].[All]" dimensionUniqueName="[Pilar]" displayFolder="" count="0" memberValueDatatype="130" unbalanced="0"/>
    <cacheHierarchy uniqueName="[Pilar].[Column5]" caption="Column5" attribute="1" defaultMemberUniqueName="[Pilar].[Column5].[All]" allUniqueName="[Pilar].[Column5].[All]" dimensionUniqueName="[Pilar]" displayFolder="" count="0" memberValueDatatype="130" unbalanced="0"/>
    <cacheHierarchy uniqueName="[Reagrupa].[PRODUTOS/SERVIÇO]" caption="PRODUTOS/SERVIÇO" attribute="1" defaultMemberUniqueName="[Reagrupa].[PRODUTOS/SERVIÇO].[All]" allUniqueName="[Reagrupa].[PRODUTOS/SERVIÇO].[All]" dimensionUniqueName="[Reagrupa]" displayFolder="" count="0" memberValueDatatype="130" unbalanced="0"/>
    <cacheHierarchy uniqueName="[Reagrupa].[GRUPO]" caption="GRUPO" attribute="1" defaultMemberUniqueName="[Reagrupa].[GRUPO].[All]" allUniqueName="[Reagrupa].[GRUPO].[All]" dimensionUniqueName="[Reagrupa]" displayFolder="" count="0" memberValueDatatype="130" unbalanced="0"/>
    <cacheHierarchy uniqueName="[Vendas].[Nome da Origem]" caption="Nome da Origem" attribute="1" defaultMemberUniqueName="[Vendas].[Nome da Origem].[All]" allUniqueName="[Vendas].[Nome da Origem].[All]" dimensionUniqueName="[Vendas]" displayFolder="" count="0" memberValueDatatype="130" unbalanced="0"/>
    <cacheHierarchy uniqueName="[Vendas].[Data e hora]" caption="Data e hora" attribute="1" time="1" defaultMemberUniqueName="[Vendas].[Data e hora].[All]" allUniqueName="[Vendas].[Data e hora].[All]" dimensionUniqueName="[Vendas]" displayFolder="" count="0" memberValueDatatype="7" unbalanced="0"/>
    <cacheHierarchy uniqueName="[Vendas].[Venda]" caption="Venda" attribute="1" defaultMemberUniqueName="[Vendas].[Venda].[All]" allUniqueName="[Vendas].[Venda].[All]" dimensionUniqueName="[Vendas]" displayFolder="" count="0" memberValueDatatype="130" unbalanced="0"/>
    <cacheHierarchy uniqueName="[Vendas].[Status da venda]" caption="Status da venda" attribute="1" defaultMemberUniqueName="[Vendas].[Status da venda].[All]" allUniqueName="[Vendas].[Status da venda].[All]" dimensionUniqueName="[Vendas]" displayFolder="" count="0" memberValueDatatype="130" unbalanced="0"/>
    <cacheHierarchy uniqueName="[Vendas].[Data baixa]" caption="Data baixa" attribute="1" defaultMemberUniqueName="[Vendas].[Data baixa].[All]" allUniqueName="[Vendas].[Data baixa].[All]" dimensionUniqueName="[Vendas]" displayFolder="" count="0" memberValueDatatype="130" unbalanced="0"/>
    <cacheHierarchy uniqueName="[Vendas].[Forma pagamento]" caption="Forma pagamento" attribute="1" defaultMemberUniqueName="[Vendas].[Forma pagamento].[All]" allUniqueName="[Vendas].[Forma pagamento].[All]" dimensionUniqueName="[Vendas]" displayFolder="" count="0" memberValueDatatype="130" unbalanced="0"/>
    <cacheHierarchy uniqueName="[Vendas].[Funcionário]" caption="Funcionário" attribute="1" defaultMemberUniqueName="[Vendas].[Funcionário].[All]" allUniqueName="[Vendas].[Funcionário].[All]" dimensionUniqueName="[Vendas]" displayFolder="" count="0" memberValueDatatype="130" unbalanced="0"/>
    <cacheHierarchy uniqueName="[Vendas].[Cliente]" caption="Cliente" attribute="1" defaultMemberUniqueName="[Vendas].[Cliente].[All]" allUniqueName="[Vendas].[Cliente].[All]" dimensionUniqueName="[Vendas]" displayFolder="" count="0" memberValueDatatype="130" unbalanced="0"/>
    <cacheHierarchy uniqueName="[Vendas].[Código]" caption="Código" attribute="1" defaultMemberUniqueName="[Vendas].[Código].[All]" allUniqueName="[Vendas].[Código].[All]" dimensionUniqueName="[Vendas]" displayFolder="" count="0" memberValueDatatype="130" unbalanced="0"/>
    <cacheHierarchy uniqueName="[Vendas].[CPF]" caption="CPF" attribute="1" defaultMemberUniqueName="[Vendas].[CPF].[All]" allUniqueName="[Vendas].[CPF].[All]" dimensionUniqueName="[Vendas]" displayFolder="" count="0" memberValueDatatype="130" unbalanced="0"/>
    <cacheHierarchy uniqueName="[Vendas].[Sexo]" caption="Sexo" attribute="1" defaultMemberUniqueName="[Vendas].[Sexo].[All]" allUniqueName="[Vendas].[Sexo].[All]" dimensionUniqueName="[Vendas]" displayFolder="" count="0" memberValueDatatype="130" unbalanced="0"/>
    <cacheHierarchy uniqueName="[Vendas].[CEP]" caption="CEP" attribute="1" defaultMemberUniqueName="[Vendas].[CEP].[All]" allUniqueName="[Vendas].[CEP].[All]" dimensionUniqueName="[Vendas]" displayFolder="" count="0" memberValueDatatype="130" unbalanced="0"/>
    <cacheHierarchy uniqueName="[Vendas].[Endereço]" caption="Endereço" attribute="1" defaultMemberUniqueName="[Vendas].[Endereço].[All]" allUniqueName="[Vendas].[Endereço].[All]" dimensionUniqueName="[Vendas]" displayFolder="" count="0" memberValueDatatype="130" unbalanced="0"/>
    <cacheHierarchy uniqueName="[Vendas].[Número]" caption="Número" attribute="1" defaultMemberUniqueName="[Vendas].[Número].[All]" allUniqueName="[Vendas].[Número].[All]" dimensionUniqueName="[Vendas]" displayFolder="" count="0" memberValueDatatype="130" unbalanced="0"/>
    <cacheHierarchy uniqueName="[Vendas].[Bairro]" caption="Bairro" attribute="1" defaultMemberUniqueName="[Vendas].[Bairro].[All]" allUniqueName="[Vendas].[Bairro].[All]" dimensionUniqueName="[Vendas]" displayFolder="" count="0" memberValueDatatype="130" unbalanced="0"/>
    <cacheHierarchy uniqueName="[Vendas].[Email]" caption="Email" attribute="1" defaultMemberUniqueName="[Vendas].[Email].[All]" allUniqueName="[Vendas].[Email].[All]" dimensionUniqueName="[Vendas]" displayFolder="" count="0" memberValueDatatype="130" unbalanced="0"/>
    <cacheHierarchy uniqueName="[Vendas].[Celular]" caption="Celular" attribute="1" defaultMemberUniqueName="[Vendas].[Celular].[All]" allUniqueName="[Vendas].[Celular].[All]" dimensionUniqueName="[Vendas]" displayFolder="" count="0" memberValueDatatype="130" unbalanced="0"/>
    <cacheHierarchy uniqueName="[Vendas].[Animal]" caption="Animal" attribute="1" defaultMemberUniqueName="[Vendas].[Animal].[All]" allUniqueName="[Vendas].[Animal].[All]" dimensionUniqueName="[Vendas]" displayFolder="" count="0" memberValueDatatype="130" unbalanced="0"/>
    <cacheHierarchy uniqueName="[Vendas].[Espécie]" caption="Espécie" attribute="1" defaultMemberUniqueName="[Vendas].[Espécie].[All]" allUniqueName="[Vendas].[Espécie].[All]" dimensionUniqueName="[Vendas]" displayFolder="" count="0" memberValueDatatype="130" unbalanced="0"/>
    <cacheHierarchy uniqueName="[Vendas].[Sexo_1]" caption="Sexo_1" attribute="1" defaultMemberUniqueName="[Vendas].[Sexo_1].[All]" allUniqueName="[Vendas].[Sexo_1].[All]" dimensionUniqueName="[Vendas]" displayFolder="" count="0" memberValueDatatype="130" unbalanced="0"/>
    <cacheHierarchy uniqueName="[Vendas].[Raça]" caption="Raça" attribute="1" defaultMemberUniqueName="[Vendas].[Raça].[All]" allUniqueName="[Vendas].[Raça].[All]" dimensionUniqueName="[Vendas]" displayFolder="" count="0" memberValueDatatype="130" unbalanced="0"/>
    <cacheHierarchy uniqueName="[Vendas].[Tipo do Item]" caption="Tipo do Item" attribute="1" defaultMemberUniqueName="[Vendas].[Tipo do Item].[All]" allUniqueName="[Vendas].[Tipo do Item].[All]" dimensionUniqueName="[Vendas]" displayFolder="" count="0" memberValueDatatype="130" unbalanced="0"/>
    <cacheHierarchy uniqueName="[Vendas].[Grupo]" caption="Grupo" attribute="1" defaultMemberUniqueName="[Vendas].[Grupo].[All]" allUniqueName="[Vendas].[Grupo].[All]" dimensionUniqueName="[Vendas]" displayFolder="" count="0" memberValueDatatype="130" unbalanced="0"/>
    <cacheHierarchy uniqueName="[Vendas].[Produto/serviço]" caption="Produto/serviço" attribute="1" defaultMemberUniqueName="[Vendas].[Produto/serviço].[All]" allUniqueName="[Vendas].[Produto/serviço].[All]" dimensionUniqueName="[Vendas]" displayFolder="" count="0" memberValueDatatype="130" unbalanced="0"/>
    <cacheHierarchy uniqueName="[Vendas].[Valor Unitário]" caption="Valor Unitário" attribute="1" defaultMemberUniqueName="[Vendas].[Valor Unitário].[All]" allUniqueName="[Vendas].[Valor Unitário].[All]" dimensionUniqueName="[Vendas]" displayFolder="" count="0" memberValueDatatype="130" unbalanced="0"/>
    <cacheHierarchy uniqueName="[Vendas].[Quantidade]" caption="Quantidade" attribute="1" defaultMemberUniqueName="[Vendas].[Quantidade].[All]" allUniqueName="[Vendas].[Quantidade].[All]" dimensionUniqueName="[Vendas]" displayFolder="" count="0" memberValueDatatype="20" unbalanced="0"/>
    <cacheHierarchy uniqueName="[Vendas].[Bruto]" caption="Bruto" attribute="1" defaultMemberUniqueName="[Vendas].[Bruto].[All]" allUniqueName="[Vendas].[Bruto].[All]" dimensionUniqueName="[Vendas]" displayFolder="" count="0" memberValueDatatype="5" unbalanced="0"/>
    <cacheHierarchy uniqueName="[Vendas].[Desconto]" caption="Desconto" attribute="1" defaultMemberUniqueName="[Vendas].[Desconto].[All]" allUniqueName="[Vendas].[Desconto].[All]" dimensionUniqueName="[Vendas]" displayFolder="" count="0" memberValueDatatype="5" unbalanced="0"/>
    <cacheHierarchy uniqueName="[Vendas].[Líquido]" caption="Líquido" attribute="1" defaultMemberUniqueName="[Vendas].[Líquido].[All]" allUniqueName="[Vendas].[Líquido].[All]" dimensionUniqueName="[Vendas]" displayFolder="" count="0" memberValueDatatype="5" unbalanced="0"/>
    <cacheHierarchy uniqueName="[Vendas].[Column1]" caption="Column1" attribute="1" defaultMemberUniqueName="[Vendas].[Column1].[All]" allUniqueName="[Vendas].[Column1].[All]" dimensionUniqueName="[Vendas]" displayFolder="" count="0" memberValueDatatype="130" unbalanced="0"/>
    <cacheHierarchy uniqueName="[Measures].[Contagem de Pilar]" caption="Contagem de Pilar" measure="1" displayFolder="" measureGroup="Pilar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Total Quanditade]" caption="Total Quanditade" measure="1" displayFolder="" measureGroup="Vendas" count="0"/>
    <cacheHierarchy uniqueName="[Measures].[QTD de Clientes]" caption="QTD de Clientes" measure="1" displayFolder="" measureGroup="Vendas" count="0" oneField="1">
      <fieldsUsage count="1">
        <fieldUsage x="2"/>
      </fieldsUsage>
    </cacheHierarchy>
    <cacheHierarchy uniqueName="[Measures].[QTD de Vendas]" caption="QTD de Vendas" measure="1" displayFolder="" measureGroup="Vendas" count="0"/>
    <cacheHierarchy uniqueName="[Measures].[Total Bruto]" caption="Total Bruto" measure="1" displayFolder="" measureGroup="Vendas" count="0"/>
    <cacheHierarchy uniqueName="[Measures].[Ticket Médio]" caption="Ticket Médio" measure="1" displayFolder="" measureGroup="Vendas" count="0"/>
    <cacheHierarchy uniqueName="[Measures].[Preço Médio]" caption="Preço Médio" measure="1" displayFolder="" measureGroup="Vendas" count="0"/>
    <cacheHierarchy uniqueName="[Measures].[Fat. Méd. Clientes]" caption="Fat. Méd. Clientes" measure="1" displayFolder="" measureGroup="Vendas" count="0"/>
    <cacheHierarchy uniqueName="[Measures].[Consulta]" caption="Consulta" measure="1" displayFolder="" measureGroup="Vendas" count="0"/>
    <cacheHierarchy uniqueName="[Measures].[Exames]" caption="Exames" measure="1" displayFolder="" measureGroup="Vendas" count="0"/>
    <cacheHierarchy uniqueName="[Measures].[Internação]" caption="Internação" measure="1" displayFolder="" measureGroup="Vendas" count="0"/>
    <cacheHierarchy uniqueName="[Measures].[Cirurgia]" caption="Cirurgia" measure="1" displayFolder="" measureGroup="Vendas" count="0"/>
    <cacheHierarchy uniqueName="[Measures].[Consultas/Internação]" caption="Consultas/Internação" measure="1" displayFolder="" measureGroup="Vendas" count="0"/>
    <cacheHierarchy uniqueName="[Measures].[Consultas/Cirurgias]" caption="Consultas/Cirurgias" measure="1" displayFolder="" measureGroup="Vendas" count="0"/>
    <cacheHierarchy uniqueName="[Measures].[Consultas/Exames]" caption="Consultas/Exames" measure="1" displayFolder="" measureGroup="Vendas" count="0"/>
    <cacheHierarchy uniqueName="[Measures].[Quant_Animais]" caption="Quant_Animais" measure="1" displayFolder="" measureGroup="Vendas" count="0"/>
    <cacheHierarchy uniqueName="[Measures].[__XL_Count Vendas]" caption="__XL_Count Vendas" measure="1" displayFolder="" measureGroup="Vendas" count="0" hidden="1"/>
    <cacheHierarchy uniqueName="[Measures].[__XL_Count Reagrupa]" caption="__XL_Count Reagrupa" measure="1" displayFolder="" measureGroup="Reagrupa" count="0" hidden="1"/>
    <cacheHierarchy uniqueName="[Measures].[__XL_Count Calendar]" caption="__XL_Count Calendar" measure="1" displayFolder="" measureGroup="Calendar" count="0" hidden="1"/>
    <cacheHierarchy uniqueName="[Measures].[__XL_Count Pilar]" caption="__XL_Count Pilar" measure="1" displayFolder="" measureGroup="Pilar" count="0" hidden="1"/>
    <cacheHierarchy uniqueName="[Measures].[__No measures defined]" caption="__No measures defined" measure="1" displayFolder="" count="0" hidden="1"/>
  </cacheHierarchies>
  <kpis count="0"/>
  <dimensions count="5">
    <dimension name="Calendar" uniqueName="[Calendar]" caption="Calendar"/>
    <dimension measure="1" name="Measures" uniqueName="[Measures]" caption="Measures"/>
    <dimension name="Pilar" uniqueName="[Pilar]" caption="Pilar"/>
    <dimension name="Reagrupa" uniqueName="[Reagrupa]" caption="Reagrupa"/>
    <dimension name="Vendas" uniqueName="[Vendas]" caption="Vendas"/>
  </dimensions>
  <measureGroups count="4">
    <measureGroup name="Calendar" caption="Calendar"/>
    <measureGroup name="Pilar" caption="Pilar"/>
    <measureGroup name="Reagrupa" caption="Reagrupa"/>
    <measureGroup name="Vendas" caption="Vendas"/>
  </measureGroups>
  <maps count="8">
    <map measureGroup="0" dimension="0"/>
    <map measureGroup="1" dimension="2"/>
    <map measureGroup="2" dimension="2"/>
    <map measureGroup="2" dimension="3"/>
    <map measureGroup="3" dimension="0"/>
    <map measureGroup="3" dimension="2"/>
    <map measureGroup="3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elo Silveira" refreshedDate="44722.336311574072" backgroundQuery="1" createdVersion="7" refreshedVersion="8" minRefreshableVersion="3" recordCount="0" supportSubquery="1" supportAdvancedDrill="1" xr:uid="{8A743A7A-54AC-4F17-9C51-368063FE2209}">
  <cacheSource type="external" connectionId="14"/>
  <cacheFields count="7">
    <cacheField name="[Calendar].[Year].[Year]" caption="Year" numFmtId="0" hierarchy="2" level="1">
      <sharedItems containsSemiMixedTypes="0" containsString="0" containsNumber="1" containsInteger="1" minValue="2021" maxValue="2022" count="2">
        <n v="2021"/>
        <n v="2022"/>
      </sharedItems>
      <extLst>
        <ext xmlns:x15="http://schemas.microsoft.com/office/spreadsheetml/2010/11/main" uri="{4F2E5C28-24EA-4eb8-9CBF-B6C8F9C3D259}">
          <x15:cachedUniqueNames>
            <x15:cachedUniqueName index="0" name="[Calendar].[Year].&amp;[2021]"/>
            <x15:cachedUniqueName index="1" name="[Calendar].[Year].&amp;[2022]"/>
          </x15:cachedUniqueNames>
        </ext>
      </extLst>
    </cacheField>
    <cacheField name="[Calendar].[Month].[Month]" caption="Month" numFmtId="0" hierarchy="4" level="1">
      <sharedItems count="6">
        <s v="dezembro"/>
        <s v="janeiro"/>
        <s v="fevereiro"/>
        <s v="março"/>
        <s v="abril"/>
        <s v="maio"/>
      </sharedItems>
    </cacheField>
    <cacheField name="[Measures].[Total Bruto]" caption="Total Bruto" numFmtId="0" hierarchy="49" level="32767"/>
    <cacheField name="[Measures].[Total Quanditade]" caption="Total Quanditade" numFmtId="0" hierarchy="46" level="32767"/>
    <cacheField name="[Calendar].[Date Hierarchy].[Year]" caption="Year" numFmtId="0" hierarchy="1" level="1">
      <sharedItems containsSemiMixedTypes="0" containsNonDate="0" containsString="0"/>
    </cacheField>
    <cacheField name="[Calendar].[Date Hierarchy].[Month]" caption="Month" numFmtId="0" hierarchy="1" level="2">
      <sharedItems containsSemiMixedTypes="0" containsNonDate="0" containsString="0"/>
    </cacheField>
    <cacheField name="[Calendar].[Date Hierarchy].[DateColumn]" caption="DateColumn" numFmtId="0" hierarchy="1" level="3">
      <sharedItems containsSemiMixedTypes="0" containsNonDate="0" containsString="0"/>
    </cacheField>
  </cacheFields>
  <cacheHierarchies count="66"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4" unbalanced="0">
      <fieldsUsage count="4">
        <fieldUsage x="-1"/>
        <fieldUsage x="4"/>
        <fieldUsage x="5"/>
        <fieldUsage x="6"/>
      </fieldsUsage>
    </cacheHierarchy>
    <cacheHierarchy uniqueName="[Calendar].[Year]" caption="Year" attribute="1" time="1" defaultMemberUniqueName="[Calendar].[Year].[All]" allUniqueName="[Calendar].[Year].[All]" dimensionUniqueName="[Calendar]" displayFolder="" count="2" memberValueDatatype="20" unbalanced="0">
      <fieldsUsage count="2">
        <fieldUsage x="-1"/>
        <fieldUsage x="0"/>
      </fieldsUsage>
    </cacheHierarchy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2" memberValueDatatype="130" unbalanced="0">
      <fieldsUsage count="2">
        <fieldUsage x="-1"/>
        <fieldUsage x="1"/>
      </fieldsUsage>
    </cacheHierarchy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Pilar].[Grupo]" caption="Grupo" attribute="1" defaultMemberUniqueName="[Pilar].[Grupo].[All]" allUniqueName="[Pilar].[Grupo].[All]" dimensionUniqueName="[Pilar]" displayFolder="" count="0" memberValueDatatype="130" unbalanced="0"/>
    <cacheHierarchy uniqueName="[Pilar].[Pilar]" caption="Pilar" attribute="1" defaultMemberUniqueName="[Pilar].[Pilar].[All]" allUniqueName="[Pilar].[Pilar].[All]" dimensionUniqueName="[Pilar]" displayFolder="" count="0" memberValueDatatype="130" unbalanced="0"/>
    <cacheHierarchy uniqueName="[Pilar].[Column3]" caption="Column3" attribute="1" defaultMemberUniqueName="[Pilar].[Column3].[All]" allUniqueName="[Pilar].[Column3].[All]" dimensionUniqueName="[Pilar]" displayFolder="" count="0" memberValueDatatype="130" unbalanced="0"/>
    <cacheHierarchy uniqueName="[Pilar].[Column4]" caption="Column4" attribute="1" defaultMemberUniqueName="[Pilar].[Column4].[All]" allUniqueName="[Pilar].[Column4].[All]" dimensionUniqueName="[Pilar]" displayFolder="" count="0" memberValueDatatype="130" unbalanced="0"/>
    <cacheHierarchy uniqueName="[Pilar].[Column5]" caption="Column5" attribute="1" defaultMemberUniqueName="[Pilar].[Column5].[All]" allUniqueName="[Pilar].[Column5].[All]" dimensionUniqueName="[Pilar]" displayFolder="" count="0" memberValueDatatype="130" unbalanced="0"/>
    <cacheHierarchy uniqueName="[Reagrupa].[PRODUTOS/SERVIÇO]" caption="PRODUTOS/SERVIÇO" attribute="1" defaultMemberUniqueName="[Reagrupa].[PRODUTOS/SERVIÇO].[All]" allUniqueName="[Reagrupa].[PRODUTOS/SERVIÇO].[All]" dimensionUniqueName="[Reagrupa]" displayFolder="" count="0" memberValueDatatype="130" unbalanced="0"/>
    <cacheHierarchy uniqueName="[Reagrupa].[GRUPO]" caption="GRUPO" attribute="1" defaultMemberUniqueName="[Reagrupa].[GRUPO].[All]" allUniqueName="[Reagrupa].[GRUPO].[All]" dimensionUniqueName="[Reagrupa]" displayFolder="" count="0" memberValueDatatype="130" unbalanced="0"/>
    <cacheHierarchy uniqueName="[Vendas].[Nome da Origem]" caption="Nome da Origem" attribute="1" defaultMemberUniqueName="[Vendas].[Nome da Origem].[All]" allUniqueName="[Vendas].[Nome da Origem].[All]" dimensionUniqueName="[Vendas]" displayFolder="" count="0" memberValueDatatype="130" unbalanced="0"/>
    <cacheHierarchy uniqueName="[Vendas].[Data e hora]" caption="Data e hora" attribute="1" time="1" defaultMemberUniqueName="[Vendas].[Data e hora].[All]" allUniqueName="[Vendas].[Data e hora].[All]" dimensionUniqueName="[Vendas]" displayFolder="" count="0" memberValueDatatype="7" unbalanced="0"/>
    <cacheHierarchy uniqueName="[Vendas].[Venda]" caption="Venda" attribute="1" defaultMemberUniqueName="[Vendas].[Venda].[All]" allUniqueName="[Vendas].[Venda].[All]" dimensionUniqueName="[Vendas]" displayFolder="" count="0" memberValueDatatype="130" unbalanced="0"/>
    <cacheHierarchy uniqueName="[Vendas].[Status da venda]" caption="Status da venda" attribute="1" defaultMemberUniqueName="[Vendas].[Status da venda].[All]" allUniqueName="[Vendas].[Status da venda].[All]" dimensionUniqueName="[Vendas]" displayFolder="" count="0" memberValueDatatype="130" unbalanced="0"/>
    <cacheHierarchy uniqueName="[Vendas].[Data baixa]" caption="Data baixa" attribute="1" defaultMemberUniqueName="[Vendas].[Data baixa].[All]" allUniqueName="[Vendas].[Data baixa].[All]" dimensionUniqueName="[Vendas]" displayFolder="" count="0" memberValueDatatype="130" unbalanced="0"/>
    <cacheHierarchy uniqueName="[Vendas].[Forma pagamento]" caption="Forma pagamento" attribute="1" defaultMemberUniqueName="[Vendas].[Forma pagamento].[All]" allUniqueName="[Vendas].[Forma pagamento].[All]" dimensionUniqueName="[Vendas]" displayFolder="" count="0" memberValueDatatype="130" unbalanced="0"/>
    <cacheHierarchy uniqueName="[Vendas].[Funcionário]" caption="Funcionário" attribute="1" defaultMemberUniqueName="[Vendas].[Funcionário].[All]" allUniqueName="[Vendas].[Funcionário].[All]" dimensionUniqueName="[Vendas]" displayFolder="" count="0" memberValueDatatype="130" unbalanced="0"/>
    <cacheHierarchy uniqueName="[Vendas].[Cliente]" caption="Cliente" attribute="1" defaultMemberUniqueName="[Vendas].[Cliente].[All]" allUniqueName="[Vendas].[Cliente].[All]" dimensionUniqueName="[Vendas]" displayFolder="" count="0" memberValueDatatype="130" unbalanced="0"/>
    <cacheHierarchy uniqueName="[Vendas].[Código]" caption="Código" attribute="1" defaultMemberUniqueName="[Vendas].[Código].[All]" allUniqueName="[Vendas].[Código].[All]" dimensionUniqueName="[Vendas]" displayFolder="" count="0" memberValueDatatype="130" unbalanced="0"/>
    <cacheHierarchy uniqueName="[Vendas].[CPF]" caption="CPF" attribute="1" defaultMemberUniqueName="[Vendas].[CPF].[All]" allUniqueName="[Vendas].[CPF].[All]" dimensionUniqueName="[Vendas]" displayFolder="" count="0" memberValueDatatype="130" unbalanced="0"/>
    <cacheHierarchy uniqueName="[Vendas].[Sexo]" caption="Sexo" attribute="1" defaultMemberUniqueName="[Vendas].[Sexo].[All]" allUniqueName="[Vendas].[Sexo].[All]" dimensionUniqueName="[Vendas]" displayFolder="" count="0" memberValueDatatype="130" unbalanced="0"/>
    <cacheHierarchy uniqueName="[Vendas].[CEP]" caption="CEP" attribute="1" defaultMemberUniqueName="[Vendas].[CEP].[All]" allUniqueName="[Vendas].[CEP].[All]" dimensionUniqueName="[Vendas]" displayFolder="" count="0" memberValueDatatype="130" unbalanced="0"/>
    <cacheHierarchy uniqueName="[Vendas].[Endereço]" caption="Endereço" attribute="1" defaultMemberUniqueName="[Vendas].[Endereço].[All]" allUniqueName="[Vendas].[Endereço].[All]" dimensionUniqueName="[Vendas]" displayFolder="" count="0" memberValueDatatype="130" unbalanced="0"/>
    <cacheHierarchy uniqueName="[Vendas].[Número]" caption="Número" attribute="1" defaultMemberUniqueName="[Vendas].[Número].[All]" allUniqueName="[Vendas].[Número].[All]" dimensionUniqueName="[Vendas]" displayFolder="" count="0" memberValueDatatype="130" unbalanced="0"/>
    <cacheHierarchy uniqueName="[Vendas].[Bairro]" caption="Bairro" attribute="1" defaultMemberUniqueName="[Vendas].[Bairro].[All]" allUniqueName="[Vendas].[Bairro].[All]" dimensionUniqueName="[Vendas]" displayFolder="" count="0" memberValueDatatype="130" unbalanced="0"/>
    <cacheHierarchy uniqueName="[Vendas].[Email]" caption="Email" attribute="1" defaultMemberUniqueName="[Vendas].[Email].[All]" allUniqueName="[Vendas].[Email].[All]" dimensionUniqueName="[Vendas]" displayFolder="" count="0" memberValueDatatype="130" unbalanced="0"/>
    <cacheHierarchy uniqueName="[Vendas].[Celular]" caption="Celular" attribute="1" defaultMemberUniqueName="[Vendas].[Celular].[All]" allUniqueName="[Vendas].[Celular].[All]" dimensionUniqueName="[Vendas]" displayFolder="" count="0" memberValueDatatype="130" unbalanced="0"/>
    <cacheHierarchy uniqueName="[Vendas].[Animal]" caption="Animal" attribute="1" defaultMemberUniqueName="[Vendas].[Animal].[All]" allUniqueName="[Vendas].[Animal].[All]" dimensionUniqueName="[Vendas]" displayFolder="" count="0" memberValueDatatype="130" unbalanced="0"/>
    <cacheHierarchy uniqueName="[Vendas].[Espécie]" caption="Espécie" attribute="1" defaultMemberUniqueName="[Vendas].[Espécie].[All]" allUniqueName="[Vendas].[Espécie].[All]" dimensionUniqueName="[Vendas]" displayFolder="" count="0" memberValueDatatype="130" unbalanced="0"/>
    <cacheHierarchy uniqueName="[Vendas].[Sexo_1]" caption="Sexo_1" attribute="1" defaultMemberUniqueName="[Vendas].[Sexo_1].[All]" allUniqueName="[Vendas].[Sexo_1].[All]" dimensionUniqueName="[Vendas]" displayFolder="" count="0" memberValueDatatype="130" unbalanced="0"/>
    <cacheHierarchy uniqueName="[Vendas].[Raça]" caption="Raça" attribute="1" defaultMemberUniqueName="[Vendas].[Raça].[All]" allUniqueName="[Vendas].[Raça].[All]" dimensionUniqueName="[Vendas]" displayFolder="" count="0" memberValueDatatype="130" unbalanced="0"/>
    <cacheHierarchy uniqueName="[Vendas].[Tipo do Item]" caption="Tipo do Item" attribute="1" defaultMemberUniqueName="[Vendas].[Tipo do Item].[All]" allUniqueName="[Vendas].[Tipo do Item].[All]" dimensionUniqueName="[Vendas]" displayFolder="" count="0" memberValueDatatype="130" unbalanced="0"/>
    <cacheHierarchy uniqueName="[Vendas].[Grupo]" caption="Grupo" attribute="1" defaultMemberUniqueName="[Vendas].[Grupo].[All]" allUniqueName="[Vendas].[Grupo].[All]" dimensionUniqueName="[Vendas]" displayFolder="" count="0" memberValueDatatype="130" unbalanced="0"/>
    <cacheHierarchy uniqueName="[Vendas].[Produto/serviço]" caption="Produto/serviço" attribute="1" defaultMemberUniqueName="[Vendas].[Produto/serviço].[All]" allUniqueName="[Vendas].[Produto/serviço].[All]" dimensionUniqueName="[Vendas]" displayFolder="" count="0" memberValueDatatype="130" unbalanced="0"/>
    <cacheHierarchy uniqueName="[Vendas].[Valor Unitário]" caption="Valor Unitário" attribute="1" defaultMemberUniqueName="[Vendas].[Valor Unitário].[All]" allUniqueName="[Vendas].[Valor Unitário].[All]" dimensionUniqueName="[Vendas]" displayFolder="" count="0" memberValueDatatype="130" unbalanced="0"/>
    <cacheHierarchy uniqueName="[Vendas].[Quantidade]" caption="Quantidade" attribute="1" defaultMemberUniqueName="[Vendas].[Quantidade].[All]" allUniqueName="[Vendas].[Quantidade].[All]" dimensionUniqueName="[Vendas]" displayFolder="" count="0" memberValueDatatype="20" unbalanced="0"/>
    <cacheHierarchy uniqueName="[Vendas].[Bruto]" caption="Bruto" attribute="1" defaultMemberUniqueName="[Vendas].[Bruto].[All]" allUniqueName="[Vendas].[Bruto].[All]" dimensionUniqueName="[Vendas]" displayFolder="" count="0" memberValueDatatype="5" unbalanced="0"/>
    <cacheHierarchy uniqueName="[Vendas].[Desconto]" caption="Desconto" attribute="1" defaultMemberUniqueName="[Vendas].[Desconto].[All]" allUniqueName="[Vendas].[Desconto].[All]" dimensionUniqueName="[Vendas]" displayFolder="" count="0" memberValueDatatype="5" unbalanced="0"/>
    <cacheHierarchy uniqueName="[Vendas].[Líquido]" caption="Líquido" attribute="1" defaultMemberUniqueName="[Vendas].[Líquido].[All]" allUniqueName="[Vendas].[Líquido].[All]" dimensionUniqueName="[Vendas]" displayFolder="" count="0" memberValueDatatype="5" unbalanced="0"/>
    <cacheHierarchy uniqueName="[Vendas].[Column1]" caption="Column1" attribute="1" defaultMemberUniqueName="[Vendas].[Column1].[All]" allUniqueName="[Vendas].[Column1].[All]" dimensionUniqueName="[Vendas]" displayFolder="" count="0" memberValueDatatype="130" unbalanced="0"/>
    <cacheHierarchy uniqueName="[Measures].[Contagem de Pilar]" caption="Contagem de Pilar" measure="1" displayFolder="" measureGroup="Pilar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Total Quanditade]" caption="Total Quanditade" measure="1" displayFolder="" measureGroup="Vendas" count="0" oneField="1">
      <fieldsUsage count="1">
        <fieldUsage x="3"/>
      </fieldsUsage>
    </cacheHierarchy>
    <cacheHierarchy uniqueName="[Measures].[QTD de Clientes]" caption="QTD de Clientes" measure="1" displayFolder="" measureGroup="Vendas" count="0"/>
    <cacheHierarchy uniqueName="[Measures].[QTD de Vendas]" caption="QTD de Vendas" measure="1" displayFolder="" measureGroup="Vendas" count="0"/>
    <cacheHierarchy uniqueName="[Measures].[Total Bruto]" caption="Total Bruto" measure="1" displayFolder="" measureGroup="Vendas" count="0" oneField="1">
      <fieldsUsage count="1">
        <fieldUsage x="2"/>
      </fieldsUsage>
    </cacheHierarchy>
    <cacheHierarchy uniqueName="[Measures].[Ticket Médio]" caption="Ticket Médio" measure="1" displayFolder="" measureGroup="Vendas" count="0"/>
    <cacheHierarchy uniqueName="[Measures].[Preço Médio]" caption="Preço Médio" measure="1" displayFolder="" measureGroup="Vendas" count="0"/>
    <cacheHierarchy uniqueName="[Measures].[Fat. Méd. Clientes]" caption="Fat. Méd. Clientes" measure="1" displayFolder="" measureGroup="Vendas" count="0"/>
    <cacheHierarchy uniqueName="[Measures].[Consulta]" caption="Consulta" measure="1" displayFolder="" measureGroup="Vendas" count="0"/>
    <cacheHierarchy uniqueName="[Measures].[Exames]" caption="Exames" measure="1" displayFolder="" measureGroup="Vendas" count="0"/>
    <cacheHierarchy uniqueName="[Measures].[Internação]" caption="Internação" measure="1" displayFolder="" measureGroup="Vendas" count="0"/>
    <cacheHierarchy uniqueName="[Measures].[Cirurgia]" caption="Cirurgia" measure="1" displayFolder="" measureGroup="Vendas" count="0"/>
    <cacheHierarchy uniqueName="[Measures].[Consultas/Internação]" caption="Consultas/Internação" measure="1" displayFolder="" measureGroup="Vendas" count="0"/>
    <cacheHierarchy uniqueName="[Measures].[Consultas/Cirurgias]" caption="Consultas/Cirurgias" measure="1" displayFolder="" measureGroup="Vendas" count="0"/>
    <cacheHierarchy uniqueName="[Measures].[Consultas/Exames]" caption="Consultas/Exames" measure="1" displayFolder="" measureGroup="Vendas" count="0"/>
    <cacheHierarchy uniqueName="[Measures].[Quant_Animais]" caption="Quant_Animais" measure="1" displayFolder="" measureGroup="Vendas" count="0"/>
    <cacheHierarchy uniqueName="[Measures].[__XL_Count Vendas]" caption="__XL_Count Vendas" measure="1" displayFolder="" measureGroup="Vendas" count="0" hidden="1"/>
    <cacheHierarchy uniqueName="[Measures].[__XL_Count Reagrupa]" caption="__XL_Count Reagrupa" measure="1" displayFolder="" measureGroup="Reagrupa" count="0" hidden="1"/>
    <cacheHierarchy uniqueName="[Measures].[__XL_Count Calendar]" caption="__XL_Count Calendar" measure="1" displayFolder="" measureGroup="Calendar" count="0" hidden="1"/>
    <cacheHierarchy uniqueName="[Measures].[__XL_Count Pilar]" caption="__XL_Count Pilar" measure="1" displayFolder="" measureGroup="Pilar" count="0" hidden="1"/>
    <cacheHierarchy uniqueName="[Measures].[__No measures defined]" caption="__No measures defined" measure="1" displayFolder="" count="0" hidden="1"/>
  </cacheHierarchies>
  <kpis count="0"/>
  <dimensions count="5">
    <dimension name="Calendar" uniqueName="[Calendar]" caption="Calendar"/>
    <dimension measure="1" name="Measures" uniqueName="[Measures]" caption="Measures"/>
    <dimension name="Pilar" uniqueName="[Pilar]" caption="Pilar"/>
    <dimension name="Reagrupa" uniqueName="[Reagrupa]" caption="Reagrupa"/>
    <dimension name="Vendas" uniqueName="[Vendas]" caption="Vendas"/>
  </dimensions>
  <measureGroups count="4">
    <measureGroup name="Calendar" caption="Calendar"/>
    <measureGroup name="Pilar" caption="Pilar"/>
    <measureGroup name="Reagrupa" caption="Reagrupa"/>
    <measureGroup name="Vendas" caption="Vendas"/>
  </measureGroups>
  <maps count="8">
    <map measureGroup="0" dimension="0"/>
    <map measureGroup="1" dimension="2"/>
    <map measureGroup="2" dimension="2"/>
    <map measureGroup="2" dimension="3"/>
    <map measureGroup="3" dimension="0"/>
    <map measureGroup="3" dimension="2"/>
    <map measureGroup="3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elo Silveira" refreshedDate="44722.33532766204" backgroundQuery="1" createdVersion="3" refreshedVersion="8" minRefreshableVersion="3" recordCount="0" supportSubquery="1" supportAdvancedDrill="1" xr:uid="{59FAFD0C-77FB-46C6-A3D7-AA816321AE8A}">
  <cacheSource type="external" connectionId="14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66"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4" unbalanced="0"/>
    <cacheHierarchy uniqueName="[Calendar].[Year]" caption="Year" attribute="1" time="1" defaultMemberUniqueName="[Calendar].[Year].[All]" allUniqueName="[Calendar].[Year].[All]" dimensionUniqueName="[Calendar]" displayFolder="" count="0" memberValueDatatype="20" unbalanced="0"/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0" memberValueDatatype="130" unbalanced="0"/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Pilar].[Grupo]" caption="Grupo" attribute="1" defaultMemberUniqueName="[Pilar].[Grupo].[All]" allUniqueName="[Pilar].[Grupo].[All]" dimensionUniqueName="[Pilar]" displayFolder="" count="0" memberValueDatatype="130" unbalanced="0"/>
    <cacheHierarchy uniqueName="[Pilar].[Pilar]" caption="Pilar" attribute="1" defaultMemberUniqueName="[Pilar].[Pilar].[All]" allUniqueName="[Pilar].[Pilar].[All]" dimensionUniqueName="[Pilar]" displayFolder="" count="0" memberValueDatatype="130" unbalanced="0"/>
    <cacheHierarchy uniqueName="[Pilar].[Column3]" caption="Column3" attribute="1" defaultMemberUniqueName="[Pilar].[Column3].[All]" allUniqueName="[Pilar].[Column3].[All]" dimensionUniqueName="[Pilar]" displayFolder="" count="0" memberValueDatatype="130" unbalanced="0"/>
    <cacheHierarchy uniqueName="[Pilar].[Column4]" caption="Column4" attribute="1" defaultMemberUniqueName="[Pilar].[Column4].[All]" allUniqueName="[Pilar].[Column4].[All]" dimensionUniqueName="[Pilar]" displayFolder="" count="0" memberValueDatatype="130" unbalanced="0"/>
    <cacheHierarchy uniqueName="[Pilar].[Column5]" caption="Column5" attribute="1" defaultMemberUniqueName="[Pilar].[Column5].[All]" allUniqueName="[Pilar].[Column5].[All]" dimensionUniqueName="[Pilar]" displayFolder="" count="0" memberValueDatatype="130" unbalanced="0"/>
    <cacheHierarchy uniqueName="[Reagrupa].[PRODUTOS/SERVIÇO]" caption="PRODUTOS/SERVIÇO" attribute="1" defaultMemberUniqueName="[Reagrupa].[PRODUTOS/SERVIÇO].[All]" allUniqueName="[Reagrupa].[PRODUTOS/SERVIÇO].[All]" dimensionUniqueName="[Reagrupa]" displayFolder="" count="0" memberValueDatatype="130" unbalanced="0"/>
    <cacheHierarchy uniqueName="[Reagrupa].[GRUPO]" caption="GRUPO" attribute="1" defaultMemberUniqueName="[Reagrupa].[GRUPO].[All]" allUniqueName="[Reagrupa].[GRUPO].[All]" dimensionUniqueName="[Reagrupa]" displayFolder="" count="0" memberValueDatatype="130" unbalanced="0"/>
    <cacheHierarchy uniqueName="[Vendas].[Nome da Origem]" caption="Nome da Origem" attribute="1" defaultMemberUniqueName="[Vendas].[Nome da Origem].[All]" allUniqueName="[Vendas].[Nome da Origem].[All]" dimensionUniqueName="[Vendas]" displayFolder="" count="0" memberValueDatatype="130" unbalanced="0"/>
    <cacheHierarchy uniqueName="[Vendas].[Data e hora]" caption="Data e hora" attribute="1" time="1" defaultMemberUniqueName="[Vendas].[Data e hora].[All]" allUniqueName="[Vendas].[Data e hora].[All]" dimensionUniqueName="[Vendas]" displayFolder="" count="0" memberValueDatatype="7" unbalanced="0"/>
    <cacheHierarchy uniqueName="[Vendas].[Venda]" caption="Venda" attribute="1" defaultMemberUniqueName="[Vendas].[Venda].[All]" allUniqueName="[Vendas].[Venda].[All]" dimensionUniqueName="[Vendas]" displayFolder="" count="0" memberValueDatatype="130" unbalanced="0"/>
    <cacheHierarchy uniqueName="[Vendas].[Status da venda]" caption="Status da venda" attribute="1" defaultMemberUniqueName="[Vendas].[Status da venda].[All]" allUniqueName="[Vendas].[Status da venda].[All]" dimensionUniqueName="[Vendas]" displayFolder="" count="0" memberValueDatatype="130" unbalanced="0"/>
    <cacheHierarchy uniqueName="[Vendas].[Data baixa]" caption="Data baixa" attribute="1" defaultMemberUniqueName="[Vendas].[Data baixa].[All]" allUniqueName="[Vendas].[Data baixa].[All]" dimensionUniqueName="[Vendas]" displayFolder="" count="0" memberValueDatatype="130" unbalanced="0"/>
    <cacheHierarchy uniqueName="[Vendas].[Forma pagamento]" caption="Forma pagamento" attribute="1" defaultMemberUniqueName="[Vendas].[Forma pagamento].[All]" allUniqueName="[Vendas].[Forma pagamento].[All]" dimensionUniqueName="[Vendas]" displayFolder="" count="0" memberValueDatatype="130" unbalanced="0"/>
    <cacheHierarchy uniqueName="[Vendas].[Funcionário]" caption="Funcionário" attribute="1" defaultMemberUniqueName="[Vendas].[Funcionário].[All]" allUniqueName="[Vendas].[Funcionário].[All]" dimensionUniqueName="[Vendas]" displayFolder="" count="0" memberValueDatatype="130" unbalanced="0"/>
    <cacheHierarchy uniqueName="[Vendas].[Cliente]" caption="Cliente" attribute="1" defaultMemberUniqueName="[Vendas].[Cliente].[All]" allUniqueName="[Vendas].[Cliente].[All]" dimensionUniqueName="[Vendas]" displayFolder="" count="0" memberValueDatatype="130" unbalanced="0"/>
    <cacheHierarchy uniqueName="[Vendas].[Código]" caption="Código" attribute="1" defaultMemberUniqueName="[Vendas].[Código].[All]" allUniqueName="[Vendas].[Código].[All]" dimensionUniqueName="[Vendas]" displayFolder="" count="0" memberValueDatatype="130" unbalanced="0"/>
    <cacheHierarchy uniqueName="[Vendas].[CPF]" caption="CPF" attribute="1" defaultMemberUniqueName="[Vendas].[CPF].[All]" allUniqueName="[Vendas].[CPF].[All]" dimensionUniqueName="[Vendas]" displayFolder="" count="0" memberValueDatatype="130" unbalanced="0"/>
    <cacheHierarchy uniqueName="[Vendas].[Sexo]" caption="Sexo" attribute="1" defaultMemberUniqueName="[Vendas].[Sexo].[All]" allUniqueName="[Vendas].[Sexo].[All]" dimensionUniqueName="[Vendas]" displayFolder="" count="0" memberValueDatatype="130" unbalanced="0"/>
    <cacheHierarchy uniqueName="[Vendas].[CEP]" caption="CEP" attribute="1" defaultMemberUniqueName="[Vendas].[CEP].[All]" allUniqueName="[Vendas].[CEP].[All]" dimensionUniqueName="[Vendas]" displayFolder="" count="0" memberValueDatatype="130" unbalanced="0"/>
    <cacheHierarchy uniqueName="[Vendas].[Endereço]" caption="Endereço" attribute="1" defaultMemberUniqueName="[Vendas].[Endereço].[All]" allUniqueName="[Vendas].[Endereço].[All]" dimensionUniqueName="[Vendas]" displayFolder="" count="0" memberValueDatatype="130" unbalanced="0"/>
    <cacheHierarchy uniqueName="[Vendas].[Número]" caption="Número" attribute="1" defaultMemberUniqueName="[Vendas].[Número].[All]" allUniqueName="[Vendas].[Número].[All]" dimensionUniqueName="[Vendas]" displayFolder="" count="0" memberValueDatatype="130" unbalanced="0"/>
    <cacheHierarchy uniqueName="[Vendas].[Bairro]" caption="Bairro" attribute="1" defaultMemberUniqueName="[Vendas].[Bairro].[All]" allUniqueName="[Vendas].[Bairro].[All]" dimensionUniqueName="[Vendas]" displayFolder="" count="0" memberValueDatatype="130" unbalanced="0"/>
    <cacheHierarchy uniqueName="[Vendas].[Email]" caption="Email" attribute="1" defaultMemberUniqueName="[Vendas].[Email].[All]" allUniqueName="[Vendas].[Email].[All]" dimensionUniqueName="[Vendas]" displayFolder="" count="0" memberValueDatatype="130" unbalanced="0"/>
    <cacheHierarchy uniqueName="[Vendas].[Celular]" caption="Celular" attribute="1" defaultMemberUniqueName="[Vendas].[Celular].[All]" allUniqueName="[Vendas].[Celular].[All]" dimensionUniqueName="[Vendas]" displayFolder="" count="0" memberValueDatatype="130" unbalanced="0"/>
    <cacheHierarchy uniqueName="[Vendas].[Animal]" caption="Animal" attribute="1" defaultMemberUniqueName="[Vendas].[Animal].[All]" allUniqueName="[Vendas].[Animal].[All]" dimensionUniqueName="[Vendas]" displayFolder="" count="0" memberValueDatatype="130" unbalanced="0"/>
    <cacheHierarchy uniqueName="[Vendas].[Espécie]" caption="Espécie" attribute="1" defaultMemberUniqueName="[Vendas].[Espécie].[All]" allUniqueName="[Vendas].[Espécie].[All]" dimensionUniqueName="[Vendas]" displayFolder="" count="0" memberValueDatatype="130" unbalanced="0"/>
    <cacheHierarchy uniqueName="[Vendas].[Sexo_1]" caption="Sexo_1" attribute="1" defaultMemberUniqueName="[Vendas].[Sexo_1].[All]" allUniqueName="[Vendas].[Sexo_1].[All]" dimensionUniqueName="[Vendas]" displayFolder="" count="0" memberValueDatatype="130" unbalanced="0"/>
    <cacheHierarchy uniqueName="[Vendas].[Raça]" caption="Raça" attribute="1" defaultMemberUniqueName="[Vendas].[Raça].[All]" allUniqueName="[Vendas].[Raça].[All]" dimensionUniqueName="[Vendas]" displayFolder="" count="0" memberValueDatatype="130" unbalanced="0"/>
    <cacheHierarchy uniqueName="[Vendas].[Tipo do Item]" caption="Tipo do Item" attribute="1" defaultMemberUniqueName="[Vendas].[Tipo do Item].[All]" allUniqueName="[Vendas].[Tipo do Item].[All]" dimensionUniqueName="[Vendas]" displayFolder="" count="0" memberValueDatatype="130" unbalanced="0"/>
    <cacheHierarchy uniqueName="[Vendas].[Grupo]" caption="Grupo" attribute="1" defaultMemberUniqueName="[Vendas].[Grupo].[All]" allUniqueName="[Vendas].[Grupo].[All]" dimensionUniqueName="[Vendas]" displayFolder="" count="0" memberValueDatatype="130" unbalanced="0"/>
    <cacheHierarchy uniqueName="[Vendas].[Produto/serviço]" caption="Produto/serviço" attribute="1" defaultMemberUniqueName="[Vendas].[Produto/serviço].[All]" allUniqueName="[Vendas].[Produto/serviço].[All]" dimensionUniqueName="[Vendas]" displayFolder="" count="0" memberValueDatatype="130" unbalanced="0"/>
    <cacheHierarchy uniqueName="[Vendas].[Valor Unitário]" caption="Valor Unitário" attribute="1" defaultMemberUniqueName="[Vendas].[Valor Unitário].[All]" allUniqueName="[Vendas].[Valor Unitário].[All]" dimensionUniqueName="[Vendas]" displayFolder="" count="0" memberValueDatatype="130" unbalanced="0"/>
    <cacheHierarchy uniqueName="[Vendas].[Quantidade]" caption="Quantidade" attribute="1" defaultMemberUniqueName="[Vendas].[Quantidade].[All]" allUniqueName="[Vendas].[Quantidade].[All]" dimensionUniqueName="[Vendas]" displayFolder="" count="0" memberValueDatatype="20" unbalanced="0"/>
    <cacheHierarchy uniqueName="[Vendas].[Bruto]" caption="Bruto" attribute="1" defaultMemberUniqueName="[Vendas].[Bruto].[All]" allUniqueName="[Vendas].[Bruto].[All]" dimensionUniqueName="[Vendas]" displayFolder="" count="0" memberValueDatatype="5" unbalanced="0"/>
    <cacheHierarchy uniqueName="[Vendas].[Desconto]" caption="Desconto" attribute="1" defaultMemberUniqueName="[Vendas].[Desconto].[All]" allUniqueName="[Vendas].[Desconto].[All]" dimensionUniqueName="[Vendas]" displayFolder="" count="0" memberValueDatatype="5" unbalanced="0"/>
    <cacheHierarchy uniqueName="[Vendas].[Líquido]" caption="Líquido" attribute="1" defaultMemberUniqueName="[Vendas].[Líquido].[All]" allUniqueName="[Vendas].[Líquido].[All]" dimensionUniqueName="[Vendas]" displayFolder="" count="0" memberValueDatatype="5" unbalanced="0"/>
    <cacheHierarchy uniqueName="[Vendas].[Column1]" caption="Column1" attribute="1" defaultMemberUniqueName="[Vendas].[Column1].[All]" allUniqueName="[Vendas].[Column1].[All]" dimensionUniqueName="[Vendas]" displayFolder="" count="0" memberValueDatatype="130" unbalanced="0"/>
    <cacheHierarchy uniqueName="[Measures].[Contagem de Pilar]" caption="Contagem de Pilar" measure="1" displayFolder="" measureGroup="Pilar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Total Quanditade]" caption="Total Quanditade" measure="1" displayFolder="" measureGroup="Vendas" count="0"/>
    <cacheHierarchy uniqueName="[Measures].[QTD de Clientes]" caption="QTD de Clientes" measure="1" displayFolder="" measureGroup="Vendas" count="0"/>
    <cacheHierarchy uniqueName="[Measures].[QTD de Vendas]" caption="QTD de Vendas" measure="1" displayFolder="" measureGroup="Vendas" count="0"/>
    <cacheHierarchy uniqueName="[Measures].[Total Bruto]" caption="Total Bruto" measure="1" displayFolder="" measureGroup="Vendas" count="0"/>
    <cacheHierarchy uniqueName="[Measures].[Ticket Médio]" caption="Ticket Médio" measure="1" displayFolder="" measureGroup="Vendas" count="0"/>
    <cacheHierarchy uniqueName="[Measures].[Preço Médio]" caption="Preço Médio" measure="1" displayFolder="" measureGroup="Vendas" count="0"/>
    <cacheHierarchy uniqueName="[Measures].[Fat. Méd. Clientes]" caption="Fat. Méd. Clientes" measure="1" displayFolder="" measureGroup="Vendas" count="0"/>
    <cacheHierarchy uniqueName="[Measures].[Consulta]" caption="Consulta" measure="1" displayFolder="" measureGroup="Vendas" count="0"/>
    <cacheHierarchy uniqueName="[Measures].[Exames]" caption="Exames" measure="1" displayFolder="" measureGroup="Vendas" count="0"/>
    <cacheHierarchy uniqueName="[Measures].[Internação]" caption="Internação" measure="1" displayFolder="" measureGroup="Vendas" count="0"/>
    <cacheHierarchy uniqueName="[Measures].[Cirurgia]" caption="Cirurgia" measure="1" displayFolder="" measureGroup="Vendas" count="0"/>
    <cacheHierarchy uniqueName="[Measures].[Consultas/Internação]" caption="Consultas/Internação" measure="1" displayFolder="" measureGroup="Vendas" count="0"/>
    <cacheHierarchy uniqueName="[Measures].[Consultas/Cirurgias]" caption="Consultas/Cirurgias" measure="1" displayFolder="" measureGroup="Vendas" count="0"/>
    <cacheHierarchy uniqueName="[Measures].[Consultas/Exames]" caption="Consultas/Exames" measure="1" displayFolder="" measureGroup="Vendas" count="0"/>
    <cacheHierarchy uniqueName="[Measures].[Quant_Animais]" caption="Quant_Animais" measure="1" displayFolder="" measureGroup="Vendas" count="0"/>
    <cacheHierarchy uniqueName="[Measures].[__XL_Count Vendas]" caption="__XL_Count Vendas" measure="1" displayFolder="" measureGroup="Vendas" count="0" hidden="1"/>
    <cacheHierarchy uniqueName="[Measures].[__XL_Count Reagrupa]" caption="__XL_Count Reagrupa" measure="1" displayFolder="" measureGroup="Reagrupa" count="0" hidden="1"/>
    <cacheHierarchy uniqueName="[Measures].[__XL_Count Calendar]" caption="__XL_Count Calendar" measure="1" displayFolder="" measureGroup="Calendar" count="0" hidden="1"/>
    <cacheHierarchy uniqueName="[Measures].[__XL_Count Pilar]" caption="__XL_Count Pilar" measure="1" displayFolder="" measureGroup="Pilar" count="0" hidden="1"/>
    <cacheHierarchy uniqueName="[Measures].[__No measures defined]" caption="__No measures defined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2080882379"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elo Silveira" refreshedDate="44722.335338310186" backgroundQuery="1" createdVersion="3" refreshedVersion="8" minRefreshableVersion="3" recordCount="0" supportSubquery="1" supportAdvancedDrill="1" xr:uid="{2395E2C4-DBEB-4D92-880E-1BAAFFFAE3A2}">
  <cacheSource type="external" connectionId="14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66"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4" unbalanced="0"/>
    <cacheHierarchy uniqueName="[Calendar].[Year]" caption="Year" attribute="1" time="1" defaultMemberUniqueName="[Calendar].[Year].[All]" allUniqueName="[Calendar].[Year].[All]" dimensionUniqueName="[Calendar]" displayFolder="" count="0" memberValueDatatype="20" unbalanced="0"/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0" memberValueDatatype="130" unbalanced="0"/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Pilar].[Grupo]" caption="Grupo" attribute="1" defaultMemberUniqueName="[Pilar].[Grupo].[All]" allUniqueName="[Pilar].[Grupo].[All]" dimensionUniqueName="[Pilar]" displayFolder="" count="0" memberValueDatatype="130" unbalanced="0"/>
    <cacheHierarchy uniqueName="[Pilar].[Pilar]" caption="Pilar" attribute="1" defaultMemberUniqueName="[Pilar].[Pilar].[All]" allUniqueName="[Pilar].[Pilar].[All]" dimensionUniqueName="[Pilar]" displayFolder="" count="0" memberValueDatatype="130" unbalanced="0"/>
    <cacheHierarchy uniqueName="[Pilar].[Column3]" caption="Column3" attribute="1" defaultMemberUniqueName="[Pilar].[Column3].[All]" allUniqueName="[Pilar].[Column3].[All]" dimensionUniqueName="[Pilar]" displayFolder="" count="0" memberValueDatatype="130" unbalanced="0"/>
    <cacheHierarchy uniqueName="[Pilar].[Column4]" caption="Column4" attribute="1" defaultMemberUniqueName="[Pilar].[Column4].[All]" allUniqueName="[Pilar].[Column4].[All]" dimensionUniqueName="[Pilar]" displayFolder="" count="0" memberValueDatatype="130" unbalanced="0"/>
    <cacheHierarchy uniqueName="[Pilar].[Column5]" caption="Column5" attribute="1" defaultMemberUniqueName="[Pilar].[Column5].[All]" allUniqueName="[Pilar].[Column5].[All]" dimensionUniqueName="[Pilar]" displayFolder="" count="0" memberValueDatatype="130" unbalanced="0"/>
    <cacheHierarchy uniqueName="[Reagrupa].[PRODUTOS/SERVIÇO]" caption="PRODUTOS/SERVIÇO" attribute="1" defaultMemberUniqueName="[Reagrupa].[PRODUTOS/SERVIÇO].[All]" allUniqueName="[Reagrupa].[PRODUTOS/SERVIÇO].[All]" dimensionUniqueName="[Reagrupa]" displayFolder="" count="0" memberValueDatatype="130" unbalanced="0"/>
    <cacheHierarchy uniqueName="[Reagrupa].[GRUPO]" caption="GRUPO" attribute="1" defaultMemberUniqueName="[Reagrupa].[GRUPO].[All]" allUniqueName="[Reagrupa].[GRUPO].[All]" dimensionUniqueName="[Reagrupa]" displayFolder="" count="0" memberValueDatatype="130" unbalanced="0"/>
    <cacheHierarchy uniqueName="[Vendas].[Nome da Origem]" caption="Nome da Origem" attribute="1" defaultMemberUniqueName="[Vendas].[Nome da Origem].[All]" allUniqueName="[Vendas].[Nome da Origem].[All]" dimensionUniqueName="[Vendas]" displayFolder="" count="0" memberValueDatatype="130" unbalanced="0"/>
    <cacheHierarchy uniqueName="[Vendas].[Data e hora]" caption="Data e hora" attribute="1" time="1" defaultMemberUniqueName="[Vendas].[Data e hora].[All]" allUniqueName="[Vendas].[Data e hora].[All]" dimensionUniqueName="[Vendas]" displayFolder="" count="0" memberValueDatatype="7" unbalanced="0"/>
    <cacheHierarchy uniqueName="[Vendas].[Venda]" caption="Venda" attribute="1" defaultMemberUniqueName="[Vendas].[Venda].[All]" allUniqueName="[Vendas].[Venda].[All]" dimensionUniqueName="[Vendas]" displayFolder="" count="0" memberValueDatatype="130" unbalanced="0"/>
    <cacheHierarchy uniqueName="[Vendas].[Status da venda]" caption="Status da venda" attribute="1" defaultMemberUniqueName="[Vendas].[Status da venda].[All]" allUniqueName="[Vendas].[Status da venda].[All]" dimensionUniqueName="[Vendas]" displayFolder="" count="0" memberValueDatatype="130" unbalanced="0"/>
    <cacheHierarchy uniqueName="[Vendas].[Data baixa]" caption="Data baixa" attribute="1" defaultMemberUniqueName="[Vendas].[Data baixa].[All]" allUniqueName="[Vendas].[Data baixa].[All]" dimensionUniqueName="[Vendas]" displayFolder="" count="0" memberValueDatatype="130" unbalanced="0"/>
    <cacheHierarchy uniqueName="[Vendas].[Forma pagamento]" caption="Forma pagamento" attribute="1" defaultMemberUniqueName="[Vendas].[Forma pagamento].[All]" allUniqueName="[Vendas].[Forma pagamento].[All]" dimensionUniqueName="[Vendas]" displayFolder="" count="0" memberValueDatatype="130" unbalanced="0"/>
    <cacheHierarchy uniqueName="[Vendas].[Funcionário]" caption="Funcionário" attribute="1" defaultMemberUniqueName="[Vendas].[Funcionário].[All]" allUniqueName="[Vendas].[Funcionário].[All]" dimensionUniqueName="[Vendas]" displayFolder="" count="0" memberValueDatatype="130" unbalanced="0"/>
    <cacheHierarchy uniqueName="[Vendas].[Cliente]" caption="Cliente" attribute="1" defaultMemberUniqueName="[Vendas].[Cliente].[All]" allUniqueName="[Vendas].[Cliente].[All]" dimensionUniqueName="[Vendas]" displayFolder="" count="0" memberValueDatatype="130" unbalanced="0"/>
    <cacheHierarchy uniqueName="[Vendas].[Código]" caption="Código" attribute="1" defaultMemberUniqueName="[Vendas].[Código].[All]" allUniqueName="[Vendas].[Código].[All]" dimensionUniqueName="[Vendas]" displayFolder="" count="0" memberValueDatatype="130" unbalanced="0"/>
    <cacheHierarchy uniqueName="[Vendas].[CPF]" caption="CPF" attribute="1" defaultMemberUniqueName="[Vendas].[CPF].[All]" allUniqueName="[Vendas].[CPF].[All]" dimensionUniqueName="[Vendas]" displayFolder="" count="0" memberValueDatatype="130" unbalanced="0"/>
    <cacheHierarchy uniqueName="[Vendas].[Sexo]" caption="Sexo" attribute="1" defaultMemberUniqueName="[Vendas].[Sexo].[All]" allUniqueName="[Vendas].[Sexo].[All]" dimensionUniqueName="[Vendas]" displayFolder="" count="0" memberValueDatatype="130" unbalanced="0"/>
    <cacheHierarchy uniqueName="[Vendas].[CEP]" caption="CEP" attribute="1" defaultMemberUniqueName="[Vendas].[CEP].[All]" allUniqueName="[Vendas].[CEP].[All]" dimensionUniqueName="[Vendas]" displayFolder="" count="0" memberValueDatatype="130" unbalanced="0"/>
    <cacheHierarchy uniqueName="[Vendas].[Endereço]" caption="Endereço" attribute="1" defaultMemberUniqueName="[Vendas].[Endereço].[All]" allUniqueName="[Vendas].[Endereço].[All]" dimensionUniqueName="[Vendas]" displayFolder="" count="0" memberValueDatatype="130" unbalanced="0"/>
    <cacheHierarchy uniqueName="[Vendas].[Número]" caption="Número" attribute="1" defaultMemberUniqueName="[Vendas].[Número].[All]" allUniqueName="[Vendas].[Número].[All]" dimensionUniqueName="[Vendas]" displayFolder="" count="0" memberValueDatatype="130" unbalanced="0"/>
    <cacheHierarchy uniqueName="[Vendas].[Bairro]" caption="Bairro" attribute="1" defaultMemberUniqueName="[Vendas].[Bairro].[All]" allUniqueName="[Vendas].[Bairro].[All]" dimensionUniqueName="[Vendas]" displayFolder="" count="0" memberValueDatatype="130" unbalanced="0"/>
    <cacheHierarchy uniqueName="[Vendas].[Email]" caption="Email" attribute="1" defaultMemberUniqueName="[Vendas].[Email].[All]" allUniqueName="[Vendas].[Email].[All]" dimensionUniqueName="[Vendas]" displayFolder="" count="0" memberValueDatatype="130" unbalanced="0"/>
    <cacheHierarchy uniqueName="[Vendas].[Celular]" caption="Celular" attribute="1" defaultMemberUniqueName="[Vendas].[Celular].[All]" allUniqueName="[Vendas].[Celular].[All]" dimensionUniqueName="[Vendas]" displayFolder="" count="0" memberValueDatatype="130" unbalanced="0"/>
    <cacheHierarchy uniqueName="[Vendas].[Animal]" caption="Animal" attribute="1" defaultMemberUniqueName="[Vendas].[Animal].[All]" allUniqueName="[Vendas].[Animal].[All]" dimensionUniqueName="[Vendas]" displayFolder="" count="0" memberValueDatatype="130" unbalanced="0"/>
    <cacheHierarchy uniqueName="[Vendas].[Espécie]" caption="Espécie" attribute="1" defaultMemberUniqueName="[Vendas].[Espécie].[All]" allUniqueName="[Vendas].[Espécie].[All]" dimensionUniqueName="[Vendas]" displayFolder="" count="0" memberValueDatatype="130" unbalanced="0"/>
    <cacheHierarchy uniqueName="[Vendas].[Sexo_1]" caption="Sexo_1" attribute="1" defaultMemberUniqueName="[Vendas].[Sexo_1].[All]" allUniqueName="[Vendas].[Sexo_1].[All]" dimensionUniqueName="[Vendas]" displayFolder="" count="0" memberValueDatatype="130" unbalanced="0"/>
    <cacheHierarchy uniqueName="[Vendas].[Raça]" caption="Raça" attribute="1" defaultMemberUniqueName="[Vendas].[Raça].[All]" allUniqueName="[Vendas].[Raça].[All]" dimensionUniqueName="[Vendas]" displayFolder="" count="0" memberValueDatatype="130" unbalanced="0"/>
    <cacheHierarchy uniqueName="[Vendas].[Tipo do Item]" caption="Tipo do Item" attribute="1" defaultMemberUniqueName="[Vendas].[Tipo do Item].[All]" allUniqueName="[Vendas].[Tipo do Item].[All]" dimensionUniqueName="[Vendas]" displayFolder="" count="0" memberValueDatatype="130" unbalanced="0"/>
    <cacheHierarchy uniqueName="[Vendas].[Grupo]" caption="Grupo" attribute="1" defaultMemberUniqueName="[Vendas].[Grupo].[All]" allUniqueName="[Vendas].[Grupo].[All]" dimensionUniqueName="[Vendas]" displayFolder="" count="0" memberValueDatatype="130" unbalanced="0"/>
    <cacheHierarchy uniqueName="[Vendas].[Produto/serviço]" caption="Produto/serviço" attribute="1" defaultMemberUniqueName="[Vendas].[Produto/serviço].[All]" allUniqueName="[Vendas].[Produto/serviço].[All]" dimensionUniqueName="[Vendas]" displayFolder="" count="0" memberValueDatatype="130" unbalanced="0"/>
    <cacheHierarchy uniqueName="[Vendas].[Valor Unitário]" caption="Valor Unitário" attribute="1" defaultMemberUniqueName="[Vendas].[Valor Unitário].[All]" allUniqueName="[Vendas].[Valor Unitário].[All]" dimensionUniqueName="[Vendas]" displayFolder="" count="0" memberValueDatatype="130" unbalanced="0"/>
    <cacheHierarchy uniqueName="[Vendas].[Quantidade]" caption="Quantidade" attribute="1" defaultMemberUniqueName="[Vendas].[Quantidade].[All]" allUniqueName="[Vendas].[Quantidade].[All]" dimensionUniqueName="[Vendas]" displayFolder="" count="0" memberValueDatatype="20" unbalanced="0"/>
    <cacheHierarchy uniqueName="[Vendas].[Bruto]" caption="Bruto" attribute="1" defaultMemberUniqueName="[Vendas].[Bruto].[All]" allUniqueName="[Vendas].[Bruto].[All]" dimensionUniqueName="[Vendas]" displayFolder="" count="0" memberValueDatatype="5" unbalanced="0"/>
    <cacheHierarchy uniqueName="[Vendas].[Desconto]" caption="Desconto" attribute="1" defaultMemberUniqueName="[Vendas].[Desconto].[All]" allUniqueName="[Vendas].[Desconto].[All]" dimensionUniqueName="[Vendas]" displayFolder="" count="0" memberValueDatatype="5" unbalanced="0"/>
    <cacheHierarchy uniqueName="[Vendas].[Líquido]" caption="Líquido" attribute="1" defaultMemberUniqueName="[Vendas].[Líquido].[All]" allUniqueName="[Vendas].[Líquido].[All]" dimensionUniqueName="[Vendas]" displayFolder="" count="0" memberValueDatatype="5" unbalanced="0"/>
    <cacheHierarchy uniqueName="[Vendas].[Column1]" caption="Column1" attribute="1" defaultMemberUniqueName="[Vendas].[Column1].[All]" allUniqueName="[Vendas].[Column1].[All]" dimensionUniqueName="[Vendas]" displayFolder="" count="0" memberValueDatatype="130" unbalanced="0"/>
    <cacheHierarchy uniqueName="[Measures].[Contagem de Pilar]" caption="Contagem de Pilar" measure="1" displayFolder="" measureGroup="Pilar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Total Quanditade]" caption="Total Quanditade" measure="1" displayFolder="" measureGroup="Vendas" count="0"/>
    <cacheHierarchy uniqueName="[Measures].[QTD de Clientes]" caption="QTD de Clientes" measure="1" displayFolder="" measureGroup="Vendas" count="0"/>
    <cacheHierarchy uniqueName="[Measures].[QTD de Vendas]" caption="QTD de Vendas" measure="1" displayFolder="" measureGroup="Vendas" count="0"/>
    <cacheHierarchy uniqueName="[Measures].[Total Bruto]" caption="Total Bruto" measure="1" displayFolder="" measureGroup="Vendas" count="0"/>
    <cacheHierarchy uniqueName="[Measures].[Ticket Médio]" caption="Ticket Médio" measure="1" displayFolder="" measureGroup="Vendas" count="0"/>
    <cacheHierarchy uniqueName="[Measures].[Preço Médio]" caption="Preço Médio" measure="1" displayFolder="" measureGroup="Vendas" count="0"/>
    <cacheHierarchy uniqueName="[Measures].[Fat. Méd. Clientes]" caption="Fat. Méd. Clientes" measure="1" displayFolder="" measureGroup="Vendas" count="0"/>
    <cacheHierarchy uniqueName="[Measures].[Consulta]" caption="Consulta" measure="1" displayFolder="" measureGroup="Vendas" count="0"/>
    <cacheHierarchy uniqueName="[Measures].[Exames]" caption="Exames" measure="1" displayFolder="" measureGroup="Vendas" count="0"/>
    <cacheHierarchy uniqueName="[Measures].[Internação]" caption="Internação" measure="1" displayFolder="" measureGroup="Vendas" count="0"/>
    <cacheHierarchy uniqueName="[Measures].[Cirurgia]" caption="Cirurgia" measure="1" displayFolder="" measureGroup="Vendas" count="0"/>
    <cacheHierarchy uniqueName="[Measures].[Consultas/Internação]" caption="Consultas/Internação" measure="1" displayFolder="" measureGroup="Vendas" count="0"/>
    <cacheHierarchy uniqueName="[Measures].[Consultas/Cirurgias]" caption="Consultas/Cirurgias" measure="1" displayFolder="" measureGroup="Vendas" count="0"/>
    <cacheHierarchy uniqueName="[Measures].[Consultas/Exames]" caption="Consultas/Exames" measure="1" displayFolder="" measureGroup="Vendas" count="0"/>
    <cacheHierarchy uniqueName="[Measures].[Quant_Animais]" caption="Quant_Animais" measure="1" displayFolder="" measureGroup="Vendas" count="0"/>
    <cacheHierarchy uniqueName="[Measures].[__XL_Count Vendas]" caption="__XL_Count Vendas" measure="1" displayFolder="" measureGroup="Vendas" count="0" hidden="1"/>
    <cacheHierarchy uniqueName="[Measures].[__XL_Count Reagrupa]" caption="__XL_Count Reagrupa" measure="1" displayFolder="" measureGroup="Reagrupa" count="0" hidden="1"/>
    <cacheHierarchy uniqueName="[Measures].[__XL_Count Calendar]" caption="__XL_Count Calendar" measure="1" displayFolder="" measureGroup="Calendar" count="0" hidden="1"/>
    <cacheHierarchy uniqueName="[Measures].[__XL_Count Pilar]" caption="__XL_Count Pilar" measure="1" displayFolder="" measureGroup="Pilar" count="0" hidden="1"/>
    <cacheHierarchy uniqueName="[Measures].[__No measures defined]" caption="__No measures defined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50212355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C3D2A1-6AE8-487B-9E35-70976DD5A375}" name="Tabela dinâmica8" cacheId="8" applyNumberFormats="0" applyBorderFormats="0" applyFontFormats="0" applyPatternFormats="0" applyAlignmentFormats="0" applyWidthHeightFormats="1" dataCaption="Valores" tag="875f7b42-0baf-41bd-b920-00fa1b965d4f" updatedVersion="8" minRefreshableVersion="3" useAutoFormatting="1" rowGrandTotals="0" colGrandTotals="0" itemPrintTitles="1" createdVersion="7" indent="0" compact="0" compactData="0" multipleFieldFilters="0" chartFormat="1">
  <location ref="AA2:AE14" firstHeaderRow="1" firstDataRow="4" firstDataCol="2"/>
  <pivotFields count="10">
    <pivotField axis="axisCol" compact="0" allDrilled="1" outline="0" subtotalTop="0" showAll="0" dataSourceSort="1" defaultSubtotal="0" defaultAttributeDrillState="1">
      <items count="2">
        <item x="0"/>
        <item x="1"/>
      </items>
    </pivotField>
    <pivotField axis="axisCol" compact="0" allDrilled="1" outline="0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Row" compact="0" allDrilled="1" outline="0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compact="0" allDrilled="1" outline="0" subtotalTop="0" showAll="0" dataSourceSort="1" defaultSubtotal="0"/>
    <pivotField compact="0" outline="0" subtotalTop="0" showAll="0" dataSourceSort="1" defaultSubtotal="0"/>
    <pivotField compact="0" outline="0" subtotalTop="0" showAll="0" dataSourceSort="1" defaultSubtotal="0"/>
  </pivotFields>
  <rowFields count="2">
    <field x="2"/>
    <field x="3"/>
  </rowFields>
  <rowItems count="9">
    <i>
      <x/>
      <x/>
    </i>
    <i r="1">
      <x v="1"/>
    </i>
    <i>
      <x v="1"/>
      <x/>
    </i>
    <i>
      <x v="2"/>
      <x/>
    </i>
    <i>
      <x v="3"/>
      <x/>
    </i>
    <i r="1">
      <x v="2"/>
    </i>
    <i r="1">
      <x v="1"/>
    </i>
    <i>
      <x v="4"/>
      <x/>
    </i>
    <i r="1">
      <x v="2"/>
    </i>
  </rowItems>
  <colFields count="3">
    <field x="0"/>
    <field x="1"/>
    <field x="-2"/>
  </colFields>
  <colItems count="3">
    <i>
      <x/>
      <x/>
      <x/>
    </i>
    <i r="2" i="1">
      <x v="1"/>
    </i>
    <i r="2" i="2">
      <x v="2"/>
    </i>
  </colItems>
  <dataFields count="3">
    <dataField fld="4" subtotal="count" baseField="0" baseItem="0"/>
    <dataField fld="5" subtotal="count" baseField="0" baseItem="0"/>
    <dataField fld="6" subtotal="count" baseField="0" baseItem="0"/>
  </dataFields>
  <chartFormats count="75">
    <chartFormat chart="0" format="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</references>
      </pivotArea>
    </chartFormat>
    <chartFormat chart="0" format="1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4"/>
          </reference>
        </references>
      </pivotArea>
    </chartFormat>
    <chartFormat chart="0" format="2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0"/>
          </reference>
          <reference field="1" count="1" selected="0">
            <x v="4"/>
          </reference>
        </references>
      </pivotArea>
    </chartFormat>
    <chartFormat chart="0" format="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3"/>
          </reference>
        </references>
      </pivotArea>
    </chartFormat>
    <chartFormat chart="0" format="5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0"/>
          </reference>
          <reference field="1" count="1" selected="0">
            <x v="3"/>
          </reference>
        </references>
      </pivotArea>
    </chartFormat>
    <chartFormat chart="0" format="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</references>
      </pivotArea>
    </chartFormat>
    <chartFormat chart="0" format="7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2"/>
          </reference>
        </references>
      </pivotArea>
    </chartFormat>
    <chartFormat chart="0" format="8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0"/>
          </reference>
          <reference field="1" count="1" selected="0">
            <x v="2"/>
          </reference>
        </references>
      </pivotArea>
    </chartFormat>
    <chartFormat chart="0" format="42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2" count="1" selected="0">
            <x v="6"/>
          </reference>
          <reference field="3" count="1" selected="0">
            <x v="3"/>
          </reference>
        </references>
      </pivotArea>
    </chartFormat>
    <chartFormat chart="0" format="43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2" count="1" selected="0">
            <x v="7"/>
          </reference>
          <reference field="3" count="1" selected="0">
            <x v="2"/>
          </reference>
        </references>
      </pivotArea>
    </chartFormat>
    <chartFormat chart="0" format="44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2" count="1" selected="0">
            <x v="0"/>
          </reference>
          <reference field="3" count="1" selected="0">
            <x v="3"/>
          </reference>
        </references>
      </pivotArea>
    </chartFormat>
    <chartFormat chart="0" format="45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46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7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2" count="1" selected="0">
            <x v="8"/>
          </reference>
          <reference field="3" count="1" selected="0">
            <x v="1"/>
          </reference>
        </references>
      </pivotArea>
    </chartFormat>
    <chartFormat chart="0" format="48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2" count="1" selected="0">
            <x v="2"/>
          </reference>
          <reference field="3" count="1" selected="0">
            <x v="0"/>
          </reference>
        </references>
      </pivotArea>
    </chartFormat>
    <chartFormat chart="0" format="49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0"/>
          </reference>
        </references>
      </pivotArea>
    </chartFormat>
    <chartFormat chart="0" format="50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1"/>
          </reference>
        </references>
      </pivotArea>
    </chartFormat>
    <chartFormat chart="0" format="5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2" count="1" selected="0">
            <x v="9"/>
          </reference>
          <reference field="3" count="1" selected="0">
            <x v="0"/>
          </reference>
        </references>
      </pivotArea>
    </chartFormat>
    <chartFormat chart="0" format="52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2" count="1" selected="0">
            <x v="4"/>
          </reference>
        </references>
      </pivotArea>
    </chartFormat>
    <chartFormat chart="0" format="53">
      <pivotArea type="data" outline="0" fieldPosition="0">
        <references count="5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2"/>
          </reference>
          <reference field="2" count="1" selected="0">
            <x v="6"/>
          </reference>
          <reference field="3" count="1" selected="0">
            <x v="3"/>
          </reference>
        </references>
      </pivotArea>
    </chartFormat>
    <chartFormat chart="0" format="54">
      <pivotArea type="data" outline="0" fieldPosition="0">
        <references count="5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2"/>
          </reference>
          <reference field="2" count="1" selected="0">
            <x v="7"/>
          </reference>
          <reference field="3" count="1" selected="0">
            <x v="2"/>
          </reference>
        </references>
      </pivotArea>
    </chartFormat>
    <chartFormat chart="0" format="55">
      <pivotArea type="data" outline="0" fieldPosition="0">
        <references count="5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2"/>
          </reference>
          <reference field="2" count="1" selected="0">
            <x v="0"/>
          </reference>
          <reference field="3" count="1" selected="0">
            <x v="3"/>
          </reference>
        </references>
      </pivotArea>
    </chartFormat>
    <chartFormat chart="0" format="56">
      <pivotArea type="data" outline="0" fieldPosition="0">
        <references count="5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2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57">
      <pivotArea type="data" outline="0" fieldPosition="0">
        <references count="5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2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58">
      <pivotArea type="data" outline="0" fieldPosition="0">
        <references count="5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2"/>
          </reference>
          <reference field="2" count="1" selected="0">
            <x v="8"/>
          </reference>
          <reference field="3" count="1" selected="0">
            <x v="1"/>
          </reference>
        </references>
      </pivotArea>
    </chartFormat>
    <chartFormat chart="0" format="59">
      <pivotArea type="data" outline="0" fieldPosition="0">
        <references count="5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2"/>
          </reference>
          <reference field="2" count="1" selected="0">
            <x v="2"/>
          </reference>
          <reference field="3" count="1" selected="0">
            <x v="0"/>
          </reference>
        </references>
      </pivotArea>
    </chartFormat>
    <chartFormat chart="0" format="60">
      <pivotArea type="data" outline="0" fieldPosition="0">
        <references count="5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0"/>
          </reference>
        </references>
      </pivotArea>
    </chartFormat>
    <chartFormat chart="0" format="61">
      <pivotArea type="data" outline="0" fieldPosition="0">
        <references count="5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1"/>
          </reference>
        </references>
      </pivotArea>
    </chartFormat>
    <chartFormat chart="0" format="62">
      <pivotArea type="data" outline="0" fieldPosition="0">
        <references count="5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2"/>
          </reference>
          <reference field="2" count="1" selected="0">
            <x v="9"/>
          </reference>
          <reference field="3" count="1" selected="0">
            <x v="0"/>
          </reference>
        </references>
      </pivotArea>
    </chartFormat>
    <chartFormat chart="0" format="63">
      <pivotArea type="data" outline="0" fieldPosition="0">
        <references count="4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2"/>
          </reference>
          <reference field="2" count="1" selected="0">
            <x v="4"/>
          </reference>
        </references>
      </pivotArea>
    </chartFormat>
    <chartFormat chart="0" format="64">
      <pivotArea type="data" outline="0" fieldPosition="0">
        <references count="5">
          <reference field="4294967294" count="1" selected="0">
            <x v="2"/>
          </reference>
          <reference field="0" count="1" selected="0">
            <x v="0"/>
          </reference>
          <reference field="1" count="1" selected="0">
            <x v="2"/>
          </reference>
          <reference field="2" count="1" selected="0">
            <x v="6"/>
          </reference>
          <reference field="3" count="1" selected="0">
            <x v="3"/>
          </reference>
        </references>
      </pivotArea>
    </chartFormat>
    <chartFormat chart="0" format="65">
      <pivotArea type="data" outline="0" fieldPosition="0">
        <references count="5">
          <reference field="4294967294" count="1" selected="0">
            <x v="2"/>
          </reference>
          <reference field="0" count="1" selected="0">
            <x v="0"/>
          </reference>
          <reference field="1" count="1" selected="0">
            <x v="2"/>
          </reference>
          <reference field="2" count="1" selected="0">
            <x v="7"/>
          </reference>
          <reference field="3" count="1" selected="0">
            <x v="2"/>
          </reference>
        </references>
      </pivotArea>
    </chartFormat>
    <chartFormat chart="0" format="66">
      <pivotArea type="data" outline="0" fieldPosition="0">
        <references count="5">
          <reference field="4294967294" count="1" selected="0">
            <x v="2"/>
          </reference>
          <reference field="0" count="1" selected="0">
            <x v="0"/>
          </reference>
          <reference field="1" count="1" selected="0">
            <x v="2"/>
          </reference>
          <reference field="2" count="1" selected="0">
            <x v="0"/>
          </reference>
          <reference field="3" count="1" selected="0">
            <x v="3"/>
          </reference>
        </references>
      </pivotArea>
    </chartFormat>
    <chartFormat chart="0" format="67">
      <pivotArea type="data" outline="0" fieldPosition="0">
        <references count="5">
          <reference field="4294967294" count="1" selected="0">
            <x v="2"/>
          </reference>
          <reference field="0" count="1" selected="0">
            <x v="0"/>
          </reference>
          <reference field="1" count="1" selected="0">
            <x v="2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68">
      <pivotArea type="data" outline="0" fieldPosition="0">
        <references count="5">
          <reference field="4294967294" count="1" selected="0">
            <x v="2"/>
          </reference>
          <reference field="0" count="1" selected="0">
            <x v="0"/>
          </reference>
          <reference field="1" count="1" selected="0">
            <x v="2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69">
      <pivotArea type="data" outline="0" fieldPosition="0">
        <references count="5">
          <reference field="4294967294" count="1" selected="0">
            <x v="2"/>
          </reference>
          <reference field="0" count="1" selected="0">
            <x v="0"/>
          </reference>
          <reference field="1" count="1" selected="0">
            <x v="2"/>
          </reference>
          <reference field="2" count="1" selected="0">
            <x v="8"/>
          </reference>
          <reference field="3" count="1" selected="0">
            <x v="1"/>
          </reference>
        </references>
      </pivotArea>
    </chartFormat>
    <chartFormat chart="0" format="70">
      <pivotArea type="data" outline="0" fieldPosition="0">
        <references count="5">
          <reference field="4294967294" count="1" selected="0">
            <x v="2"/>
          </reference>
          <reference field="0" count="1" selected="0">
            <x v="0"/>
          </reference>
          <reference field="1" count="1" selected="0">
            <x v="2"/>
          </reference>
          <reference field="2" count="1" selected="0">
            <x v="2"/>
          </reference>
          <reference field="3" count="1" selected="0">
            <x v="0"/>
          </reference>
        </references>
      </pivotArea>
    </chartFormat>
    <chartFormat chart="0" format="71">
      <pivotArea type="data" outline="0" fieldPosition="0">
        <references count="5">
          <reference field="4294967294" count="1" selected="0">
            <x v="2"/>
          </reference>
          <reference field="0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0"/>
          </reference>
        </references>
      </pivotArea>
    </chartFormat>
    <chartFormat chart="0" format="72">
      <pivotArea type="data" outline="0" fieldPosition="0">
        <references count="5">
          <reference field="4294967294" count="1" selected="0">
            <x v="2"/>
          </reference>
          <reference field="0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1"/>
          </reference>
        </references>
      </pivotArea>
    </chartFormat>
    <chartFormat chart="0" format="73">
      <pivotArea type="data" outline="0" fieldPosition="0">
        <references count="5">
          <reference field="4294967294" count="1" selected="0">
            <x v="2"/>
          </reference>
          <reference field="0" count="1" selected="0">
            <x v="0"/>
          </reference>
          <reference field="1" count="1" selected="0">
            <x v="2"/>
          </reference>
          <reference field="2" count="1" selected="0">
            <x v="9"/>
          </reference>
          <reference field="3" count="1" selected="0">
            <x v="0"/>
          </reference>
        </references>
      </pivotArea>
    </chartFormat>
    <chartFormat chart="0" format="74">
      <pivotArea type="data" outline="0" fieldPosition="0">
        <references count="4">
          <reference field="4294967294" count="1" selected="0">
            <x v="2"/>
          </reference>
          <reference field="0" count="1" selected="0">
            <x v="0"/>
          </reference>
          <reference field="1" count="1" selected="0">
            <x v="2"/>
          </reference>
          <reference field="2" count="1" selected="0">
            <x v="4"/>
          </reference>
        </references>
      </pivotArea>
    </chartFormat>
    <chartFormat chart="0" format="7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</references>
      </pivotArea>
    </chartFormat>
    <chartFormat chart="0" format="76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77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78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0"/>
          </reference>
        </references>
      </pivotArea>
    </chartFormat>
    <chartFormat chart="0" format="79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0"/>
          </reference>
        </references>
      </pivotArea>
    </chartFormat>
    <chartFormat chart="0" format="80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1"/>
          </reference>
        </references>
      </pivotArea>
    </chartFormat>
    <chartFormat chart="0" format="8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0"/>
          </reference>
        </references>
      </pivotArea>
    </chartFormat>
    <chartFormat chart="0" format="82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1"/>
          </reference>
        </references>
      </pivotArea>
    </chartFormat>
    <chartFormat chart="0" format="83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</references>
      </pivotArea>
    </chartFormat>
    <chartFormat chart="0" format="84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1"/>
          </reference>
        </references>
      </pivotArea>
    </chartFormat>
    <chartFormat chart="0" format="85">
      <pivotArea type="data" outline="0" fieldPosition="0">
        <references count="5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1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86">
      <pivotArea type="data" outline="0" fieldPosition="0">
        <references count="5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1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87">
      <pivotArea type="data" outline="0" fieldPosition="0">
        <references count="5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0"/>
          </reference>
        </references>
      </pivotArea>
    </chartFormat>
    <chartFormat chart="0" format="88">
      <pivotArea type="data" outline="0" fieldPosition="0">
        <references count="5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0"/>
          </reference>
        </references>
      </pivotArea>
    </chartFormat>
    <chartFormat chart="0" format="89">
      <pivotArea type="data" outline="0" fieldPosition="0">
        <references count="5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1"/>
          </reference>
        </references>
      </pivotArea>
    </chartFormat>
    <chartFormat chart="0" format="90">
      <pivotArea type="data" outline="0" fieldPosition="0">
        <references count="5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0"/>
          </reference>
        </references>
      </pivotArea>
    </chartFormat>
    <chartFormat chart="0" format="91">
      <pivotArea type="data" outline="0" fieldPosition="0">
        <references count="5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1"/>
          </reference>
        </references>
      </pivotArea>
    </chartFormat>
    <chartFormat chart="0" format="92">
      <pivotArea type="data" outline="0" fieldPosition="0">
        <references count="4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</references>
      </pivotArea>
    </chartFormat>
    <chartFormat chart="0" format="93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0"/>
          </reference>
          <reference field="1" count="1" selected="0">
            <x v="1"/>
          </reference>
        </references>
      </pivotArea>
    </chartFormat>
    <chartFormat chart="0" format="94">
      <pivotArea type="data" outline="0" fieldPosition="0">
        <references count="5">
          <reference field="4294967294" count="1" selected="0">
            <x v="2"/>
          </reference>
          <reference field="0" count="1" selected="0">
            <x v="0"/>
          </reference>
          <reference field="1" count="1" selected="0">
            <x v="1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95">
      <pivotArea type="data" outline="0" fieldPosition="0">
        <references count="5">
          <reference field="4294967294" count="1" selected="0">
            <x v="2"/>
          </reference>
          <reference field="0" count="1" selected="0">
            <x v="0"/>
          </reference>
          <reference field="1" count="1" selected="0">
            <x v="1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96">
      <pivotArea type="data" outline="0" fieldPosition="0">
        <references count="5">
          <reference field="4294967294" count="1" selected="0">
            <x v="2"/>
          </reference>
          <reference field="0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0"/>
          </reference>
        </references>
      </pivotArea>
    </chartFormat>
    <chartFormat chart="0" format="97">
      <pivotArea type="data" outline="0" fieldPosition="0">
        <references count="5">
          <reference field="4294967294" count="1" selected="0">
            <x v="2"/>
          </reference>
          <reference field="0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0"/>
          </reference>
        </references>
      </pivotArea>
    </chartFormat>
    <chartFormat chart="0" format="98">
      <pivotArea type="data" outline="0" fieldPosition="0">
        <references count="5">
          <reference field="4294967294" count="1" selected="0">
            <x v="2"/>
          </reference>
          <reference field="0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1"/>
          </reference>
        </references>
      </pivotArea>
    </chartFormat>
    <chartFormat chart="0" format="99">
      <pivotArea type="data" outline="0" fieldPosition="0">
        <references count="5">
          <reference field="4294967294" count="1" selected="0">
            <x v="2"/>
          </reference>
          <reference field="0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0"/>
          </reference>
        </references>
      </pivotArea>
    </chartFormat>
    <chartFormat chart="0" format="100">
      <pivotArea type="data" outline="0" fieldPosition="0">
        <references count="5">
          <reference field="4294967294" count="1" selected="0">
            <x v="2"/>
          </reference>
          <reference field="0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1"/>
          </reference>
        </references>
      </pivotArea>
    </chartFormat>
    <chartFormat chart="0" format="101">
      <pivotArea type="data" outline="0" fieldPosition="0">
        <references count="4">
          <reference field="4294967294" count="1" selected="0">
            <x v="2"/>
          </reference>
          <reference field="0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</references>
      </pivotArea>
    </chartFormat>
    <chartFormat chart="0" format="10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5"/>
          </reference>
        </references>
      </pivotArea>
    </chartFormat>
    <chartFormat chart="0" format="106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1"/>
          </reference>
          <reference field="1" count="1" selected="0">
            <x v="5"/>
          </reference>
        </references>
      </pivotArea>
    </chartFormat>
    <chartFormat chart="0" format="107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1"/>
          </reference>
          <reference field="1" count="1" selected="0">
            <x v="5"/>
          </reference>
        </references>
      </pivotArea>
    </chartFormat>
    <chartFormat chart="0" format="10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</references>
      </pivotArea>
    </chartFormat>
    <chartFormat chart="0" format="109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0"/>
          </reference>
        </references>
      </pivotArea>
    </chartFormat>
    <chartFormat chart="0" format="110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0"/>
          </reference>
          <reference field="1" count="1" selected="0">
            <x v="0"/>
          </reference>
        </references>
      </pivotArea>
    </chartFormat>
  </chartFormats>
  <pivotHierarchies count="66">
    <pivotHierarchy dragToData="1"/>
    <pivotHierarchy multipleItemSelectionAllowed="1">
      <members count="1" level="2">
        <member name="[Calendar].[Date Hierarchy].[Year].&amp;[2022].&amp;[maio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1" showRowHeaders="1" showColHeaders="1" showRowStripes="0" showColStripes="0" showLastColumn="1"/>
  <rowHierarchiesUsage count="2">
    <rowHierarchyUsage hierarchyUsage="33"/>
    <rowHierarchyUsage hierarchyUsage="34"/>
  </rowHierarchiesUsage>
  <colHierarchiesUsage count="3">
    <colHierarchyUsage hierarchyUsage="2"/>
    <colHierarchyUsage hierarchyUsage="4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ar]"/>
        <x15:activeTabTopLevelEntity name="[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FBE9A2-F787-4015-93D2-70355AA758B6}" name="Tabela dinâmica4" cacheId="5" dataOnRows="1" applyNumberFormats="0" applyBorderFormats="0" applyFontFormats="0" applyPatternFormats="0" applyAlignmentFormats="0" applyWidthHeightFormats="1" dataCaption="Valores" tag="e622b212-05d0-4f8e-ab49-6c57cbe14632" updatedVersion="8" minRefreshableVersion="5" useAutoFormatting="1" subtotalHiddenItems="1" rowGrandTotals="0" colGrandTotals="0" itemPrintTitles="1" createdVersion="7" indent="0" compact="0" compactData="0" multipleFieldFilters="0" rowHeaderCaption="Filtro">
  <location ref="L4:M8" firstHeaderRow="1" firstDataRow="2" firstDataCol="1"/>
  <pivotFields count="8">
    <pivotField compact="0" allDrilled="1" outline="0" subtotalTop="0" showAll="0" dataSourceSort="1" defaultSubtotal="0" defaultAttributeDrillState="1">
      <items count="1">
        <item x="0"/>
      </items>
    </pivotField>
    <pivotField axis="axisCol" compact="0" allDrilled="1" outline="0" subtotalTop="0" showAll="0" dataSourceSort="1" defaultSubtotal="0" defaultAttributeDrillState="1">
      <items count="1">
        <item x="0"/>
      </items>
    </pivotField>
    <pivotField dataField="1" compact="0" outline="0" subtotalTop="0" showAll="0" defaultSubtotal="0"/>
    <pivotField dataField="1" compact="0" outline="0" subtotalTop="0" showAll="0" defaultSubtotal="0"/>
    <pivotField compact="0" allDrilled="1" outline="0" subtotalTop="0" showAll="0" dataSourceSort="1" defaultSubtotal="0"/>
    <pivotField compact="0" outline="0" subtotalTop="0" showAll="0" dataSourceSort="1" defaultSubtotal="0"/>
    <pivotField compact="0" outline="0" subtotalTop="0" showAll="0" dataSourceSort="1" defaultSubtotal="0"/>
    <pivotField dataField="1" compact="0" outline="0" subtotalTop="0" showAll="0" defaultSubtotal="0"/>
  </pivotFields>
  <rowFields count="1">
    <field x="-2"/>
  </rowFields>
  <rowItems count="3">
    <i>
      <x/>
    </i>
    <i i="1">
      <x v="1"/>
    </i>
    <i i="2">
      <x v="2"/>
    </i>
  </rowItems>
  <colFields count="1">
    <field x="1"/>
  </colFields>
  <colItems count="1">
    <i>
      <x/>
    </i>
  </colItems>
  <dataFields count="3">
    <dataField fld="2" subtotal="count" baseField="0" baseItem="0"/>
    <dataField fld="3" subtotal="count" baseField="0" baseItem="0"/>
    <dataField fld="7" subtotal="count" baseField="0" baseItem="0"/>
  </dataFields>
  <pivotHierarchies count="66">
    <pivotHierarchy dragToData="1"/>
    <pivotHierarchy multipleItemSelectionAllowed="1">
      <members count="1" level="2">
        <member name="[Calendar].[Date Hierarchy].[Year].&amp;[2022].&amp;[maio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3" showRowHeaders="1" showColHeaders="1" showRowStripes="0" showColStripes="0" showLastColumn="1"/>
  <filters count="1">
    <filter fld="0" type="dateBetween" evalOrder="-1" id="34" name="[Calendar].[Date]">
      <autoFilter ref="A1">
        <filterColumn colId="0">
          <customFilters and="1">
            <customFilter operator="greaterThanOrEqual" val="44621"/>
            <customFilter operator="lessThanOrEqual" val="4465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-2"/>
  </rowHierarchiesUsage>
  <colHierarchiesUsage count="1">
    <colHierarchyUsage hierarchyUsage="4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ar]"/>
        <x15:activeTabTopLevelEntity name="[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B6925-FCAB-48F4-8AB1-8F87D90EE0EE}" name="Tabela dinâmica1" cacheId="3" applyNumberFormats="0" applyBorderFormats="0" applyFontFormats="0" applyPatternFormats="0" applyAlignmentFormats="0" applyWidthHeightFormats="1" dataCaption="Valores" tag="3ba324f8-d1ed-4946-a152-794222085c10" updatedVersion="8" minRefreshableVersion="3" useAutoFormatting="1" subtotalHiddenItems="1" rowGrandTotals="0" colGrandTotals="0" itemPrintTitles="1" createdVersion="7" indent="0" outline="1" outlineData="1" multipleFieldFilters="0">
  <location ref="A11:D28" firstHeaderRow="0" firstDataRow="1" firstDataCol="1"/>
  <pivotFields count="9">
    <pivotField axis="axisRow" allDrilled="1" showAll="0" dataSourceSort="1" defaultSubtotal="0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axis="axisRow" allDrilled="1" showAll="0" dataSourceSort="1" defaultSubtotal="0" defaultAttributeDrillState="1">
      <items count="1">
        <item x="0"/>
      </items>
    </pivotField>
    <pivotField axis="axisRow" allDrilled="1" showAll="0" dataSourceSort="1" defaultSubtotal="0" defaultAttributeDrillState="1">
      <items count="1">
        <item x="0"/>
      </items>
    </pivotField>
    <pivotField dataField="1" showAll="0" defaultSubtotal="0"/>
    <pivotField dataField="1" showAll="0" defaultSubtotal="0"/>
    <pivotField dataField="1" showAll="0" defaultSubtotal="0"/>
    <pivotField allDrilled="1" showAll="0" dataSourceSort="1" defaultSubtotal="0"/>
    <pivotField showAll="0" dataSourceSort="1" defaultSubtotal="0"/>
    <pivotField showAll="0" dataSourceSort="1" defaultSubtotal="0"/>
  </pivotFields>
  <rowFields count="3">
    <field x="1"/>
    <field x="2"/>
    <field x="0"/>
  </rowFields>
  <rowItems count="17">
    <i>
      <x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</rowItems>
  <colFields count="1">
    <field x="-2"/>
  </colFields>
  <colItems count="3">
    <i>
      <x/>
    </i>
    <i i="1">
      <x v="1"/>
    </i>
    <i i="2">
      <x v="2"/>
    </i>
  </colItems>
  <dataFields count="3">
    <dataField fld="3" subtotal="count" baseField="0" baseItem="0"/>
    <dataField fld="4" subtotal="count" baseField="0" baseItem="0"/>
    <dataField fld="5" subtotal="count" baseField="0" baseItem="0"/>
  </dataFields>
  <pivotHierarchies count="66">
    <pivotHierarchy dragToData="1"/>
    <pivotHierarchy multipleItemSelectionAllowed="1">
      <members count="1" level="2">
        <member name="[Calendar].[Date Hierarchy].[Year].&amp;[2022].&amp;[maio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3" showRowHeaders="1" showColHeaders="1" showRowStripes="0" showColStripes="0" showLastColumn="1"/>
  <rowHierarchiesUsage count="3">
    <rowHierarchyUsage hierarchyUsage="2"/>
    <rowHierarchyUsage hierarchyUsage="4"/>
    <rowHierarchyUsage hierarchyUsage="1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ar]"/>
        <x15:activeTabTopLevelEntity name="[Pilar]"/>
        <x15:activeTabTopLevelEntity name="[Vendas]"/>
        <x15:activeTabTopLevelEntity name="[Reagrup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44380B-123A-45D5-9BE2-AEE15E3F33F3}" name="Tabela dinâmica5" cacheId="9" applyNumberFormats="0" applyBorderFormats="0" applyFontFormats="0" applyPatternFormats="0" applyAlignmentFormats="0" applyWidthHeightFormats="1" dataCaption="Valores" tag="21beae76-5a01-41fc-8315-cdbe0d3fff65" updatedVersion="8" minRefreshableVersion="3" useAutoFormatting="1" rowGrandTotals="0" colGrandTotals="0" itemPrintTitles="1" createdVersion="7" indent="0" compact="0" compactData="0" multipleFieldFilters="0">
  <location ref="F15:H21" firstHeaderRow="1" firstDataRow="1" firstDataCol="2"/>
  <pivotFields count="6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axis="axisRow" compact="0" allDrilled="1" outline="0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dataField="1" compact="0" outline="0" subtotalTop="0" showAll="0" defaultSubtotal="0"/>
    <pivotField compact="0" allDrilled="1" outline="0" subtotalTop="0" showAll="0" dataSourceSort="1" defaultSubtotal="0"/>
    <pivotField compact="0" outline="0" subtotalTop="0" showAll="0" dataSourceSort="1" defaultSubtotal="0"/>
    <pivotField compact="0" outline="0" subtotalTop="0" showAll="0" dataSourceSort="1" defaultSubtotal="0"/>
  </pivotFields>
  <rowFields count="2">
    <field x="0"/>
    <field x="1"/>
  </rowFields>
  <rowItems count="6">
    <i>
      <x/>
      <x/>
    </i>
    <i>
      <x v="1"/>
      <x v="1"/>
    </i>
    <i r="1">
      <x v="2"/>
    </i>
    <i r="1">
      <x v="3"/>
    </i>
    <i r="1">
      <x v="4"/>
    </i>
    <i r="1">
      <x v="5"/>
    </i>
  </rowItems>
  <colItems count="1">
    <i/>
  </colItems>
  <dataFields count="1">
    <dataField fld="2" subtotal="count" baseField="0" baseItem="0"/>
  </dataFields>
  <pivotHierarchies count="66">
    <pivotHierarchy dragToData="1"/>
    <pivotHierarchy multipleItemSelectionAllowed="1">
      <members count="6" level="2">
        <member name="[Calendar].[Date Hierarchy].[Year].&amp;[2021].&amp;[dezembro]"/>
        <member name="[Calendar].[Date Hierarchy].[Year].&amp;[2022].&amp;[abril]"/>
        <member name="[Calendar].[Date Hierarchy].[Year].&amp;[2022].&amp;[fevereiro]"/>
        <member name="[Calendar].[Date Hierarchy].[Year].&amp;[2022].&amp;[janeiro]"/>
        <member name="[Calendar].[Date Hierarchy].[Year].&amp;[2022].&amp;[maio]"/>
        <member name="[Calendar].[Date Hierarchy].[Year].&amp;[2022].&amp;[março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2"/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ar]"/>
        <x15:activeTabTopLevelEntity name="[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4B8EF8-2B9F-4E7F-A021-A2C0B7180396}" name="Tabela dinâmica2" cacheId="4" applyNumberFormats="0" applyBorderFormats="0" applyFontFormats="0" applyPatternFormats="0" applyAlignmentFormats="0" applyWidthHeightFormats="1" dataCaption="Valores" grandTotalCaption="Total" tag="749b9952-659f-413d-aeff-1955807287a9" updatedVersion="8" minRefreshableVersion="3" visualTotals="0" useAutoFormatting="1" subtotalHiddenItems="1" rowGrandTotals="0" colGrandTotals="0" itemPrintTitles="1" createdVersion="7" indent="0" outline="1" outlineData="1" multipleFieldFilters="0" rowHeaderCaption="Filtro">
  <location ref="F4:J11" firstHeaderRow="0" firstDataRow="1" firstDataCol="1"/>
  <pivotFields count="10">
    <pivotField axis="axisRow" allDrilled="1" showAll="0" dataSourceSort="1" defaultSubtotal="0" defaultAttributeDrillState="1">
      <items count="1">
        <item x="0"/>
      </items>
    </pivotField>
    <pivotField dataField="1" showAll="0" defaultSubtotal="0"/>
    <pivotField dataField="1" showAll="0" defaultSubtotal="0"/>
    <pivotField dataField="1" showAll="0" defaultSubtotal="0"/>
    <pivotField allDrilled="1" showAll="0" dataSourceSort="1" defaultSubtotal="0"/>
    <pivotField showAll="0" dataSourceSort="1" defaultSubtotal="0"/>
    <pivotField showAll="0" dataSourceSort="1" defaultSubtotal="0"/>
    <pivotField axis="axisRow" allDrilled="1" showAll="0" dataSourceSort="1" defaultSubtotal="0" defaultAttributeDrillState="1">
      <items count="5">
        <item x="0"/>
        <item x="1"/>
        <item x="2"/>
        <item x="3"/>
        <item x="4"/>
      </items>
    </pivotField>
    <pivotField axis="axisRow" allDrilled="1" showAll="0" dataSourceSort="1" defaultSubtotal="0" defaultAttributeDrillState="1">
      <items count="1">
        <item x="0"/>
      </items>
    </pivotField>
    <pivotField dataField="1" subtotalTop="0" showAll="0" defaultSubtotal="0"/>
  </pivotFields>
  <rowFields count="3">
    <field x="0"/>
    <field x="8"/>
    <field x="7"/>
  </rowFields>
  <rowItems count="7">
    <i>
      <x/>
    </i>
    <i r="1">
      <x/>
    </i>
    <i r="2">
      <x/>
    </i>
    <i r="2">
      <x v="1"/>
    </i>
    <i r="2">
      <x v="2"/>
    </i>
    <i r="2">
      <x v="3"/>
    </i>
    <i r="2">
      <x v="4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fld="1" subtotal="count" baseField="0" baseItem="0"/>
    <dataField fld="2" subtotal="count" baseField="0" baseItem="0"/>
    <dataField fld="3" subtotal="count" baseField="0" baseItem="0"/>
    <dataField fld="9" subtotal="count" baseField="0" baseItem="0"/>
  </dataFields>
  <formats count="2">
    <format dxfId="9">
      <pivotArea dataOnly="0" labelOnly="1" grandRow="1" outline="0" fieldPosition="0"/>
    </format>
    <format dxfId="8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Hierarchies count="66">
    <pivotHierarchy dragToData="1"/>
    <pivotHierarchy multipleItemSelectionAllowed="1">
      <members count="1" level="2">
        <member name="[Calendar].[Date Hierarchy].[Year].&amp;[2022].&amp;[maio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3" showRowHeaders="1" showColHeaders="1" showRowStripes="0" showColStripes="0" showLastColumn="1"/>
  <rowHierarchiesUsage count="3">
    <rowHierarchyUsage hierarchyUsage="2"/>
    <rowHierarchyUsage hierarchyUsage="4"/>
    <rowHierarchyUsage hierarchyUsage="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ar]"/>
        <x15:activeTabTopLevelEntity name="[Pilar]"/>
        <x15:activeTabTopLevelEntity name="[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DE3673-F193-43E3-8268-A3EBA7CA08F8}" name="Tabela dinâmica7" cacheId="7" applyNumberFormats="0" applyBorderFormats="0" applyFontFormats="0" applyPatternFormats="0" applyAlignmentFormats="0" applyWidthHeightFormats="1" dataCaption="Valores" tag="7729260a-33f2-463d-ae04-2f2c835ef90b" updatedVersion="8" minRefreshableVersion="3" useAutoFormatting="1" rowGrandTotals="0" colGrandTotals="0" itemPrintTitles="1" createdVersion="7" indent="0" outline="1" outlineData="1" multipleFieldFilters="0" rowHeaderCaption="Raça">
  <location ref="V2:Y50" firstHeaderRow="1" firstDataRow="4" firstDataCol="1"/>
  <pivotFields count="9">
    <pivotField axis="axisCol" allDrilled="1" subtotalTop="0" showAll="0" dataSourceSort="1" defaultSubtotal="0" defaultAttributeDrillState="1">
      <items count="1">
        <item x="0"/>
      </items>
    </pivotField>
    <pivotField axis="axisCol" allDrilled="1" subtotalTop="0" showAll="0" dataSourceSort="1" defaultSubtotal="0" defaultAttributeDrillState="1">
      <items count="1">
        <item x="0"/>
      </items>
    </pivotField>
    <pivotField axis="axisRow" allDrilled="1" subtotalTop="0" showAll="0" sortType="descending" defaultSubtotal="0" defaultAttributeDrillState="1">
      <items count="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</items>
      <autoSortScope>
        <pivotArea dataOnly="0" outline="0" fieldPosition="0">
          <references count="3">
            <reference field="4294967294" count="1" selected="0">
              <x v="2"/>
            </reference>
            <reference field="0" count="1" selected="0">
              <x v="0"/>
            </reference>
            <reference field="1" count="1" selected="0">
              <x v="0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allDrilled="1" subtotalTop="0" showAll="0" dataSourceSort="1" defaultSubtotal="0"/>
    <pivotField subtotalTop="0" showAll="0" dataSourceSort="1" defaultSubtotal="0"/>
    <pivotField subtotalTop="0" showAll="0" dataSourceSort="1" defaultSubtotal="0"/>
    <pivotField dataField="1" subtotalTop="0" showAll="0" defaultSubtotal="0"/>
  </pivotFields>
  <rowFields count="1">
    <field x="2"/>
  </rowFields>
  <rowItems count="45">
    <i>
      <x v="42"/>
    </i>
    <i>
      <x v="17"/>
    </i>
    <i>
      <x v="18"/>
    </i>
    <i>
      <x v="23"/>
    </i>
    <i>
      <x v="40"/>
    </i>
    <i>
      <x v="44"/>
    </i>
    <i>
      <x v="12"/>
    </i>
    <i>
      <x v="35"/>
    </i>
    <i>
      <x v="26"/>
    </i>
    <i>
      <x v="33"/>
    </i>
    <i>
      <x v="32"/>
    </i>
    <i>
      <x v="8"/>
    </i>
    <i>
      <x v="38"/>
    </i>
    <i>
      <x v="21"/>
    </i>
    <i>
      <x v="5"/>
    </i>
    <i>
      <x v="41"/>
    </i>
    <i>
      <x v="30"/>
    </i>
    <i>
      <x v="10"/>
    </i>
    <i>
      <x v="24"/>
    </i>
    <i>
      <x/>
    </i>
    <i>
      <x v="43"/>
    </i>
    <i>
      <x v="7"/>
    </i>
    <i>
      <x v="11"/>
    </i>
    <i>
      <x v="34"/>
    </i>
    <i>
      <x v="36"/>
    </i>
    <i>
      <x v="29"/>
    </i>
    <i>
      <x v="37"/>
    </i>
    <i>
      <x v="19"/>
    </i>
    <i>
      <x v="31"/>
    </i>
    <i>
      <x v="22"/>
    </i>
    <i>
      <x v="9"/>
    </i>
    <i>
      <x v="14"/>
    </i>
    <i>
      <x v="25"/>
    </i>
    <i>
      <x v="1"/>
    </i>
    <i>
      <x v="20"/>
    </i>
    <i>
      <x v="6"/>
    </i>
    <i>
      <x v="27"/>
    </i>
    <i>
      <x v="3"/>
    </i>
    <i>
      <x v="2"/>
    </i>
    <i>
      <x v="16"/>
    </i>
    <i>
      <x v="4"/>
    </i>
    <i>
      <x v="39"/>
    </i>
    <i>
      <x v="28"/>
    </i>
    <i>
      <x v="15"/>
    </i>
    <i>
      <x v="13"/>
    </i>
  </rowItems>
  <colFields count="3">
    <field x="0"/>
    <field x="1"/>
    <field x="-2"/>
  </colFields>
  <colItems count="3">
    <i>
      <x/>
      <x/>
      <x/>
    </i>
    <i r="2" i="1">
      <x v="1"/>
    </i>
    <i r="2" i="2">
      <x v="2"/>
    </i>
  </colItems>
  <dataFields count="3">
    <dataField fld="8" subtotal="count" baseField="0" baseItem="0"/>
    <dataField fld="3" subtotal="count" baseField="0" baseItem="0"/>
    <dataField name="Faturado" fld="4" subtotal="count" baseField="0" baseItem="0"/>
  </dataFields>
  <pivotHierarchies count="66">
    <pivotHierarchy dragToData="1"/>
    <pivotHierarchy multipleItemSelectionAllowed="1">
      <members count="1" level="2">
        <member name="[Calendar].[Date Hierarchy].[Year].&amp;[2022].&amp;[maio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Faturado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1" showRowHeaders="1" showColHeaders="1" showRowStripes="0" showColStripes="0" showLastColumn="1"/>
  <rowHierarchiesUsage count="1">
    <rowHierarchyUsage hierarchyUsage="35"/>
  </rowHierarchiesUsage>
  <colHierarchiesUsage count="3">
    <colHierarchyUsage hierarchyUsage="2"/>
    <colHierarchyUsage hierarchyUsage="4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ar]"/>
        <x15:activeTabTopLevelEntity name="[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F6A7FB-0BF3-40BC-BA9C-7F6A0BE26B4C}" name="Tabela dinâmica3" cacheId="6" applyNumberFormats="0" applyBorderFormats="0" applyFontFormats="0" applyPatternFormats="0" applyAlignmentFormats="0" applyWidthHeightFormats="1" dataCaption="Valores" tag="b67e174a-39bf-4c65-bb1d-c93afd350635" updatedVersion="8" minRefreshableVersion="3" useAutoFormatting="1" itemPrintTitles="1" createdVersion="7" indent="0" outline="1" outlineData="1" multipleFieldFilters="0" chartFormat="3">
  <location ref="XDC2:XDD7" firstHeaderRow="1" firstDataRow="1" firstDataCol="1"/>
  <pivotFields count="7">
    <pivotField axis="axisRow" allDrilled="1" subtotalTop="0" showAll="0" dataSourceSort="1" defaultSubtotal="0" defaultAttributeDrillState="1">
      <items count="1">
        <item x="0"/>
      </items>
    </pivotField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axis="axisRow" allDrilled="1" subtotalTop="0" showAll="0" dataSourceSort="1" defaultSubtotal="0" defaultAttributeDrillState="1">
      <items count="4">
        <item s="1" x="0"/>
        <item s="1" x="1"/>
        <item x="2"/>
        <item x="3"/>
      </items>
    </pivotField>
    <pivotField dataField="1" subtotalTop="0" showAll="0" defaultSubtotal="0"/>
    <pivotField allDrilled="1" subtotalTop="0" showAll="0" dataSourceSort="1" defaultSubtotal="0"/>
    <pivotField subtotalTop="0" showAll="0" dataSourceSort="1" defaultSubtotal="0"/>
    <pivotField subtotalTop="0" showAll="0" dataSourceSort="1" defaultSubtotal="0"/>
  </pivotFields>
  <rowFields count="3">
    <field x="0"/>
    <field x="1"/>
    <field x="2"/>
  </rowFields>
  <rowItems count="5">
    <i>
      <x/>
    </i>
    <i r="1">
      <x/>
    </i>
    <i r="2">
      <x/>
    </i>
    <i r="2">
      <x v="1"/>
    </i>
    <i t="grand">
      <x/>
    </i>
  </rowItems>
  <colItems count="1">
    <i/>
  </colItems>
  <dataFields count="1">
    <dataField fld="3" subtotal="count" baseField="0" baseItem="0"/>
  </dataFields>
  <chartFormats count="11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2" count="1" selected="0">
            <x v="2"/>
          </reference>
        </references>
      </pivotArea>
    </chartFormat>
    <chartFormat chart="2" format="6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</references>
      </pivotArea>
    </chartFormat>
    <chartFormat chart="2" format="7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2" format="8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  <reference field="2" count="1" selected="0">
            <x v="3"/>
          </reference>
        </references>
      </pivotArea>
    </chartFormat>
    <chartFormat chart="2" format="9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</references>
      </pivotArea>
    </chartFormat>
    <chartFormat chart="2" format="10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</references>
      </pivotArea>
    </chartFormat>
    <chartFormat chart="2" format="11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2" count="1" selected="0">
            <x v="0"/>
          </reference>
        </references>
      </pivotArea>
    </chartFormat>
    <chartFormat chart="2" format="12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</references>
      </pivotArea>
    </chartFormat>
    <chartFormat chart="2" format="13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</references>
      </pivotArea>
    </chartFormat>
    <chartFormat chart="2" format="14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</references>
      </pivotArea>
    </chartFormat>
  </chartFormats>
  <pivotHierarchies count="66">
    <pivotHierarchy dragToData="1"/>
    <pivotHierarchy multipleItemSelectionAllowed="1">
      <members count="1" level="2">
        <member name="[Calendar].[Date Hierarchy].[Year].&amp;[2022].&amp;[maio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2"/>
    <rowHierarchyUsage hierarchyUsage="4"/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ar]"/>
        <x15:activeTabTopLevelEntity name="[Reagrupa]"/>
        <x15:activeTabTopLevelEntity name="[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553EAD-36D8-4226-8FB4-15AEB771BEFF}" name="Tabela dinâmica9" cacheId="1" applyNumberFormats="0" applyBorderFormats="0" applyFontFormats="0" applyPatternFormats="0" applyAlignmentFormats="0" applyWidthHeightFormats="1" dataCaption="Valores" tag="70bf763b-f4c9-4215-915b-719ecc501a3a" updatedVersion="8" minRefreshableVersion="3" useAutoFormatting="1" rowGrandTotals="0" colGrandTotals="0" itemPrintTitles="1" createdVersion="7" indent="0" compact="0" compactData="0" multipleFieldFilters="0">
  <location ref="AG2:AK16" firstHeaderRow="1" firstDataRow="3" firstDataCol="1"/>
  <pivotFields count="4">
    <pivotField axis="axisCol" compact="0" allDrilled="1" outline="0" subtotalTop="0" showAll="0" dataSourceSort="1" defaultSubtotal="0" defaultAttributeDrillState="1">
      <items count="2">
        <item x="0"/>
        <item x="1"/>
      </items>
    </pivotField>
    <pivotField axis="axisRow" compact="0" allDrilled="1" outline="0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compact="0" outline="0" subtotalTop="0" showAll="0" defaultSubtotal="0"/>
    <pivotField dataField="1" compact="0" outline="0" subtotalTop="0" showAll="0" defaultSubtota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2">
    <field x="0"/>
    <field x="-2"/>
  </colFields>
  <colItems count="4">
    <i>
      <x/>
      <x/>
    </i>
    <i r="1" i="1">
      <x v="1"/>
    </i>
    <i>
      <x v="1"/>
      <x/>
    </i>
    <i r="1" i="1">
      <x v="1"/>
    </i>
  </colItems>
  <dataFields count="2">
    <dataField fld="2" subtotal="count" baseField="0" baseItem="0"/>
    <dataField fld="3" subtotal="count" baseField="0" baseItem="0"/>
  </dataFields>
  <pivotHierarchies count="66"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7" showRowHeaders="1" showColHeaders="1" showRowStripes="0" showColStripes="0" showLastColumn="1"/>
  <rowHierarchiesUsage count="1">
    <rowHierarchyUsage hierarchyUsage="33"/>
  </rowHierarchiesUsage>
  <colHierarchiesUsage count="2">
    <colHierarchyUsage hierarchyUsage="2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ar]"/>
        <x15:activeTabTopLevelEntity name="[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B167E-7A5C-48CF-A20D-BD3F0B9B7810}" name="Tabela dinâmica6" cacheId="10" applyNumberFormats="0" applyBorderFormats="0" applyFontFormats="0" applyPatternFormats="0" applyAlignmentFormats="0" applyWidthHeightFormats="1" dataCaption="Valores" tag="f9990c22-3ae0-4976-83a9-f71ca3e6112e" updatedVersion="8" minRefreshableVersion="3" useAutoFormatting="1" itemPrintTitles="1" createdVersion="7" indent="0" compact="0" compactData="0" multipleFieldFilters="0" chartFormat="3">
  <location ref="XDJ2:XDM9" firstHeaderRow="0" firstDataRow="1" firstDataCol="2"/>
  <pivotFields count="7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axis="axisRow" compact="0" allDrilled="1" outline="0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dataField="1" compact="0" outline="0" subtotalTop="0" showAll="0" defaultSubtotal="0"/>
    <pivotField dataField="1" compact="0" outline="0" subtotalTop="0" showAll="0" defaultSubtotal="0"/>
    <pivotField compact="0" allDrilled="1" outline="0" subtotalTop="0" showAll="0" dataSourceSort="1" defaultSubtotal="0"/>
    <pivotField compact="0" outline="0" subtotalTop="0" showAll="0" dataSourceSort="1" defaultSubtotal="0"/>
    <pivotField compact="0" outline="0" subtotalTop="0" showAll="0" dataSourceSort="1" defaultSubtotal="0"/>
  </pivotFields>
  <rowFields count="2">
    <field x="0"/>
    <field x="1"/>
  </rowFields>
  <rowItems count="7">
    <i>
      <x/>
      <x/>
    </i>
    <i>
      <x v="1"/>
      <x v="1"/>
    </i>
    <i r="1">
      <x v="2"/>
    </i>
    <i r="1">
      <x v="3"/>
    </i>
    <i r="1">
      <x v="4"/>
    </i>
    <i r="1"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fld="2" subtotal="count" baseField="0" baseItem="0"/>
    <dataField fld="3" subtotal="count" baseField="0" baseItem="0"/>
  </dataFields>
  <chartFormats count="2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66">
    <pivotHierarchy dragToData="1"/>
    <pivotHierarchy multipleItemSelectionAllowed="1">
      <members count="6" level="2">
        <member name="[Calendar].[Date Hierarchy].[Year].&amp;[2021].&amp;[dezembro]"/>
        <member name="[Calendar].[Date Hierarchy].[Year].&amp;[2022].&amp;[abril]"/>
        <member name="[Calendar].[Date Hierarchy].[Year].&amp;[2022].&amp;[fevereiro]"/>
        <member name="[Calendar].[Date Hierarchy].[Year].&amp;[2022].&amp;[janeiro]"/>
        <member name="[Calendar].[Date Hierarchy].[Year].&amp;[2022].&amp;[maio]"/>
        <member name="[Calendar].[Date Hierarchy].[Year].&amp;[2022].&amp;[março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2"/>
    <rowHierarchyUsage hierarchyUsage="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ar]"/>
        <x15:activeTabTopLevelEntity name="[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545DE5-E4BE-4112-9544-3735005A07B0}" name="Tabela dinâmica1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>
  <location ref="B4:C7" firstHeaderRow="1" firstDataRow="1" firstDataCol="1"/>
  <pivotFields count="5">
    <pivotField dataField="1" subtotalTop="0" showAll="0" defaultSubtotal="0"/>
    <pivotField axis="axisRow" allDrilled="1" subtotalTop="0" showAll="0" dataSourceSort="1" defaultSubtotal="0" defaultAttributeDrillState="1">
      <items count="29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</items>
    </pivotField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2">
        <item x="0" e="0"/>
        <item x="1" e="0"/>
      </items>
    </pivotField>
    <pivotField axis="axisRow" allDrilled="1" subtotalTop="0" showAll="0" dataSourceSort="1" defaultSubtotal="0" defaultAttributeDrillState="1">
      <items count="4">
        <item x="0" e="0"/>
        <item x="1"/>
        <item x="2" e="0"/>
        <item x="3" e="0"/>
      </items>
    </pivotField>
  </pivotFields>
  <rowFields count="4">
    <field x="3"/>
    <field x="4"/>
    <field x="2"/>
    <field x="1"/>
  </rowFields>
  <rowItems count="3">
    <i>
      <x/>
    </i>
    <i>
      <x v="1"/>
    </i>
    <i t="grand">
      <x/>
    </i>
  </rowItems>
  <colItems count="1">
    <i/>
  </colItems>
  <dataFields count="1">
    <dataField fld="0" subtotal="count" baseField="0" baseItem="0"/>
  </dataFields>
  <pivotHierarchies count="66"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4">
    <rowHierarchyUsage hierarchyUsage="2"/>
    <rowHierarchyUsage hierarchyUsage="4"/>
    <rowHierarchyUsage hierarchyUsage="14"/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ar]"/>
        <x15:activeTabTopLevelEntity name="[Vendas]"/>
        <x15:activeTabTopLevelEntity name="[Reagrup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25648A5D-0818-4FAE-B6E5-C6BC5CCC216D}" autoFormatId="16" applyNumberFormats="0" applyBorderFormats="0" applyFontFormats="0" applyPatternFormats="0" applyAlignmentFormats="0" applyWidthHeightFormats="0">
  <queryTableRefresh nextId="28">
    <queryTableFields count="27">
      <queryTableField id="1" name="Nome da Origem" tableColumnId="1"/>
      <queryTableField id="2" name="ID do Item" tableColumnId="2"/>
      <queryTableField id="3" name="Mês" tableColumnId="3"/>
      <queryTableField id="4" name="Ano" tableColumnId="4"/>
      <queryTableField id="5" name="Medição" tableColumnId="5"/>
      <queryTableField id="6" name="Fx Verde Inf/Previsto" tableColumnId="6"/>
      <queryTableField id="7" name="Fx Verde Sup" tableColumnId="7"/>
      <queryTableField id="8" name="Fx Vermelha Inf" tableColumnId="8"/>
      <queryTableField id="9" name="Fx Vermelha Sup" tableColumnId="9"/>
      <queryTableField id="10" name="Fx Cliente Inf" tableColumnId="10"/>
      <queryTableField id="11" name="Fx Cliente Sup" tableColumnId="11"/>
      <queryTableField id="12" name="Item" tableColumnId="12"/>
      <queryTableField id="13" name="Indicador" tableColumnId="13"/>
      <queryTableField id="14" name="Usuário" tableColumnId="14"/>
      <queryTableField id="15" name="Tipo" tableColumnId="15"/>
      <queryTableField id="16" name="Auxiliar" tableColumnId="16"/>
      <queryTableField id="17" name="Totalizado" tableColumnId="17"/>
      <queryTableField id="18" name="Medido" tableColumnId="18"/>
      <queryTableField id="19" name="Calendário" tableColumnId="19"/>
      <queryTableField id="20" name="Column1" tableColumnId="20"/>
      <queryTableField id="21" name=" " tableColumnId="21"/>
      <queryTableField id="22" name="  " tableColumnId="22"/>
      <queryTableField id="23" name="   " tableColumnId="23"/>
      <queryTableField id="24" name="_1" tableColumnId="24"/>
      <queryTableField id="25" name=" _2" tableColumnId="25"/>
      <queryTableField id="26" name="  _3" tableColumnId="26"/>
      <queryTableField id="27" name="   _4" tableColumnId="27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e_Hierarchy" xr10:uid="{6D891A11-6343-400A-8D07-EBC63F581BA5}" sourceName="[Calendar].[Date Hierarchy]">
  <pivotTables>
    <pivotTable tabId="1" name="Tabela dinâmica5"/>
    <pivotTable tabId="1" name="Tabela dinâmica6"/>
  </pivotTables>
  <data>
    <olap pivotCacheId="2080882379">
      <levels count="4">
        <level uniqueName="[Calendar].[Date Hierarchy].[(All)]" sourceCaption="(All)" count="0"/>
        <level uniqueName="[Calendar].[Date Hierarchy].[Year]" sourceCaption="Year" count="0"/>
        <level uniqueName="[Calendar].[Date Hierarchy].[Month]" sourceCaption="Month" count="18">
          <ranges>
            <range startItem="0">
              <i n="[Calendar].[Date Hierarchy].[Year].&amp;[2021].&amp;[outubro]" c="outubro">
                <p n="[Calendar].[Date Hierarchy].[Year].&amp;[2021]"/>
              </i>
              <i n="[Calendar].[Date Hierarchy].[Year].&amp;[2021].&amp;[novembro]" c="novembro">
                <p n="[Calendar].[Date Hierarchy].[Year].&amp;[2021]"/>
              </i>
              <i n="[Calendar].[Date Hierarchy].[Year].&amp;[2021].&amp;[dezembro]" c="dezembro">
                <p n="[Calendar].[Date Hierarchy].[Year].&amp;[2021]"/>
              </i>
              <i n="[Calendar].[Date Hierarchy].[Year].&amp;[2022].&amp;[janeiro]" c="janeiro">
                <p n="[Calendar].[Date Hierarchy].[Year].&amp;[2022]"/>
              </i>
              <i n="[Calendar].[Date Hierarchy].[Year].&amp;[2022].&amp;[fevereiro]" c="fevereiro">
                <p n="[Calendar].[Date Hierarchy].[Year].&amp;[2022]"/>
              </i>
              <i n="[Calendar].[Date Hierarchy].[Year].&amp;[2022].&amp;[março]" c="março">
                <p n="[Calendar].[Date Hierarchy].[Year].&amp;[2022]"/>
              </i>
              <i n="[Calendar].[Date Hierarchy].[Year].&amp;[2022].&amp;[abril]" c="abril">
                <p n="[Calendar].[Date Hierarchy].[Year].&amp;[2022]"/>
              </i>
              <i n="[Calendar].[Date Hierarchy].[Year].&amp;[2022].&amp;[maio]" c="maio">
                <p n="[Calendar].[Date Hierarchy].[Year].&amp;[2022]"/>
              </i>
              <i n="[Calendar].[Date Hierarchy].[Year].&amp;[2021].&amp;[julho]" c="julho" nd="1">
                <p n="[Calendar].[Date Hierarchy].[Year].&amp;[2021]"/>
              </i>
              <i n="[Calendar].[Date Hierarchy].[Year].&amp;[2021].&amp;[agosto]" c="agosto" nd="1">
                <p n="[Calendar].[Date Hierarchy].[Year].&amp;[2021]"/>
              </i>
              <i n="[Calendar].[Date Hierarchy].[Year].&amp;[2021].&amp;[setembro]" c="setembro" nd="1">
                <p n="[Calendar].[Date Hierarchy].[Year].&amp;[2021]"/>
              </i>
              <i n="[Calendar].[Date Hierarchy].[Year].&amp;[2022].&amp;[junho]" c="junho" nd="1">
                <p n="[Calendar].[Date Hierarchy].[Year].&amp;[2022]"/>
              </i>
              <i n="[Calendar].[Date Hierarchy].[Year].&amp;[2022].&amp;[julho]" c="julho" nd="1">
                <p n="[Calendar].[Date Hierarchy].[Year].&amp;[2022]"/>
              </i>
              <i n="[Calendar].[Date Hierarchy].[Year].&amp;[2022].&amp;[agosto]" c="agosto" nd="1">
                <p n="[Calendar].[Date Hierarchy].[Year].&amp;[2022]"/>
              </i>
              <i n="[Calendar].[Date Hierarchy].[Year].&amp;[2022].&amp;[setembro]" c="setembro" nd="1">
                <p n="[Calendar].[Date Hierarchy].[Year].&amp;[2022]"/>
              </i>
              <i n="[Calendar].[Date Hierarchy].[Year].&amp;[2022].&amp;[outubro]" c="outubro" nd="1">
                <p n="[Calendar].[Date Hierarchy].[Year].&amp;[2022]"/>
              </i>
              <i n="[Calendar].[Date Hierarchy].[Year].&amp;[2022].&amp;[novembro]" c="novembro" nd="1">
                <p n="[Calendar].[Date Hierarchy].[Year].&amp;[2022]"/>
              </i>
              <i n="[Calendar].[Date Hierarchy].[Year].&amp;[2022].&amp;[dezembro]" c="dezembro" nd="1">
                <p n="[Calendar].[Date Hierarchy].[Year].&amp;[2022]"/>
              </i>
            </range>
          </ranges>
        </level>
        <level uniqueName="[Calendar].[Date Hierarchy].[DateColumn]" sourceCaption="DateColumn" count="0"/>
      </levels>
      <selections count="6">
        <selection n="[Calendar].[Date Hierarchy].[Year].&amp;[2021].&amp;[dezembro]">
          <p n="[Calendar].[Date Hierarchy].[Year].&amp;[2021]"/>
        </selection>
        <selection n="[Calendar].[Date Hierarchy].[Year].&amp;[2022].&amp;[abril]">
          <p n="[Calendar].[Date Hierarchy].[Year].&amp;[2022]"/>
        </selection>
        <selection n="[Calendar].[Date Hierarchy].[Year].&amp;[2022].&amp;[fevereiro]">
          <p n="[Calendar].[Date Hierarchy].[Year].&amp;[2022]"/>
        </selection>
        <selection n="[Calendar].[Date Hierarchy].[Year].&amp;[2022].&amp;[janeiro]">
          <p n="[Calendar].[Date Hierarchy].[Year].&amp;[2022]"/>
        </selection>
        <selection n="[Calendar].[Date Hierarchy].[Year].&amp;[2022].&amp;[maio]">
          <p n="[Calendar].[Date Hierarchy].[Year].&amp;[2022]"/>
        </selection>
        <selection n="[Calendar].[Date Hierarchy].[Year].&amp;[2022].&amp;[março]">
          <p n="[Calendar].[Date Hierarchy].[Year].&amp;[2022]"/>
        </selection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e_Hierarchy1" xr10:uid="{3624E9D3-AFAC-4C59-98EF-663436CBE14A}" sourceName="[Calendar].[Date Hierarchy]">
  <pivotTables>
    <pivotTable tabId="1" name="Tabela dinâmica1"/>
    <pivotTable tabId="1" name="Tabela dinâmica2"/>
    <pivotTable tabId="1" name="Tabela dinâmica4"/>
    <pivotTable tabId="1" name="Tabela dinâmica3"/>
    <pivotTable tabId="1" name="Tabela dinâmica7"/>
    <pivotTable tabId="1" name="Tabela dinâmica8"/>
  </pivotTables>
  <data>
    <olap pivotCacheId="50212355">
      <levels count="4">
        <level uniqueName="[Calendar].[Date Hierarchy].[(All)]" sourceCaption="(All)" count="0"/>
        <level uniqueName="[Calendar].[Date Hierarchy].[Year]" sourceCaption="Year" count="0"/>
        <level uniqueName="[Calendar].[Date Hierarchy].[Month]" sourceCaption="Month" count="18">
          <ranges>
            <range startItem="0">
              <i n="[Calendar].[Date Hierarchy].[Year].&amp;[2021].&amp;[outubro]" c="outubro">
                <p n="[Calendar].[Date Hierarchy].[Year].&amp;[2021]"/>
              </i>
              <i n="[Calendar].[Date Hierarchy].[Year].&amp;[2021].&amp;[novembro]" c="novembro">
                <p n="[Calendar].[Date Hierarchy].[Year].&amp;[2021]"/>
              </i>
              <i n="[Calendar].[Date Hierarchy].[Year].&amp;[2021].&amp;[dezembro]" c="dezembro">
                <p n="[Calendar].[Date Hierarchy].[Year].&amp;[2021]"/>
              </i>
              <i n="[Calendar].[Date Hierarchy].[Year].&amp;[2022].&amp;[janeiro]" c="janeiro">
                <p n="[Calendar].[Date Hierarchy].[Year].&amp;[2022]"/>
              </i>
              <i n="[Calendar].[Date Hierarchy].[Year].&amp;[2022].&amp;[fevereiro]" c="fevereiro">
                <p n="[Calendar].[Date Hierarchy].[Year].&amp;[2022]"/>
              </i>
              <i n="[Calendar].[Date Hierarchy].[Year].&amp;[2022].&amp;[março]" c="março">
                <p n="[Calendar].[Date Hierarchy].[Year].&amp;[2022]"/>
              </i>
              <i n="[Calendar].[Date Hierarchy].[Year].&amp;[2022].&amp;[abril]" c="abril">
                <p n="[Calendar].[Date Hierarchy].[Year].&amp;[2022]"/>
              </i>
              <i n="[Calendar].[Date Hierarchy].[Year].&amp;[2022].&amp;[maio]" c="maio">
                <p n="[Calendar].[Date Hierarchy].[Year].&amp;[2022]"/>
              </i>
              <i n="[Calendar].[Date Hierarchy].[Year].&amp;[2021].&amp;[julho]" c="julho" nd="1">
                <p n="[Calendar].[Date Hierarchy].[Year].&amp;[2021]"/>
              </i>
              <i n="[Calendar].[Date Hierarchy].[Year].&amp;[2021].&amp;[agosto]" c="agosto" nd="1">
                <p n="[Calendar].[Date Hierarchy].[Year].&amp;[2021]"/>
              </i>
              <i n="[Calendar].[Date Hierarchy].[Year].&amp;[2021].&amp;[setembro]" c="setembro" nd="1">
                <p n="[Calendar].[Date Hierarchy].[Year].&amp;[2021]"/>
              </i>
              <i n="[Calendar].[Date Hierarchy].[Year].&amp;[2022].&amp;[junho]" c="junho" nd="1">
                <p n="[Calendar].[Date Hierarchy].[Year].&amp;[2022]"/>
              </i>
              <i n="[Calendar].[Date Hierarchy].[Year].&amp;[2022].&amp;[julho]" c="julho" nd="1">
                <p n="[Calendar].[Date Hierarchy].[Year].&amp;[2022]"/>
              </i>
              <i n="[Calendar].[Date Hierarchy].[Year].&amp;[2022].&amp;[agosto]" c="agosto" nd="1">
                <p n="[Calendar].[Date Hierarchy].[Year].&amp;[2022]"/>
              </i>
              <i n="[Calendar].[Date Hierarchy].[Year].&amp;[2022].&amp;[setembro]" c="setembro" nd="1">
                <p n="[Calendar].[Date Hierarchy].[Year].&amp;[2022]"/>
              </i>
              <i n="[Calendar].[Date Hierarchy].[Year].&amp;[2022].&amp;[outubro]" c="outubro" nd="1">
                <p n="[Calendar].[Date Hierarchy].[Year].&amp;[2022]"/>
              </i>
              <i n="[Calendar].[Date Hierarchy].[Year].&amp;[2022].&amp;[novembro]" c="novembro" nd="1">
                <p n="[Calendar].[Date Hierarchy].[Year].&amp;[2022]"/>
              </i>
              <i n="[Calendar].[Date Hierarchy].[Year].&amp;[2022].&amp;[dezembro]" c="dezembro" nd="1">
                <p n="[Calendar].[Date Hierarchy].[Year].&amp;[2022]"/>
              </i>
            </range>
          </ranges>
        </level>
        <level uniqueName="[Calendar].[Date Hierarchy].[DateColumn]" sourceCaption="DateColumn" count="0"/>
      </levels>
      <selections count="1">
        <selection n="[Calendar].[Date Hierarchy].[Year].&amp;[2022].&amp;[maio]">
          <p n="[Calendar].[Date Hierarchy].[Year].&amp;[2022]"/>
        </selection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nth" xr10:uid="{00E273E8-9A79-4958-83A6-84C8AC7D6C1B}" cache="SegmentaçãodeDados_Date_Hierarchy" caption="Month" startItem="1" level="2" rowHeight="234950"/>
  <slicer name="Month 1" xr10:uid="{EAC1ECEF-2CAD-4161-8A74-0BCD0A18D5A3}" cache="SegmentaçãodeDados_Date_Hierarchy1" caption="Month" startItem="4" level="2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905E0B5-D3B2-4EAF-9F53-3C466554DDCA}" name="Indicador" displayName="Indicador" ref="A1:AA57" tableType="queryTable" totalsRowShown="0">
  <autoFilter ref="A1:AA57" xr:uid="{B905E0B5-D3B2-4EAF-9F53-3C466554DDCA}"/>
  <tableColumns count="27">
    <tableColumn id="1" xr3:uid="{E30415A6-2C4A-4E18-A8E4-19001090FF3F}" uniqueName="1" name="Nome da Origem" queryTableFieldId="1" dataDxfId="7"/>
    <tableColumn id="2" xr3:uid="{DE0462BD-0225-468F-A95D-91BAFF702760}" uniqueName="2" name="ID do Item" queryTableFieldId="2"/>
    <tableColumn id="3" xr3:uid="{BFF3E134-0F49-427E-AC50-ABFDD449627D}" uniqueName="3" name="Mês" queryTableFieldId="3"/>
    <tableColumn id="4" xr3:uid="{A82346D3-7FB6-4D78-9365-AFE42600DA55}" uniqueName="4" name="Ano" queryTableFieldId="4"/>
    <tableColumn id="5" xr3:uid="{A8A518D4-D510-4B1A-92A6-FE63568CE637}" uniqueName="5" name="Medição" queryTableFieldId="5"/>
    <tableColumn id="6" xr3:uid="{453466E9-971D-40AE-BED3-931DC2EB558B}" uniqueName="6" name="Fx Verde Inf/Previsto" queryTableFieldId="6"/>
    <tableColumn id="7" xr3:uid="{64302186-9E37-45B9-BB6A-B37A260CEE24}" uniqueName="7" name="Fx Verde Sup" queryTableFieldId="7"/>
    <tableColumn id="8" xr3:uid="{EFDB2B3B-D726-4BF8-AA1A-C7346B665983}" uniqueName="8" name="Fx Vermelha Inf" queryTableFieldId="8"/>
    <tableColumn id="9" xr3:uid="{5B50645E-1F4D-45B3-A1FD-DDB0BFA4E04F}" uniqueName="9" name="Fx Vermelha Sup" queryTableFieldId="9"/>
    <tableColumn id="10" xr3:uid="{A49522CB-F2D2-4C6C-B79C-6947F87DE5E7}" uniqueName="10" name="Fx Cliente Inf" queryTableFieldId="10"/>
    <tableColumn id="11" xr3:uid="{B80F304A-BEB1-4713-9CE0-D7615BA18472}" uniqueName="11" name="Fx Cliente Sup" queryTableFieldId="11"/>
    <tableColumn id="12" xr3:uid="{2379A8C5-DB8C-495F-89F0-967B1D4E4C38}" uniqueName="12" name="Item" queryTableFieldId="12" dataDxfId="6"/>
    <tableColumn id="13" xr3:uid="{F8FFC10F-1250-4E41-BDAF-599FDEDCACCB}" uniqueName="13" name="Indicador" queryTableFieldId="13" dataDxfId="5"/>
    <tableColumn id="14" xr3:uid="{12DF4E30-9B4F-4AD7-BF8E-B6933BBB4461}" uniqueName="14" name="Usuário" queryTableFieldId="14" dataDxfId="4"/>
    <tableColumn id="15" xr3:uid="{D776DEA2-6458-4D14-8EFE-5B57D8F761AD}" uniqueName="15" name="Tipo" queryTableFieldId="15" dataDxfId="3"/>
    <tableColumn id="16" xr3:uid="{157ED477-5637-498A-8BEB-00E837ED57C3}" uniqueName="16" name="Auxiliar" queryTableFieldId="16" dataDxfId="2"/>
    <tableColumn id="17" xr3:uid="{A22FEDD8-FB15-46FD-B7BE-816EEAF1DC3B}" uniqueName="17" name="Totalizado" queryTableFieldId="17" dataDxfId="1"/>
    <tableColumn id="18" xr3:uid="{612AA453-5F3F-45DD-83E2-77C9AF932B6C}" uniqueName="18" name="Medido" queryTableFieldId="18" dataDxfId="0"/>
    <tableColumn id="19" xr3:uid="{A2E982A9-1856-42C9-B87C-BE6093CD73FD}" uniqueName="19" name="Calendário" queryTableFieldId="19"/>
    <tableColumn id="20" xr3:uid="{B72603AF-0464-4963-A246-CF756259B887}" uniqueName="20" name="Column1" queryTableFieldId="20"/>
    <tableColumn id="21" xr3:uid="{BFA6E693-79FF-4441-9606-08E6EF0A9E55}" uniqueName="21" name=" " queryTableFieldId="21"/>
    <tableColumn id="22" xr3:uid="{9EF9C87C-925E-4DEC-A468-1201E2428908}" uniqueName="22" name="  " queryTableFieldId="22"/>
    <tableColumn id="23" xr3:uid="{08361CD8-0020-49EF-BEE1-9E25240C62D4}" uniqueName="23" name="   " queryTableFieldId="23"/>
    <tableColumn id="24" xr3:uid="{B45D65D5-2A29-423F-8DE9-92CC9892CAD0}" uniqueName="24" name="_1" queryTableFieldId="24"/>
    <tableColumn id="25" xr3:uid="{87688E59-2F29-411C-81B2-64EC70E73891}" uniqueName="25" name=" _2" queryTableFieldId="25"/>
    <tableColumn id="26" xr3:uid="{4F7D964C-FD98-4179-9A11-449BFA5A58D1}" uniqueName="26" name="  _3" queryTableFieldId="26"/>
    <tableColumn id="27" xr3:uid="{61660816-2E93-4EEB-9CDF-5ACE153AB5B2}" uniqueName="27" name="   _4" queryTableFieldId="2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microsoft.com/office/2007/relationships/slicer" Target="../slicers/slicer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10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67D27-30EA-4A26-972D-4C48AEB7B128}">
  <sheetPr codeName="Planilha1"/>
  <dimension ref="A2:XDM50"/>
  <sheetViews>
    <sheetView showGridLines="0" zoomScale="80" zoomScaleNormal="80" workbookViewId="0">
      <selection activeCell="A49" sqref="A49"/>
    </sheetView>
  </sheetViews>
  <sheetFormatPr defaultRowHeight="15" x14ac:dyDescent="0.25"/>
  <cols>
    <col min="1" max="1" width="32.7109375" bestFit="1" customWidth="1"/>
    <col min="2" max="2" width="11.7109375" bestFit="1" customWidth="1"/>
    <col min="3" max="3" width="18.28515625" bestFit="1" customWidth="1"/>
    <col min="4" max="4" width="12.7109375" bestFit="1" customWidth="1"/>
    <col min="5" max="5" width="1.7109375" customWidth="1"/>
    <col min="6" max="6" width="17.7109375" bestFit="1" customWidth="1"/>
    <col min="7" max="7" width="10.5703125" bestFit="1" customWidth="1"/>
    <col min="8" max="8" width="15.140625" bestFit="1" customWidth="1"/>
    <col min="9" max="9" width="16.140625" bestFit="1" customWidth="1"/>
    <col min="10" max="10" width="11.7109375" bestFit="1" customWidth="1"/>
    <col min="11" max="11" width="2" customWidth="1"/>
    <col min="12" max="12" width="22.140625" bestFit="1" customWidth="1"/>
    <col min="13" max="13" width="10" bestFit="1" customWidth="1"/>
    <col min="14" max="14" width="8.7109375" bestFit="1" customWidth="1"/>
    <col min="15" max="16" width="15" bestFit="1" customWidth="1"/>
    <col min="17" max="17" width="6.7109375" bestFit="1" customWidth="1"/>
    <col min="18" max="18" width="11.5703125" bestFit="1" customWidth="1"/>
    <col min="19" max="19" width="11.28515625" bestFit="1" customWidth="1"/>
    <col min="20" max="20" width="15" bestFit="1" customWidth="1"/>
    <col min="21" max="21" width="2.28515625" customWidth="1"/>
    <col min="22" max="22" width="32.7109375" bestFit="1" customWidth="1"/>
    <col min="23" max="23" width="21.7109375" bestFit="1" customWidth="1"/>
    <col min="24" max="24" width="15.7109375" bestFit="1" customWidth="1"/>
    <col min="25" max="25" width="9.7109375" bestFit="1" customWidth="1"/>
    <col min="26" max="26" width="2.140625" customWidth="1"/>
    <col min="27" max="27" width="18.140625" bestFit="1" customWidth="1"/>
    <col min="28" max="28" width="10.42578125" bestFit="1" customWidth="1"/>
    <col min="29" max="31" width="16" bestFit="1" customWidth="1"/>
    <col min="32" max="32" width="2.42578125" customWidth="1"/>
    <col min="33" max="33" width="17.42578125" bestFit="1" customWidth="1"/>
    <col min="34" max="37" width="15.7109375" bestFit="1" customWidth="1"/>
    <col min="38" max="39" width="13.5703125" bestFit="1" customWidth="1"/>
    <col min="40" max="40" width="14.5703125" bestFit="1" customWidth="1"/>
    <col min="41" max="41" width="14.7109375" bestFit="1" customWidth="1"/>
    <col min="42" max="42" width="10.85546875" bestFit="1" customWidth="1"/>
    <col min="43" max="43" width="14.5703125" bestFit="1" customWidth="1"/>
    <col min="44" max="44" width="14.7109375" bestFit="1" customWidth="1"/>
    <col min="45" max="45" width="10.85546875" bestFit="1" customWidth="1"/>
    <col min="46" max="46" width="19.42578125" bestFit="1" customWidth="1"/>
    <col min="47" max="47" width="19.7109375" bestFit="1" customWidth="1"/>
    <col min="48" max="48" width="15.7109375" bestFit="1" customWidth="1"/>
    <col min="49" max="49" width="11.28515625" bestFit="1" customWidth="1"/>
    <col min="50" max="50" width="15" bestFit="1" customWidth="1"/>
    <col min="51" max="51" width="11.5703125" bestFit="1" customWidth="1"/>
    <col min="52" max="52" width="11.28515625" bestFit="1" customWidth="1"/>
    <col min="53" max="53" width="15" bestFit="1" customWidth="1"/>
    <col min="54" max="54" width="11.5703125" bestFit="1" customWidth="1"/>
    <col min="55" max="55" width="11.28515625" bestFit="1" customWidth="1"/>
    <col min="56" max="56" width="15" bestFit="1" customWidth="1"/>
    <col min="57" max="57" width="11.5703125" bestFit="1" customWidth="1"/>
    <col min="58" max="58" width="11.28515625" bestFit="1" customWidth="1"/>
    <col min="59" max="59" width="15" bestFit="1" customWidth="1"/>
    <col min="60" max="60" width="11.5703125" bestFit="1" customWidth="1"/>
    <col min="61" max="61" width="11.28515625" bestFit="1" customWidth="1"/>
    <col min="62" max="62" width="15" bestFit="1" customWidth="1"/>
    <col min="63" max="63" width="11.5703125" bestFit="1" customWidth="1"/>
    <col min="64" max="64" width="11.28515625" bestFit="1" customWidth="1"/>
    <col min="65" max="65" width="15" bestFit="1" customWidth="1"/>
    <col min="66" max="66" width="11.5703125" bestFit="1" customWidth="1"/>
    <col min="67" max="67" width="11.28515625" bestFit="1" customWidth="1"/>
    <col min="68" max="68" width="15" bestFit="1" customWidth="1"/>
    <col min="69" max="69" width="11.5703125" bestFit="1" customWidth="1"/>
    <col min="70" max="70" width="11.28515625" bestFit="1" customWidth="1"/>
    <col min="71" max="71" width="15" bestFit="1" customWidth="1"/>
    <col min="72" max="72" width="11.5703125" bestFit="1" customWidth="1"/>
    <col min="73" max="73" width="11.28515625" bestFit="1" customWidth="1"/>
    <col min="74" max="74" width="15" bestFit="1" customWidth="1"/>
    <col min="75" max="75" width="11.5703125" bestFit="1" customWidth="1"/>
    <col min="76" max="76" width="11.28515625" bestFit="1" customWidth="1"/>
    <col min="77" max="77" width="15" bestFit="1" customWidth="1"/>
    <col min="78" max="78" width="11.5703125" bestFit="1" customWidth="1"/>
    <col min="79" max="79" width="11.28515625" bestFit="1" customWidth="1"/>
    <col min="80" max="80" width="15" bestFit="1" customWidth="1"/>
    <col min="81" max="81" width="11.5703125" bestFit="1" customWidth="1"/>
    <col min="82" max="82" width="11.28515625" bestFit="1" customWidth="1"/>
    <col min="83" max="83" width="15" bestFit="1" customWidth="1"/>
    <col min="84" max="84" width="11.5703125" bestFit="1" customWidth="1"/>
    <col min="85" max="85" width="11.28515625" bestFit="1" customWidth="1"/>
    <col min="86" max="86" width="15" bestFit="1" customWidth="1"/>
    <col min="87" max="87" width="11.5703125" bestFit="1" customWidth="1"/>
    <col min="88" max="88" width="11.28515625" bestFit="1" customWidth="1"/>
    <col min="89" max="89" width="15" bestFit="1" customWidth="1"/>
    <col min="90" max="90" width="11.5703125" bestFit="1" customWidth="1"/>
    <col min="91" max="91" width="11.28515625" bestFit="1" customWidth="1"/>
    <col min="92" max="92" width="15" bestFit="1" customWidth="1"/>
    <col min="93" max="93" width="11.5703125" bestFit="1" customWidth="1"/>
    <col min="94" max="94" width="11.28515625" bestFit="1" customWidth="1"/>
    <col min="95" max="95" width="15" bestFit="1" customWidth="1"/>
    <col min="96" max="96" width="11.5703125" bestFit="1" customWidth="1"/>
    <col min="97" max="97" width="11.28515625" bestFit="1" customWidth="1"/>
    <col min="98" max="98" width="15" bestFit="1" customWidth="1"/>
    <col min="99" max="99" width="11.5703125" bestFit="1" customWidth="1"/>
    <col min="100" max="100" width="11.28515625" bestFit="1" customWidth="1"/>
    <col min="101" max="101" width="15" bestFit="1" customWidth="1"/>
    <col min="102" max="102" width="11.5703125" bestFit="1" customWidth="1"/>
    <col min="103" max="103" width="11.28515625" bestFit="1" customWidth="1"/>
    <col min="104" max="104" width="15" bestFit="1" customWidth="1"/>
    <col min="105" max="105" width="11.5703125" bestFit="1" customWidth="1"/>
    <col min="106" max="106" width="11.28515625" bestFit="1" customWidth="1"/>
    <col min="107" max="107" width="15" bestFit="1" customWidth="1"/>
    <col min="108" max="108" width="11.5703125" bestFit="1" customWidth="1"/>
    <col min="109" max="109" width="11.28515625" bestFit="1" customWidth="1"/>
    <col min="110" max="110" width="15" bestFit="1" customWidth="1"/>
    <col min="111" max="111" width="11.5703125" bestFit="1" customWidth="1"/>
    <col min="112" max="112" width="11.28515625" bestFit="1" customWidth="1"/>
    <col min="113" max="113" width="15" bestFit="1" customWidth="1"/>
    <col min="114" max="114" width="11.5703125" bestFit="1" customWidth="1"/>
    <col min="115" max="115" width="11.28515625" bestFit="1" customWidth="1"/>
    <col min="116" max="116" width="15" bestFit="1" customWidth="1"/>
    <col min="117" max="117" width="11.5703125" bestFit="1" customWidth="1"/>
    <col min="118" max="118" width="11.28515625" bestFit="1" customWidth="1"/>
    <col min="119" max="119" width="15" bestFit="1" customWidth="1"/>
    <col min="120" max="120" width="11.5703125" bestFit="1" customWidth="1"/>
    <col min="121" max="121" width="11.28515625" bestFit="1" customWidth="1"/>
    <col min="122" max="122" width="15" bestFit="1" customWidth="1"/>
    <col min="123" max="123" width="11.5703125" bestFit="1" customWidth="1"/>
    <col min="124" max="124" width="11.28515625" bestFit="1" customWidth="1"/>
    <col min="125" max="125" width="15" bestFit="1" customWidth="1"/>
    <col min="126" max="126" width="11.5703125" bestFit="1" customWidth="1"/>
    <col min="127" max="127" width="11.28515625" bestFit="1" customWidth="1"/>
    <col min="128" max="128" width="15" bestFit="1" customWidth="1"/>
    <col min="129" max="129" width="11.5703125" bestFit="1" customWidth="1"/>
    <col min="130" max="130" width="11.28515625" bestFit="1" customWidth="1"/>
    <col min="131" max="131" width="15" bestFit="1" customWidth="1"/>
    <col min="132" max="132" width="11.5703125" bestFit="1" customWidth="1"/>
    <col min="133" max="133" width="11.28515625" bestFit="1" customWidth="1"/>
    <col min="134" max="134" width="15" bestFit="1" customWidth="1"/>
    <col min="135" max="135" width="11.5703125" bestFit="1" customWidth="1"/>
    <col min="136" max="136" width="11.28515625" bestFit="1" customWidth="1"/>
    <col min="137" max="137" width="15" bestFit="1" customWidth="1"/>
    <col min="138" max="138" width="11.5703125" bestFit="1" customWidth="1"/>
    <col min="139" max="139" width="11.28515625" bestFit="1" customWidth="1"/>
    <col min="140" max="140" width="15" bestFit="1" customWidth="1"/>
    <col min="141" max="141" width="11.5703125" bestFit="1" customWidth="1"/>
    <col min="142" max="142" width="11.28515625" bestFit="1" customWidth="1"/>
    <col min="143" max="143" width="15" bestFit="1" customWidth="1"/>
    <col min="144" max="144" width="11.5703125" bestFit="1" customWidth="1"/>
    <col min="145" max="145" width="11.28515625" bestFit="1" customWidth="1"/>
    <col min="146" max="146" width="15" bestFit="1" customWidth="1"/>
    <col min="147" max="147" width="11.5703125" bestFit="1" customWidth="1"/>
    <col min="148" max="148" width="11.28515625" bestFit="1" customWidth="1"/>
    <col min="149" max="149" width="15" bestFit="1" customWidth="1"/>
    <col min="150" max="150" width="11.5703125" bestFit="1" customWidth="1"/>
    <col min="151" max="151" width="11.28515625" bestFit="1" customWidth="1"/>
    <col min="152" max="152" width="15" bestFit="1" customWidth="1"/>
    <col min="153" max="153" width="11.5703125" bestFit="1" customWidth="1"/>
    <col min="154" max="154" width="11.28515625" bestFit="1" customWidth="1"/>
    <col min="155" max="155" width="15" bestFit="1" customWidth="1"/>
    <col min="156" max="156" width="11.5703125" bestFit="1" customWidth="1"/>
    <col min="157" max="157" width="11.28515625" bestFit="1" customWidth="1"/>
    <col min="158" max="158" width="15" bestFit="1" customWidth="1"/>
    <col min="159" max="159" width="11.5703125" bestFit="1" customWidth="1"/>
    <col min="160" max="160" width="11.28515625" bestFit="1" customWidth="1"/>
    <col min="161" max="161" width="15" bestFit="1" customWidth="1"/>
    <col min="162" max="162" width="11.5703125" bestFit="1" customWidth="1"/>
    <col min="163" max="163" width="11.28515625" bestFit="1" customWidth="1"/>
    <col min="164" max="164" width="15" bestFit="1" customWidth="1"/>
    <col min="165" max="165" width="11.5703125" bestFit="1" customWidth="1"/>
    <col min="166" max="166" width="11.28515625" bestFit="1" customWidth="1"/>
    <col min="167" max="167" width="15" bestFit="1" customWidth="1"/>
    <col min="168" max="168" width="11.5703125" bestFit="1" customWidth="1"/>
    <col min="169" max="169" width="11.28515625" bestFit="1" customWidth="1"/>
    <col min="170" max="170" width="15" bestFit="1" customWidth="1"/>
    <col min="171" max="171" width="11.5703125" bestFit="1" customWidth="1"/>
    <col min="172" max="172" width="11.28515625" bestFit="1" customWidth="1"/>
    <col min="173" max="173" width="15" bestFit="1" customWidth="1"/>
    <col min="174" max="174" width="11.5703125" bestFit="1" customWidth="1"/>
    <col min="175" max="175" width="11.28515625" bestFit="1" customWidth="1"/>
    <col min="176" max="176" width="15" bestFit="1" customWidth="1"/>
    <col min="177" max="177" width="11.5703125" bestFit="1" customWidth="1"/>
    <col min="178" max="178" width="11.28515625" bestFit="1" customWidth="1"/>
    <col min="179" max="179" width="15" bestFit="1" customWidth="1"/>
    <col min="180" max="180" width="11.5703125" bestFit="1" customWidth="1"/>
    <col min="181" max="181" width="11.28515625" bestFit="1" customWidth="1"/>
    <col min="182" max="182" width="15" bestFit="1" customWidth="1"/>
    <col min="183" max="183" width="11.5703125" bestFit="1" customWidth="1"/>
    <col min="184" max="184" width="11.28515625" bestFit="1" customWidth="1"/>
    <col min="185" max="185" width="15" bestFit="1" customWidth="1"/>
    <col min="186" max="186" width="11.5703125" bestFit="1" customWidth="1"/>
    <col min="187" max="187" width="11.28515625" bestFit="1" customWidth="1"/>
    <col min="188" max="188" width="15" bestFit="1" customWidth="1"/>
    <col min="189" max="189" width="11.5703125" bestFit="1" customWidth="1"/>
    <col min="190" max="190" width="11.28515625" bestFit="1" customWidth="1"/>
    <col min="191" max="191" width="15" bestFit="1" customWidth="1"/>
    <col min="192" max="192" width="11.5703125" bestFit="1" customWidth="1"/>
    <col min="193" max="193" width="11.28515625" bestFit="1" customWidth="1"/>
    <col min="194" max="194" width="15" bestFit="1" customWidth="1"/>
    <col min="195" max="195" width="11.5703125" bestFit="1" customWidth="1"/>
    <col min="196" max="196" width="11.28515625" bestFit="1" customWidth="1"/>
    <col min="197" max="197" width="15" bestFit="1" customWidth="1"/>
    <col min="198" max="198" width="11.5703125" bestFit="1" customWidth="1"/>
    <col min="199" max="199" width="11.28515625" bestFit="1" customWidth="1"/>
    <col min="200" max="200" width="15" bestFit="1" customWidth="1"/>
    <col min="201" max="201" width="11.5703125" bestFit="1" customWidth="1"/>
    <col min="202" max="202" width="11.28515625" bestFit="1" customWidth="1"/>
    <col min="203" max="203" width="15" bestFit="1" customWidth="1"/>
    <col min="204" max="204" width="11.5703125" bestFit="1" customWidth="1"/>
    <col min="205" max="205" width="11.28515625" bestFit="1" customWidth="1"/>
    <col min="206" max="206" width="15" bestFit="1" customWidth="1"/>
    <col min="207" max="207" width="11.5703125" bestFit="1" customWidth="1"/>
    <col min="208" max="208" width="11.28515625" bestFit="1" customWidth="1"/>
    <col min="209" max="209" width="15" bestFit="1" customWidth="1"/>
    <col min="210" max="210" width="11.5703125" bestFit="1" customWidth="1"/>
    <col min="211" max="211" width="11.28515625" bestFit="1" customWidth="1"/>
    <col min="212" max="212" width="15" bestFit="1" customWidth="1"/>
    <col min="213" max="213" width="11.5703125" bestFit="1" customWidth="1"/>
    <col min="214" max="214" width="11.28515625" bestFit="1" customWidth="1"/>
    <col min="215" max="215" width="15" bestFit="1" customWidth="1"/>
    <col min="216" max="216" width="11.5703125" bestFit="1" customWidth="1"/>
    <col min="217" max="217" width="11.28515625" bestFit="1" customWidth="1"/>
    <col min="218" max="218" width="15" bestFit="1" customWidth="1"/>
    <col min="219" max="219" width="11.5703125" bestFit="1" customWidth="1"/>
    <col min="220" max="220" width="11.28515625" bestFit="1" customWidth="1"/>
    <col min="221" max="221" width="15" bestFit="1" customWidth="1"/>
    <col min="222" max="222" width="11.5703125" bestFit="1" customWidth="1"/>
    <col min="223" max="223" width="11.28515625" bestFit="1" customWidth="1"/>
    <col min="224" max="224" width="15" bestFit="1" customWidth="1"/>
    <col min="225" max="225" width="11.5703125" bestFit="1" customWidth="1"/>
    <col min="226" max="226" width="11.28515625" bestFit="1" customWidth="1"/>
    <col min="227" max="227" width="15" bestFit="1" customWidth="1"/>
    <col min="228" max="228" width="11.5703125" bestFit="1" customWidth="1"/>
    <col min="229" max="229" width="11.28515625" bestFit="1" customWidth="1"/>
    <col min="230" max="230" width="15" bestFit="1" customWidth="1"/>
    <col min="231" max="231" width="11.5703125" bestFit="1" customWidth="1"/>
    <col min="232" max="232" width="11.28515625" bestFit="1" customWidth="1"/>
    <col min="233" max="233" width="15" bestFit="1" customWidth="1"/>
    <col min="234" max="234" width="11.5703125" bestFit="1" customWidth="1"/>
    <col min="235" max="235" width="11.28515625" bestFit="1" customWidth="1"/>
    <col min="236" max="236" width="15" bestFit="1" customWidth="1"/>
    <col min="237" max="237" width="11.5703125" bestFit="1" customWidth="1"/>
    <col min="238" max="238" width="11.28515625" bestFit="1" customWidth="1"/>
    <col min="239" max="239" width="15" bestFit="1" customWidth="1"/>
    <col min="240" max="240" width="11.5703125" bestFit="1" customWidth="1"/>
    <col min="241" max="241" width="11.28515625" bestFit="1" customWidth="1"/>
    <col min="242" max="242" width="15" bestFit="1" customWidth="1"/>
    <col min="243" max="243" width="11.5703125" bestFit="1" customWidth="1"/>
    <col min="244" max="244" width="11.28515625" bestFit="1" customWidth="1"/>
    <col min="245" max="245" width="15" bestFit="1" customWidth="1"/>
    <col min="246" max="246" width="11.5703125" bestFit="1" customWidth="1"/>
    <col min="247" max="247" width="11.28515625" bestFit="1" customWidth="1"/>
    <col min="248" max="248" width="15" bestFit="1" customWidth="1"/>
    <col min="249" max="249" width="11.5703125" bestFit="1" customWidth="1"/>
    <col min="250" max="250" width="11.28515625" bestFit="1" customWidth="1"/>
    <col min="251" max="251" width="15" bestFit="1" customWidth="1"/>
    <col min="252" max="252" width="11.5703125" bestFit="1" customWidth="1"/>
    <col min="253" max="253" width="11.28515625" bestFit="1" customWidth="1"/>
    <col min="254" max="254" width="15" bestFit="1" customWidth="1"/>
    <col min="255" max="255" width="11.5703125" bestFit="1" customWidth="1"/>
    <col min="256" max="256" width="11.28515625" bestFit="1" customWidth="1"/>
    <col min="257" max="257" width="15" bestFit="1" customWidth="1"/>
    <col min="258" max="258" width="11.5703125" bestFit="1" customWidth="1"/>
    <col min="259" max="259" width="11.28515625" bestFit="1" customWidth="1"/>
    <col min="260" max="260" width="15" bestFit="1" customWidth="1"/>
    <col min="261" max="261" width="11.5703125" bestFit="1" customWidth="1"/>
    <col min="262" max="262" width="11.28515625" bestFit="1" customWidth="1"/>
    <col min="263" max="263" width="15" bestFit="1" customWidth="1"/>
    <col min="264" max="264" width="11.5703125" bestFit="1" customWidth="1"/>
    <col min="265" max="265" width="11.28515625" bestFit="1" customWidth="1"/>
    <col min="266" max="266" width="15" bestFit="1" customWidth="1"/>
    <col min="267" max="267" width="11.5703125" bestFit="1" customWidth="1"/>
    <col min="268" max="268" width="11.28515625" bestFit="1" customWidth="1"/>
    <col min="269" max="269" width="15" bestFit="1" customWidth="1"/>
    <col min="270" max="270" width="11.5703125" bestFit="1" customWidth="1"/>
    <col min="271" max="271" width="11.28515625" bestFit="1" customWidth="1"/>
    <col min="272" max="272" width="15" bestFit="1" customWidth="1"/>
    <col min="273" max="273" width="11.5703125" bestFit="1" customWidth="1"/>
    <col min="274" max="274" width="11.28515625" bestFit="1" customWidth="1"/>
    <col min="275" max="275" width="15" bestFit="1" customWidth="1"/>
    <col min="276" max="276" width="11.5703125" bestFit="1" customWidth="1"/>
    <col min="277" max="277" width="11.28515625" bestFit="1" customWidth="1"/>
    <col min="278" max="278" width="15" bestFit="1" customWidth="1"/>
    <col min="279" max="279" width="11.5703125" bestFit="1" customWidth="1"/>
    <col min="280" max="280" width="11.28515625" bestFit="1" customWidth="1"/>
    <col min="281" max="281" width="15" bestFit="1" customWidth="1"/>
    <col min="282" max="282" width="11.5703125" bestFit="1" customWidth="1"/>
    <col min="283" max="283" width="11.28515625" bestFit="1" customWidth="1"/>
    <col min="284" max="284" width="15" bestFit="1" customWidth="1"/>
    <col min="285" max="285" width="11.5703125" bestFit="1" customWidth="1"/>
    <col min="286" max="286" width="11.28515625" bestFit="1" customWidth="1"/>
    <col min="287" max="287" width="15" bestFit="1" customWidth="1"/>
    <col min="288" max="288" width="11.5703125" bestFit="1" customWidth="1"/>
    <col min="289" max="289" width="11.28515625" bestFit="1" customWidth="1"/>
    <col min="290" max="290" width="15" bestFit="1" customWidth="1"/>
    <col min="291" max="291" width="11.5703125" bestFit="1" customWidth="1"/>
    <col min="292" max="292" width="11.28515625" bestFit="1" customWidth="1"/>
    <col min="293" max="293" width="15" bestFit="1" customWidth="1"/>
    <col min="294" max="294" width="11.5703125" bestFit="1" customWidth="1"/>
    <col min="295" max="295" width="11.28515625" bestFit="1" customWidth="1"/>
    <col min="296" max="296" width="15" bestFit="1" customWidth="1"/>
    <col min="297" max="297" width="11.5703125" bestFit="1" customWidth="1"/>
    <col min="298" max="298" width="11.28515625" bestFit="1" customWidth="1"/>
    <col min="299" max="299" width="15" bestFit="1" customWidth="1"/>
    <col min="300" max="300" width="11.5703125" bestFit="1" customWidth="1"/>
    <col min="301" max="301" width="11.28515625" bestFit="1" customWidth="1"/>
    <col min="302" max="302" width="15" bestFit="1" customWidth="1"/>
    <col min="303" max="303" width="11.5703125" bestFit="1" customWidth="1"/>
    <col min="304" max="304" width="11.28515625" bestFit="1" customWidth="1"/>
    <col min="305" max="305" width="15" bestFit="1" customWidth="1"/>
    <col min="306" max="306" width="11.5703125" bestFit="1" customWidth="1"/>
    <col min="307" max="307" width="11.28515625" bestFit="1" customWidth="1"/>
    <col min="308" max="308" width="15" bestFit="1" customWidth="1"/>
    <col min="309" max="309" width="11.5703125" bestFit="1" customWidth="1"/>
    <col min="310" max="310" width="11.28515625" bestFit="1" customWidth="1"/>
    <col min="311" max="311" width="15" bestFit="1" customWidth="1"/>
    <col min="312" max="312" width="11.5703125" bestFit="1" customWidth="1"/>
    <col min="313" max="313" width="11.28515625" bestFit="1" customWidth="1"/>
    <col min="314" max="314" width="15" bestFit="1" customWidth="1"/>
    <col min="315" max="315" width="11.5703125" bestFit="1" customWidth="1"/>
    <col min="316" max="316" width="11.28515625" bestFit="1" customWidth="1"/>
    <col min="317" max="317" width="15" bestFit="1" customWidth="1"/>
    <col min="318" max="318" width="11.5703125" bestFit="1" customWidth="1"/>
    <col min="319" max="319" width="11.28515625" bestFit="1" customWidth="1"/>
    <col min="320" max="320" width="15" bestFit="1" customWidth="1"/>
    <col min="321" max="321" width="11.5703125" bestFit="1" customWidth="1"/>
    <col min="322" max="322" width="11.28515625" bestFit="1" customWidth="1"/>
    <col min="323" max="323" width="15" bestFit="1" customWidth="1"/>
    <col min="324" max="324" width="11.5703125" bestFit="1" customWidth="1"/>
    <col min="325" max="325" width="11.28515625" bestFit="1" customWidth="1"/>
    <col min="326" max="326" width="15" bestFit="1" customWidth="1"/>
    <col min="327" max="327" width="11.5703125" bestFit="1" customWidth="1"/>
    <col min="328" max="328" width="11.28515625" bestFit="1" customWidth="1"/>
    <col min="329" max="329" width="15" bestFit="1" customWidth="1"/>
    <col min="330" max="330" width="11.5703125" bestFit="1" customWidth="1"/>
    <col min="331" max="331" width="11.28515625" bestFit="1" customWidth="1"/>
    <col min="332" max="332" width="15" bestFit="1" customWidth="1"/>
    <col min="333" max="333" width="11.5703125" bestFit="1" customWidth="1"/>
    <col min="334" max="334" width="11.28515625" bestFit="1" customWidth="1"/>
    <col min="335" max="335" width="15" bestFit="1" customWidth="1"/>
    <col min="336" max="336" width="11.5703125" bestFit="1" customWidth="1"/>
    <col min="337" max="337" width="11.28515625" bestFit="1" customWidth="1"/>
    <col min="338" max="338" width="15" bestFit="1" customWidth="1"/>
    <col min="339" max="339" width="11.5703125" bestFit="1" customWidth="1"/>
    <col min="340" max="340" width="11.28515625" bestFit="1" customWidth="1"/>
    <col min="341" max="341" width="15" bestFit="1" customWidth="1"/>
    <col min="342" max="342" width="11.5703125" bestFit="1" customWidth="1"/>
    <col min="343" max="343" width="11.28515625" bestFit="1" customWidth="1"/>
    <col min="344" max="344" width="15" bestFit="1" customWidth="1"/>
    <col min="345" max="345" width="11.5703125" bestFit="1" customWidth="1"/>
    <col min="346" max="346" width="11.28515625" bestFit="1" customWidth="1"/>
    <col min="347" max="347" width="15" bestFit="1" customWidth="1"/>
    <col min="348" max="348" width="11.5703125" bestFit="1" customWidth="1"/>
    <col min="349" max="349" width="11.28515625" bestFit="1" customWidth="1"/>
    <col min="350" max="350" width="15" bestFit="1" customWidth="1"/>
    <col min="351" max="351" width="11.5703125" bestFit="1" customWidth="1"/>
    <col min="352" max="352" width="11.28515625" bestFit="1" customWidth="1"/>
    <col min="353" max="353" width="15" bestFit="1" customWidth="1"/>
    <col min="354" max="354" width="11.5703125" bestFit="1" customWidth="1"/>
    <col min="355" max="355" width="11.28515625" bestFit="1" customWidth="1"/>
    <col min="356" max="356" width="15" bestFit="1" customWidth="1"/>
    <col min="357" max="357" width="11.5703125" bestFit="1" customWidth="1"/>
    <col min="358" max="358" width="11.28515625" bestFit="1" customWidth="1"/>
    <col min="359" max="359" width="15" bestFit="1" customWidth="1"/>
    <col min="360" max="360" width="11.5703125" bestFit="1" customWidth="1"/>
    <col min="361" max="361" width="11.28515625" bestFit="1" customWidth="1"/>
    <col min="362" max="362" width="15" bestFit="1" customWidth="1"/>
    <col min="363" max="363" width="11.5703125" bestFit="1" customWidth="1"/>
    <col min="364" max="364" width="11.28515625" bestFit="1" customWidth="1"/>
    <col min="365" max="365" width="15" bestFit="1" customWidth="1"/>
    <col min="366" max="366" width="11.5703125" bestFit="1" customWidth="1"/>
    <col min="367" max="367" width="11.28515625" bestFit="1" customWidth="1"/>
    <col min="368" max="368" width="15" bestFit="1" customWidth="1"/>
    <col min="369" max="369" width="11.5703125" bestFit="1" customWidth="1"/>
    <col min="370" max="370" width="11.28515625" bestFit="1" customWidth="1"/>
    <col min="371" max="371" width="15" bestFit="1" customWidth="1"/>
    <col min="372" max="372" width="11.5703125" bestFit="1" customWidth="1"/>
    <col min="373" max="373" width="11.28515625" bestFit="1" customWidth="1"/>
    <col min="374" max="374" width="15" bestFit="1" customWidth="1"/>
    <col min="375" max="375" width="11.5703125" bestFit="1" customWidth="1"/>
    <col min="376" max="376" width="11.28515625" bestFit="1" customWidth="1"/>
    <col min="377" max="377" width="15" bestFit="1" customWidth="1"/>
    <col min="378" max="378" width="11.5703125" bestFit="1" customWidth="1"/>
    <col min="379" max="379" width="11.28515625" bestFit="1" customWidth="1"/>
    <col min="380" max="380" width="15" bestFit="1" customWidth="1"/>
    <col min="381" max="381" width="11.5703125" bestFit="1" customWidth="1"/>
    <col min="382" max="382" width="11.28515625" bestFit="1" customWidth="1"/>
    <col min="383" max="383" width="15" bestFit="1" customWidth="1"/>
    <col min="384" max="384" width="11.5703125" bestFit="1" customWidth="1"/>
    <col min="385" max="385" width="11.28515625" bestFit="1" customWidth="1"/>
    <col min="386" max="386" width="15" bestFit="1" customWidth="1"/>
    <col min="387" max="387" width="11.5703125" bestFit="1" customWidth="1"/>
    <col min="388" max="388" width="11.28515625" bestFit="1" customWidth="1"/>
    <col min="389" max="389" width="15" bestFit="1" customWidth="1"/>
    <col min="390" max="390" width="11.5703125" bestFit="1" customWidth="1"/>
    <col min="391" max="391" width="11.28515625" bestFit="1" customWidth="1"/>
    <col min="392" max="392" width="15" bestFit="1" customWidth="1"/>
    <col min="393" max="393" width="11.5703125" bestFit="1" customWidth="1"/>
    <col min="394" max="394" width="11.28515625" bestFit="1" customWidth="1"/>
    <col min="395" max="395" width="15" bestFit="1" customWidth="1"/>
    <col min="396" max="396" width="11.5703125" bestFit="1" customWidth="1"/>
    <col min="397" max="397" width="11.28515625" bestFit="1" customWidth="1"/>
    <col min="398" max="398" width="15" bestFit="1" customWidth="1"/>
    <col min="399" max="399" width="11.5703125" bestFit="1" customWidth="1"/>
    <col min="400" max="400" width="11.28515625" bestFit="1" customWidth="1"/>
    <col min="401" max="401" width="15" bestFit="1" customWidth="1"/>
    <col min="402" max="402" width="11.5703125" bestFit="1" customWidth="1"/>
    <col min="403" max="403" width="11.28515625" bestFit="1" customWidth="1"/>
    <col min="404" max="404" width="15" bestFit="1" customWidth="1"/>
    <col min="405" max="405" width="11.5703125" bestFit="1" customWidth="1"/>
    <col min="406" max="406" width="11.28515625" bestFit="1" customWidth="1"/>
    <col min="407" max="407" width="15" bestFit="1" customWidth="1"/>
    <col min="408" max="408" width="11.5703125" bestFit="1" customWidth="1"/>
    <col min="409" max="409" width="11.28515625" bestFit="1" customWidth="1"/>
    <col min="410" max="410" width="15" bestFit="1" customWidth="1"/>
    <col min="411" max="411" width="11.5703125" bestFit="1" customWidth="1"/>
    <col min="412" max="412" width="11.28515625" bestFit="1" customWidth="1"/>
    <col min="413" max="413" width="15" bestFit="1" customWidth="1"/>
    <col min="414" max="414" width="11.5703125" bestFit="1" customWidth="1"/>
    <col min="415" max="415" width="11.28515625" bestFit="1" customWidth="1"/>
    <col min="416" max="416" width="15" bestFit="1" customWidth="1"/>
    <col min="417" max="417" width="11.5703125" bestFit="1" customWidth="1"/>
    <col min="418" max="418" width="11.28515625" bestFit="1" customWidth="1"/>
    <col min="419" max="419" width="15" bestFit="1" customWidth="1"/>
    <col min="420" max="420" width="11.5703125" bestFit="1" customWidth="1"/>
    <col min="421" max="421" width="11.28515625" bestFit="1" customWidth="1"/>
    <col min="422" max="422" width="15" bestFit="1" customWidth="1"/>
    <col min="423" max="423" width="11.5703125" bestFit="1" customWidth="1"/>
    <col min="424" max="424" width="11.28515625" bestFit="1" customWidth="1"/>
    <col min="425" max="425" width="15" bestFit="1" customWidth="1"/>
    <col min="426" max="426" width="11.5703125" bestFit="1" customWidth="1"/>
    <col min="427" max="427" width="11.28515625" bestFit="1" customWidth="1"/>
    <col min="428" max="428" width="15" bestFit="1" customWidth="1"/>
    <col min="429" max="429" width="11.5703125" bestFit="1" customWidth="1"/>
    <col min="430" max="430" width="11.28515625" bestFit="1" customWidth="1"/>
    <col min="431" max="431" width="15" bestFit="1" customWidth="1"/>
    <col min="432" max="432" width="11.5703125" bestFit="1" customWidth="1"/>
    <col min="433" max="433" width="11.28515625" bestFit="1" customWidth="1"/>
    <col min="434" max="434" width="15" bestFit="1" customWidth="1"/>
    <col min="435" max="435" width="11.5703125" bestFit="1" customWidth="1"/>
    <col min="436" max="436" width="11.28515625" bestFit="1" customWidth="1"/>
    <col min="437" max="437" width="15" bestFit="1" customWidth="1"/>
    <col min="438" max="438" width="11.5703125" bestFit="1" customWidth="1"/>
    <col min="439" max="439" width="11.28515625" bestFit="1" customWidth="1"/>
    <col min="440" max="440" width="15" bestFit="1" customWidth="1"/>
    <col min="441" max="441" width="11.5703125" bestFit="1" customWidth="1"/>
    <col min="442" max="442" width="11.28515625" bestFit="1" customWidth="1"/>
    <col min="443" max="443" width="15" bestFit="1" customWidth="1"/>
    <col min="444" max="444" width="11.5703125" bestFit="1" customWidth="1"/>
    <col min="445" max="445" width="11.28515625" bestFit="1" customWidth="1"/>
    <col min="446" max="446" width="15" bestFit="1" customWidth="1"/>
    <col min="447" max="447" width="11.5703125" bestFit="1" customWidth="1"/>
    <col min="448" max="448" width="11.28515625" bestFit="1" customWidth="1"/>
    <col min="449" max="449" width="15" bestFit="1" customWidth="1"/>
    <col min="450" max="450" width="16.28515625" bestFit="1" customWidth="1"/>
    <col min="451" max="451" width="16.140625" bestFit="1" customWidth="1"/>
    <col min="452" max="452" width="20.5703125" bestFit="1" customWidth="1"/>
    <col min="16331" max="16331" width="18.28515625" bestFit="1" customWidth="1"/>
    <col min="16332" max="16332" width="10.7109375" bestFit="1" customWidth="1"/>
    <col min="16338" max="16338" width="18.140625" bestFit="1" customWidth="1"/>
    <col min="16339" max="16339" width="10.5703125" bestFit="1" customWidth="1"/>
    <col min="16340" max="16340" width="12.140625" bestFit="1" customWidth="1"/>
    <col min="16341" max="16341" width="16.140625" bestFit="1" customWidth="1"/>
    <col min="16368" max="16368" width="32.42578125" bestFit="1" customWidth="1"/>
    <col min="16369" max="16369" width="18.28515625" bestFit="1" customWidth="1"/>
    <col min="16370" max="16370" width="16.42578125" bestFit="1" customWidth="1"/>
    <col min="16371" max="16371" width="12.140625" bestFit="1" customWidth="1"/>
    <col min="16374" max="16374" width="12.28515625" bestFit="1" customWidth="1"/>
    <col min="16375" max="16375" width="18.28515625" bestFit="1" customWidth="1"/>
    <col min="16376" max="16376" width="12.140625" bestFit="1" customWidth="1"/>
    <col min="16377" max="16377" width="15" bestFit="1" customWidth="1"/>
  </cols>
  <sheetData>
    <row r="2" spans="1:37 16323:16341" x14ac:dyDescent="0.25">
      <c r="H2" s="18" vm="193">
        <f>CUBEVALUE("ThisWorkbookDataModel",
CUBEMEMBER("ThisWorkbookDataModel","[Calendar].[Year].[All].["&amp;$A$12&amp;"]"),
CUBEMEMBER("ThisWorkbookDataModel","[Calendar].[Month].[All].["&amp;$A$13&amp;"]"),
CUBEMEMBER("ThisWorkbookDataModel","[Reagrupa].[GRUPO].[All]","Total Geral"),
CUBEMEMBER("ThisWorkbookDataModel","[Measures].[Total Bruto]"))</f>
        <v>179058.30999999997</v>
      </c>
      <c r="W2" s="2" t="s">
        <v>153</v>
      </c>
      <c r="AC2" s="2" t="s">
        <v>4</v>
      </c>
      <c r="AD2" s="2" t="s">
        <v>5</v>
      </c>
      <c r="AE2" s="2" t="s">
        <v>54</v>
      </c>
      <c r="AH2" s="2" t="s">
        <v>4</v>
      </c>
      <c r="AI2" s="2" t="s">
        <v>54</v>
      </c>
      <c r="XCV2" t="s">
        <v>5</v>
      </c>
      <c r="XDC2" s="2" t="s">
        <v>3</v>
      </c>
      <c r="XDD2" t="s">
        <v>2</v>
      </c>
      <c r="XDJ2" s="2" t="s">
        <v>4</v>
      </c>
      <c r="XDK2" s="2" t="s">
        <v>5</v>
      </c>
      <c r="XDL2" t="s">
        <v>2</v>
      </c>
      <c r="XDM2" t="s">
        <v>11</v>
      </c>
    </row>
    <row r="3" spans="1:37 16323:16341" x14ac:dyDescent="0.25">
      <c r="W3">
        <v>2022</v>
      </c>
      <c r="AC3">
        <v>2022</v>
      </c>
      <c r="AH3">
        <v>2021</v>
      </c>
      <c r="AJ3">
        <v>2022</v>
      </c>
      <c r="XCU3" t="s">
        <v>54</v>
      </c>
      <c r="XCV3" t="str" vm="77">
        <f>CUBEMEMBER("ThisWorkbookDataModel","[Calendar].[Month].&amp;[fevereiro]")</f>
        <v>fevereiro</v>
      </c>
      <c r="XDC3" s="3">
        <v>2022</v>
      </c>
      <c r="XDD3" s="1"/>
      <c r="XDJ3">
        <v>2021</v>
      </c>
      <c r="XDK3" t="s">
        <v>51</v>
      </c>
      <c r="XDL3" s="6">
        <v>215558.62999999884</v>
      </c>
      <c r="XDM3" s="1">
        <v>6147</v>
      </c>
    </row>
    <row r="4" spans="1:37 16323:16341" x14ac:dyDescent="0.25">
      <c r="F4" s="2" t="s">
        <v>56</v>
      </c>
      <c r="G4" t="s">
        <v>8</v>
      </c>
      <c r="H4" t="s">
        <v>6</v>
      </c>
      <c r="I4" s="10" t="s">
        <v>7</v>
      </c>
      <c r="J4" t="s">
        <v>2</v>
      </c>
      <c r="M4" s="2" t="s">
        <v>5</v>
      </c>
      <c r="W4" t="s">
        <v>218</v>
      </c>
      <c r="AC4" t="s">
        <v>218</v>
      </c>
      <c r="AG4" s="2" t="s">
        <v>195</v>
      </c>
      <c r="AH4" t="s">
        <v>178</v>
      </c>
      <c r="AI4" t="s">
        <v>2</v>
      </c>
      <c r="AJ4" t="s">
        <v>178</v>
      </c>
      <c r="AK4" t="s">
        <v>2</v>
      </c>
      <c r="XCU4" t="str" vm="79">
        <f>CUBEMEMBER("ThisWorkbookDataModel","[Measures].[Consultas/Internação]")</f>
        <v>Consultas/Internação</v>
      </c>
      <c r="XCV4" t="str" vm="209">
        <f>CUBEVALUE("ThisWorkbookDataModel",$XCU4,XCV$3,SegmentaçãodeDados_Date_Hierarchy1)</f>
        <v/>
      </c>
      <c r="XDC4" s="4" t="s">
        <v>218</v>
      </c>
      <c r="XDD4" s="1"/>
      <c r="XDJ4">
        <v>2022</v>
      </c>
      <c r="XDK4" t="s">
        <v>49</v>
      </c>
      <c r="XDL4" s="6">
        <v>223791.06999999806</v>
      </c>
      <c r="XDM4" s="1">
        <v>6197</v>
      </c>
    </row>
    <row r="5" spans="1:37 16323:16341" x14ac:dyDescent="0.25">
      <c r="F5" s="3">
        <v>2022</v>
      </c>
      <c r="G5" s="1"/>
      <c r="H5" s="1"/>
      <c r="I5" s="1"/>
      <c r="J5" s="1"/>
      <c r="L5" s="2" t="s">
        <v>54</v>
      </c>
      <c r="M5" t="s">
        <v>218</v>
      </c>
      <c r="V5" s="2" t="s">
        <v>181</v>
      </c>
      <c r="W5" t="s">
        <v>179</v>
      </c>
      <c r="X5" t="s">
        <v>178</v>
      </c>
      <c r="Y5" t="s">
        <v>180</v>
      </c>
      <c r="AA5" s="2" t="s">
        <v>195</v>
      </c>
      <c r="AB5" s="2" t="s">
        <v>196</v>
      </c>
      <c r="AC5" t="s">
        <v>179</v>
      </c>
      <c r="AD5" t="s">
        <v>178</v>
      </c>
      <c r="AE5" t="s">
        <v>2</v>
      </c>
      <c r="AH5" s="1">
        <v>21</v>
      </c>
      <c r="AI5" s="6">
        <v>2949.1200000000008</v>
      </c>
      <c r="AJ5" s="1">
        <v>4</v>
      </c>
      <c r="AK5" s="6">
        <v>964.84</v>
      </c>
      <c r="XCU5" t="str" vm="78">
        <f>CUBEMEMBER("ThisWorkbookDataModel","[Measures].[Consultas/Cirurgias]")</f>
        <v>Consultas/Cirurgias</v>
      </c>
      <c r="XCV5" t="str" vm="198">
        <f>CUBEVALUE("ThisWorkbookDataModel",$XCU5,XCV$3,SegmentaçãodeDados_Date_Hierarchy1)</f>
        <v/>
      </c>
      <c r="XDC5" s="5" t="s">
        <v>66</v>
      </c>
      <c r="XDD5" s="6">
        <v>1186.5900000000004</v>
      </c>
      <c r="XDK5" t="s">
        <v>50</v>
      </c>
      <c r="XDL5" s="6">
        <v>226369.98999999891</v>
      </c>
      <c r="XDM5" s="1">
        <v>5916</v>
      </c>
    </row>
    <row r="6" spans="1:37 16323:16341" x14ac:dyDescent="0.25">
      <c r="F6" s="4" t="s">
        <v>218</v>
      </c>
      <c r="G6" s="1"/>
      <c r="H6" s="1"/>
      <c r="I6" s="1"/>
      <c r="J6" s="1"/>
      <c r="L6" t="s">
        <v>9</v>
      </c>
      <c r="M6" s="6">
        <v>1.7250000000000001</v>
      </c>
      <c r="V6" s="3" t="s">
        <v>175</v>
      </c>
      <c r="W6" s="1">
        <v>110</v>
      </c>
      <c r="X6" s="1">
        <v>235</v>
      </c>
      <c r="Y6" s="6">
        <v>89664.160000000018</v>
      </c>
      <c r="AA6" t="s">
        <v>183</v>
      </c>
      <c r="AB6" t="s">
        <v>193</v>
      </c>
      <c r="AC6" s="1">
        <v>69</v>
      </c>
      <c r="AD6" s="1">
        <v>178</v>
      </c>
      <c r="AE6" s="6">
        <v>69061.110000000132</v>
      </c>
      <c r="AG6" t="s">
        <v>182</v>
      </c>
      <c r="AH6" s="1"/>
      <c r="AI6" s="6"/>
      <c r="AJ6" s="1">
        <v>3</v>
      </c>
      <c r="AK6" s="6">
        <v>1933.8899999999999</v>
      </c>
      <c r="XCU6" t="str" vm="80">
        <f>CUBEMEMBER("ThisWorkbookDataModel","[Measures].[Consultas/Exames]")</f>
        <v>Consultas/Exames</v>
      </c>
      <c r="XCV6" t="str" vm="210">
        <f>CUBEVALUE("ThisWorkbookDataModel",$XCU6,XCV$3,SegmentaçãodeDados_Date_Hierarchy1)</f>
        <v/>
      </c>
      <c r="XDC6" s="5" t="s">
        <v>58</v>
      </c>
      <c r="XDD6" s="6">
        <v>20700</v>
      </c>
      <c r="XDK6" t="s">
        <v>12</v>
      </c>
      <c r="XDL6" s="6">
        <v>209679.67999999944</v>
      </c>
      <c r="XDM6" s="1">
        <v>5534</v>
      </c>
    </row>
    <row r="7" spans="1:37 16323:16341" x14ac:dyDescent="0.25">
      <c r="F7" s="5" t="s">
        <v>79</v>
      </c>
      <c r="G7" s="6">
        <v>1286.4473684210527</v>
      </c>
      <c r="H7" s="6">
        <v>763.828125</v>
      </c>
      <c r="I7" s="6">
        <v>1286.4473684210527</v>
      </c>
      <c r="J7" s="6">
        <v>24442.5</v>
      </c>
      <c r="L7" t="s">
        <v>10</v>
      </c>
      <c r="M7" s="6">
        <v>7.666666666666667</v>
      </c>
      <c r="V7" s="3" t="s">
        <v>159</v>
      </c>
      <c r="W7" s="1">
        <v>1</v>
      </c>
      <c r="X7" s="1">
        <v>14</v>
      </c>
      <c r="Y7" s="6">
        <v>12406.559999999987</v>
      </c>
      <c r="AB7" t="s">
        <v>194</v>
      </c>
      <c r="AC7" s="1">
        <v>78</v>
      </c>
      <c r="AD7" s="1">
        <v>124</v>
      </c>
      <c r="AE7" s="6">
        <v>43728.860000000052</v>
      </c>
      <c r="AG7" t="s">
        <v>183</v>
      </c>
      <c r="AH7" s="1">
        <v>1785</v>
      </c>
      <c r="AI7" s="6">
        <v>422079.08999999129</v>
      </c>
      <c r="AJ7" s="1">
        <v>2027</v>
      </c>
      <c r="AK7" s="6">
        <v>693130.62999998208</v>
      </c>
      <c r="XDC7" s="3" t="s">
        <v>1</v>
      </c>
      <c r="XDD7" s="6">
        <v>21886.59</v>
      </c>
      <c r="XDK7" t="s">
        <v>202</v>
      </c>
      <c r="XDL7" s="6">
        <v>175986.45999999892</v>
      </c>
      <c r="XDM7" s="1">
        <v>4376</v>
      </c>
    </row>
    <row r="8" spans="1:37 16323:16341" x14ac:dyDescent="0.25">
      <c r="F8" s="5" t="s">
        <v>0</v>
      </c>
      <c r="G8" s="6">
        <v>160.22142335766443</v>
      </c>
      <c r="H8" s="6">
        <v>95.852991266375668</v>
      </c>
      <c r="I8" s="6">
        <v>236.02510752688201</v>
      </c>
      <c r="J8" s="6">
        <v>43900.670000000056</v>
      </c>
      <c r="L8" t="s">
        <v>152</v>
      </c>
      <c r="M8" s="6">
        <v>0.3719676549865229</v>
      </c>
      <c r="V8" s="3" t="s">
        <v>160</v>
      </c>
      <c r="W8" s="1">
        <v>6</v>
      </c>
      <c r="X8" s="1">
        <v>15</v>
      </c>
      <c r="Y8" s="6">
        <v>8859.1100000000024</v>
      </c>
      <c r="AA8" t="s">
        <v>184</v>
      </c>
      <c r="AB8" t="s">
        <v>193</v>
      </c>
      <c r="AC8" s="1">
        <v>1</v>
      </c>
      <c r="AD8" s="1">
        <v>1</v>
      </c>
      <c r="AE8" s="6">
        <v>84.8</v>
      </c>
      <c r="AG8" t="s">
        <v>184</v>
      </c>
      <c r="AH8" s="1"/>
      <c r="AI8" s="6"/>
      <c r="AJ8" s="1">
        <v>4</v>
      </c>
      <c r="AK8" s="6">
        <v>2309.5</v>
      </c>
      <c r="XDK8" t="s">
        <v>218</v>
      </c>
      <c r="XDL8" s="6">
        <v>179058.30999999976</v>
      </c>
      <c r="XDM8" s="1">
        <v>4268</v>
      </c>
    </row>
    <row r="9" spans="1:37 16323:16341" x14ac:dyDescent="0.25">
      <c r="F9" s="5" t="s">
        <v>80</v>
      </c>
      <c r="G9" s="6">
        <v>286.80051020408166</v>
      </c>
      <c r="H9" s="6">
        <v>151.51725067385448</v>
      </c>
      <c r="I9" s="6">
        <v>468.44083333333339</v>
      </c>
      <c r="J9" s="6">
        <v>56212.900000000009</v>
      </c>
      <c r="V9" s="3" t="s">
        <v>163</v>
      </c>
      <c r="W9" s="1">
        <v>12</v>
      </c>
      <c r="X9" s="1">
        <v>24</v>
      </c>
      <c r="Y9" s="6">
        <v>8656.64</v>
      </c>
      <c r="AA9" t="s">
        <v>186</v>
      </c>
      <c r="AB9" t="s">
        <v>193</v>
      </c>
      <c r="AC9" s="1">
        <v>1</v>
      </c>
      <c r="AD9" s="1">
        <v>1</v>
      </c>
      <c r="AE9" s="6">
        <v>218.76999999999998</v>
      </c>
      <c r="AG9" t="s">
        <v>185</v>
      </c>
      <c r="AH9" s="1"/>
      <c r="AI9" s="6"/>
      <c r="AJ9" s="1">
        <v>1</v>
      </c>
      <c r="AK9" s="6">
        <v>189.87</v>
      </c>
      <c r="XDJ9" t="s">
        <v>1</v>
      </c>
      <c r="XDL9" s="6">
        <v>1230444.1400000011</v>
      </c>
      <c r="XDM9" s="1">
        <v>32438</v>
      </c>
    </row>
    <row r="10" spans="1:37 16323:16341" x14ac:dyDescent="0.25">
      <c r="F10" s="5" t="s">
        <v>73</v>
      </c>
      <c r="G10" s="6">
        <v>114.12169611307425</v>
      </c>
      <c r="H10" s="6">
        <v>9.7073760144274157</v>
      </c>
      <c r="I10" s="6">
        <v>192.24071428571438</v>
      </c>
      <c r="J10" s="6">
        <v>32296.440000000013</v>
      </c>
      <c r="V10" s="3" t="s">
        <v>173</v>
      </c>
      <c r="W10" s="1">
        <v>12</v>
      </c>
      <c r="X10" s="1">
        <v>17</v>
      </c>
      <c r="Y10" s="6">
        <v>6536.3500000000013</v>
      </c>
      <c r="AA10" t="s">
        <v>187</v>
      </c>
      <c r="AB10" t="s">
        <v>193</v>
      </c>
      <c r="AC10" s="1">
        <v>33</v>
      </c>
      <c r="AD10" s="1">
        <v>65</v>
      </c>
      <c r="AE10" s="6">
        <v>27346.939999999959</v>
      </c>
      <c r="AG10" t="s">
        <v>186</v>
      </c>
      <c r="AH10" s="1">
        <v>17</v>
      </c>
      <c r="AI10" s="6">
        <v>1312.7500000000002</v>
      </c>
      <c r="AJ10" s="1">
        <v>3</v>
      </c>
      <c r="AK10" s="6">
        <v>273.82</v>
      </c>
    </row>
    <row r="11" spans="1:37 16323:16341" x14ac:dyDescent="0.25">
      <c r="A11" s="2" t="s">
        <v>3</v>
      </c>
      <c r="B11" t="s">
        <v>2</v>
      </c>
      <c r="C11" t="s">
        <v>11</v>
      </c>
      <c r="D11" t="s">
        <v>6</v>
      </c>
      <c r="F11" s="5" t="s">
        <v>74</v>
      </c>
      <c r="G11" s="6">
        <v>296.07733333333334</v>
      </c>
      <c r="H11" s="6">
        <v>277.57249999999999</v>
      </c>
      <c r="I11" s="6">
        <v>555.14499999999998</v>
      </c>
      <c r="J11" s="6">
        <v>22205.8</v>
      </c>
      <c r="T11" s="10"/>
      <c r="V11" s="3" t="s">
        <v>177</v>
      </c>
      <c r="W11" s="1">
        <v>10</v>
      </c>
      <c r="X11" s="1">
        <v>20</v>
      </c>
      <c r="Y11" s="6">
        <v>5644.3999999999969</v>
      </c>
      <c r="AB11" t="s">
        <v>212</v>
      </c>
      <c r="AC11" s="1">
        <v>3</v>
      </c>
      <c r="AD11" s="1">
        <v>3</v>
      </c>
      <c r="AE11" s="6">
        <v>1283.6399999999996</v>
      </c>
      <c r="AG11" t="s">
        <v>187</v>
      </c>
      <c r="AH11" s="1">
        <v>721</v>
      </c>
      <c r="AI11" s="6">
        <v>175315.99999999907</v>
      </c>
      <c r="AJ11" s="1">
        <v>911</v>
      </c>
      <c r="AK11" s="6">
        <v>311147.86999999528</v>
      </c>
    </row>
    <row r="12" spans="1:37 16323:16341" x14ac:dyDescent="0.25">
      <c r="A12" s="3">
        <v>2022</v>
      </c>
      <c r="B12" s="1"/>
      <c r="C12" s="1"/>
      <c r="D12" s="1"/>
      <c r="V12" s="3" t="s">
        <v>219</v>
      </c>
      <c r="W12" s="1">
        <v>1</v>
      </c>
      <c r="X12" s="1">
        <v>4</v>
      </c>
      <c r="Y12" s="6">
        <v>5522.6100000000024</v>
      </c>
      <c r="AB12" t="s">
        <v>194</v>
      </c>
      <c r="AC12" s="1">
        <v>34</v>
      </c>
      <c r="AD12" s="1">
        <v>83</v>
      </c>
      <c r="AE12" s="6">
        <v>36272.65</v>
      </c>
      <c r="AG12" t="s">
        <v>188</v>
      </c>
      <c r="AH12" s="1">
        <v>4</v>
      </c>
      <c r="AI12" s="6">
        <v>372.40999999999997</v>
      </c>
      <c r="AJ12" s="1">
        <v>4</v>
      </c>
      <c r="AK12" s="6">
        <v>687.58</v>
      </c>
    </row>
    <row r="13" spans="1:37 16323:16341" x14ac:dyDescent="0.25">
      <c r="A13" s="4" t="s">
        <v>218</v>
      </c>
      <c r="B13" s="1"/>
      <c r="C13" s="1"/>
      <c r="D13" s="1"/>
      <c r="V13" s="3" t="s">
        <v>171</v>
      </c>
      <c r="W13" s="1">
        <v>7</v>
      </c>
      <c r="X13" s="1">
        <v>9</v>
      </c>
      <c r="Y13" s="6">
        <v>3966.3800000000006</v>
      </c>
      <c r="AA13" t="s">
        <v>192</v>
      </c>
      <c r="AB13" t="s">
        <v>193</v>
      </c>
      <c r="AC13" s="1">
        <v>2</v>
      </c>
      <c r="AD13" s="1">
        <v>2</v>
      </c>
      <c r="AE13" s="6">
        <v>835.09999999999991</v>
      </c>
      <c r="AG13" t="s">
        <v>189</v>
      </c>
      <c r="AH13" s="1">
        <v>5</v>
      </c>
      <c r="AI13" s="6">
        <v>883.99</v>
      </c>
      <c r="AJ13" s="1">
        <v>2</v>
      </c>
      <c r="AK13" s="6">
        <v>324</v>
      </c>
    </row>
    <row r="14" spans="1:37 16323:16341" x14ac:dyDescent="0.25">
      <c r="A14" s="5" t="s">
        <v>66</v>
      </c>
      <c r="B14" s="6">
        <v>1186.5900000000004</v>
      </c>
      <c r="C14" s="1">
        <v>41</v>
      </c>
      <c r="D14" s="6">
        <v>28.941219512195133</v>
      </c>
      <c r="V14" s="3" t="s">
        <v>166</v>
      </c>
      <c r="W14" s="1">
        <v>6</v>
      </c>
      <c r="X14" s="1">
        <v>13</v>
      </c>
      <c r="Y14" s="6">
        <v>3817.3599999999992</v>
      </c>
      <c r="AB14" t="s">
        <v>212</v>
      </c>
      <c r="AC14" s="1">
        <v>1</v>
      </c>
      <c r="AD14" s="1">
        <v>1</v>
      </c>
      <c r="AE14" s="6">
        <v>226.44</v>
      </c>
      <c r="AG14" t="s">
        <v>190</v>
      </c>
      <c r="AH14" s="1">
        <v>1</v>
      </c>
      <c r="AI14" s="6">
        <v>220</v>
      </c>
      <c r="AJ14" s="1">
        <v>1</v>
      </c>
      <c r="AK14" s="6">
        <v>220</v>
      </c>
    </row>
    <row r="15" spans="1:37 16323:16341" x14ac:dyDescent="0.25">
      <c r="A15" s="5" t="s">
        <v>67</v>
      </c>
      <c r="B15" s="6">
        <v>8150</v>
      </c>
      <c r="C15" s="1">
        <v>14</v>
      </c>
      <c r="D15" s="6">
        <v>582.14285714285711</v>
      </c>
      <c r="F15" s="2" t="s">
        <v>4</v>
      </c>
      <c r="G15" s="2" t="s">
        <v>5</v>
      </c>
      <c r="H15" t="s">
        <v>52</v>
      </c>
      <c r="I15" s="8" t="s">
        <v>53</v>
      </c>
      <c r="V15" s="3" t="s">
        <v>169</v>
      </c>
      <c r="W15" s="1">
        <v>6</v>
      </c>
      <c r="X15" s="1">
        <v>9</v>
      </c>
      <c r="Y15" s="6">
        <v>2917.0399999999986</v>
      </c>
      <c r="AG15" t="s">
        <v>191</v>
      </c>
      <c r="AH15" s="1">
        <v>10</v>
      </c>
      <c r="AI15" s="6">
        <v>1605.27</v>
      </c>
      <c r="AJ15" s="1">
        <v>8</v>
      </c>
      <c r="AK15" s="6">
        <v>1037.1500000000001</v>
      </c>
    </row>
    <row r="16" spans="1:37 16323:16341" x14ac:dyDescent="0.25">
      <c r="A16" s="5" t="s">
        <v>57</v>
      </c>
      <c r="B16" s="6">
        <v>16292.5</v>
      </c>
      <c r="C16" s="1">
        <v>18</v>
      </c>
      <c r="D16" s="6">
        <v>905.13888888888891</v>
      </c>
      <c r="F16">
        <v>2021</v>
      </c>
      <c r="G16" t="s">
        <v>51</v>
      </c>
      <c r="H16" s="1">
        <v>264</v>
      </c>
      <c r="I16" s="9" t="s">
        <v>55</v>
      </c>
      <c r="V16" s="3" t="s">
        <v>168</v>
      </c>
      <c r="W16" s="1">
        <v>5</v>
      </c>
      <c r="X16" s="1">
        <v>10</v>
      </c>
      <c r="Y16" s="6">
        <v>2617.5300000000007</v>
      </c>
      <c r="AG16" t="s">
        <v>192</v>
      </c>
      <c r="AH16" s="1"/>
      <c r="AI16" s="6"/>
      <c r="AJ16" s="1">
        <v>11</v>
      </c>
      <c r="AK16" s="6">
        <v>2666.3599999999997</v>
      </c>
    </row>
    <row r="17" spans="1:25" x14ac:dyDescent="0.25">
      <c r="A17" s="5" t="s">
        <v>58</v>
      </c>
      <c r="B17" s="6">
        <v>20700</v>
      </c>
      <c r="C17" s="1">
        <v>138</v>
      </c>
      <c r="D17" s="6">
        <v>150</v>
      </c>
      <c r="F17">
        <v>2022</v>
      </c>
      <c r="G17" t="s">
        <v>49</v>
      </c>
      <c r="H17" s="1">
        <v>309</v>
      </c>
      <c r="I17" s="9" t="s">
        <v>55</v>
      </c>
      <c r="V17" s="3" t="s">
        <v>157</v>
      </c>
      <c r="W17" s="1">
        <v>3</v>
      </c>
      <c r="X17" s="1">
        <v>7</v>
      </c>
      <c r="Y17" s="6">
        <v>2533.2200000000003</v>
      </c>
    </row>
    <row r="18" spans="1:25" x14ac:dyDescent="0.25">
      <c r="A18" s="5" t="s">
        <v>68</v>
      </c>
      <c r="B18" s="6">
        <v>63.65</v>
      </c>
      <c r="C18" s="1">
        <v>13</v>
      </c>
      <c r="D18" s="6">
        <v>4.8961538461538456</v>
      </c>
      <c r="G18" t="s">
        <v>50</v>
      </c>
      <c r="H18" s="1">
        <v>285</v>
      </c>
      <c r="I18" s="9" t="s">
        <v>55</v>
      </c>
      <c r="V18" s="3" t="s">
        <v>172</v>
      </c>
      <c r="W18" s="1">
        <v>1</v>
      </c>
      <c r="X18" s="1">
        <v>2</v>
      </c>
      <c r="Y18" s="6">
        <v>2236.079999999999</v>
      </c>
    </row>
    <row r="19" spans="1:25" x14ac:dyDescent="0.25">
      <c r="A19" s="5" t="s">
        <v>69</v>
      </c>
      <c r="B19" s="6">
        <v>3150</v>
      </c>
      <c r="C19" s="1">
        <v>9</v>
      </c>
      <c r="D19" s="6">
        <v>350</v>
      </c>
      <c r="G19" t="s">
        <v>12</v>
      </c>
      <c r="H19" s="1">
        <v>272</v>
      </c>
      <c r="I19" s="9" t="s">
        <v>55</v>
      </c>
      <c r="O19" s="6"/>
      <c r="T19" s="10"/>
      <c r="V19" s="3" t="s">
        <v>161</v>
      </c>
      <c r="W19" s="1">
        <v>3</v>
      </c>
      <c r="X19" s="1">
        <v>3</v>
      </c>
      <c r="Y19" s="6">
        <v>2169.2499999999991</v>
      </c>
    </row>
    <row r="20" spans="1:25" x14ac:dyDescent="0.25">
      <c r="A20" s="5" t="s">
        <v>70</v>
      </c>
      <c r="B20" s="6">
        <v>5600</v>
      </c>
      <c r="C20" s="1">
        <v>19</v>
      </c>
      <c r="D20" s="6">
        <v>294.73684210526318</v>
      </c>
      <c r="G20" t="s">
        <v>202</v>
      </c>
      <c r="H20" s="1">
        <v>238</v>
      </c>
      <c r="I20" s="9" t="s">
        <v>55</v>
      </c>
      <c r="O20" s="12"/>
      <c r="V20" s="3" t="s">
        <v>155</v>
      </c>
      <c r="W20" s="1">
        <v>6</v>
      </c>
      <c r="X20" s="1">
        <v>7</v>
      </c>
      <c r="Y20" s="6">
        <v>1879.7999999999997</v>
      </c>
    </row>
    <row r="21" spans="1:25" x14ac:dyDescent="0.25">
      <c r="A21" s="5" t="s">
        <v>71</v>
      </c>
      <c r="B21" s="6">
        <v>420.27</v>
      </c>
      <c r="C21" s="1">
        <v>16</v>
      </c>
      <c r="D21" s="6">
        <v>26.266874999999999</v>
      </c>
      <c r="G21" t="s">
        <v>218</v>
      </c>
      <c r="H21" s="1">
        <v>225</v>
      </c>
      <c r="I21" s="11" vm="211">
        <f>CUBEVALUE("ThisWorkbookDataModel",
CUBEMEMBER("ThisWorkbookDataModel","[Calendar].[Year].[All]","Total Geral"),
CUBEMEMBER("ThisWorkbookDataModel","[Measures].[QTD de Clientes]"),
SegmentaçãodeDados_Date_Hierarchy)</f>
        <v>1190</v>
      </c>
      <c r="N21" s="3"/>
      <c r="V21" s="3" t="s">
        <v>174</v>
      </c>
      <c r="W21" s="1">
        <v>6</v>
      </c>
      <c r="X21" s="1">
        <v>6</v>
      </c>
      <c r="Y21" s="6">
        <v>1763.6399999999999</v>
      </c>
    </row>
    <row r="22" spans="1:25" x14ac:dyDescent="0.25">
      <c r="A22" s="5" t="s">
        <v>72</v>
      </c>
      <c r="B22" s="6">
        <v>20905</v>
      </c>
      <c r="C22" s="1">
        <v>169</v>
      </c>
      <c r="D22" s="6">
        <v>123.69822485207101</v>
      </c>
      <c r="N22" s="4"/>
      <c r="V22" s="3" t="s">
        <v>204</v>
      </c>
      <c r="W22" s="1">
        <v>2</v>
      </c>
      <c r="X22" s="1">
        <v>3</v>
      </c>
      <c r="Y22" s="6">
        <v>1559.4099999999994</v>
      </c>
    </row>
    <row r="23" spans="1:25" x14ac:dyDescent="0.25">
      <c r="A23" s="5" t="s">
        <v>73</v>
      </c>
      <c r="B23" s="6">
        <v>32296.44000000001</v>
      </c>
      <c r="C23" s="1">
        <v>3327</v>
      </c>
      <c r="D23" s="6">
        <v>9.7073760144274157</v>
      </c>
      <c r="N23" s="4"/>
      <c r="V23" s="3" t="s">
        <v>210</v>
      </c>
      <c r="W23" s="1">
        <v>1</v>
      </c>
      <c r="X23" s="1">
        <v>5</v>
      </c>
      <c r="Y23" s="6">
        <v>1501.9099999999999</v>
      </c>
    </row>
    <row r="24" spans="1:25" x14ac:dyDescent="0.25">
      <c r="A24" s="5" t="s">
        <v>74</v>
      </c>
      <c r="B24" s="6">
        <v>19075</v>
      </c>
      <c r="C24" s="1">
        <v>59</v>
      </c>
      <c r="D24" s="6">
        <v>323.30508474576271</v>
      </c>
      <c r="N24" s="4"/>
      <c r="V24" s="3" t="s">
        <v>164</v>
      </c>
      <c r="W24" s="1">
        <v>3</v>
      </c>
      <c r="X24" s="1">
        <v>5</v>
      </c>
      <c r="Y24" s="6">
        <v>1457.3799999999997</v>
      </c>
    </row>
    <row r="25" spans="1:25" x14ac:dyDescent="0.25">
      <c r="A25" s="5" t="s">
        <v>75</v>
      </c>
      <c r="B25" s="6">
        <v>35307.899999999994</v>
      </c>
      <c r="C25" s="1">
        <v>202</v>
      </c>
      <c r="D25" s="6">
        <v>174.79158415841582</v>
      </c>
      <c r="V25" s="3"/>
      <c r="W25" s="1">
        <v>6</v>
      </c>
      <c r="X25" s="1">
        <v>7</v>
      </c>
      <c r="Y25" s="6">
        <v>1410.9899999999996</v>
      </c>
    </row>
    <row r="26" spans="1:25" x14ac:dyDescent="0.25">
      <c r="A26" s="5" t="s">
        <v>76</v>
      </c>
      <c r="B26" s="6">
        <v>9064.559999999994</v>
      </c>
      <c r="C26" s="1">
        <v>189</v>
      </c>
      <c r="D26" s="6">
        <v>47.960634920634888</v>
      </c>
      <c r="V26" s="3" t="s">
        <v>176</v>
      </c>
      <c r="W26" s="1">
        <v>1</v>
      </c>
      <c r="X26" s="1">
        <v>3</v>
      </c>
      <c r="Y26" s="6">
        <v>979.18</v>
      </c>
    </row>
    <row r="27" spans="1:25" x14ac:dyDescent="0.25">
      <c r="A27" s="5" t="s">
        <v>77</v>
      </c>
      <c r="B27" s="6">
        <v>3130.8</v>
      </c>
      <c r="C27" s="1">
        <v>21</v>
      </c>
      <c r="D27" s="6">
        <v>149.08571428571429</v>
      </c>
      <c r="V27" s="3" t="s">
        <v>156</v>
      </c>
      <c r="W27" s="1">
        <v>1</v>
      </c>
      <c r="X27" s="1">
        <v>2</v>
      </c>
      <c r="Y27" s="6">
        <v>934.4</v>
      </c>
    </row>
    <row r="28" spans="1:25" x14ac:dyDescent="0.25">
      <c r="A28" s="5" t="s">
        <v>78</v>
      </c>
      <c r="B28" s="6">
        <v>3715.5999999999995</v>
      </c>
      <c r="C28" s="1">
        <v>33</v>
      </c>
      <c r="D28" s="6">
        <v>112.59393939393938</v>
      </c>
      <c r="P28" s="10"/>
      <c r="V28" s="3" t="s">
        <v>217</v>
      </c>
      <c r="W28" s="1">
        <v>2</v>
      </c>
      <c r="X28" s="1">
        <v>4</v>
      </c>
      <c r="Y28" s="6">
        <v>894.8900000000001</v>
      </c>
    </row>
    <row r="29" spans="1:25" x14ac:dyDescent="0.25">
      <c r="V29" s="3" t="s">
        <v>170</v>
      </c>
      <c r="W29" s="1">
        <v>3</v>
      </c>
      <c r="X29" s="1">
        <v>4</v>
      </c>
      <c r="Y29" s="6">
        <v>869.68</v>
      </c>
    </row>
    <row r="30" spans="1:25" x14ac:dyDescent="0.25">
      <c r="V30" s="3" t="s">
        <v>206</v>
      </c>
      <c r="W30" s="1">
        <v>2</v>
      </c>
      <c r="X30" s="1">
        <v>2</v>
      </c>
      <c r="Y30" s="6">
        <v>850</v>
      </c>
    </row>
    <row r="31" spans="1:25" x14ac:dyDescent="0.25">
      <c r="V31" s="3" t="s">
        <v>167</v>
      </c>
      <c r="W31" s="1">
        <v>1</v>
      </c>
      <c r="X31" s="1">
        <v>2</v>
      </c>
      <c r="Y31" s="6">
        <v>831.99999999999989</v>
      </c>
    </row>
    <row r="32" spans="1:25" x14ac:dyDescent="0.25">
      <c r="V32" s="3" t="s">
        <v>220</v>
      </c>
      <c r="W32" s="1">
        <v>1</v>
      </c>
      <c r="X32" s="1">
        <v>1</v>
      </c>
      <c r="Y32" s="6">
        <v>755.09999999999991</v>
      </c>
    </row>
    <row r="33" spans="22:25" x14ac:dyDescent="0.25">
      <c r="V33" s="3" t="s">
        <v>211</v>
      </c>
      <c r="W33" s="1">
        <v>1</v>
      </c>
      <c r="X33" s="1">
        <v>3</v>
      </c>
      <c r="Y33" s="6">
        <v>740.37999999999988</v>
      </c>
    </row>
    <row r="34" spans="22:25" x14ac:dyDescent="0.25">
      <c r="V34" s="3" t="s">
        <v>214</v>
      </c>
      <c r="W34" s="1">
        <v>2</v>
      </c>
      <c r="X34" s="1">
        <v>2</v>
      </c>
      <c r="Y34" s="6">
        <v>615.18000000000006</v>
      </c>
    </row>
    <row r="35" spans="22:25" x14ac:dyDescent="0.25">
      <c r="V35" s="3" t="s">
        <v>162</v>
      </c>
      <c r="W35" s="1">
        <v>1</v>
      </c>
      <c r="X35" s="1">
        <v>1</v>
      </c>
      <c r="Y35" s="6">
        <v>563.46</v>
      </c>
    </row>
    <row r="36" spans="22:25" x14ac:dyDescent="0.25">
      <c r="V36" s="3" t="s">
        <v>158</v>
      </c>
      <c r="W36" s="1">
        <v>1</v>
      </c>
      <c r="X36" s="1">
        <v>2</v>
      </c>
      <c r="Y36" s="6">
        <v>497.36</v>
      </c>
    </row>
    <row r="37" spans="22:25" x14ac:dyDescent="0.25">
      <c r="V37" s="3" t="s">
        <v>213</v>
      </c>
      <c r="W37" s="1">
        <v>1</v>
      </c>
      <c r="X37" s="1">
        <v>1</v>
      </c>
      <c r="Y37" s="6">
        <v>484.95</v>
      </c>
    </row>
    <row r="38" spans="22:25" x14ac:dyDescent="0.25">
      <c r="V38" s="3" t="s">
        <v>165</v>
      </c>
      <c r="W38" s="1">
        <v>1</v>
      </c>
      <c r="X38" s="1">
        <v>1</v>
      </c>
      <c r="Y38" s="6">
        <v>425.76</v>
      </c>
    </row>
    <row r="39" spans="22:25" x14ac:dyDescent="0.25">
      <c r="V39" s="3" t="s">
        <v>199</v>
      </c>
      <c r="W39" s="1">
        <v>2</v>
      </c>
      <c r="X39" s="1">
        <v>2</v>
      </c>
      <c r="Y39" s="6">
        <v>402.78000000000003</v>
      </c>
    </row>
    <row r="40" spans="22:25" x14ac:dyDescent="0.25">
      <c r="V40" s="3" t="s">
        <v>221</v>
      </c>
      <c r="W40" s="1">
        <v>1</v>
      </c>
      <c r="X40" s="1">
        <v>1</v>
      </c>
      <c r="Y40" s="6">
        <v>401.46000000000004</v>
      </c>
    </row>
    <row r="41" spans="22:25" x14ac:dyDescent="0.25">
      <c r="V41" s="3" t="s">
        <v>222</v>
      </c>
      <c r="W41" s="1">
        <v>1</v>
      </c>
      <c r="X41" s="1">
        <v>1</v>
      </c>
      <c r="Y41" s="6">
        <v>390.27000000000004</v>
      </c>
    </row>
    <row r="42" spans="22:25" x14ac:dyDescent="0.25">
      <c r="V42" s="3" t="s">
        <v>223</v>
      </c>
      <c r="W42" s="1">
        <v>1</v>
      </c>
      <c r="X42" s="1">
        <v>1</v>
      </c>
      <c r="Y42" s="6">
        <v>226.44</v>
      </c>
    </row>
    <row r="43" spans="22:25" x14ac:dyDescent="0.25">
      <c r="V43" s="3" t="s">
        <v>154</v>
      </c>
      <c r="W43" s="1">
        <v>1</v>
      </c>
      <c r="X43" s="1">
        <v>1</v>
      </c>
      <c r="Y43" s="6">
        <v>206.69</v>
      </c>
    </row>
    <row r="44" spans="22:25" x14ac:dyDescent="0.25">
      <c r="V44" s="3" t="s">
        <v>208</v>
      </c>
      <c r="W44" s="1">
        <v>1</v>
      </c>
      <c r="X44" s="1">
        <v>1</v>
      </c>
      <c r="Y44" s="6">
        <v>150</v>
      </c>
    </row>
    <row r="45" spans="22:25" x14ac:dyDescent="0.25">
      <c r="V45" s="3" t="s">
        <v>209</v>
      </c>
      <c r="W45" s="1">
        <v>1</v>
      </c>
      <c r="X45" s="1">
        <v>1</v>
      </c>
      <c r="Y45" s="6">
        <v>150</v>
      </c>
    </row>
    <row r="46" spans="22:25" x14ac:dyDescent="0.25">
      <c r="V46" s="3" t="s">
        <v>205</v>
      </c>
      <c r="W46" s="1">
        <v>1</v>
      </c>
      <c r="X46" s="1">
        <v>1</v>
      </c>
      <c r="Y46" s="6">
        <v>150</v>
      </c>
    </row>
    <row r="47" spans="22:25" x14ac:dyDescent="0.25">
      <c r="V47" s="3" t="s">
        <v>207</v>
      </c>
      <c r="W47" s="1">
        <v>1</v>
      </c>
      <c r="X47" s="1">
        <v>1</v>
      </c>
      <c r="Y47" s="6">
        <v>133.71</v>
      </c>
    </row>
    <row r="48" spans="22:25" x14ac:dyDescent="0.25">
      <c r="V48" s="3" t="s">
        <v>224</v>
      </c>
      <c r="W48" s="1">
        <v>1</v>
      </c>
      <c r="X48" s="1">
        <v>1</v>
      </c>
      <c r="Y48" s="6">
        <v>120</v>
      </c>
    </row>
    <row r="49" spans="22:25" x14ac:dyDescent="0.25">
      <c r="V49" s="3" t="s">
        <v>215</v>
      </c>
      <c r="W49" s="1">
        <v>1</v>
      </c>
      <c r="X49" s="1">
        <v>1</v>
      </c>
      <c r="Y49" s="6">
        <v>84.8</v>
      </c>
    </row>
    <row r="50" spans="22:25" x14ac:dyDescent="0.25">
      <c r="V50" s="3" t="s">
        <v>216</v>
      </c>
      <c r="W50" s="1">
        <v>1</v>
      </c>
      <c r="X50" s="1">
        <v>1</v>
      </c>
      <c r="Y50" s="6">
        <v>80</v>
      </c>
    </row>
  </sheetData>
  <pageMargins left="0.511811024" right="0.511811024" top="0.78740157499999996" bottom="0.78740157499999996" header="0.31496062000000002" footer="0.31496062000000002"/>
  <pageSetup paperSize="9" orientation="portrait" r:id="rId10"/>
  <drawing r:id="rId11"/>
  <extLst>
    <ext xmlns:x14="http://schemas.microsoft.com/office/spreadsheetml/2009/9/main" uri="{A8765BA9-456A-4dab-B4F3-ACF838C121DE}">
      <x14:slicerList>
        <x14:slicer r:id="rId1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A9D8D-9360-4E75-B406-D7ABDF8715B5}">
  <sheetPr codeName="Planilha5"/>
  <dimension ref="A1:J21"/>
  <sheetViews>
    <sheetView workbookViewId="0">
      <selection activeCell="H6" sqref="H6"/>
    </sheetView>
  </sheetViews>
  <sheetFormatPr defaultRowHeight="15" x14ac:dyDescent="0.25"/>
  <cols>
    <col min="1" max="1" width="24.7109375" bestFit="1" customWidth="1"/>
    <col min="2" max="2" width="11" bestFit="1" customWidth="1"/>
    <col min="3" max="3" width="16.42578125" bestFit="1" customWidth="1"/>
    <col min="4" max="4" width="12.140625" bestFit="1" customWidth="1"/>
    <col min="5" max="5" width="18.28515625" bestFit="1" customWidth="1"/>
    <col min="6" max="6" width="8.28515625" bestFit="1" customWidth="1"/>
    <col min="7" max="7" width="10.42578125" bestFit="1" customWidth="1"/>
    <col min="8" max="8" width="12.42578125" bestFit="1" customWidth="1"/>
    <col min="9" max="9" width="12.140625" bestFit="1" customWidth="1"/>
    <col min="10" max="11" width="15" bestFit="1" customWidth="1"/>
  </cols>
  <sheetData>
    <row r="1" spans="1:10" x14ac:dyDescent="0.25">
      <c r="A1" t="s">
        <v>4</v>
      </c>
      <c r="B1" t="str" vm="1">
        <f>CUBEMEMBER("ThisWorkbookDataModel","[Calendar].[Year].[All].["&amp;Resumo!$A$12&amp;"]")</f>
        <v>2022</v>
      </c>
      <c r="G1" t="s">
        <v>4</v>
      </c>
      <c r="H1" t="str" vm="1">
        <f>CUBEMEMBER("ThisWorkbookDataModel","[Calendar].[Year].[All].["&amp;Resumo!$A$12&amp;"]")</f>
        <v>2022</v>
      </c>
    </row>
    <row r="2" spans="1:10" x14ac:dyDescent="0.25">
      <c r="A2" t="s">
        <v>5</v>
      </c>
      <c r="B2" t="str" vm="134">
        <f>CUBEMEMBER("ThisWorkbookDataModel","[Calendar].[Month].["&amp;Resumo!$A$13&amp;"]")</f>
        <v>maio</v>
      </c>
      <c r="G2" t="s">
        <v>5</v>
      </c>
      <c r="H2" t="str" vm="134">
        <f>CUBEMEMBER("ThisWorkbookDataModel","[Calendar].[Month].["&amp;Resumo!$A$13&amp;"]")</f>
        <v>maio</v>
      </c>
    </row>
    <row r="4" spans="1:10" x14ac:dyDescent="0.25">
      <c r="A4" t="s">
        <v>3</v>
      </c>
      <c r="B4" t="str" vm="4">
        <f>CUBEMEMBER("ThisWorkbookDataModel","[Measures].[Total Bruto]")</f>
        <v>Total Bruto</v>
      </c>
      <c r="C4" t="str" vm="3">
        <f>CUBEMEMBER("ThisWorkbookDataModel","[Measures].[Total Quanditade]")</f>
        <v>Total Quanditade</v>
      </c>
      <c r="D4" t="str" vm="2">
        <f>CUBEMEMBER("ThisWorkbookDataModel","[Measures].[Preço Médio]")</f>
        <v>Preço Médio</v>
      </c>
      <c r="G4" t="s">
        <v>56</v>
      </c>
      <c r="H4" t="str" vm="6">
        <f>CUBEMEMBER("ThisWorkbookDataModel","[Measures].[Ticket Médio]")</f>
        <v>Ticket Médio</v>
      </c>
      <c r="I4" t="str" vm="2">
        <f>CUBEMEMBER("ThisWorkbookDataModel","[Measures].[Preço Médio]")</f>
        <v>Preço Médio</v>
      </c>
      <c r="J4" s="10" t="str" vm="7">
        <f>CUBEMEMBER("ThisWorkbookDataModel","[Measures].[Fat. Méd. Clientes]")</f>
        <v>Fat. Méd. Clientes</v>
      </c>
    </row>
    <row r="5" spans="1:10" x14ac:dyDescent="0.25">
      <c r="A5" s="3" t="str" vm="21">
        <f>CUBEMEMBER("ThisWorkbookDataModel","[Reagrupa].[GRUPO].&amp;[Alimentos]")</f>
        <v>Alimentos</v>
      </c>
      <c r="B5" vm="173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CUBEMEMBER("ThisWorkbookDataModel","[Reagrupa].[GRUPO].&amp;[Alimentos]"),
CUBEMEMBER("ThisWorkbookDataModel","[Measures].[Total Bruto]"),SegmentaçãodeDados_Date_Hierarchy1)</f>
        <v>1186.5900000000004</v>
      </c>
      <c r="C5" vm="172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CUBEMEMBER("ThisWorkbookDataModel","[Reagrupa].[GRUPO].&amp;[Alimentos]"),
CUBEMEMBER("ThisWorkbookDataModel","[Measures].[Total Quanditade]"),SegmentaçãodeDados_Date_Hierarchy1)</f>
        <v>41</v>
      </c>
      <c r="D5" vm="202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CUBEMEMBER("ThisWorkbookDataModel","[Reagrupa].[GRUPO].&amp;[Alimentos]"),
CUBEMEMBER("ThisWorkbookDataModel","[Measures].[Preço Médio]"),SegmentaçãodeDados_Date_Hierarchy1)</f>
        <v>28.941219512195133</v>
      </c>
      <c r="F5" s="3"/>
      <c r="G5" s="3" t="str" vm="74">
        <f>CUBEMEMBER("ThisWorkbookDataModel","[Pilar].[Pilar].&amp;[Cirurgia]")</f>
        <v>Cirurgia</v>
      </c>
      <c r="H5" vm="147">
        <f>CUBEVALUE("ThisWorkbookDataModel",
CUBEMEMBER("ThisWorkbookDataModel","[Calendar].[Year].[All].["&amp;Resumo!$A$12&amp;"]"),
CUBEMEMBER("ThisWorkbookDataModel","[Calendar].[Month].["&amp;Resumo!$A$13&amp;"]"),
CUBEMEMBER("ThisWorkbookDataModel","[Pilar].[Pilar].&amp;[Cirurgia]"),
CUBEMEMBER("ThisWorkbookDataModel","[Measures].[Ticket Médio]"),SegmentaçãodeDados_Date_Hierarchy1)</f>
        <v>1286.4473684210527</v>
      </c>
      <c r="I5" vm="208">
        <f>CUBEVALUE("ThisWorkbookDataModel",
CUBEMEMBER("ThisWorkbookDataModel","[Calendar].[Year].[All].["&amp;Resumo!$A$12&amp;"]"),
CUBEMEMBER("ThisWorkbookDataModel","[Calendar].[Month].["&amp;Resumo!$A$13&amp;"]"),
CUBEMEMBER("ThisWorkbookDataModel","[Pilar].[Pilar].&amp;[Cirurgia]"),
CUBEMEMBER("ThisWorkbookDataModel","[Measures].[Preço Médio]"),SegmentaçãodeDados_Date_Hierarchy1)</f>
        <v>763.828125</v>
      </c>
      <c r="J5" vm="199">
        <f>CUBEVALUE("ThisWorkbookDataModel",
CUBEMEMBER("ThisWorkbookDataModel","[Calendar].[Year].[All].["&amp;Resumo!$A$12&amp;"]"),
CUBEMEMBER("ThisWorkbookDataModel","[Calendar].[Month].["&amp;Resumo!$A$13&amp;"]"),
CUBEMEMBER("ThisWorkbookDataModel","[Pilar].[Pilar].&amp;[Cirurgia]"),
CUBEMEMBER("ThisWorkbookDataModel","[Measures].[Fat. Méd. Clientes]"),SegmentaçãodeDados_Date_Hierarchy1)</f>
        <v>1286.4473684210527</v>
      </c>
    </row>
    <row r="6" spans="1:10" x14ac:dyDescent="0.25">
      <c r="A6" s="3" t="str" vm="30">
        <f>CUBEMEMBER("ThisWorkbookDataModel","[Reagrupa].[GRUPO].&amp;[Aluguel CC]")</f>
        <v>Aluguel CC</v>
      </c>
      <c r="B6" t="str" vm="150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CUBEMEMBER("ThisWorkbookDataModel","[Reagrupa].[GRUPO].&amp;[Aluguel CC]"),
CUBEMEMBER("ThisWorkbookDataModel","[Measures].[Total Bruto]"),SegmentaçãodeDados_Date_Hierarchy1)</f>
        <v/>
      </c>
      <c r="C6" t="str" vm="151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CUBEMEMBER("ThisWorkbookDataModel","[Reagrupa].[GRUPO].&amp;[Aluguel CC]"),
CUBEMEMBER("ThisWorkbookDataModel","[Measures].[Total Quanditade]"),SegmentaçãodeDados_Date_Hierarchy1)</f>
        <v/>
      </c>
      <c r="D6" t="str" vm="169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CUBEMEMBER("ThisWorkbookDataModel","[Reagrupa].[GRUPO].&amp;[Aluguel CC]"),
CUBEMEMBER("ThisWorkbookDataModel","[Measures].[Preço Médio]"),SegmentaçãodeDados_Date_Hierarchy1)</f>
        <v/>
      </c>
      <c r="F6" s="3"/>
      <c r="G6" s="3" t="str" vm="8">
        <f>CUBEMEMBER("ThisWorkbookDataModel","[Pilar].[Pilar].&amp;[Clínica]")</f>
        <v>Clínica</v>
      </c>
      <c r="H6" vm="206">
        <f>CUBEVALUE("ThisWorkbookDataModel",
CUBEMEMBER("ThisWorkbookDataModel","[Calendar].[Year].[All].["&amp;Resumo!$A$12&amp;"]"),
CUBEMEMBER("ThisWorkbookDataModel","[Calendar].[Month].["&amp;Resumo!$A$13&amp;"]"),
CUBEMEMBER("ThisWorkbookDataModel","[Pilar].[Pilar].&amp;[Clínica]"),
CUBEMEMBER("ThisWorkbookDataModel","[Measures].[Ticket Médio]"),SegmentaçãodeDados_Date_Hierarchy1)</f>
        <v>160.22142335766443</v>
      </c>
      <c r="I6" vm="142">
        <f>CUBEVALUE("ThisWorkbookDataModel",
CUBEMEMBER("ThisWorkbookDataModel","[Calendar].[Year].[All].["&amp;Resumo!$A$12&amp;"]"),
CUBEMEMBER("ThisWorkbookDataModel","[Calendar].[Month].["&amp;Resumo!$A$13&amp;"]"),
CUBEMEMBER("ThisWorkbookDataModel","[Pilar].[Pilar].&amp;[Clínica]"),
CUBEMEMBER("ThisWorkbookDataModel","[Measures].[Preço Médio]"),SegmentaçãodeDados_Date_Hierarchy1)</f>
        <v>95.852991266375668</v>
      </c>
      <c r="J6" vm="205">
        <f>CUBEVALUE("ThisWorkbookDataModel",
CUBEMEMBER("ThisWorkbookDataModel","[Calendar].[Year].[All].["&amp;Resumo!$A$12&amp;"]"),
CUBEMEMBER("ThisWorkbookDataModel","[Calendar].[Month].["&amp;Resumo!$A$13&amp;"]"),
CUBEMEMBER("ThisWorkbookDataModel","[Pilar].[Pilar].&amp;[Clínica]"),
CUBEMEMBER("ThisWorkbookDataModel","[Measures].[Fat. Méd. Clientes]"),SegmentaçãodeDados_Date_Hierarchy1)</f>
        <v>236.02510752688201</v>
      </c>
    </row>
    <row r="7" spans="1:10" x14ac:dyDescent="0.25">
      <c r="A7" s="3" t="str" vm="22">
        <f>CUBEMEMBER("ThisWorkbookDataModel","[Reagrupa].[GRUPO].&amp;[Anestesias]")</f>
        <v>Anestesias</v>
      </c>
      <c r="B7" vm="140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CUBEMEMBER("ThisWorkbookDataModel","[Reagrupa].[GRUPO].&amp;[Anestesias]"),
CUBEMEMBER("ThisWorkbookDataModel","[Measures].[Total Bruto]"),SegmentaçãodeDados_Date_Hierarchy1)</f>
        <v>8150</v>
      </c>
      <c r="C7" vm="180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CUBEMEMBER("ThisWorkbookDataModel","[Reagrupa].[GRUPO].&amp;[Anestesias]"),
CUBEMEMBER("ThisWorkbookDataModel","[Measures].[Total Quanditade]"),SegmentaçãodeDados_Date_Hierarchy1)</f>
        <v>14</v>
      </c>
      <c r="D7" vm="138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CUBEMEMBER("ThisWorkbookDataModel","[Reagrupa].[GRUPO].&amp;[Anestesias]"),
CUBEMEMBER("ThisWorkbookDataModel","[Measures].[Preço Médio]"),SegmentaçãodeDados_Date_Hierarchy1)</f>
        <v>582.14285714285711</v>
      </c>
      <c r="F7" s="17"/>
      <c r="G7" s="3" t="str" vm="75">
        <f>CUBEMEMBER("ThisWorkbookDataModel","[Pilar].[Pilar].&amp;[Exames]")</f>
        <v>Exames</v>
      </c>
      <c r="H7" vm="177">
        <f>CUBEVALUE("ThisWorkbookDataModel",
CUBEMEMBER("ThisWorkbookDataModel","[Calendar].[Year].[All].["&amp;Resumo!$A$12&amp;"]"),
CUBEMEMBER("ThisWorkbookDataModel","[Calendar].[Month].["&amp;Resumo!$A$13&amp;"]"),
CUBEMEMBER("ThisWorkbookDataModel","[Pilar].[Pilar].&amp;[Exames]"),
CUBEMEMBER("ThisWorkbookDataModel","[Measures].[Ticket Médio]"),SegmentaçãodeDados_Date_Hierarchy1)</f>
        <v>286.80051020408166</v>
      </c>
      <c r="I7" vm="146">
        <f>CUBEVALUE("ThisWorkbookDataModel",
CUBEMEMBER("ThisWorkbookDataModel","[Calendar].[Year].[All].["&amp;Resumo!$A$12&amp;"]"),
CUBEMEMBER("ThisWorkbookDataModel","[Calendar].[Month].["&amp;Resumo!$A$13&amp;"]"),
CUBEMEMBER("ThisWorkbookDataModel","[Pilar].[Pilar].&amp;[Exames]"),
CUBEMEMBER("ThisWorkbookDataModel","[Measures].[Preço Médio]"),SegmentaçãodeDados_Date_Hierarchy1)</f>
        <v>151.51725067385448</v>
      </c>
      <c r="J7" vm="170">
        <f>CUBEVALUE("ThisWorkbookDataModel",
CUBEMEMBER("ThisWorkbookDataModel","[Calendar].[Year].[All].["&amp;Resumo!$A$12&amp;"]"),
CUBEMEMBER("ThisWorkbookDataModel","[Calendar].[Month].["&amp;Resumo!$A$13&amp;"]"),
CUBEMEMBER("ThisWorkbookDataModel","[Pilar].[Pilar].&amp;[Exames]"),
CUBEMEMBER("ThisWorkbookDataModel","[Measures].[Fat. Méd. Clientes]"),SegmentaçãodeDados_Date_Hierarchy1)</f>
        <v>468.44083333333339</v>
      </c>
    </row>
    <row r="8" spans="1:10" x14ac:dyDescent="0.25">
      <c r="A8" s="3" t="str" vm="11">
        <f>CUBEMEMBER("ThisWorkbookDataModel","[Reagrupa].[GRUPO].&amp;[Cirurgias]")</f>
        <v>Cirurgias</v>
      </c>
      <c r="B8" vm="181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CUBEMEMBER("ThisWorkbookDataModel","[Reagrupa].[GRUPO].&amp;[Cirurgias]"),
CUBEMEMBER("ThisWorkbookDataModel","[Measures].[Total Bruto]"),SegmentaçãodeDados_Date_Hierarchy1)</f>
        <v>16292.5</v>
      </c>
      <c r="C8" vm="175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CUBEMEMBER("ThisWorkbookDataModel","[Reagrupa].[GRUPO].&amp;[Cirurgias]"),
CUBEMEMBER("ThisWorkbookDataModel","[Measures].[Total Quanditade]"),SegmentaçãodeDados_Date_Hierarchy1)</f>
        <v>18</v>
      </c>
      <c r="D8" vm="159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CUBEMEMBER("ThisWorkbookDataModel","[Reagrupa].[GRUPO].&amp;[Cirurgias]"),
CUBEMEMBER("ThisWorkbookDataModel","[Measures].[Preço Médio]"),SegmentaçãodeDados_Date_Hierarchy1)</f>
        <v>905.13888888888891</v>
      </c>
      <c r="G8" s="3" t="str" vm="72">
        <f>CUBEMEMBER("ThisWorkbookDataModel","[Pilar].[Pilar].&amp;[Insumos]")</f>
        <v>Insumos</v>
      </c>
      <c r="H8" vm="171">
        <f>CUBEVALUE("ThisWorkbookDataModel",
CUBEMEMBER("ThisWorkbookDataModel","[Calendar].[Year].[All].["&amp;Resumo!$A$12&amp;"]"),
CUBEMEMBER("ThisWorkbookDataModel","[Calendar].[Month].["&amp;Resumo!$A$13&amp;"]"),
CUBEMEMBER("ThisWorkbookDataModel","[Pilar].[Pilar].&amp;[Insumos]"),
CUBEMEMBER("ThisWorkbookDataModel","[Measures].[Ticket Médio]"),SegmentaçãodeDados_Date_Hierarchy1)</f>
        <v>114.12169611307425</v>
      </c>
      <c r="I8" vm="188">
        <f>CUBEVALUE("ThisWorkbookDataModel",
CUBEMEMBER("ThisWorkbookDataModel","[Calendar].[Year].[All].["&amp;Resumo!$A$12&amp;"]"),
CUBEMEMBER("ThisWorkbookDataModel","[Calendar].[Month].["&amp;Resumo!$A$13&amp;"]"),
CUBEMEMBER("ThisWorkbookDataModel","[Pilar].[Pilar].&amp;[Insumos]"),
CUBEMEMBER("ThisWorkbookDataModel","[Measures].[Preço Médio]"),SegmentaçãodeDados_Date_Hierarchy1)</f>
        <v>9.7073760144274157</v>
      </c>
      <c r="J8" vm="148">
        <f>CUBEVALUE("ThisWorkbookDataModel",
CUBEMEMBER("ThisWorkbookDataModel","[Calendar].[Year].[All].["&amp;Resumo!$A$12&amp;"]"),
CUBEMEMBER("ThisWorkbookDataModel","[Calendar].[Month].["&amp;Resumo!$A$13&amp;"]"),
CUBEMEMBER("ThisWorkbookDataModel","[Pilar].[Pilar].&amp;[Insumos]"),
CUBEMEMBER("ThisWorkbookDataModel","[Measures].[Fat. Méd. Clientes]"),SegmentaçãodeDados_Date_Hierarchy1)</f>
        <v>192.24071428571438</v>
      </c>
    </row>
    <row r="9" spans="1:10" x14ac:dyDescent="0.25">
      <c r="A9" s="3" t="str" vm="12">
        <f>CUBEMEMBER("ThisWorkbookDataModel","[Reagrupa].[GRUPO].&amp;[Consultas]")</f>
        <v>Consultas</v>
      </c>
      <c r="B9" vm="145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CUBEMEMBER("ThisWorkbookDataModel","[Reagrupa].[GRUPO].&amp;[Consultas]"),
CUBEMEMBER("ThisWorkbookDataModel","[Measures].[Total Bruto]"),SegmentaçãodeDados_Date_Hierarchy1)</f>
        <v>20700</v>
      </c>
      <c r="C9" vm="178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CUBEMEMBER("ThisWorkbookDataModel","[Reagrupa].[GRUPO].&amp;[Consultas]"),
CUBEMEMBER("ThisWorkbookDataModel","[Measures].[Total Quanditade]"),SegmentaçãodeDados_Date_Hierarchy1)</f>
        <v>138</v>
      </c>
      <c r="D9" vm="174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CUBEMEMBER("ThisWorkbookDataModel","[Reagrupa].[GRUPO].&amp;[Consultas]"),
CUBEMEMBER("ThisWorkbookDataModel","[Measures].[Preço Médio]"),SegmentaçãodeDados_Date_Hierarchy1)</f>
        <v>150</v>
      </c>
      <c r="G9" s="3" t="str" vm="73">
        <f>CUBEMEMBER("ThisWorkbookDataModel","[Pilar].[Pilar].&amp;[Internação]")</f>
        <v>Internação</v>
      </c>
      <c r="H9" vm="189">
        <f>CUBEVALUE("ThisWorkbookDataModel",
CUBEMEMBER("ThisWorkbookDataModel","[Calendar].[Year].[All].["&amp;Resumo!$A$12&amp;"]"),
CUBEMEMBER("ThisWorkbookDataModel","[Calendar].[Month].["&amp;Resumo!$A$13&amp;"]"),
CUBEMEMBER("ThisWorkbookDataModel","[Pilar].[Pilar].&amp;[Internação]"),
CUBEMEMBER("ThisWorkbookDataModel","[Measures].[Ticket Médio]"),SegmentaçãodeDados_Date_Hierarchy1)</f>
        <v>296.07733333333334</v>
      </c>
      <c r="I9" vm="207">
        <f>CUBEVALUE("ThisWorkbookDataModel",
CUBEMEMBER("ThisWorkbookDataModel","[Calendar].[Year].[All].["&amp;Resumo!$A$12&amp;"]"),
CUBEMEMBER("ThisWorkbookDataModel","[Calendar].[Month].["&amp;Resumo!$A$13&amp;"]"),
CUBEMEMBER("ThisWorkbookDataModel","[Pilar].[Pilar].&amp;[Internação]"),
CUBEMEMBER("ThisWorkbookDataModel","[Measures].[Preço Médio]"),SegmentaçãodeDados_Date_Hierarchy1)</f>
        <v>277.57249999999999</v>
      </c>
      <c r="J9" vm="196">
        <f>CUBEVALUE("ThisWorkbookDataModel",
CUBEMEMBER("ThisWorkbookDataModel","[Calendar].[Year].[All].["&amp;Resumo!$A$12&amp;"]"),
CUBEMEMBER("ThisWorkbookDataModel","[Calendar].[Month].["&amp;Resumo!$A$13&amp;"]"),
CUBEMEMBER("ThisWorkbookDataModel","[Pilar].[Pilar].&amp;[Internação]"),
CUBEMEMBER("ThisWorkbookDataModel","[Measures].[Fat. Méd. Clientes]"),SegmentaçãodeDados_Date_Hierarchy1)</f>
        <v>555.14499999999998</v>
      </c>
    </row>
    <row r="10" spans="1:10" x14ac:dyDescent="0.25">
      <c r="A10" s="3" t="str" vm="28">
        <f>CUBEMEMBER("ThisWorkbookDataModel","[Reagrupa].[GRUPO].&amp;[Doação]")</f>
        <v>Doação</v>
      </c>
      <c r="B10" vm="166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CUBEMEMBER("ThisWorkbookDataModel","[Reagrupa].[GRUPO].&amp;[Doação]"),
CUBEMEMBER("ThisWorkbookDataModel","[Measures].[Total Bruto]"),SegmentaçãodeDados_Date_Hierarchy1)</f>
        <v>63.65</v>
      </c>
      <c r="C10" vm="156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CUBEMEMBER("ThisWorkbookDataModel","[Reagrupa].[GRUPO].&amp;[Doação]"),
CUBEMEMBER("ThisWorkbookDataModel","[Measures].[Total Quanditade]"),SegmentaçãodeDados_Date_Hierarchy1)</f>
        <v>13</v>
      </c>
      <c r="D10" vm="141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CUBEMEMBER("ThisWorkbookDataModel","[Reagrupa].[GRUPO].&amp;[Doação]"),
CUBEMEMBER("ThisWorkbookDataModel","[Measures].[Preço Médio]"),SegmentaçãodeDados_Date_Hierarchy1)</f>
        <v>4.8961538461538456</v>
      </c>
      <c r="G10" s="17" t="str" vm="9">
        <f>CUBEMEMBER("ThisWorkbookDataModel","[Pilar].[Pilar].[All]","Total")</f>
        <v>Total</v>
      </c>
      <c r="H10" vm="190">
        <f>CUBEVALUE("ThisWorkbookDataModel",
CUBEMEMBER("ThisWorkbookDataModel","[Calendar].[Year].[All].["&amp;Resumo!$A$12&amp;"]"),
CUBEMEMBER("ThisWorkbookDataModel","[Calendar].[Month].["&amp;Resumo!$A$13&amp;"]"),
CUBEMEMBER("ThisWorkbookDataModel","[Pilar].[Pilar].[All]","Total"),
CUBEMEMBER("ThisWorkbookDataModel","[Measures].[Ticket Médio]"),SegmentaçãodeDados_Date_Hierarchy1)</f>
        <v>394.40156387665189</v>
      </c>
      <c r="I10" vm="195">
        <f>CUBEVALUE("ThisWorkbookDataModel",
CUBEMEMBER("ThisWorkbookDataModel","[Calendar].[Year].[All].["&amp;Resumo!$A$12&amp;"]"),
CUBEMEMBER("ThisWorkbookDataModel","[Calendar].[Month].["&amp;Resumo!$A$13&amp;"]"),
CUBEMEMBER("ThisWorkbookDataModel","[Pilar].[Pilar].[All]","Total"),
CUBEMEMBER("ThisWorkbookDataModel","[Measures].[Preço Médio]"),SegmentaçãodeDados_Date_Hierarchy1)</f>
        <v>41.953680880974687</v>
      </c>
      <c r="J10" vm="144">
        <f>CUBEVALUE("ThisWorkbookDataModel",
CUBEMEMBER("ThisWorkbookDataModel","[Calendar].[Year].[All].["&amp;Resumo!$A$12&amp;"]"),
CUBEMEMBER("ThisWorkbookDataModel","[Calendar].[Month].["&amp;Resumo!$A$13&amp;"]"),
CUBEMEMBER("ThisWorkbookDataModel","[Pilar].[Pilar].[All]","Total"),
CUBEMEMBER("ThisWorkbookDataModel","[Measures].[Fat. Méd. Clientes]"),SegmentaçãodeDados_Date_Hierarchy1)</f>
        <v>795.81471111111102</v>
      </c>
    </row>
    <row r="11" spans="1:10" x14ac:dyDescent="0.25">
      <c r="A11" s="3" t="str" vm="26">
        <f>CUBEMEMBER("ThisWorkbookDataModel","[Reagrupa].[GRUPO].&amp;[Emergencia]")</f>
        <v>Emergencia</v>
      </c>
      <c r="B11" vm="152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CUBEMEMBER("ThisWorkbookDataModel","[Reagrupa].[GRUPO].&amp;[Emergencia]"),
CUBEMEMBER("ThisWorkbookDataModel","[Measures].[Total Bruto]"),SegmentaçãodeDados_Date_Hierarchy1)</f>
        <v>3150</v>
      </c>
      <c r="C11" vm="135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CUBEMEMBER("ThisWorkbookDataModel","[Reagrupa].[GRUPO].&amp;[Emergencia]"),
CUBEMEMBER("ThisWorkbookDataModel","[Measures].[Total Quanditade]"),SegmentaçãodeDados_Date_Hierarchy1)</f>
        <v>9</v>
      </c>
      <c r="D11" vm="179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CUBEMEMBER("ThisWorkbookDataModel","[Reagrupa].[GRUPO].&amp;[Emergencia]"),
CUBEMEMBER("ThisWorkbookDataModel","[Measures].[Preço Médio]"),SegmentaçãodeDados_Date_Hierarchy1)</f>
        <v>350</v>
      </c>
    </row>
    <row r="12" spans="1:10" x14ac:dyDescent="0.25">
      <c r="A12" s="3" t="str" vm="24">
        <f>CUBEMEMBER("ThisWorkbookDataModel","[Reagrupa].[GRUPO].&amp;[Especialidades]")</f>
        <v>Especialidades</v>
      </c>
      <c r="B12" vm="155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CUBEMEMBER("ThisWorkbookDataModel","[Reagrupa].[GRUPO].&amp;[Especialidades]"),
CUBEMEMBER("ThisWorkbookDataModel","[Measures].[Total Bruto]"),SegmentaçãodeDados_Date_Hierarchy1)</f>
        <v>5600</v>
      </c>
      <c r="C12" vm="137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CUBEMEMBER("ThisWorkbookDataModel","[Reagrupa].[GRUPO].&amp;[Especialidades]"),
CUBEMEMBER("ThisWorkbookDataModel","[Measures].[Total Quanditade]"),SegmentaçãodeDados_Date_Hierarchy1)</f>
        <v>19</v>
      </c>
      <c r="D12" vm="158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CUBEMEMBER("ThisWorkbookDataModel","[Reagrupa].[GRUPO].&amp;[Especialidades]"),
CUBEMEMBER("ThisWorkbookDataModel","[Measures].[Preço Médio]"),SegmentaçãodeDados_Date_Hierarchy1)</f>
        <v>294.73684210526318</v>
      </c>
    </row>
    <row r="13" spans="1:10" x14ac:dyDescent="0.25">
      <c r="A13" s="3" t="str" vm="20">
        <f>CUBEMEMBER("ThisWorkbookDataModel","[Reagrupa].[GRUPO].&amp;[Farmácia]")</f>
        <v>Farmácia</v>
      </c>
      <c r="B13" vm="184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CUBEMEMBER("ThisWorkbookDataModel","[Reagrupa].[GRUPO].&amp;[Farmácia]"),
CUBEMEMBER("ThisWorkbookDataModel","[Measures].[Total Bruto]"),SegmentaçãodeDados_Date_Hierarchy1)</f>
        <v>420.27</v>
      </c>
      <c r="C13" vm="153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CUBEMEMBER("ThisWorkbookDataModel","[Reagrupa].[GRUPO].&amp;[Farmácia]"),
CUBEMEMBER("ThisWorkbookDataModel","[Measures].[Total Quanditade]"),SegmentaçãodeDados_Date_Hierarchy1)</f>
        <v>16</v>
      </c>
      <c r="D13" vm="182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CUBEMEMBER("ThisWorkbookDataModel","[Reagrupa].[GRUPO].&amp;[Farmácia]"),
CUBEMEMBER("ThisWorkbookDataModel","[Measures].[Preço Médio]"),SegmentaçãodeDados_Date_Hierarchy1)</f>
        <v>26.266874999999999</v>
      </c>
    </row>
    <row r="14" spans="1:10" x14ac:dyDescent="0.25">
      <c r="A14" s="3" t="str" vm="32">
        <f>CUBEMEMBER("ThisWorkbookDataModel","[Reagrupa].[GRUPO].&amp;[Imagem]")</f>
        <v>Imagem</v>
      </c>
      <c r="B14" vm="176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CUBEMEMBER("ThisWorkbookDataModel","[Reagrupa].[GRUPO].&amp;[Imagem]"),
CUBEMEMBER("ThisWorkbookDataModel","[Measures].[Total Bruto]"),SegmentaçãodeDados_Date_Hierarchy1)</f>
        <v>20905</v>
      </c>
      <c r="C14" vm="160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CUBEMEMBER("ThisWorkbookDataModel","[Reagrupa].[GRUPO].&amp;[Imagem]"),
CUBEMEMBER("ThisWorkbookDataModel","[Measures].[Total Quanditade]"),SegmentaçãodeDados_Date_Hierarchy1)</f>
        <v>169</v>
      </c>
      <c r="D14" vm="201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CUBEMEMBER("ThisWorkbookDataModel","[Reagrupa].[GRUPO].&amp;[Imagem]"),
CUBEMEMBER("ThisWorkbookDataModel","[Measures].[Preço Médio]"),SegmentaçãodeDados_Date_Hierarchy1)</f>
        <v>123.69822485207101</v>
      </c>
    </row>
    <row r="15" spans="1:10" x14ac:dyDescent="0.25">
      <c r="A15" s="3" t="str" vm="29">
        <f>CUBEMEMBER("ThisWorkbookDataModel","[Reagrupa].[GRUPO].&amp;[Insumos]")</f>
        <v>Insumos</v>
      </c>
      <c r="B15" vm="136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CUBEMEMBER("ThisWorkbookDataModel","[Reagrupa].[GRUPO].&amp;[Insumos]"),
CUBEMEMBER("ThisWorkbookDataModel","[Measures].[Total Bruto]"),SegmentaçãodeDados_Date_Hierarchy1)</f>
        <v>32296.44000000001</v>
      </c>
      <c r="C15" vm="157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CUBEMEMBER("ThisWorkbookDataModel","[Reagrupa].[GRUPO].&amp;[Insumos]"),
CUBEMEMBER("ThisWorkbookDataModel","[Measures].[Total Quanditade]"),SegmentaçãodeDados_Date_Hierarchy1)</f>
        <v>3327</v>
      </c>
      <c r="D15" vm="191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CUBEMEMBER("ThisWorkbookDataModel","[Reagrupa].[GRUPO].&amp;[Insumos]"),
CUBEMEMBER("ThisWorkbookDataModel","[Measures].[Preço Médio]"),SegmentaçãodeDados_Date_Hierarchy1)</f>
        <v>9.7073760144274157</v>
      </c>
    </row>
    <row r="16" spans="1:10" x14ac:dyDescent="0.25">
      <c r="A16" s="3" t="str" vm="19">
        <f>CUBEMEMBER("ThisWorkbookDataModel","[Reagrupa].[GRUPO].&amp;[Internação]")</f>
        <v>Internação</v>
      </c>
      <c r="B16" vm="200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CUBEMEMBER("ThisWorkbookDataModel","[Reagrupa].[GRUPO].&amp;[Internação]"),
CUBEMEMBER("ThisWorkbookDataModel","[Measures].[Total Bruto]"),SegmentaçãodeDados_Date_Hierarchy1)</f>
        <v>19075</v>
      </c>
      <c r="C16" vm="203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CUBEMEMBER("ThisWorkbookDataModel","[Reagrupa].[GRUPO].&amp;[Internação]"),
CUBEMEMBER("ThisWorkbookDataModel","[Measures].[Total Quanditade]"),SegmentaçãodeDados_Date_Hierarchy1)</f>
        <v>59</v>
      </c>
      <c r="D16" vm="161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CUBEMEMBER("ThisWorkbookDataModel","[Reagrupa].[GRUPO].&amp;[Internação]"),
CUBEMEMBER("ThisWorkbookDataModel","[Measures].[Preço Médio]"),SegmentaçãodeDados_Date_Hierarchy1)</f>
        <v>323.30508474576271</v>
      </c>
    </row>
    <row r="17" spans="1:4" x14ac:dyDescent="0.25">
      <c r="A17" s="3" t="str" vm="31">
        <f>CUBEMEMBER("ThisWorkbookDataModel","[Reagrupa].[GRUPO].&amp;[Laboratório]")</f>
        <v>Laboratório</v>
      </c>
      <c r="B17" vm="163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CUBEMEMBER("ThisWorkbookDataModel","[Reagrupa].[GRUPO].&amp;[Laboratório]"),
CUBEMEMBER("ThisWorkbookDataModel","[Measures].[Total Bruto]"),SegmentaçãodeDados_Date_Hierarchy1)</f>
        <v>35307.899999999994</v>
      </c>
      <c r="C17" vm="165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CUBEMEMBER("ThisWorkbookDataModel","[Reagrupa].[GRUPO].&amp;[Laboratório]"),
CUBEMEMBER("ThisWorkbookDataModel","[Measures].[Total Quanditade]"),SegmentaçãodeDados_Date_Hierarchy1)</f>
        <v>202</v>
      </c>
      <c r="D17" vm="154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CUBEMEMBER("ThisWorkbookDataModel","[Reagrupa].[GRUPO].&amp;[Laboratório]"),
CUBEMEMBER("ThisWorkbookDataModel","[Measures].[Preço Médio]"),SegmentaçãodeDados_Date_Hierarchy1)</f>
        <v>174.79158415841582</v>
      </c>
    </row>
    <row r="18" spans="1:4" x14ac:dyDescent="0.25">
      <c r="A18" s="3" t="str" vm="27">
        <f>CUBEMEMBER("ThisWorkbookDataModel","[Reagrupa].[GRUPO].&amp;[Procedimentos Clinica]")</f>
        <v>Procedimentos Clinica</v>
      </c>
      <c r="B18" vm="186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CUBEMEMBER("ThisWorkbookDataModel","[Reagrupa].[GRUPO].&amp;[Procedimentos Clinica]"),
CUBEMEMBER("ThisWorkbookDataModel","[Measures].[Total Bruto]"),SegmentaçãodeDados_Date_Hierarchy1)</f>
        <v>9064.559999999994</v>
      </c>
      <c r="C18" vm="149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CUBEMEMBER("ThisWorkbookDataModel","[Reagrupa].[GRUPO].&amp;[Procedimentos Clinica]"),
CUBEMEMBER("ThisWorkbookDataModel","[Measures].[Total Quanditade]"),SegmentaçãodeDados_Date_Hierarchy1)</f>
        <v>189</v>
      </c>
      <c r="D18" vm="162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CUBEMEMBER("ThisWorkbookDataModel","[Reagrupa].[GRUPO].&amp;[Procedimentos Clinica]"),
CUBEMEMBER("ThisWorkbookDataModel","[Measures].[Preço Médio]"),SegmentaçãodeDados_Date_Hierarchy1)</f>
        <v>47.960634920634888</v>
      </c>
    </row>
    <row r="19" spans="1:4" x14ac:dyDescent="0.25">
      <c r="A19" s="3" t="str" vm="25">
        <f>CUBEMEMBER("ThisWorkbookDataModel","[Reagrupa].[GRUPO].&amp;[Procedimentos Internação]")</f>
        <v>Procedimentos Internação</v>
      </c>
      <c r="B19" vm="187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CUBEMEMBER("ThisWorkbookDataModel","[Reagrupa].[GRUPO].&amp;[Procedimentos Internação]"),
CUBEMEMBER("ThisWorkbookDataModel","[Measures].[Total Bruto]"),SegmentaçãodeDados_Date_Hierarchy1)</f>
        <v>3130.8</v>
      </c>
      <c r="C19" vm="192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CUBEMEMBER("ThisWorkbookDataModel","[Reagrupa].[GRUPO].&amp;[Procedimentos Internação]"),
CUBEMEMBER("ThisWorkbookDataModel","[Measures].[Total Quanditade]"),SegmentaçãodeDados_Date_Hierarchy1)</f>
        <v>21</v>
      </c>
      <c r="D19" vm="139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CUBEMEMBER("ThisWorkbookDataModel","[Reagrupa].[GRUPO].&amp;[Procedimentos Internação]"),
CUBEMEMBER("ThisWorkbookDataModel","[Measures].[Preço Médio]"),SegmentaçãodeDados_Date_Hierarchy1)</f>
        <v>149.08571428571429</v>
      </c>
    </row>
    <row r="20" spans="1:4" x14ac:dyDescent="0.25">
      <c r="A20" s="3" t="str" vm="23">
        <f>CUBEMEMBER("ThisWorkbookDataModel","[Reagrupa].[GRUPO].&amp;[Vacinas]")</f>
        <v>Vacinas</v>
      </c>
      <c r="B20" vm="204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CUBEMEMBER("ThisWorkbookDataModel","[Reagrupa].[GRUPO].&amp;[Vacinas]"),
CUBEMEMBER("ThisWorkbookDataModel","[Measures].[Total Bruto]"),SegmentaçãodeDados_Date_Hierarchy1)</f>
        <v>3715.5999999999995</v>
      </c>
      <c r="C20" vm="168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CUBEMEMBER("ThisWorkbookDataModel","[Reagrupa].[GRUPO].&amp;[Vacinas]"),
CUBEMEMBER("ThisWorkbookDataModel","[Measures].[Total Quanditade]"),SegmentaçãodeDados_Date_Hierarchy1)</f>
        <v>33</v>
      </c>
      <c r="D20" vm="167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CUBEMEMBER("ThisWorkbookDataModel","[Reagrupa].[GRUPO].&amp;[Vacinas]"),
CUBEMEMBER("ThisWorkbookDataModel","[Measures].[Preço Médio]"),SegmentaçãodeDados_Date_Hierarchy1)</f>
        <v>112.59393939393938</v>
      </c>
    </row>
    <row r="21" spans="1:4" x14ac:dyDescent="0.25">
      <c r="A21" s="3" t="str" vm="5">
        <f>CUBEMEMBER("ThisWorkbookDataModel","[Reagrupa].[GRUPO].[All]","Total Geral")</f>
        <v>Total Geral</v>
      </c>
      <c r="B21" vm="197">
        <f>CUBEVALUE("ThisWorkbookDataModel",
CUBEMEMBER("ThisWorkbookDataModel","[Calendar].[Year].[All].["&amp;Resumo!$A$12&amp;"]"),
CUBEMEMBER("ThisWorkbookDataModel","[Calendar].[Month].["&amp;Resumo!$A$13&amp;"]"),
CUBEMEMBER("ThisWorkbookDataModel","[Reagrupa].[GRUPO].[All]","Total Geral"),
CUBEMEMBER("ThisWorkbookDataModel","[Measures].[Total Bruto]"),SegmentaçãodeDados_Date_Hierarchy1)</f>
        <v>179058.30999999997</v>
      </c>
      <c r="C21" vm="194">
        <f>CUBEVALUE("ThisWorkbookDataModel",
CUBEMEMBER("ThisWorkbookDataModel","[Calendar].[Year].[All].["&amp;Resumo!$A$12&amp;"]"),
CUBEMEMBER("ThisWorkbookDataModel","[Calendar].[Month].["&amp;Resumo!$A$13&amp;"]"),
CUBEMEMBER("ThisWorkbookDataModel","[Reagrupa].[GRUPO].[All]","Total Geral"),
CUBEMEMBER("ThisWorkbookDataModel","[Measures].[Total Quanditade]"),SegmentaçãodeDados_Date_Hierarchy1)</f>
        <v>4268</v>
      </c>
      <c r="D21" vm="143">
        <f>CUBEVALUE("ThisWorkbookDataModel",
CUBEMEMBER("ThisWorkbookDataModel","[Calendar].[Year].[All].["&amp;Resumo!$A$12&amp;"]"),
CUBEMEMBER("ThisWorkbookDataModel","[Calendar].[Month].["&amp;Resumo!$A$13&amp;"]"),
CUBEMEMBER("ThisWorkbookDataModel","[Reagrupa].[GRUPO].[All]","Total Geral"),
CUBEMEMBER("ThisWorkbookDataModel","[Measures].[Preço Médio]"),SegmentaçãodeDados_Date_Hierarchy1)</f>
        <v>41.953680880974687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EB575-61AD-4AA9-A05C-0080E29C6676}">
  <sheetPr codeName="Planilha2"/>
  <dimension ref="A1:E103"/>
  <sheetViews>
    <sheetView zoomScale="130" zoomScaleNormal="130" workbookViewId="0">
      <selection activeCell="F19" sqref="F19"/>
    </sheetView>
  </sheetViews>
  <sheetFormatPr defaultRowHeight="15" x14ac:dyDescent="0.25"/>
  <cols>
    <col min="1" max="1" width="12.42578125" bestFit="1" customWidth="1"/>
    <col min="2" max="2" width="18.28515625" bestFit="1" customWidth="1"/>
    <col min="3" max="3" width="41.85546875" bestFit="1" customWidth="1"/>
    <col min="4" max="4" width="11.5703125" bestFit="1" customWidth="1"/>
  </cols>
  <sheetData>
    <row r="1" spans="1:4" x14ac:dyDescent="0.25">
      <c r="A1" t="s">
        <v>14</v>
      </c>
      <c r="B1" s="15" t="s">
        <v>17</v>
      </c>
      <c r="C1" t="s">
        <v>24</v>
      </c>
      <c r="D1" t="s">
        <v>25</v>
      </c>
    </row>
    <row r="2" spans="1:4" x14ac:dyDescent="0.25">
      <c r="A2">
        <v>1460979</v>
      </c>
      <c r="B2" vm="172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CUBEMEMBER("ThisWorkbookDataModel","[Reagrupa].[GRUPO].&amp;[Alimentos]"),
CUBEMEMBER("ThisWorkbookDataModel","[Measures].[Total Quanditade]"),SegmentaçãodeDados_Date_Hierarchy1)</f>
        <v>41</v>
      </c>
      <c r="C2" s="1" t="s">
        <v>115</v>
      </c>
      <c r="D2" s="1" t="s">
        <v>47</v>
      </c>
    </row>
    <row r="3" spans="1:4" x14ac:dyDescent="0.25">
      <c r="A3">
        <v>1460929</v>
      </c>
      <c r="B3" t="str" vm="151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CUBEMEMBER("ThisWorkbookDataModel","[Reagrupa].[GRUPO].&amp;[Aluguel CC]"),
CUBEMEMBER("ThisWorkbookDataModel","[Measures].[Total Quanditade]"),SegmentaçãodeDados_Date_Hierarchy1)</f>
        <v/>
      </c>
      <c r="C3" s="1" t="s">
        <v>117</v>
      </c>
      <c r="D3" s="1" t="s">
        <v>47</v>
      </c>
    </row>
    <row r="4" spans="1:4" x14ac:dyDescent="0.25">
      <c r="A4">
        <v>1460923</v>
      </c>
      <c r="B4" vm="180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CUBEMEMBER("ThisWorkbookDataModel","[Reagrupa].[GRUPO].&amp;[Anestesias]"),
CUBEMEMBER("ThisWorkbookDataModel","[Measures].[Total Quanditade]"),SegmentaçãodeDados_Date_Hierarchy1)</f>
        <v>14</v>
      </c>
      <c r="C4" s="1" t="s">
        <v>118</v>
      </c>
      <c r="D4" s="1" t="s">
        <v>47</v>
      </c>
    </row>
    <row r="5" spans="1:4" x14ac:dyDescent="0.25">
      <c r="A5">
        <v>1460977</v>
      </c>
      <c r="B5" vm="135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CUBEMEMBER("ThisWorkbookDataModel","[Reagrupa].[GRUPO].&amp;[Emergencia]"),
CUBEMEMBER("ThisWorkbookDataModel","[Measures].[Total Quanditade]"),SegmentaçãodeDados_Date_Hierarchy1)</f>
        <v>9</v>
      </c>
      <c r="C5" s="1" t="s">
        <v>81</v>
      </c>
      <c r="D5" s="1" t="s">
        <v>47</v>
      </c>
    </row>
    <row r="6" spans="1:4" x14ac:dyDescent="0.25">
      <c r="A6">
        <v>1460915</v>
      </c>
      <c r="B6" vm="175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CUBEMEMBER("ThisWorkbookDataModel","[Reagrupa].[GRUPO].&amp;[Cirurgias]"),
CUBEMEMBER("ThisWorkbookDataModel","[Measures].[Total Quanditade]"),SegmentaçãodeDados_Date_Hierarchy1)</f>
        <v>18</v>
      </c>
      <c r="C6" s="1" t="s">
        <v>60</v>
      </c>
      <c r="D6" s="1" t="s">
        <v>47</v>
      </c>
    </row>
    <row r="7" spans="1:4" x14ac:dyDescent="0.25">
      <c r="A7">
        <v>1470221</v>
      </c>
      <c r="B7" vm="185">
        <f>CUBEVALUE("ThisWorkbookDataModel",
CUBEMEMBER("ThisWorkbookDataModel","[Calendar].[Year].[All].["&amp;Resumo!$A$12&amp;"]"),
CUBEMEMBER("ThisWorkbookDataModel","[Calendar].[Month].["&amp;Resumo!$A$13&amp;"]"),
CUBEMEMBER("ThisWorkbookDataModel","[Measures].[Consultas/Cirurgias]"),SegmentaçãodeDados_Date_Hierarchy1)</f>
        <v>7.666666666666667</v>
      </c>
      <c r="C7" s="1" t="s">
        <v>109</v>
      </c>
      <c r="D7" s="1" t="s">
        <v>110</v>
      </c>
    </row>
    <row r="8" spans="1:4" x14ac:dyDescent="0.25">
      <c r="A8">
        <v>1470222</v>
      </c>
      <c r="B8" vm="183">
        <f>CUBEVALUE("ThisWorkbookDataModel",
CUBEMEMBER("ThisWorkbookDataModel","[Calendar].[Year].[All].["&amp;Resumo!$A$12&amp;"]"),
CUBEMEMBER("ThisWorkbookDataModel","[Calendar].[Month].["&amp;Resumo!$A$13&amp;"]"),
CUBEMEMBER("ThisWorkbookDataModel","[Measures].[Consultas/Exames]"),SegmentaçãodeDados_Date_Hierarchy1)</f>
        <v>0.3719676549865229</v>
      </c>
      <c r="C8" s="1" t="s">
        <v>111</v>
      </c>
      <c r="D8" s="1" t="s">
        <v>110</v>
      </c>
    </row>
    <row r="9" spans="1:4" x14ac:dyDescent="0.25">
      <c r="A9">
        <v>1470223</v>
      </c>
      <c r="B9" vm="164">
        <f>CUBEVALUE("ThisWorkbookDataModel",
CUBEMEMBER("ThisWorkbookDataModel","[Calendar].[Year].[All].["&amp;Resumo!$A$12&amp;"]"),
CUBEMEMBER("ThisWorkbookDataModel","[Calendar].[Month].["&amp;Resumo!$A$13&amp;"]"),
CUBEMEMBER("ThisWorkbookDataModel","[Measures].[Consultas/Internação]"),SegmentaçãodeDados_Date_Hierarchy1)</f>
        <v>1.7250000000000001</v>
      </c>
      <c r="C9" s="1" t="s">
        <v>112</v>
      </c>
      <c r="D9" s="1" t="s">
        <v>110</v>
      </c>
    </row>
    <row r="10" spans="1:4" x14ac:dyDescent="0.25">
      <c r="A10">
        <v>1460976</v>
      </c>
      <c r="B10" vm="178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CUBEMEMBER("ThisWorkbookDataModel","[Reagrupa].[GRUPO].&amp;[Consultas]"),
CUBEMEMBER("ThisWorkbookDataModel","[Measures].[Total Quanditade]"),SegmentaçãodeDados_Date_Hierarchy1)</f>
        <v>138</v>
      </c>
      <c r="C10" s="1" t="s">
        <v>61</v>
      </c>
      <c r="D10" s="1" t="s">
        <v>47</v>
      </c>
    </row>
    <row r="11" spans="1:4" x14ac:dyDescent="0.25">
      <c r="A11">
        <v>1460936</v>
      </c>
      <c r="B11" vm="156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CUBEMEMBER("ThisWorkbookDataModel","[Reagrupa].[GRUPO].&amp;[Doação]"),
CUBEMEMBER("ThisWorkbookDataModel","[Measures].[Total Quanditade]"),SegmentaçãodeDados_Date_Hierarchy1)</f>
        <v>13</v>
      </c>
      <c r="C11" s="1" t="s">
        <v>119</v>
      </c>
      <c r="D11" s="1" t="s">
        <v>47</v>
      </c>
    </row>
    <row r="12" spans="1:4" x14ac:dyDescent="0.25">
      <c r="A12">
        <v>1464952</v>
      </c>
      <c r="B12" vm="137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CUBEMEMBER("ThisWorkbookDataModel","[Reagrupa].[GRUPO].&amp;[Especialidades]"),
CUBEMEMBER("ThisWorkbookDataModel","[Measures].[Total Quanditade]"),SegmentaçãodeDados_Date_Hierarchy1)</f>
        <v>19</v>
      </c>
      <c r="C12" s="1" t="s">
        <v>120</v>
      </c>
      <c r="D12" s="1" t="s">
        <v>47</v>
      </c>
    </row>
    <row r="13" spans="1:4" x14ac:dyDescent="0.25">
      <c r="A13">
        <v>1464945</v>
      </c>
      <c r="B13" vm="160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CUBEMEMBER("ThisWorkbookDataModel","[Reagrupa].[GRUPO].&amp;[Imagem]"),
CUBEMEMBER("ThisWorkbookDataModel","[Measures].[Total Quanditade]"),SegmentaçãodeDados_Date_Hierarchy1)</f>
        <v>169</v>
      </c>
      <c r="C13" s="1" t="s">
        <v>82</v>
      </c>
      <c r="D13" s="1" t="s">
        <v>47</v>
      </c>
    </row>
    <row r="14" spans="1:4" x14ac:dyDescent="0.25">
      <c r="A14">
        <v>1464944</v>
      </c>
      <c r="B14" vm="165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CUBEMEMBER("ThisWorkbookDataModel","[Reagrupa].[GRUPO].&amp;[Laboratório]"),
CUBEMEMBER("ThisWorkbookDataModel","[Measures].[Total Quanditade]"),SegmentaçãodeDados_Date_Hierarchy1)</f>
        <v>202</v>
      </c>
      <c r="C14" s="1" t="s">
        <v>83</v>
      </c>
      <c r="D14" s="1" t="s">
        <v>47</v>
      </c>
    </row>
    <row r="15" spans="1:4" x14ac:dyDescent="0.25">
      <c r="A15" s="22">
        <v>1460956</v>
      </c>
      <c r="B15" vm="145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CUBEMEMBER("ThisWorkbookDataModel","[Reagrupa].[GRUPO].&amp;[Consultas]"),
CUBEMEMBER("ThisWorkbookDataModel","[Measures].[Total Bruto]"),SegmentaçãodeDados_Date_Hierarchy1)</f>
        <v>20700</v>
      </c>
      <c r="C15" s="1" t="s">
        <v>84</v>
      </c>
      <c r="D15" s="1" t="s">
        <v>40</v>
      </c>
    </row>
    <row r="16" spans="1:4" x14ac:dyDescent="0.25">
      <c r="A16" s="22">
        <v>1460961</v>
      </c>
      <c r="B16" vm="152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CUBEMEMBER("ThisWorkbookDataModel","[Reagrupa].[GRUPO].&amp;[Emergencia]"),
CUBEMEMBER("ThisWorkbookDataModel","[Measures].[Total Bruto]"),SegmentaçãodeDados_Date_Hierarchy1)</f>
        <v>3150</v>
      </c>
      <c r="C16" s="1" t="s">
        <v>85</v>
      </c>
      <c r="D16" s="1" t="s">
        <v>40</v>
      </c>
    </row>
    <row r="17" spans="1:5" x14ac:dyDescent="0.25">
      <c r="A17" s="22">
        <v>1460960</v>
      </c>
      <c r="B17" vm="184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CUBEMEMBER("ThisWorkbookDataModel","[Reagrupa].[GRUPO].&amp;[Farmácia]"),
CUBEMEMBER("ThisWorkbookDataModel","[Measures].[Total Bruto]"),SegmentaçãodeDados_Date_Hierarchy1)</f>
        <v>420.27</v>
      </c>
      <c r="C17" s="1" t="s">
        <v>86</v>
      </c>
      <c r="D17" s="1" t="s">
        <v>40</v>
      </c>
    </row>
    <row r="18" spans="1:5" x14ac:dyDescent="0.25">
      <c r="A18">
        <v>1464942</v>
      </c>
      <c r="B18" vm="176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CUBEMEMBER("ThisWorkbookDataModel","[Reagrupa].[GRUPO].&amp;[Imagem]"),
CUBEMEMBER("ThisWorkbookDataModel","[Measures].[Total Bruto]"),SegmentaçãodeDados_Date_Hierarchy1)</f>
        <v>20905</v>
      </c>
      <c r="C18" s="1" t="s">
        <v>87</v>
      </c>
      <c r="D18" s="1" t="s">
        <v>40</v>
      </c>
    </row>
    <row r="19" spans="1:5" x14ac:dyDescent="0.25">
      <c r="A19" s="22">
        <v>1460959</v>
      </c>
      <c r="B19" s="21">
        <f>(CUBEVALUE("ThisWorkbookDataModel",
CUBEMEMBER("ThisWorkbookDataModel","[Calendar].[Year].[All].["&amp;Resumo!$A$12&amp;"]"),
CUBEMEMBER("ThisWorkbookDataModel","[Calendar].[Month].["&amp;Resumo!$A$13&amp;"]"),
CUBEMEMBER("ThisWorkbookDataModel","[Reagrupa].[GRUPO].&amp;[Insumos]"),
CUBEMEMBER("ThisWorkbookDataModel","[Measures].[Total Bruto]"),SegmentaçãodeDados_Date_Hierarchy1))*0.4</f>
        <v>12918.576000000005</v>
      </c>
      <c r="C19" s="1" t="s">
        <v>88</v>
      </c>
      <c r="D19" s="1" t="s">
        <v>40</v>
      </c>
      <c r="E19" s="22" t="s">
        <v>201</v>
      </c>
    </row>
    <row r="20" spans="1:5" x14ac:dyDescent="0.25">
      <c r="A20">
        <v>1464941</v>
      </c>
      <c r="B20" vm="163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CUBEMEMBER("ThisWorkbookDataModel","[Reagrupa].[GRUPO].&amp;[Laboratório]"),
CUBEMEMBER("ThisWorkbookDataModel","[Measures].[Total Bruto]"),SegmentaçãodeDados_Date_Hierarchy1)</f>
        <v>35307.899999999994</v>
      </c>
      <c r="C20" s="1" t="s">
        <v>89</v>
      </c>
      <c r="D20" s="1" t="s">
        <v>40</v>
      </c>
    </row>
    <row r="21" spans="1:5" x14ac:dyDescent="0.25">
      <c r="A21" s="22">
        <v>1460957</v>
      </c>
      <c r="B21" vm="186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CUBEMEMBER("ThisWorkbookDataModel","[Reagrupa].[GRUPO].&amp;[Procedimentos Clinica]"),
CUBEMEMBER("ThisWorkbookDataModel","[Measures].[Total Bruto]"),SegmentaçãodeDados_Date_Hierarchy1)</f>
        <v>9064.559999999994</v>
      </c>
      <c r="C21" s="1" t="s">
        <v>90</v>
      </c>
      <c r="D21" s="1" t="s">
        <v>40</v>
      </c>
    </row>
    <row r="22" spans="1:5" x14ac:dyDescent="0.25">
      <c r="A22" s="22">
        <v>1460958</v>
      </c>
      <c r="B22" vm="204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CUBEMEMBER("ThisWorkbookDataModel","[Reagrupa].[GRUPO].&amp;[Vacinas]"),
CUBEMEMBER("ThisWorkbookDataModel","[Measures].[Total Bruto]"),SegmentaçãodeDados_Date_Hierarchy1)</f>
        <v>3715.5999999999995</v>
      </c>
      <c r="C22" s="1" t="s">
        <v>91</v>
      </c>
      <c r="D22" s="1" t="s">
        <v>40</v>
      </c>
    </row>
    <row r="23" spans="1:5" x14ac:dyDescent="0.25">
      <c r="A23" s="22">
        <v>1460978</v>
      </c>
      <c r="B23" s="20" vm="173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CUBEMEMBER("ThisWorkbookDataModel","[Reagrupa].[GRUPO].&amp;[Alimentos]"),
CUBEMEMBER("ThisWorkbookDataModel","[Measures].[Total Bruto]"),SegmentaçãodeDados_Date_Hierarchy1)</f>
        <v>1186.5900000000004</v>
      </c>
      <c r="C23" s="1" t="s">
        <v>121</v>
      </c>
      <c r="D23" s="1" t="s">
        <v>40</v>
      </c>
    </row>
    <row r="24" spans="1:5" x14ac:dyDescent="0.25">
      <c r="A24" s="22">
        <v>1460927</v>
      </c>
      <c r="B24" t="str" vm="150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CUBEMEMBER("ThisWorkbookDataModel","[Reagrupa].[GRUPO].&amp;[Aluguel CC]"),
CUBEMEMBER("ThisWorkbookDataModel","[Measures].[Total Bruto]"),SegmentaçãodeDados_Date_Hierarchy1)</f>
        <v/>
      </c>
      <c r="C24" s="1" t="s">
        <v>122</v>
      </c>
      <c r="D24" s="1" t="s">
        <v>40</v>
      </c>
    </row>
    <row r="25" spans="1:5" x14ac:dyDescent="0.25">
      <c r="A25" s="22">
        <v>1460919</v>
      </c>
      <c r="B25" vm="140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CUBEMEMBER("ThisWorkbookDataModel","[Reagrupa].[GRUPO].&amp;[Anestesias]"),
CUBEMEMBER("ThisWorkbookDataModel","[Measures].[Total Bruto]"),SegmentaçãodeDados_Date_Hierarchy1)</f>
        <v>8150</v>
      </c>
      <c r="C25" s="1" t="s">
        <v>123</v>
      </c>
      <c r="D25" s="1" t="s">
        <v>40</v>
      </c>
    </row>
    <row r="26" spans="1:5" x14ac:dyDescent="0.25">
      <c r="A26" s="22">
        <v>1460917</v>
      </c>
      <c r="B26" vm="181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CUBEMEMBER("ThisWorkbookDataModel","[Reagrupa].[GRUPO].&amp;[Cirurgias]"),
CUBEMEMBER("ThisWorkbookDataModel","[Measures].[Total Bruto]"),SegmentaçãodeDados_Date_Hierarchy1)</f>
        <v>16292.5</v>
      </c>
      <c r="C26" s="1" t="s">
        <v>124</v>
      </c>
      <c r="D26" s="1" t="s">
        <v>40</v>
      </c>
    </row>
    <row r="27" spans="1:5" x14ac:dyDescent="0.25">
      <c r="A27" s="22">
        <v>1460934</v>
      </c>
      <c r="B27" vm="166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CUBEMEMBER("ThisWorkbookDataModel","[Reagrupa].[GRUPO].&amp;[Doação]"),
CUBEMEMBER("ThisWorkbookDataModel","[Measures].[Total Bruto]"),SegmentaçãodeDados_Date_Hierarchy1)</f>
        <v>63.65</v>
      </c>
      <c r="C27" s="1" t="s">
        <v>125</v>
      </c>
      <c r="D27" s="1" t="s">
        <v>40</v>
      </c>
    </row>
    <row r="28" spans="1:5" x14ac:dyDescent="0.25">
      <c r="A28" s="22">
        <v>1464948</v>
      </c>
      <c r="B28" vm="155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CUBEMEMBER("ThisWorkbookDataModel","[Reagrupa].[GRUPO].&amp;[Especialidades]"),
CUBEMEMBER("ThisWorkbookDataModel","[Measures].[Total Bruto]"),SegmentaçãodeDados_Date_Hierarchy1)</f>
        <v>5600</v>
      </c>
      <c r="C28" s="1" t="s">
        <v>126</v>
      </c>
      <c r="D28" s="1" t="s">
        <v>40</v>
      </c>
    </row>
    <row r="29" spans="1:5" x14ac:dyDescent="0.25">
      <c r="A29" s="22">
        <v>1460932</v>
      </c>
      <c r="B29" s="19">
        <f>(CUBEVALUE("ThisWorkbookDataModel",
CUBEMEMBER("ThisWorkbookDataModel","[Calendar].[Year].[All].["&amp;Resumo!$A$12&amp;"]"),
CUBEMEMBER("ThisWorkbookDataModel","[Calendar].[Month].["&amp;Resumo!$A$13&amp;"]"),
CUBEMEMBER("ThisWorkbookDataModel","[Reagrupa].[GRUPO].&amp;[Insumos]"),
CUBEMEMBER("ThisWorkbookDataModel","[Measures].[Total Bruto]"),SegmentaçãodeDados_Date_Hierarchy1))*0.6</f>
        <v>19377.864000000005</v>
      </c>
      <c r="C29" s="1" t="s">
        <v>127</v>
      </c>
      <c r="D29" s="1" t="s">
        <v>40</v>
      </c>
    </row>
    <row r="30" spans="1:5" x14ac:dyDescent="0.25">
      <c r="A30" s="22">
        <v>1460931</v>
      </c>
      <c r="B30" vm="200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CUBEMEMBER("ThisWorkbookDataModel","[Reagrupa].[GRUPO].&amp;[Internação]"),
CUBEMEMBER("ThisWorkbookDataModel","[Measures].[Total Bruto]"),SegmentaçãodeDados_Date_Hierarchy1)</f>
        <v>19075</v>
      </c>
      <c r="C30" s="1" t="s">
        <v>128</v>
      </c>
      <c r="D30" s="1" t="s">
        <v>40</v>
      </c>
    </row>
    <row r="31" spans="1:5" x14ac:dyDescent="0.25">
      <c r="A31" s="22">
        <v>1460935</v>
      </c>
      <c r="B31" vm="187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CUBEMEMBER("ThisWorkbookDataModel","[Reagrupa].[GRUPO].&amp;[Procedimentos Internação]"),
CUBEMEMBER("ThisWorkbookDataModel","[Measures].[Total Bruto]"),SegmentaçãodeDados_Date_Hierarchy1)</f>
        <v>3130.8</v>
      </c>
      <c r="C31" s="1" t="s">
        <v>129</v>
      </c>
      <c r="D31" s="1" t="s">
        <v>40</v>
      </c>
    </row>
    <row r="32" spans="1:5" x14ac:dyDescent="0.25">
      <c r="A32">
        <v>1460973</v>
      </c>
      <c r="B32">
        <f>(CUBEVALUE("ThisWorkbookDataModel",
CUBEMEMBER("ThisWorkbookDataModel","[Calendar].[Year].[All].["&amp;Resumo!$A$12&amp;"]"),
CUBEMEMBER("ThisWorkbookDataModel","[Calendar].[Month].["&amp;Resumo!$A$13&amp;"]"),
CUBEMEMBER("ThisWorkbookDataModel","[Reagrupa].[GRUPO].&amp;[Insumos]"),
CUBEMEMBER("ThisWorkbookDataModel","[Measures].[Total Quanditade]"),SegmentaçãodeDados_Date_Hierarchy1))*0.4</f>
        <v>1330.8000000000002</v>
      </c>
      <c r="C32" s="1" t="s">
        <v>92</v>
      </c>
      <c r="D32" s="1" t="s">
        <v>47</v>
      </c>
    </row>
    <row r="33" spans="1:5" x14ac:dyDescent="0.25">
      <c r="A33">
        <v>1460937</v>
      </c>
      <c r="B33">
        <f>(CUBEVALUE("ThisWorkbookDataModel",
CUBEMEMBER("ThisWorkbookDataModel","[Calendar].[Year].[All].["&amp;Resumo!$A$12&amp;"]"),
CUBEMEMBER("ThisWorkbookDataModel","[Calendar].[Month].["&amp;Resumo!$A$13&amp;"]"),
CUBEMEMBER("ThisWorkbookDataModel","[Reagrupa].[GRUPO].&amp;[Insumos]"),
CUBEMEMBER("ThisWorkbookDataModel","[Measures].[Total Quanditade]"),SegmentaçãodeDados_Date_Hierarchy1))*0.6</f>
        <v>1996.1999999999998</v>
      </c>
      <c r="C33" s="1" t="s">
        <v>130</v>
      </c>
      <c r="D33" s="1" t="s">
        <v>47</v>
      </c>
    </row>
    <row r="34" spans="1:5" x14ac:dyDescent="0.25">
      <c r="A34">
        <v>1460930</v>
      </c>
      <c r="B34" vm="203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CUBEMEMBER("ThisWorkbookDataModel","[Reagrupa].[GRUPO].&amp;[Internação]"),
CUBEMEMBER("ThisWorkbookDataModel","[Measures].[Total Quanditade]"),SegmentaçãodeDados_Date_Hierarchy1)</f>
        <v>59</v>
      </c>
      <c r="C34" s="1" t="s">
        <v>131</v>
      </c>
      <c r="D34" s="1" t="s">
        <v>47</v>
      </c>
    </row>
    <row r="35" spans="1:5" x14ac:dyDescent="0.25">
      <c r="A35">
        <v>1460980</v>
      </c>
      <c r="B35" vm="202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CUBEMEMBER("ThisWorkbookDataModel","[Reagrupa].[GRUPO].&amp;[Alimentos]"),
CUBEMEMBER("ThisWorkbookDataModel","[Measures].[Preço Médio]"),SegmentaçãodeDados_Date_Hierarchy1)</f>
        <v>28.941219512195133</v>
      </c>
      <c r="C35" s="1" t="s">
        <v>132</v>
      </c>
      <c r="D35" s="1" t="s">
        <v>40</v>
      </c>
    </row>
    <row r="36" spans="1:5" x14ac:dyDescent="0.25">
      <c r="A36">
        <v>1460928</v>
      </c>
      <c r="B36" t="str" vm="169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CUBEMEMBER("ThisWorkbookDataModel","[Reagrupa].[GRUPO].&amp;[Aluguel CC]"),
CUBEMEMBER("ThisWorkbookDataModel","[Measures].[Preço Médio]"),SegmentaçãodeDados_Date_Hierarchy1)</f>
        <v/>
      </c>
      <c r="C36" s="1" t="s">
        <v>133</v>
      </c>
      <c r="D36" s="1" t="s">
        <v>40</v>
      </c>
      <c r="E36" s="22" t="s">
        <v>200</v>
      </c>
    </row>
    <row r="37" spans="1:5" x14ac:dyDescent="0.25">
      <c r="A37">
        <v>1460922</v>
      </c>
      <c r="B37" vm="138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CUBEMEMBER("ThisWorkbookDataModel","[Reagrupa].[GRUPO].&amp;[Anestesias]"),
CUBEMEMBER("ThisWorkbookDataModel","[Measures].[Preço Médio]"),SegmentaçãodeDados_Date_Hierarchy1)</f>
        <v>582.14285714285711</v>
      </c>
      <c r="C37" s="1" t="s">
        <v>134</v>
      </c>
      <c r="D37" s="1" t="s">
        <v>40</v>
      </c>
    </row>
    <row r="38" spans="1:5" x14ac:dyDescent="0.25">
      <c r="A38">
        <v>1460920</v>
      </c>
      <c r="B38" vm="159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CUBEMEMBER("ThisWorkbookDataModel","[Reagrupa].[GRUPO].&amp;[Cirurgias]"),
CUBEMEMBER("ThisWorkbookDataModel","[Measures].[Preço Médio]"),SegmentaçãodeDados_Date_Hierarchy1)</f>
        <v>905.13888888888891</v>
      </c>
      <c r="C38" s="1" t="s">
        <v>135</v>
      </c>
      <c r="D38" s="1" t="s">
        <v>40</v>
      </c>
    </row>
    <row r="39" spans="1:5" x14ac:dyDescent="0.25">
      <c r="A39">
        <v>1460962</v>
      </c>
      <c r="B39" vm="174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CUBEMEMBER("ThisWorkbookDataModel","[Reagrupa].[GRUPO].&amp;[Consultas]"),
CUBEMEMBER("ThisWorkbookDataModel","[Measures].[Preço Médio]"),SegmentaçãodeDados_Date_Hierarchy1)</f>
        <v>150</v>
      </c>
      <c r="C39" s="1" t="s">
        <v>94</v>
      </c>
      <c r="D39" s="1" t="s">
        <v>40</v>
      </c>
    </row>
    <row r="40" spans="1:5" x14ac:dyDescent="0.25">
      <c r="A40">
        <v>1460939</v>
      </c>
      <c r="B40" vm="141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CUBEMEMBER("ThisWorkbookDataModel","[Reagrupa].[GRUPO].&amp;[Doação]"),
CUBEMEMBER("ThisWorkbookDataModel","[Measures].[Preço Médio]"),SegmentaçãodeDados_Date_Hierarchy1)</f>
        <v>4.8961538461538456</v>
      </c>
      <c r="C40" s="1" t="s">
        <v>137</v>
      </c>
      <c r="D40" s="1" t="s">
        <v>40</v>
      </c>
    </row>
    <row r="41" spans="1:5" x14ac:dyDescent="0.25">
      <c r="A41">
        <v>1460963</v>
      </c>
      <c r="B41" vm="179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CUBEMEMBER("ThisWorkbookDataModel","[Reagrupa].[GRUPO].&amp;[Emergencia]"),
CUBEMEMBER("ThisWorkbookDataModel","[Measures].[Preço Médio]"),SegmentaçãodeDados_Date_Hierarchy1)</f>
        <v>350</v>
      </c>
      <c r="C41" s="1" t="s">
        <v>95</v>
      </c>
      <c r="D41" s="1" t="s">
        <v>40</v>
      </c>
    </row>
    <row r="42" spans="1:5" x14ac:dyDescent="0.25">
      <c r="A42">
        <v>1464953</v>
      </c>
      <c r="B42" vm="158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CUBEMEMBER("ThisWorkbookDataModel","[Reagrupa].[GRUPO].&amp;[Especialidades]"),
CUBEMEMBER("ThisWorkbookDataModel","[Measures].[Preço Médio]"),SegmentaçãodeDados_Date_Hierarchy1)</f>
        <v>294.73684210526318</v>
      </c>
      <c r="C42" s="1" t="s">
        <v>138</v>
      </c>
      <c r="D42" s="1" t="s">
        <v>40</v>
      </c>
    </row>
    <row r="43" spans="1:5" x14ac:dyDescent="0.25">
      <c r="A43">
        <v>1460909</v>
      </c>
      <c r="B43" vm="146">
        <f>CUBEVALUE("ThisWorkbookDataModel",
CUBEMEMBER("ThisWorkbookDataModel","[Calendar].[Year].[All].["&amp;Resumo!$A$12&amp;"]"),
CUBEMEMBER("ThisWorkbookDataModel","[Calendar].[Month].["&amp;Resumo!$A$13&amp;"]"),
CUBEMEMBER("ThisWorkbookDataModel","[Pilar].[Pilar].&amp;[Exames]"),
CUBEMEMBER("ThisWorkbookDataModel","[Measures].[Preço Médio]"),SegmentaçãodeDados_Date_Hierarchy1)</f>
        <v>151.51725067385448</v>
      </c>
      <c r="C43" s="1" t="s">
        <v>144</v>
      </c>
      <c r="D43" s="1" t="s">
        <v>40</v>
      </c>
    </row>
    <row r="44" spans="1:5" x14ac:dyDescent="0.25">
      <c r="A44">
        <v>1460910</v>
      </c>
      <c r="B44" vm="201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CUBEMEMBER("ThisWorkbookDataModel","[Reagrupa].[GRUPO].&amp;[Imagem]"),
CUBEMEMBER("ThisWorkbookDataModel","[Measures].[Preço Médio]"),SegmentaçãodeDados_Date_Hierarchy1)</f>
        <v>123.69822485207101</v>
      </c>
      <c r="C44" s="1" t="s">
        <v>96</v>
      </c>
      <c r="D44" s="1" t="s">
        <v>40</v>
      </c>
    </row>
    <row r="45" spans="1:5" x14ac:dyDescent="0.25">
      <c r="A45">
        <v>1460911</v>
      </c>
      <c r="B45" vm="154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CUBEMEMBER("ThisWorkbookDataModel","[Reagrupa].[GRUPO].&amp;[Laboratório]"),
CUBEMEMBER("ThisWorkbookDataModel","[Measures].[Preço Médio]"),SegmentaçãodeDados_Date_Hierarchy1)</f>
        <v>174.79158415841582</v>
      </c>
      <c r="C45" s="1" t="s">
        <v>97</v>
      </c>
      <c r="D45" s="1" t="s">
        <v>40</v>
      </c>
    </row>
    <row r="46" spans="1:5" x14ac:dyDescent="0.25">
      <c r="A46">
        <v>1460964</v>
      </c>
      <c r="B46" vm="182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CUBEMEMBER("ThisWorkbookDataModel","[Reagrupa].[GRUPO].&amp;[Farmácia]"),
CUBEMEMBER("ThisWorkbookDataModel","[Measures].[Preço Médio]"),SegmentaçãodeDados_Date_Hierarchy1)</f>
        <v>26.266874999999999</v>
      </c>
      <c r="C46" s="1" t="s">
        <v>98</v>
      </c>
      <c r="D46" s="1" t="s">
        <v>40</v>
      </c>
    </row>
    <row r="47" spans="1:5" x14ac:dyDescent="0.25">
      <c r="A47">
        <v>1460966</v>
      </c>
      <c r="B47">
        <f>B38/B40</f>
        <v>184.86733001658376</v>
      </c>
      <c r="C47" s="1" t="s">
        <v>99</v>
      </c>
      <c r="D47" s="1" t="s">
        <v>40</v>
      </c>
    </row>
    <row r="48" spans="1:5" x14ac:dyDescent="0.25">
      <c r="A48">
        <v>1460941</v>
      </c>
      <c r="B48">
        <f>B38/B39</f>
        <v>6.034259259259259</v>
      </c>
      <c r="C48" s="1" t="s">
        <v>139</v>
      </c>
      <c r="D48" s="1" t="s">
        <v>40</v>
      </c>
    </row>
    <row r="49" spans="1:4" x14ac:dyDescent="0.25">
      <c r="A49">
        <v>1460938</v>
      </c>
      <c r="B49" vm="161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CUBEMEMBER("ThisWorkbookDataModel","[Reagrupa].[GRUPO].&amp;[Internação]"),
CUBEMEMBER("ThisWorkbookDataModel","[Measures].[Preço Médio]"),SegmentaçãodeDados_Date_Hierarchy1)</f>
        <v>323.30508474576271</v>
      </c>
      <c r="C49" s="1" t="s">
        <v>140</v>
      </c>
      <c r="D49" s="1" t="s">
        <v>40</v>
      </c>
    </row>
    <row r="50" spans="1:4" x14ac:dyDescent="0.25">
      <c r="A50">
        <v>1460942</v>
      </c>
      <c r="B50" vm="139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CUBEMEMBER("ThisWorkbookDataModel","[Reagrupa].[GRUPO].&amp;[Procedimentos Internação]"),
CUBEMEMBER("ThisWorkbookDataModel","[Measures].[Preço Médio]"),SegmentaçãodeDados_Date_Hierarchy1)</f>
        <v>149.08571428571429</v>
      </c>
      <c r="C50" s="1" t="s">
        <v>141</v>
      </c>
      <c r="D50" s="1" t="s">
        <v>40</v>
      </c>
    </row>
    <row r="51" spans="1:4" x14ac:dyDescent="0.25">
      <c r="A51">
        <v>1460965</v>
      </c>
      <c r="B51" vm="162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CUBEMEMBER("ThisWorkbookDataModel","[Reagrupa].[GRUPO].&amp;[Procedimentos Clinica]"),
CUBEMEMBER("ThisWorkbookDataModel","[Measures].[Preço Médio]"),SegmentaçãodeDados_Date_Hierarchy1)</f>
        <v>47.960634920634888</v>
      </c>
      <c r="C51" s="1" t="s">
        <v>100</v>
      </c>
      <c r="D51" s="1" t="s">
        <v>40</v>
      </c>
    </row>
    <row r="52" spans="1:4" x14ac:dyDescent="0.25">
      <c r="A52">
        <v>1460967</v>
      </c>
      <c r="B52" vm="167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CUBEMEMBER("ThisWorkbookDataModel","[Reagrupa].[GRUPO].&amp;[Vacinas]"),
CUBEMEMBER("ThisWorkbookDataModel","[Measures].[Preço Médio]"),SegmentaçãodeDados_Date_Hierarchy1)</f>
        <v>112.59393939393938</v>
      </c>
      <c r="C52" s="1" t="s">
        <v>101</v>
      </c>
      <c r="D52" s="1" t="s">
        <v>40</v>
      </c>
    </row>
    <row r="53" spans="1:4" x14ac:dyDescent="0.25">
      <c r="A53">
        <v>1460943</v>
      </c>
      <c r="B53" vm="192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CUBEMEMBER("ThisWorkbookDataModel","[Reagrupa].[GRUPO].&amp;[Procedimentos Internação]"),
CUBEMEMBER("ThisWorkbookDataModel","[Measures].[Total Quanditade]"),SegmentaçãodeDados_Date_Hierarchy1)</f>
        <v>21</v>
      </c>
      <c r="C53" s="1" t="s">
        <v>142</v>
      </c>
      <c r="D53" s="1" t="s">
        <v>47</v>
      </c>
    </row>
    <row r="54" spans="1:4" x14ac:dyDescent="0.25">
      <c r="A54">
        <v>1460974</v>
      </c>
      <c r="B54" vm="149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CUBEMEMBER("ThisWorkbookDataModel","[Reagrupa].[GRUPO].&amp;[Procedimentos Clinica]"),
CUBEMEMBER("ThisWorkbookDataModel","[Measures].[Total Quanditade]"),SegmentaçãodeDados_Date_Hierarchy1)</f>
        <v>189</v>
      </c>
      <c r="C54" s="1" t="s">
        <v>62</v>
      </c>
      <c r="D54" s="1" t="s">
        <v>47</v>
      </c>
    </row>
    <row r="55" spans="1:4" x14ac:dyDescent="0.25">
      <c r="A55">
        <v>1460975</v>
      </c>
      <c r="B55" vm="153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CUBEMEMBER("ThisWorkbookDataModel","[Reagrupa].[GRUPO].&amp;[Farmácia]"),
CUBEMEMBER("ThisWorkbookDataModel","[Measures].[Total Quanditade]"),SegmentaçãodeDados_Date_Hierarchy1)</f>
        <v>16</v>
      </c>
      <c r="C55" s="1" t="s">
        <v>102</v>
      </c>
      <c r="D55" s="1" t="s">
        <v>47</v>
      </c>
    </row>
    <row r="56" spans="1:4" x14ac:dyDescent="0.25">
      <c r="A56">
        <v>1460912</v>
      </c>
      <c r="B56" vm="160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CUBEMEMBER("ThisWorkbookDataModel","[Reagrupa].[GRUPO].&amp;[Imagem]"),
CUBEMEMBER("ThisWorkbookDataModel","[Measures].[Total Quanditade]"),SegmentaçãodeDados_Date_Hierarchy1)</f>
        <v>169</v>
      </c>
      <c r="C56" s="1" t="s">
        <v>145</v>
      </c>
      <c r="D56" s="1" t="s">
        <v>47</v>
      </c>
    </row>
    <row r="57" spans="1:4" x14ac:dyDescent="0.25">
      <c r="A57">
        <v>1460913</v>
      </c>
      <c r="B57" vm="165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CUBEMEMBER("ThisWorkbookDataModel","[Reagrupa].[GRUPO].&amp;[Laboratório]"),
CUBEMEMBER("ThisWorkbookDataModel","[Measures].[Total Quanditade]"),SegmentaçãodeDados_Date_Hierarchy1)</f>
        <v>202</v>
      </c>
      <c r="C57" s="1" t="s">
        <v>146</v>
      </c>
      <c r="D57" s="1" t="s">
        <v>47</v>
      </c>
    </row>
    <row r="58" spans="1:4" x14ac:dyDescent="0.25">
      <c r="A58">
        <v>1460899</v>
      </c>
      <c r="B58" vm="190">
        <f>CUBEVALUE("ThisWorkbookDataModel",
CUBEMEMBER("ThisWorkbookDataModel","[Calendar].[Year].[All].["&amp;Resumo!$A$12&amp;"]"),
CUBEMEMBER("ThisWorkbookDataModel","[Calendar].[Month].["&amp;Resumo!$A$13&amp;"]"),
CUBEMEMBER("ThisWorkbookDataModel","[Pilar].[Pilar].[All]","Total"),
CUBEMEMBER("ThisWorkbookDataModel","[Measures].[Ticket Médio]"),SegmentaçãodeDados_Date_Hierarchy1)</f>
        <v>394.40156387665189</v>
      </c>
      <c r="C58" s="1" t="s">
        <v>114</v>
      </c>
      <c r="D58" s="1" t="s">
        <v>40</v>
      </c>
    </row>
    <row r="59" spans="1:4" x14ac:dyDescent="0.25">
      <c r="A59">
        <v>1460972</v>
      </c>
      <c r="B59" vm="168">
        <f>CUBEVALUE("ThisWorkbookDataModel",
CUBEMEMBER("ThisWorkbookDataModel","[Calendar].[Year].[All].["&amp;Resumo!$A$12&amp;"]"),
CUBEMEMBER("ThisWorkbookDataModel","[Calendar].[Month].["&amp;Resumo!$A$13&amp;"]"),
CUBEMEMBER("ThisWorkbookDataModel","[Reagrupa].[GRUPO].&amp;[Vacinas]"),
CUBEMEMBER("ThisWorkbookDataModel","[Measures].[Total Quanditade]"),SegmentaçãodeDados_Date_Hierarchy1)</f>
        <v>33</v>
      </c>
      <c r="C59" s="1" t="s">
        <v>64</v>
      </c>
      <c r="D59" s="1" t="s">
        <v>47</v>
      </c>
    </row>
    <row r="68" spans="2:2" x14ac:dyDescent="0.25">
      <c r="B68" s="16"/>
    </row>
    <row r="69" spans="2:2" x14ac:dyDescent="0.25">
      <c r="B69" s="14"/>
    </row>
    <row r="80" spans="2:2" x14ac:dyDescent="0.25">
      <c r="B80" s="16"/>
    </row>
    <row r="81" spans="2:2" x14ac:dyDescent="0.25">
      <c r="B81" s="16"/>
    </row>
    <row r="82" spans="2:2" x14ac:dyDescent="0.25">
      <c r="B82" s="16"/>
    </row>
    <row r="83" spans="2:2" x14ac:dyDescent="0.25">
      <c r="B83" s="13"/>
    </row>
    <row r="84" spans="2:2" x14ac:dyDescent="0.25">
      <c r="B84" s="13"/>
    </row>
    <row r="85" spans="2:2" x14ac:dyDescent="0.25">
      <c r="B85" s="13"/>
    </row>
    <row r="86" spans="2:2" x14ac:dyDescent="0.25">
      <c r="B86" s="13"/>
    </row>
    <row r="87" spans="2:2" x14ac:dyDescent="0.25">
      <c r="B87" s="13"/>
    </row>
    <row r="88" spans="2:2" x14ac:dyDescent="0.25">
      <c r="B88" s="13"/>
    </row>
    <row r="99" spans="2:2" x14ac:dyDescent="0.25">
      <c r="B99" s="14"/>
    </row>
    <row r="101" spans="2:2" x14ac:dyDescent="0.25">
      <c r="B101" s="14"/>
    </row>
    <row r="102" spans="2:2" x14ac:dyDescent="0.25">
      <c r="B102" s="14"/>
    </row>
    <row r="103" spans="2:2" x14ac:dyDescent="0.25">
      <c r="B103" s="14"/>
    </row>
  </sheetData>
  <autoFilter ref="A1:D87" xr:uid="{E1AEB575-61AD-4AA9-A05C-0080E29C6676}"/>
  <sortState xmlns:xlrd2="http://schemas.microsoft.com/office/spreadsheetml/2017/richdata2" ref="A2:D67">
    <sortCondition ref="C2:C67"/>
  </sortState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9C288-D825-41FB-9AE3-41B42BA9CB06}">
  <sheetPr codeName="Planilha3"/>
  <dimension ref="A1:AA57"/>
  <sheetViews>
    <sheetView tabSelected="1" topLeftCell="A39" workbookViewId="0">
      <selection activeCell="E2" sqref="E2"/>
    </sheetView>
  </sheetViews>
  <sheetFormatPr defaultRowHeight="15" x14ac:dyDescent="0.25"/>
  <cols>
    <col min="1" max="1" width="22.85546875" bestFit="1" customWidth="1"/>
    <col min="2" max="2" width="12.140625" bestFit="1" customWidth="1"/>
    <col min="3" max="3" width="6.85546875" bestFit="1" customWidth="1"/>
    <col min="4" max="4" width="6.7109375" bestFit="1" customWidth="1"/>
    <col min="5" max="5" width="10.7109375" bestFit="1" customWidth="1"/>
    <col min="6" max="6" width="21.7109375" bestFit="1" customWidth="1"/>
    <col min="7" max="7" width="14.42578125" bestFit="1" customWidth="1"/>
    <col min="8" max="8" width="16.85546875" bestFit="1" customWidth="1"/>
    <col min="9" max="9" width="17.7109375" bestFit="1" customWidth="1"/>
    <col min="10" max="10" width="14.5703125" bestFit="1" customWidth="1"/>
    <col min="11" max="11" width="15.5703125" bestFit="1" customWidth="1"/>
    <col min="12" max="12" width="35.140625" bestFit="1" customWidth="1"/>
    <col min="13" max="13" width="11.28515625" bestFit="1" customWidth="1"/>
    <col min="14" max="14" width="45.5703125" bestFit="1" customWidth="1"/>
    <col min="15" max="15" width="6.85546875" bestFit="1" customWidth="1"/>
    <col min="16" max="16" width="9.85546875" bestFit="1" customWidth="1"/>
    <col min="17" max="17" width="12.140625" bestFit="1" customWidth="1"/>
    <col min="18" max="18" width="10" bestFit="1" customWidth="1"/>
    <col min="19" max="19" width="12.42578125" bestFit="1" customWidth="1"/>
    <col min="20" max="20" width="10.7109375" bestFit="1" customWidth="1"/>
    <col min="21" max="21" width="3.7109375" bestFit="1" customWidth="1"/>
    <col min="22" max="22" width="4.140625" bestFit="1" customWidth="1"/>
    <col min="23" max="23" width="4.5703125" bestFit="1" customWidth="1"/>
    <col min="24" max="24" width="5.28515625" bestFit="1" customWidth="1"/>
    <col min="25" max="25" width="5.7109375" bestFit="1" customWidth="1"/>
    <col min="26" max="26" width="6.140625" bestFit="1" customWidth="1"/>
    <col min="27" max="27" width="6.5703125" bestFit="1" customWidth="1"/>
    <col min="28" max="28" width="10.28515625" bestFit="1" customWidth="1"/>
    <col min="29" max="29" width="12.85546875" bestFit="1" customWidth="1"/>
    <col min="30" max="30" width="11.140625" bestFit="1" customWidth="1"/>
    <col min="31" max="31" width="3.7109375" bestFit="1" customWidth="1"/>
    <col min="32" max="32" width="4.140625" bestFit="1" customWidth="1"/>
    <col min="33" max="33" width="4.5703125" bestFit="1" customWidth="1"/>
    <col min="34" max="34" width="5.28515625" bestFit="1" customWidth="1"/>
    <col min="35" max="35" width="5.7109375" bestFit="1" customWidth="1"/>
    <col min="36" max="36" width="6.140625" bestFit="1" customWidth="1"/>
    <col min="37" max="37" width="6.5703125" bestFit="1" customWidth="1"/>
  </cols>
  <sheetData>
    <row r="1" spans="1:27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  <c r="O1" t="s">
        <v>27</v>
      </c>
      <c r="P1" t="s">
        <v>28</v>
      </c>
      <c r="Q1" t="s">
        <v>29</v>
      </c>
      <c r="R1" t="s">
        <v>30</v>
      </c>
      <c r="S1" t="s">
        <v>31</v>
      </c>
      <c r="T1" t="s">
        <v>32</v>
      </c>
      <c r="U1" t="s">
        <v>33</v>
      </c>
      <c r="V1" t="s">
        <v>34</v>
      </c>
      <c r="W1" t="s">
        <v>35</v>
      </c>
      <c r="X1" t="s">
        <v>36</v>
      </c>
      <c r="Y1" t="s">
        <v>37</v>
      </c>
      <c r="Z1" t="s">
        <v>38</v>
      </c>
      <c r="AA1" t="s">
        <v>39</v>
      </c>
    </row>
    <row r="2" spans="1:27" x14ac:dyDescent="0.25">
      <c r="A2" s="1" t="s">
        <v>203</v>
      </c>
      <c r="B2">
        <v>1460977</v>
      </c>
      <c r="C2">
        <v>4</v>
      </c>
      <c r="D2">
        <v>2022</v>
      </c>
      <c r="E2" vm="135">
        <f>VLOOKUP(Indicador[[#This Row],[ID do Item]],procv,2,FALSE)</f>
        <v>9</v>
      </c>
      <c r="F2">
        <v>9</v>
      </c>
      <c r="J2">
        <v>9</v>
      </c>
      <c r="L2" s="1" t="s">
        <v>81</v>
      </c>
      <c r="M2" s="1" t="s">
        <v>47</v>
      </c>
      <c r="N2" s="1" t="s">
        <v>197</v>
      </c>
      <c r="O2" s="1" t="s">
        <v>41</v>
      </c>
      <c r="P2" s="1" t="s">
        <v>43</v>
      </c>
      <c r="Q2" s="1" t="s">
        <v>42</v>
      </c>
      <c r="R2" s="1" t="s">
        <v>43</v>
      </c>
      <c r="S2" t="s">
        <v>44</v>
      </c>
    </row>
    <row r="3" spans="1:27" x14ac:dyDescent="0.25">
      <c r="A3" s="1" t="s">
        <v>203</v>
      </c>
      <c r="B3">
        <v>1460976</v>
      </c>
      <c r="C3">
        <v>4</v>
      </c>
      <c r="D3">
        <v>2022</v>
      </c>
      <c r="E3" vm="178">
        <f>VLOOKUP(Indicador[[#This Row],[ID do Item]],procv,2,FALSE)</f>
        <v>138</v>
      </c>
      <c r="F3">
        <v>184</v>
      </c>
      <c r="J3">
        <v>203</v>
      </c>
      <c r="L3" s="1" t="s">
        <v>61</v>
      </c>
      <c r="M3" s="1" t="s">
        <v>47</v>
      </c>
      <c r="N3" s="1" t="s">
        <v>197</v>
      </c>
      <c r="O3" s="1" t="s">
        <v>41</v>
      </c>
      <c r="P3" s="1" t="s">
        <v>43</v>
      </c>
      <c r="Q3" s="1" t="s">
        <v>42</v>
      </c>
      <c r="R3" s="1" t="s">
        <v>43</v>
      </c>
      <c r="S3" t="s">
        <v>44</v>
      </c>
    </row>
    <row r="4" spans="1:27" x14ac:dyDescent="0.25">
      <c r="A4" s="1" t="s">
        <v>203</v>
      </c>
      <c r="B4">
        <v>1460956</v>
      </c>
      <c r="C4">
        <v>4</v>
      </c>
      <c r="D4">
        <v>2022</v>
      </c>
      <c r="E4" vm="145">
        <f>VLOOKUP(Indicador[[#This Row],[ID do Item]],procv,2,FALSE)</f>
        <v>20700</v>
      </c>
      <c r="F4">
        <v>19640</v>
      </c>
      <c r="J4">
        <v>23149.7</v>
      </c>
      <c r="L4" s="1" t="s">
        <v>84</v>
      </c>
      <c r="M4" s="1" t="s">
        <v>40</v>
      </c>
      <c r="N4" s="1" t="s">
        <v>197</v>
      </c>
      <c r="O4" s="1" t="s">
        <v>41</v>
      </c>
      <c r="P4" s="1" t="s">
        <v>43</v>
      </c>
      <c r="Q4" s="1" t="s">
        <v>42</v>
      </c>
      <c r="R4" s="1" t="s">
        <v>43</v>
      </c>
      <c r="S4" t="s">
        <v>44</v>
      </c>
    </row>
    <row r="5" spans="1:27" x14ac:dyDescent="0.25">
      <c r="A5" s="1" t="s">
        <v>203</v>
      </c>
      <c r="B5">
        <v>1460961</v>
      </c>
      <c r="C5">
        <v>4</v>
      </c>
      <c r="D5">
        <v>2022</v>
      </c>
      <c r="E5" vm="152">
        <f>VLOOKUP(Indicador[[#This Row],[ID do Item]],procv,2,FALSE)</f>
        <v>3150</v>
      </c>
      <c r="F5">
        <v>3150</v>
      </c>
      <c r="J5">
        <v>3737.52</v>
      </c>
      <c r="L5" s="1" t="s">
        <v>85</v>
      </c>
      <c r="M5" s="1" t="s">
        <v>40</v>
      </c>
      <c r="N5" s="1" t="s">
        <v>197</v>
      </c>
      <c r="O5" s="1" t="s">
        <v>41</v>
      </c>
      <c r="P5" s="1" t="s">
        <v>43</v>
      </c>
      <c r="Q5" s="1" t="s">
        <v>42</v>
      </c>
      <c r="R5" s="1" t="s">
        <v>43</v>
      </c>
      <c r="S5" t="s">
        <v>44</v>
      </c>
    </row>
    <row r="6" spans="1:27" x14ac:dyDescent="0.25">
      <c r="A6" s="1" t="s">
        <v>203</v>
      </c>
      <c r="B6">
        <v>1460960</v>
      </c>
      <c r="C6">
        <v>4</v>
      </c>
      <c r="D6">
        <v>2022</v>
      </c>
      <c r="E6" vm="184">
        <f>VLOOKUP(Indicador[[#This Row],[ID do Item]],procv,2,FALSE)</f>
        <v>420.27</v>
      </c>
      <c r="F6">
        <v>5246</v>
      </c>
      <c r="J6">
        <v>6699.59</v>
      </c>
      <c r="L6" s="1" t="s">
        <v>86</v>
      </c>
      <c r="M6" s="1" t="s">
        <v>40</v>
      </c>
      <c r="N6" s="1" t="s">
        <v>197</v>
      </c>
      <c r="O6" s="1" t="s">
        <v>41</v>
      </c>
      <c r="P6" s="1" t="s">
        <v>43</v>
      </c>
      <c r="Q6" s="1" t="s">
        <v>42</v>
      </c>
      <c r="R6" s="1" t="s">
        <v>43</v>
      </c>
      <c r="S6" t="s">
        <v>44</v>
      </c>
    </row>
    <row r="7" spans="1:27" x14ac:dyDescent="0.25">
      <c r="A7" s="1" t="s">
        <v>203</v>
      </c>
      <c r="B7">
        <v>1460959</v>
      </c>
      <c r="C7">
        <v>4</v>
      </c>
      <c r="D7">
        <v>2022</v>
      </c>
      <c r="E7">
        <f>VLOOKUP(Indicador[[#This Row],[ID do Item]],procv,2,FALSE)</f>
        <v>12918.576000000005</v>
      </c>
      <c r="F7">
        <v>11197</v>
      </c>
      <c r="J7">
        <v>12694.78</v>
      </c>
      <c r="L7" s="1" t="s">
        <v>88</v>
      </c>
      <c r="M7" s="1" t="s">
        <v>40</v>
      </c>
      <c r="N7" s="1" t="s">
        <v>197</v>
      </c>
      <c r="O7" s="1" t="s">
        <v>41</v>
      </c>
      <c r="P7" s="1" t="s">
        <v>43</v>
      </c>
      <c r="Q7" s="1" t="s">
        <v>42</v>
      </c>
      <c r="R7" s="1" t="s">
        <v>43</v>
      </c>
      <c r="S7" t="s">
        <v>44</v>
      </c>
    </row>
    <row r="8" spans="1:27" x14ac:dyDescent="0.25">
      <c r="A8" s="1" t="s">
        <v>203</v>
      </c>
      <c r="B8">
        <v>1460957</v>
      </c>
      <c r="C8">
        <v>4</v>
      </c>
      <c r="D8">
        <v>2022</v>
      </c>
      <c r="E8" vm="186">
        <f>VLOOKUP(Indicador[[#This Row],[ID do Item]],procv,2,FALSE)</f>
        <v>9064.559999999994</v>
      </c>
      <c r="F8">
        <v>8700</v>
      </c>
      <c r="J8">
        <v>10429.06</v>
      </c>
      <c r="L8" s="1" t="s">
        <v>90</v>
      </c>
      <c r="M8" s="1" t="s">
        <v>40</v>
      </c>
      <c r="N8" s="1" t="s">
        <v>197</v>
      </c>
      <c r="O8" s="1" t="s">
        <v>41</v>
      </c>
      <c r="P8" s="1" t="s">
        <v>43</v>
      </c>
      <c r="Q8" s="1" t="s">
        <v>42</v>
      </c>
      <c r="R8" s="1" t="s">
        <v>43</v>
      </c>
      <c r="S8" t="s">
        <v>44</v>
      </c>
    </row>
    <row r="9" spans="1:27" x14ac:dyDescent="0.25">
      <c r="A9" s="1" t="s">
        <v>203</v>
      </c>
      <c r="B9">
        <v>1460958</v>
      </c>
      <c r="C9">
        <v>4</v>
      </c>
      <c r="D9">
        <v>2022</v>
      </c>
      <c r="E9" vm="204">
        <f>VLOOKUP(Indicador[[#This Row],[ID do Item]],procv,2,FALSE)</f>
        <v>3715.5999999999995</v>
      </c>
      <c r="F9">
        <v>7210</v>
      </c>
      <c r="J9">
        <v>10429.06</v>
      </c>
      <c r="L9" s="1" t="s">
        <v>91</v>
      </c>
      <c r="M9" s="1" t="s">
        <v>40</v>
      </c>
      <c r="N9" s="1" t="s">
        <v>197</v>
      </c>
      <c r="O9" s="1" t="s">
        <v>41</v>
      </c>
      <c r="P9" s="1" t="s">
        <v>43</v>
      </c>
      <c r="Q9" s="1" t="s">
        <v>42</v>
      </c>
      <c r="R9" s="1" t="s">
        <v>43</v>
      </c>
      <c r="S9" t="s">
        <v>44</v>
      </c>
    </row>
    <row r="10" spans="1:27" x14ac:dyDescent="0.25">
      <c r="A10" s="1" t="s">
        <v>203</v>
      </c>
      <c r="B10">
        <v>1460973</v>
      </c>
      <c r="C10">
        <v>4</v>
      </c>
      <c r="D10">
        <v>2022</v>
      </c>
      <c r="E10">
        <f>VLOOKUP(Indicador[[#This Row],[ID do Item]],procv,2,FALSE)</f>
        <v>1330.8000000000002</v>
      </c>
      <c r="F10">
        <v>1517</v>
      </c>
      <c r="J10">
        <v>1620</v>
      </c>
      <c r="L10" s="1" t="s">
        <v>92</v>
      </c>
      <c r="M10" s="1" t="s">
        <v>47</v>
      </c>
      <c r="N10" s="1" t="s">
        <v>197</v>
      </c>
      <c r="O10" s="1" t="s">
        <v>41</v>
      </c>
      <c r="P10" s="1" t="s">
        <v>43</v>
      </c>
      <c r="Q10" s="1" t="s">
        <v>42</v>
      </c>
      <c r="R10" s="1" t="s">
        <v>43</v>
      </c>
      <c r="S10" t="s">
        <v>44</v>
      </c>
    </row>
    <row r="11" spans="1:27" x14ac:dyDescent="0.25">
      <c r="A11" s="1" t="s">
        <v>203</v>
      </c>
      <c r="B11">
        <v>1460962</v>
      </c>
      <c r="C11">
        <v>4</v>
      </c>
      <c r="D11">
        <v>2022</v>
      </c>
      <c r="E11" vm="174">
        <f>VLOOKUP(Indicador[[#This Row],[ID do Item]],procv,2,FALSE)</f>
        <v>150</v>
      </c>
      <c r="F11">
        <v>115</v>
      </c>
      <c r="G11">
        <v>120</v>
      </c>
      <c r="J11">
        <v>118</v>
      </c>
      <c r="K11">
        <v>125</v>
      </c>
      <c r="L11" s="1" t="s">
        <v>94</v>
      </c>
      <c r="M11" s="1" t="s">
        <v>40</v>
      </c>
      <c r="N11" s="1" t="s">
        <v>197</v>
      </c>
      <c r="O11" s="1" t="s">
        <v>46</v>
      </c>
      <c r="P11" s="1" t="s">
        <v>43</v>
      </c>
      <c r="Q11" s="1" t="s">
        <v>42</v>
      </c>
      <c r="R11" s="1" t="s">
        <v>43</v>
      </c>
      <c r="S11" t="s">
        <v>44</v>
      </c>
    </row>
    <row r="12" spans="1:27" x14ac:dyDescent="0.25">
      <c r="A12" s="1" t="s">
        <v>203</v>
      </c>
      <c r="B12">
        <v>1460963</v>
      </c>
      <c r="C12">
        <v>4</v>
      </c>
      <c r="D12">
        <v>2022</v>
      </c>
      <c r="E12" vm="179">
        <f>VLOOKUP(Indicador[[#This Row],[ID do Item]],procv,2,FALSE)</f>
        <v>350</v>
      </c>
      <c r="F12">
        <v>300</v>
      </c>
      <c r="G12">
        <v>360</v>
      </c>
      <c r="J12">
        <v>345</v>
      </c>
      <c r="K12">
        <v>365</v>
      </c>
      <c r="L12" s="1" t="s">
        <v>95</v>
      </c>
      <c r="M12" s="1" t="s">
        <v>40</v>
      </c>
      <c r="N12" s="1" t="s">
        <v>197</v>
      </c>
      <c r="O12" s="1" t="s">
        <v>46</v>
      </c>
      <c r="P12" s="1" t="s">
        <v>43</v>
      </c>
      <c r="Q12" s="1" t="s">
        <v>42</v>
      </c>
      <c r="R12" s="1" t="s">
        <v>43</v>
      </c>
      <c r="S12" t="s">
        <v>44</v>
      </c>
    </row>
    <row r="13" spans="1:27" x14ac:dyDescent="0.25">
      <c r="A13" s="1" t="s">
        <v>203</v>
      </c>
      <c r="B13">
        <v>1460964</v>
      </c>
      <c r="C13">
        <v>4</v>
      </c>
      <c r="D13">
        <v>2022</v>
      </c>
      <c r="E13" vm="182">
        <f>VLOOKUP(Indicador[[#This Row],[ID do Item]],procv,2,FALSE)</f>
        <v>26.266874999999999</v>
      </c>
      <c r="F13">
        <v>45</v>
      </c>
      <c r="G13">
        <v>65</v>
      </c>
      <c r="J13">
        <v>50</v>
      </c>
      <c r="K13">
        <v>70</v>
      </c>
      <c r="L13" s="1" t="s">
        <v>98</v>
      </c>
      <c r="M13" s="1" t="s">
        <v>40</v>
      </c>
      <c r="N13" s="1" t="s">
        <v>197</v>
      </c>
      <c r="O13" s="1" t="s">
        <v>46</v>
      </c>
      <c r="P13" s="1" t="s">
        <v>43</v>
      </c>
      <c r="Q13" s="1" t="s">
        <v>42</v>
      </c>
      <c r="R13" s="1" t="s">
        <v>43</v>
      </c>
      <c r="S13" t="s">
        <v>44</v>
      </c>
    </row>
    <row r="14" spans="1:27" x14ac:dyDescent="0.25">
      <c r="A14" s="1" t="s">
        <v>203</v>
      </c>
      <c r="B14">
        <v>1460966</v>
      </c>
      <c r="C14">
        <v>4</v>
      </c>
      <c r="D14">
        <v>2022</v>
      </c>
      <c r="E14">
        <f>VLOOKUP(Indicador[[#This Row],[ID do Item]],procv,2,FALSE)</f>
        <v>184.86733001658376</v>
      </c>
      <c r="F14">
        <v>5</v>
      </c>
      <c r="G14">
        <v>12</v>
      </c>
      <c r="J14">
        <v>8</v>
      </c>
      <c r="K14">
        <v>15</v>
      </c>
      <c r="L14" s="1" t="s">
        <v>99</v>
      </c>
      <c r="M14" s="1" t="s">
        <v>40</v>
      </c>
      <c r="N14" s="1" t="s">
        <v>197</v>
      </c>
      <c r="O14" s="1" t="s">
        <v>46</v>
      </c>
      <c r="P14" s="1" t="s">
        <v>43</v>
      </c>
      <c r="Q14" s="1" t="s">
        <v>42</v>
      </c>
      <c r="R14" s="1" t="s">
        <v>43</v>
      </c>
      <c r="S14" t="s">
        <v>44</v>
      </c>
    </row>
    <row r="15" spans="1:27" x14ac:dyDescent="0.25">
      <c r="A15" s="1" t="s">
        <v>203</v>
      </c>
      <c r="B15">
        <v>1460965</v>
      </c>
      <c r="C15">
        <v>4</v>
      </c>
      <c r="D15">
        <v>2022</v>
      </c>
      <c r="E15" vm="162">
        <f>VLOOKUP(Indicador[[#This Row],[ID do Item]],procv,2,FALSE)</f>
        <v>47.960634920634888</v>
      </c>
      <c r="F15">
        <v>35</v>
      </c>
      <c r="G15">
        <v>50</v>
      </c>
      <c r="J15">
        <v>35</v>
      </c>
      <c r="K15">
        <v>50</v>
      </c>
      <c r="L15" s="1" t="s">
        <v>100</v>
      </c>
      <c r="M15" s="1" t="s">
        <v>40</v>
      </c>
      <c r="N15" s="1" t="s">
        <v>197</v>
      </c>
      <c r="O15" s="1" t="s">
        <v>46</v>
      </c>
      <c r="P15" s="1" t="s">
        <v>43</v>
      </c>
      <c r="Q15" s="1" t="s">
        <v>42</v>
      </c>
      <c r="R15" s="1" t="s">
        <v>43</v>
      </c>
      <c r="S15" t="s">
        <v>44</v>
      </c>
    </row>
    <row r="16" spans="1:27" x14ac:dyDescent="0.25">
      <c r="A16" s="1" t="s">
        <v>203</v>
      </c>
      <c r="B16">
        <v>1460967</v>
      </c>
      <c r="C16">
        <v>4</v>
      </c>
      <c r="D16">
        <v>2022</v>
      </c>
      <c r="E16" vm="167">
        <f>VLOOKUP(Indicador[[#This Row],[ID do Item]],procv,2,FALSE)</f>
        <v>112.59393939393938</v>
      </c>
      <c r="F16">
        <v>100</v>
      </c>
      <c r="G16">
        <v>120</v>
      </c>
      <c r="J16">
        <v>115</v>
      </c>
      <c r="K16">
        <v>120</v>
      </c>
      <c r="L16" s="1" t="s">
        <v>101</v>
      </c>
      <c r="M16" s="1" t="s">
        <v>40</v>
      </c>
      <c r="N16" s="1" t="s">
        <v>197</v>
      </c>
      <c r="O16" s="1" t="s">
        <v>46</v>
      </c>
      <c r="P16" s="1" t="s">
        <v>43</v>
      </c>
      <c r="Q16" s="1" t="s">
        <v>42</v>
      </c>
      <c r="R16" s="1" t="s">
        <v>43</v>
      </c>
      <c r="S16" t="s">
        <v>44</v>
      </c>
    </row>
    <row r="17" spans="1:19" x14ac:dyDescent="0.25">
      <c r="A17" s="1" t="s">
        <v>203</v>
      </c>
      <c r="B17">
        <v>1460974</v>
      </c>
      <c r="C17">
        <v>4</v>
      </c>
      <c r="D17">
        <v>2022</v>
      </c>
      <c r="E17" vm="149">
        <f>VLOOKUP(Indicador[[#This Row],[ID do Item]],procv,2,FALSE)</f>
        <v>189</v>
      </c>
      <c r="F17">
        <v>216.36364</v>
      </c>
      <c r="J17">
        <v>241</v>
      </c>
      <c r="L17" s="1" t="s">
        <v>62</v>
      </c>
      <c r="M17" s="1" t="s">
        <v>47</v>
      </c>
      <c r="N17" s="1" t="s">
        <v>197</v>
      </c>
      <c r="O17" s="1" t="s">
        <v>41</v>
      </c>
      <c r="P17" s="1" t="s">
        <v>43</v>
      </c>
      <c r="Q17" s="1" t="s">
        <v>42</v>
      </c>
      <c r="R17" s="1" t="s">
        <v>43</v>
      </c>
      <c r="S17" t="s">
        <v>44</v>
      </c>
    </row>
    <row r="18" spans="1:19" x14ac:dyDescent="0.25">
      <c r="A18" s="1" t="s">
        <v>203</v>
      </c>
      <c r="B18">
        <v>1460975</v>
      </c>
      <c r="C18">
        <v>4</v>
      </c>
      <c r="D18">
        <v>2022</v>
      </c>
      <c r="E18" vm="153">
        <f>VLOOKUP(Indicador[[#This Row],[ID do Item]],procv,2,FALSE)</f>
        <v>16</v>
      </c>
      <c r="F18">
        <v>101</v>
      </c>
      <c r="J18">
        <v>121</v>
      </c>
      <c r="L18" s="1" t="s">
        <v>102</v>
      </c>
      <c r="M18" s="1" t="s">
        <v>47</v>
      </c>
      <c r="N18" s="1" t="s">
        <v>197</v>
      </c>
      <c r="O18" s="1" t="s">
        <v>41</v>
      </c>
      <c r="P18" s="1" t="s">
        <v>43</v>
      </c>
      <c r="Q18" s="1" t="s">
        <v>42</v>
      </c>
      <c r="R18" s="1" t="s">
        <v>43</v>
      </c>
      <c r="S18" t="s">
        <v>44</v>
      </c>
    </row>
    <row r="19" spans="1:19" x14ac:dyDescent="0.25">
      <c r="A19" s="1" t="s">
        <v>203</v>
      </c>
      <c r="B19">
        <v>1460972</v>
      </c>
      <c r="C19">
        <v>4</v>
      </c>
      <c r="D19">
        <v>2022</v>
      </c>
      <c r="E19" vm="168">
        <f>VLOOKUP(Indicador[[#This Row],[ID do Item]],procv,2,FALSE)</f>
        <v>33</v>
      </c>
      <c r="F19">
        <v>83</v>
      </c>
      <c r="J19">
        <v>98</v>
      </c>
      <c r="L19" s="1" t="s">
        <v>64</v>
      </c>
      <c r="M19" s="1" t="s">
        <v>47</v>
      </c>
      <c r="N19" s="1" t="s">
        <v>197</v>
      </c>
      <c r="O19" s="1" t="s">
        <v>41</v>
      </c>
      <c r="P19" s="1" t="s">
        <v>43</v>
      </c>
      <c r="Q19" s="1" t="s">
        <v>42</v>
      </c>
      <c r="R19" s="1" t="s">
        <v>43</v>
      </c>
      <c r="S19" t="s">
        <v>44</v>
      </c>
    </row>
    <row r="20" spans="1:19" x14ac:dyDescent="0.25">
      <c r="A20" s="1" t="s">
        <v>203</v>
      </c>
      <c r="B20">
        <v>1470221</v>
      </c>
      <c r="C20">
        <v>4</v>
      </c>
      <c r="D20">
        <v>2022</v>
      </c>
      <c r="E20" vm="185">
        <f>VLOOKUP(Indicador[[#This Row],[ID do Item]],procv,2,FALSE)</f>
        <v>7.666666666666667</v>
      </c>
      <c r="F20">
        <v>10</v>
      </c>
      <c r="G20">
        <v>20</v>
      </c>
      <c r="J20">
        <v>15</v>
      </c>
      <c r="K20">
        <v>25</v>
      </c>
      <c r="L20" s="1" t="s">
        <v>109</v>
      </c>
      <c r="M20" s="1" t="s">
        <v>110</v>
      </c>
      <c r="N20" s="1" t="s">
        <v>103</v>
      </c>
      <c r="O20" s="1" t="s">
        <v>46</v>
      </c>
      <c r="P20" s="1" t="s">
        <v>42</v>
      </c>
      <c r="Q20" s="1" t="s">
        <v>42</v>
      </c>
      <c r="R20" s="1" t="s">
        <v>43</v>
      </c>
      <c r="S20" t="s">
        <v>44</v>
      </c>
    </row>
    <row r="21" spans="1:19" x14ac:dyDescent="0.25">
      <c r="A21" s="1" t="s">
        <v>203</v>
      </c>
      <c r="B21">
        <v>1470222</v>
      </c>
      <c r="C21">
        <v>4</v>
      </c>
      <c r="D21">
        <v>2022</v>
      </c>
      <c r="E21" vm="183">
        <f>VLOOKUP(Indicador[[#This Row],[ID do Item]],procv,2,FALSE)</f>
        <v>0.3719676549865229</v>
      </c>
      <c r="F21">
        <v>0.3</v>
      </c>
      <c r="G21">
        <v>0</v>
      </c>
      <c r="J21">
        <v>0.3</v>
      </c>
      <c r="K21">
        <v>0</v>
      </c>
      <c r="L21" s="1" t="s">
        <v>111</v>
      </c>
      <c r="M21" s="1" t="s">
        <v>110</v>
      </c>
      <c r="N21" s="1" t="s">
        <v>103</v>
      </c>
      <c r="O21" s="1" t="s">
        <v>46</v>
      </c>
      <c r="P21" s="1" t="s">
        <v>42</v>
      </c>
      <c r="Q21" s="1" t="s">
        <v>42</v>
      </c>
      <c r="R21" s="1" t="s">
        <v>43</v>
      </c>
      <c r="S21" t="s">
        <v>44</v>
      </c>
    </row>
    <row r="22" spans="1:19" x14ac:dyDescent="0.25">
      <c r="A22" s="1" t="s">
        <v>203</v>
      </c>
      <c r="B22">
        <v>1470223</v>
      </c>
      <c r="C22">
        <v>4</v>
      </c>
      <c r="D22">
        <v>2022</v>
      </c>
      <c r="E22" vm="164">
        <f>VLOOKUP(Indicador[[#This Row],[ID do Item]],procv,2,FALSE)</f>
        <v>1.7250000000000001</v>
      </c>
      <c r="F22">
        <v>1</v>
      </c>
      <c r="G22">
        <v>3</v>
      </c>
      <c r="J22">
        <v>2</v>
      </c>
      <c r="K22">
        <v>3</v>
      </c>
      <c r="L22" s="1" t="s">
        <v>112</v>
      </c>
      <c r="M22" s="1" t="s">
        <v>110</v>
      </c>
      <c r="N22" s="1" t="s">
        <v>103</v>
      </c>
      <c r="O22" s="1" t="s">
        <v>46</v>
      </c>
      <c r="P22" s="1" t="s">
        <v>42</v>
      </c>
      <c r="Q22" s="1" t="s">
        <v>42</v>
      </c>
      <c r="R22" s="1" t="s">
        <v>43</v>
      </c>
      <c r="S22" t="s">
        <v>44</v>
      </c>
    </row>
    <row r="23" spans="1:19" x14ac:dyDescent="0.25">
      <c r="A23" s="1" t="s">
        <v>203</v>
      </c>
      <c r="B23">
        <v>1460899</v>
      </c>
      <c r="C23">
        <v>4</v>
      </c>
      <c r="D23">
        <v>2022</v>
      </c>
      <c r="E23" vm="190">
        <f>VLOOKUP(Indicador[[#This Row],[ID do Item]],procv,2,FALSE)</f>
        <v>394.40156387665189</v>
      </c>
      <c r="F23">
        <v>200</v>
      </c>
      <c r="G23">
        <v>400</v>
      </c>
      <c r="J23">
        <v>200</v>
      </c>
      <c r="K23">
        <v>400</v>
      </c>
      <c r="L23" s="1" t="s">
        <v>114</v>
      </c>
      <c r="M23" s="1" t="s">
        <v>40</v>
      </c>
      <c r="N23" s="1" t="s">
        <v>103</v>
      </c>
      <c r="O23" s="1" t="s">
        <v>46</v>
      </c>
      <c r="P23" s="1" t="s">
        <v>42</v>
      </c>
      <c r="Q23" s="1" t="s">
        <v>42</v>
      </c>
      <c r="R23" s="1" t="s">
        <v>43</v>
      </c>
      <c r="S23" t="s">
        <v>44</v>
      </c>
    </row>
    <row r="24" spans="1:19" x14ac:dyDescent="0.25">
      <c r="A24" s="1" t="s">
        <v>203</v>
      </c>
      <c r="B24">
        <v>1460979</v>
      </c>
      <c r="C24">
        <v>4</v>
      </c>
      <c r="D24">
        <v>2022</v>
      </c>
      <c r="E24" vm="172">
        <f>VLOOKUP(Indicador[[#This Row],[ID do Item]],procv,2,FALSE)</f>
        <v>41</v>
      </c>
      <c r="F24">
        <v>53</v>
      </c>
      <c r="J24">
        <v>66</v>
      </c>
      <c r="L24" s="1" t="s">
        <v>115</v>
      </c>
      <c r="M24" s="1" t="s">
        <v>47</v>
      </c>
      <c r="N24" s="1" t="s">
        <v>116</v>
      </c>
      <c r="O24" s="1" t="s">
        <v>41</v>
      </c>
      <c r="P24" s="1" t="s">
        <v>43</v>
      </c>
      <c r="Q24" s="1" t="s">
        <v>42</v>
      </c>
      <c r="R24" s="1" t="s">
        <v>43</v>
      </c>
      <c r="S24" t="s">
        <v>44</v>
      </c>
    </row>
    <row r="25" spans="1:19" x14ac:dyDescent="0.25">
      <c r="A25" s="1" t="s">
        <v>203</v>
      </c>
      <c r="B25">
        <v>1460929</v>
      </c>
      <c r="C25">
        <v>4</v>
      </c>
      <c r="D25">
        <v>2022</v>
      </c>
      <c r="E25" t="str" vm="151">
        <f>VLOOKUP(Indicador[[#This Row],[ID do Item]],procv,2,FALSE)</f>
        <v/>
      </c>
      <c r="F25">
        <v>0</v>
      </c>
      <c r="J25">
        <v>0</v>
      </c>
      <c r="L25" s="1" t="s">
        <v>117</v>
      </c>
      <c r="M25" s="1" t="s">
        <v>47</v>
      </c>
      <c r="N25" s="1" t="s">
        <v>116</v>
      </c>
      <c r="O25" s="1" t="s">
        <v>41</v>
      </c>
      <c r="P25" s="1" t="s">
        <v>43</v>
      </c>
      <c r="Q25" s="1" t="s">
        <v>42</v>
      </c>
      <c r="R25" s="1" t="s">
        <v>43</v>
      </c>
      <c r="S25" t="s">
        <v>44</v>
      </c>
    </row>
    <row r="26" spans="1:19" x14ac:dyDescent="0.25">
      <c r="A26" s="1" t="s">
        <v>203</v>
      </c>
      <c r="B26">
        <v>1460923</v>
      </c>
      <c r="C26">
        <v>4</v>
      </c>
      <c r="D26">
        <v>2022</v>
      </c>
      <c r="E26" vm="180">
        <f>VLOOKUP(Indicador[[#This Row],[ID do Item]],procv,2,FALSE)</f>
        <v>14</v>
      </c>
      <c r="F26">
        <v>5</v>
      </c>
      <c r="J26">
        <v>6</v>
      </c>
      <c r="L26" s="1" t="s">
        <v>118</v>
      </c>
      <c r="M26" s="1" t="s">
        <v>47</v>
      </c>
      <c r="N26" s="1" t="s">
        <v>116</v>
      </c>
      <c r="O26" s="1" t="s">
        <v>41</v>
      </c>
      <c r="P26" s="1" t="s">
        <v>43</v>
      </c>
      <c r="Q26" s="1" t="s">
        <v>42</v>
      </c>
      <c r="R26" s="1" t="s">
        <v>43</v>
      </c>
      <c r="S26" t="s">
        <v>44</v>
      </c>
    </row>
    <row r="27" spans="1:19" x14ac:dyDescent="0.25">
      <c r="A27" s="1" t="s">
        <v>203</v>
      </c>
      <c r="B27">
        <v>1460915</v>
      </c>
      <c r="C27">
        <v>4</v>
      </c>
      <c r="D27">
        <v>2022</v>
      </c>
      <c r="E27" vm="175">
        <f>VLOOKUP(Indicador[[#This Row],[ID do Item]],procv,2,FALSE)</f>
        <v>18</v>
      </c>
      <c r="F27">
        <v>9</v>
      </c>
      <c r="J27">
        <v>11</v>
      </c>
      <c r="L27" s="1" t="s">
        <v>60</v>
      </c>
      <c r="M27" s="1" t="s">
        <v>47</v>
      </c>
      <c r="N27" s="1" t="s">
        <v>116</v>
      </c>
      <c r="O27" s="1" t="s">
        <v>41</v>
      </c>
      <c r="P27" s="1" t="s">
        <v>43</v>
      </c>
      <c r="Q27" s="1" t="s">
        <v>42</v>
      </c>
      <c r="R27" s="1" t="s">
        <v>43</v>
      </c>
      <c r="S27" t="s">
        <v>44</v>
      </c>
    </row>
    <row r="28" spans="1:19" x14ac:dyDescent="0.25">
      <c r="A28" s="1" t="s">
        <v>203</v>
      </c>
      <c r="B28">
        <v>1460936</v>
      </c>
      <c r="C28">
        <v>4</v>
      </c>
      <c r="D28">
        <v>2022</v>
      </c>
      <c r="E28" vm="156">
        <f>VLOOKUP(Indicador[[#This Row],[ID do Item]],procv,2,FALSE)</f>
        <v>13</v>
      </c>
      <c r="F28">
        <v>91</v>
      </c>
      <c r="J28">
        <v>121</v>
      </c>
      <c r="L28" s="1" t="s">
        <v>119</v>
      </c>
      <c r="M28" s="1" t="s">
        <v>47</v>
      </c>
      <c r="N28" s="1" t="s">
        <v>116</v>
      </c>
      <c r="O28" s="1" t="s">
        <v>41</v>
      </c>
      <c r="P28" s="1" t="s">
        <v>43</v>
      </c>
      <c r="Q28" s="1" t="s">
        <v>42</v>
      </c>
      <c r="R28" s="1" t="s">
        <v>43</v>
      </c>
      <c r="S28" t="s">
        <v>44</v>
      </c>
    </row>
    <row r="29" spans="1:19" x14ac:dyDescent="0.25">
      <c r="A29" s="1" t="s">
        <v>203</v>
      </c>
      <c r="B29">
        <v>1464952</v>
      </c>
      <c r="C29">
        <v>4</v>
      </c>
      <c r="D29">
        <v>2022</v>
      </c>
      <c r="E29" vm="137">
        <f>VLOOKUP(Indicador[[#This Row],[ID do Item]],procv,2,FALSE)</f>
        <v>19</v>
      </c>
      <c r="F29">
        <v>44</v>
      </c>
      <c r="J29">
        <v>53</v>
      </c>
      <c r="L29" s="1" t="s">
        <v>120</v>
      </c>
      <c r="M29" s="1" t="s">
        <v>47</v>
      </c>
      <c r="N29" s="1" t="s">
        <v>116</v>
      </c>
      <c r="O29" s="1" t="s">
        <v>41</v>
      </c>
      <c r="P29" s="1" t="s">
        <v>43</v>
      </c>
      <c r="Q29" s="1" t="s">
        <v>42</v>
      </c>
      <c r="R29" s="1" t="s">
        <v>43</v>
      </c>
      <c r="S29" t="s">
        <v>44</v>
      </c>
    </row>
    <row r="30" spans="1:19" x14ac:dyDescent="0.25">
      <c r="A30" s="1" t="s">
        <v>203</v>
      </c>
      <c r="B30">
        <v>1460978</v>
      </c>
      <c r="C30">
        <v>4</v>
      </c>
      <c r="D30">
        <v>2022</v>
      </c>
      <c r="E30" vm="173">
        <f>VLOOKUP(Indicador[[#This Row],[ID do Item]],procv,2,FALSE)</f>
        <v>1186.5900000000004</v>
      </c>
      <c r="F30">
        <v>1219</v>
      </c>
      <c r="J30">
        <v>1399.11</v>
      </c>
      <c r="L30" s="1" t="s">
        <v>121</v>
      </c>
      <c r="M30" s="1" t="s">
        <v>40</v>
      </c>
      <c r="N30" s="1" t="s">
        <v>116</v>
      </c>
      <c r="O30" s="1" t="s">
        <v>41</v>
      </c>
      <c r="P30" s="1" t="s">
        <v>43</v>
      </c>
      <c r="Q30" s="1" t="s">
        <v>42</v>
      </c>
      <c r="R30" s="1" t="s">
        <v>43</v>
      </c>
      <c r="S30" t="s">
        <v>44</v>
      </c>
    </row>
    <row r="31" spans="1:19" x14ac:dyDescent="0.25">
      <c r="A31" s="1" t="s">
        <v>203</v>
      </c>
      <c r="B31">
        <v>1460927</v>
      </c>
      <c r="C31">
        <v>4</v>
      </c>
      <c r="D31">
        <v>2022</v>
      </c>
      <c r="E31" t="str" vm="150">
        <f>VLOOKUP(Indicador[[#This Row],[ID do Item]],procv,2,FALSE)</f>
        <v/>
      </c>
      <c r="F31">
        <v>0</v>
      </c>
      <c r="J31">
        <v>0</v>
      </c>
      <c r="L31" s="1" t="s">
        <v>122</v>
      </c>
      <c r="M31" s="1" t="s">
        <v>40</v>
      </c>
      <c r="N31" s="1" t="s">
        <v>116</v>
      </c>
      <c r="O31" s="1" t="s">
        <v>41</v>
      </c>
      <c r="P31" s="1" t="s">
        <v>43</v>
      </c>
      <c r="Q31" s="1" t="s">
        <v>42</v>
      </c>
      <c r="R31" s="1" t="s">
        <v>43</v>
      </c>
      <c r="S31" t="s">
        <v>44</v>
      </c>
    </row>
    <row r="32" spans="1:19" x14ac:dyDescent="0.25">
      <c r="A32" s="1" t="s">
        <v>203</v>
      </c>
      <c r="B32">
        <v>1460919</v>
      </c>
      <c r="C32">
        <v>4</v>
      </c>
      <c r="D32">
        <v>2022</v>
      </c>
      <c r="E32" vm="140">
        <f>VLOOKUP(Indicador[[#This Row],[ID do Item]],procv,2,FALSE)</f>
        <v>8150</v>
      </c>
      <c r="F32">
        <v>2850</v>
      </c>
      <c r="J32">
        <v>3152.04</v>
      </c>
      <c r="L32" s="1" t="s">
        <v>123</v>
      </c>
      <c r="M32" s="1" t="s">
        <v>40</v>
      </c>
      <c r="N32" s="1" t="s">
        <v>116</v>
      </c>
      <c r="O32" s="1" t="s">
        <v>41</v>
      </c>
      <c r="P32" s="1" t="s">
        <v>43</v>
      </c>
      <c r="Q32" s="1" t="s">
        <v>42</v>
      </c>
      <c r="R32" s="1" t="s">
        <v>43</v>
      </c>
      <c r="S32" t="s">
        <v>44</v>
      </c>
    </row>
    <row r="33" spans="1:19" x14ac:dyDescent="0.25">
      <c r="A33" s="1" t="s">
        <v>203</v>
      </c>
      <c r="B33">
        <v>1460917</v>
      </c>
      <c r="C33">
        <v>4</v>
      </c>
      <c r="D33">
        <v>2022</v>
      </c>
      <c r="E33" vm="181">
        <f>VLOOKUP(Indicador[[#This Row],[ID do Item]],procv,2,FALSE)</f>
        <v>16292.5</v>
      </c>
      <c r="F33">
        <v>6965</v>
      </c>
      <c r="J33">
        <v>7783.13</v>
      </c>
      <c r="L33" s="1" t="s">
        <v>124</v>
      </c>
      <c r="M33" s="1" t="s">
        <v>40</v>
      </c>
      <c r="N33" s="1" t="s">
        <v>116</v>
      </c>
      <c r="O33" s="1" t="s">
        <v>41</v>
      </c>
      <c r="P33" s="1" t="s">
        <v>43</v>
      </c>
      <c r="Q33" s="1" t="s">
        <v>42</v>
      </c>
      <c r="R33" s="1" t="s">
        <v>43</v>
      </c>
      <c r="S33" t="s">
        <v>44</v>
      </c>
    </row>
    <row r="34" spans="1:19" x14ac:dyDescent="0.25">
      <c r="A34" s="1" t="s">
        <v>203</v>
      </c>
      <c r="B34">
        <v>1460934</v>
      </c>
      <c r="C34">
        <v>4</v>
      </c>
      <c r="D34">
        <v>2022</v>
      </c>
      <c r="E34" vm="166">
        <f>VLOOKUP(Indicador[[#This Row],[ID do Item]],procv,2,FALSE)</f>
        <v>63.65</v>
      </c>
      <c r="F34">
        <v>243</v>
      </c>
      <c r="J34">
        <v>269.33</v>
      </c>
      <c r="L34" s="1" t="s">
        <v>125</v>
      </c>
      <c r="M34" s="1" t="s">
        <v>40</v>
      </c>
      <c r="N34" s="1" t="s">
        <v>116</v>
      </c>
      <c r="O34" s="1" t="s">
        <v>41</v>
      </c>
      <c r="P34" s="1" t="s">
        <v>43</v>
      </c>
      <c r="Q34" s="1" t="s">
        <v>42</v>
      </c>
      <c r="R34" s="1" t="s">
        <v>43</v>
      </c>
      <c r="S34" t="s">
        <v>44</v>
      </c>
    </row>
    <row r="35" spans="1:19" x14ac:dyDescent="0.25">
      <c r="A35" s="1" t="s">
        <v>203</v>
      </c>
      <c r="B35">
        <v>1464948</v>
      </c>
      <c r="C35">
        <v>4</v>
      </c>
      <c r="D35">
        <v>2022</v>
      </c>
      <c r="E35" vm="155">
        <f>VLOOKUP(Indicador[[#This Row],[ID do Item]],procv,2,FALSE)</f>
        <v>5600</v>
      </c>
      <c r="F35">
        <v>8450</v>
      </c>
      <c r="J35">
        <v>9830.5300000000007</v>
      </c>
      <c r="L35" s="1" t="s">
        <v>126</v>
      </c>
      <c r="M35" s="1" t="s">
        <v>40</v>
      </c>
      <c r="N35" s="1" t="s">
        <v>116</v>
      </c>
      <c r="O35" s="1" t="s">
        <v>41</v>
      </c>
      <c r="P35" s="1" t="s">
        <v>43</v>
      </c>
      <c r="Q35" s="1" t="s">
        <v>42</v>
      </c>
      <c r="R35" s="1" t="s">
        <v>43</v>
      </c>
      <c r="S35" t="s">
        <v>44</v>
      </c>
    </row>
    <row r="36" spans="1:19" x14ac:dyDescent="0.25">
      <c r="A36" s="1" t="s">
        <v>203</v>
      </c>
      <c r="B36">
        <v>1460932</v>
      </c>
      <c r="C36">
        <v>4</v>
      </c>
      <c r="D36">
        <v>2022</v>
      </c>
      <c r="E36">
        <f>VLOOKUP(Indicador[[#This Row],[ID do Item]],procv,2,FALSE)</f>
        <v>19377.864000000005</v>
      </c>
      <c r="F36">
        <v>16795</v>
      </c>
      <c r="J36">
        <v>19042.18</v>
      </c>
      <c r="L36" s="1" t="s">
        <v>127</v>
      </c>
      <c r="M36" s="1" t="s">
        <v>40</v>
      </c>
      <c r="N36" s="1" t="s">
        <v>116</v>
      </c>
      <c r="O36" s="1" t="s">
        <v>41</v>
      </c>
      <c r="P36" s="1" t="s">
        <v>43</v>
      </c>
      <c r="Q36" s="1" t="s">
        <v>42</v>
      </c>
      <c r="R36" s="1" t="s">
        <v>43</v>
      </c>
      <c r="S36" t="s">
        <v>44</v>
      </c>
    </row>
    <row r="37" spans="1:19" x14ac:dyDescent="0.25">
      <c r="A37" s="1" t="s">
        <v>203</v>
      </c>
      <c r="B37">
        <v>1460931</v>
      </c>
      <c r="C37">
        <v>4</v>
      </c>
      <c r="D37">
        <v>2022</v>
      </c>
      <c r="E37" vm="200">
        <f>VLOOKUP(Indicador[[#This Row],[ID do Item]],procv,2,FALSE)</f>
        <v>19075</v>
      </c>
      <c r="F37">
        <v>21400</v>
      </c>
      <c r="J37">
        <v>24362.36</v>
      </c>
      <c r="L37" s="1" t="s">
        <v>128</v>
      </c>
      <c r="M37" s="1" t="s">
        <v>40</v>
      </c>
      <c r="N37" s="1" t="s">
        <v>116</v>
      </c>
      <c r="O37" s="1" t="s">
        <v>41</v>
      </c>
      <c r="P37" s="1" t="s">
        <v>43</v>
      </c>
      <c r="Q37" s="1" t="s">
        <v>42</v>
      </c>
      <c r="R37" s="1" t="s">
        <v>43</v>
      </c>
      <c r="S37" t="s">
        <v>44</v>
      </c>
    </row>
    <row r="38" spans="1:19" x14ac:dyDescent="0.25">
      <c r="A38" s="1" t="s">
        <v>203</v>
      </c>
      <c r="B38">
        <v>1460935</v>
      </c>
      <c r="C38">
        <v>4</v>
      </c>
      <c r="D38">
        <v>2022</v>
      </c>
      <c r="E38" vm="187">
        <f>VLOOKUP(Indicador[[#This Row],[ID do Item]],procv,2,FALSE)</f>
        <v>3130.8</v>
      </c>
      <c r="F38">
        <v>3411</v>
      </c>
      <c r="J38">
        <v>3921.84</v>
      </c>
      <c r="L38" s="1" t="s">
        <v>129</v>
      </c>
      <c r="M38" s="1" t="s">
        <v>40</v>
      </c>
      <c r="N38" s="1" t="s">
        <v>116</v>
      </c>
      <c r="O38" s="1" t="s">
        <v>41</v>
      </c>
      <c r="P38" s="1" t="s">
        <v>43</v>
      </c>
      <c r="Q38" s="1" t="s">
        <v>42</v>
      </c>
      <c r="R38" s="1" t="s">
        <v>43</v>
      </c>
      <c r="S38" t="s">
        <v>44</v>
      </c>
    </row>
    <row r="39" spans="1:19" x14ac:dyDescent="0.25">
      <c r="A39" s="1" t="s">
        <v>203</v>
      </c>
      <c r="B39">
        <v>1460937</v>
      </c>
      <c r="C39">
        <v>4</v>
      </c>
      <c r="D39">
        <v>2022</v>
      </c>
      <c r="E39">
        <f>VLOOKUP(Indicador[[#This Row],[ID do Item]],procv,2,FALSE)</f>
        <v>1996.1999999999998</v>
      </c>
      <c r="F39">
        <v>2276</v>
      </c>
      <c r="J39">
        <v>2955</v>
      </c>
      <c r="L39" s="1" t="s">
        <v>130</v>
      </c>
      <c r="M39" s="1" t="s">
        <v>47</v>
      </c>
      <c r="N39" s="1" t="s">
        <v>116</v>
      </c>
      <c r="O39" s="1" t="s">
        <v>41</v>
      </c>
      <c r="P39" s="1" t="s">
        <v>43</v>
      </c>
      <c r="Q39" s="1" t="s">
        <v>42</v>
      </c>
      <c r="R39" s="1" t="s">
        <v>43</v>
      </c>
      <c r="S39" t="s">
        <v>44</v>
      </c>
    </row>
    <row r="40" spans="1:19" x14ac:dyDescent="0.25">
      <c r="A40" s="1" t="s">
        <v>203</v>
      </c>
      <c r="B40">
        <v>1460930</v>
      </c>
      <c r="C40">
        <v>4</v>
      </c>
      <c r="D40">
        <v>2022</v>
      </c>
      <c r="E40" vm="203">
        <f>VLOOKUP(Indicador[[#This Row],[ID do Item]],procv,2,FALSE)</f>
        <v>59</v>
      </c>
      <c r="F40">
        <v>71</v>
      </c>
      <c r="J40">
        <v>87</v>
      </c>
      <c r="L40" s="1" t="s">
        <v>131</v>
      </c>
      <c r="M40" s="1" t="s">
        <v>47</v>
      </c>
      <c r="N40" s="1" t="s">
        <v>116</v>
      </c>
      <c r="O40" s="1" t="s">
        <v>41</v>
      </c>
      <c r="P40" s="1" t="s">
        <v>43</v>
      </c>
      <c r="Q40" s="1" t="s">
        <v>42</v>
      </c>
      <c r="R40" s="1" t="s">
        <v>43</v>
      </c>
      <c r="S40" t="s">
        <v>44</v>
      </c>
    </row>
    <row r="41" spans="1:19" x14ac:dyDescent="0.25">
      <c r="A41" s="1" t="s">
        <v>203</v>
      </c>
      <c r="B41">
        <v>1460980</v>
      </c>
      <c r="C41">
        <v>4</v>
      </c>
      <c r="D41">
        <v>2022</v>
      </c>
      <c r="E41" vm="202">
        <f>VLOOKUP(Indicador[[#This Row],[ID do Item]],procv,2,FALSE)</f>
        <v>28.941219512195133</v>
      </c>
      <c r="F41">
        <v>20</v>
      </c>
      <c r="G41">
        <v>33</v>
      </c>
      <c r="J41">
        <v>25</v>
      </c>
      <c r="K41">
        <v>35</v>
      </c>
      <c r="L41" s="1" t="s">
        <v>132</v>
      </c>
      <c r="M41" s="1" t="s">
        <v>40</v>
      </c>
      <c r="N41" s="1" t="s">
        <v>116</v>
      </c>
      <c r="O41" s="1" t="s">
        <v>46</v>
      </c>
      <c r="P41" s="1" t="s">
        <v>43</v>
      </c>
      <c r="Q41" s="1" t="s">
        <v>42</v>
      </c>
      <c r="R41" s="1" t="s">
        <v>43</v>
      </c>
      <c r="S41" t="s">
        <v>44</v>
      </c>
    </row>
    <row r="42" spans="1:19" x14ac:dyDescent="0.25">
      <c r="A42" s="1" t="s">
        <v>203</v>
      </c>
      <c r="B42">
        <v>1460928</v>
      </c>
      <c r="C42">
        <v>4</v>
      </c>
      <c r="D42">
        <v>2022</v>
      </c>
      <c r="E42" t="str" vm="169">
        <f>VLOOKUP(Indicador[[#This Row],[ID do Item]],procv,2,FALSE)</f>
        <v/>
      </c>
      <c r="F42">
        <v>300</v>
      </c>
      <c r="G42">
        <v>400</v>
      </c>
      <c r="J42">
        <v>300</v>
      </c>
      <c r="K42">
        <v>400</v>
      </c>
      <c r="L42" s="1" t="s">
        <v>133</v>
      </c>
      <c r="M42" s="1" t="s">
        <v>40</v>
      </c>
      <c r="N42" s="1" t="s">
        <v>116</v>
      </c>
      <c r="O42" s="1" t="s">
        <v>46</v>
      </c>
      <c r="P42" s="1" t="s">
        <v>43</v>
      </c>
      <c r="Q42" s="1" t="s">
        <v>42</v>
      </c>
      <c r="R42" s="1" t="s">
        <v>43</v>
      </c>
      <c r="S42" t="s">
        <v>44</v>
      </c>
    </row>
    <row r="43" spans="1:19" x14ac:dyDescent="0.25">
      <c r="A43" s="1" t="s">
        <v>203</v>
      </c>
      <c r="B43">
        <v>1460922</v>
      </c>
      <c r="C43">
        <v>4</v>
      </c>
      <c r="D43">
        <v>2022</v>
      </c>
      <c r="E43" vm="138">
        <f>VLOOKUP(Indicador[[#This Row],[ID do Item]],procv,2,FALSE)</f>
        <v>582.14285714285711</v>
      </c>
      <c r="F43">
        <v>600</v>
      </c>
      <c r="G43">
        <v>870</v>
      </c>
      <c r="J43">
        <v>650</v>
      </c>
      <c r="K43">
        <v>900</v>
      </c>
      <c r="L43" s="1" t="s">
        <v>134</v>
      </c>
      <c r="M43" s="1" t="s">
        <v>40</v>
      </c>
      <c r="N43" s="1" t="s">
        <v>116</v>
      </c>
      <c r="O43" s="1" t="s">
        <v>46</v>
      </c>
      <c r="P43" s="1" t="s">
        <v>43</v>
      </c>
      <c r="Q43" s="1" t="s">
        <v>42</v>
      </c>
      <c r="R43" s="1" t="s">
        <v>43</v>
      </c>
      <c r="S43" t="s">
        <v>44</v>
      </c>
    </row>
    <row r="44" spans="1:19" x14ac:dyDescent="0.25">
      <c r="A44" s="1" t="s">
        <v>203</v>
      </c>
      <c r="B44">
        <v>1460920</v>
      </c>
      <c r="C44">
        <v>4</v>
      </c>
      <c r="D44">
        <v>2022</v>
      </c>
      <c r="E44" vm="159">
        <f>VLOOKUP(Indicador[[#This Row],[ID do Item]],procv,2,FALSE)</f>
        <v>905.13888888888891</v>
      </c>
      <c r="F44">
        <v>650</v>
      </c>
      <c r="G44">
        <v>900</v>
      </c>
      <c r="J44">
        <v>690</v>
      </c>
      <c r="K44">
        <v>950</v>
      </c>
      <c r="L44" s="1" t="s">
        <v>135</v>
      </c>
      <c r="M44" s="1" t="s">
        <v>40</v>
      </c>
      <c r="N44" s="1" t="s">
        <v>116</v>
      </c>
      <c r="O44" s="1" t="s">
        <v>46</v>
      </c>
      <c r="P44" s="1" t="s">
        <v>43</v>
      </c>
      <c r="Q44" s="1" t="s">
        <v>42</v>
      </c>
      <c r="R44" s="1" t="s">
        <v>43</v>
      </c>
      <c r="S44" t="s">
        <v>44</v>
      </c>
    </row>
    <row r="45" spans="1:19" x14ac:dyDescent="0.25">
      <c r="A45" s="1" t="s">
        <v>203</v>
      </c>
      <c r="B45">
        <v>1460939</v>
      </c>
      <c r="C45">
        <v>4</v>
      </c>
      <c r="D45">
        <v>2022</v>
      </c>
      <c r="E45" vm="141">
        <f>VLOOKUP(Indicador[[#This Row],[ID do Item]],procv,2,FALSE)</f>
        <v>4.8961538461538456</v>
      </c>
      <c r="F45">
        <v>3</v>
      </c>
      <c r="G45">
        <v>5</v>
      </c>
      <c r="J45">
        <v>3</v>
      </c>
      <c r="K45">
        <v>5</v>
      </c>
      <c r="L45" s="1" t="s">
        <v>137</v>
      </c>
      <c r="M45" s="1" t="s">
        <v>40</v>
      </c>
      <c r="N45" s="1" t="s">
        <v>116</v>
      </c>
      <c r="O45" s="1" t="s">
        <v>46</v>
      </c>
      <c r="P45" s="1" t="s">
        <v>43</v>
      </c>
      <c r="Q45" s="1" t="s">
        <v>42</v>
      </c>
      <c r="R45" s="1" t="s">
        <v>43</v>
      </c>
      <c r="S45" t="s">
        <v>44</v>
      </c>
    </row>
    <row r="46" spans="1:19" x14ac:dyDescent="0.25">
      <c r="A46" s="1" t="s">
        <v>203</v>
      </c>
      <c r="B46">
        <v>1464953</v>
      </c>
      <c r="C46">
        <v>4</v>
      </c>
      <c r="D46">
        <v>2022</v>
      </c>
      <c r="E46" vm="158">
        <f>VLOOKUP(Indicador[[#This Row],[ID do Item]],procv,2,FALSE)</f>
        <v>294.73684210526318</v>
      </c>
      <c r="F46">
        <v>190</v>
      </c>
      <c r="G46">
        <v>300</v>
      </c>
      <c r="J46">
        <v>190</v>
      </c>
      <c r="K46">
        <v>300</v>
      </c>
      <c r="L46" s="1" t="s">
        <v>138</v>
      </c>
      <c r="M46" s="1" t="s">
        <v>40</v>
      </c>
      <c r="N46" s="1" t="s">
        <v>116</v>
      </c>
      <c r="O46" s="1" t="s">
        <v>46</v>
      </c>
      <c r="P46" s="1" t="s">
        <v>43</v>
      </c>
      <c r="Q46" s="1" t="s">
        <v>42</v>
      </c>
      <c r="R46" s="1" t="s">
        <v>43</v>
      </c>
      <c r="S46" t="s">
        <v>44</v>
      </c>
    </row>
    <row r="47" spans="1:19" x14ac:dyDescent="0.25">
      <c r="A47" s="1" t="s">
        <v>203</v>
      </c>
      <c r="B47">
        <v>1460941</v>
      </c>
      <c r="C47">
        <v>4</v>
      </c>
      <c r="D47">
        <v>2022</v>
      </c>
      <c r="E47">
        <f>VLOOKUP(Indicador[[#This Row],[ID do Item]],procv,2,FALSE)</f>
        <v>6.034259259259259</v>
      </c>
      <c r="F47">
        <v>6</v>
      </c>
      <c r="G47">
        <v>10</v>
      </c>
      <c r="J47">
        <v>6</v>
      </c>
      <c r="K47">
        <v>10</v>
      </c>
      <c r="L47" s="1" t="s">
        <v>139</v>
      </c>
      <c r="M47" s="1" t="s">
        <v>40</v>
      </c>
      <c r="N47" s="1" t="s">
        <v>116</v>
      </c>
      <c r="O47" s="1" t="s">
        <v>46</v>
      </c>
      <c r="P47" s="1" t="s">
        <v>43</v>
      </c>
      <c r="Q47" s="1" t="s">
        <v>42</v>
      </c>
      <c r="R47" s="1" t="s">
        <v>43</v>
      </c>
      <c r="S47" t="s">
        <v>44</v>
      </c>
    </row>
    <row r="48" spans="1:19" x14ac:dyDescent="0.25">
      <c r="A48" s="1" t="s">
        <v>203</v>
      </c>
      <c r="B48">
        <v>1460938</v>
      </c>
      <c r="C48">
        <v>4</v>
      </c>
      <c r="D48">
        <v>2022</v>
      </c>
      <c r="E48" vm="161">
        <f>VLOOKUP(Indicador[[#This Row],[ID do Item]],procv,2,FALSE)</f>
        <v>323.30508474576271</v>
      </c>
      <c r="F48">
        <v>300</v>
      </c>
      <c r="G48">
        <v>400</v>
      </c>
      <c r="J48">
        <v>350</v>
      </c>
      <c r="K48">
        <v>450</v>
      </c>
      <c r="L48" s="1" t="s">
        <v>140</v>
      </c>
      <c r="M48" s="1" t="s">
        <v>40</v>
      </c>
      <c r="N48" s="1" t="s">
        <v>116</v>
      </c>
      <c r="O48" s="1" t="s">
        <v>46</v>
      </c>
      <c r="P48" s="1" t="s">
        <v>43</v>
      </c>
      <c r="Q48" s="1" t="s">
        <v>42</v>
      </c>
      <c r="R48" s="1" t="s">
        <v>43</v>
      </c>
      <c r="S48" t="s">
        <v>44</v>
      </c>
    </row>
    <row r="49" spans="1:19" x14ac:dyDescent="0.25">
      <c r="A49" s="1" t="s">
        <v>203</v>
      </c>
      <c r="B49">
        <v>1460942</v>
      </c>
      <c r="C49">
        <v>4</v>
      </c>
      <c r="D49">
        <v>2022</v>
      </c>
      <c r="E49" vm="139">
        <f>VLOOKUP(Indicador[[#This Row],[ID do Item]],procv,2,FALSE)</f>
        <v>149.08571428571429</v>
      </c>
      <c r="F49">
        <v>130</v>
      </c>
      <c r="G49">
        <v>190</v>
      </c>
      <c r="J49">
        <v>155</v>
      </c>
      <c r="K49">
        <v>210</v>
      </c>
      <c r="L49" s="1" t="s">
        <v>141</v>
      </c>
      <c r="M49" s="1" t="s">
        <v>40</v>
      </c>
      <c r="N49" s="1" t="s">
        <v>116</v>
      </c>
      <c r="O49" s="1" t="s">
        <v>46</v>
      </c>
      <c r="P49" s="1" t="s">
        <v>43</v>
      </c>
      <c r="Q49" s="1" t="s">
        <v>42</v>
      </c>
      <c r="R49" s="1" t="s">
        <v>43</v>
      </c>
      <c r="S49" t="s">
        <v>44</v>
      </c>
    </row>
    <row r="50" spans="1:19" x14ac:dyDescent="0.25">
      <c r="A50" s="1" t="s">
        <v>203</v>
      </c>
      <c r="B50">
        <v>1460943</v>
      </c>
      <c r="C50">
        <v>4</v>
      </c>
      <c r="D50">
        <v>2022</v>
      </c>
      <c r="E50" vm="192">
        <f>VLOOKUP(Indicador[[#This Row],[ID do Item]],procv,2,FALSE)</f>
        <v>21</v>
      </c>
      <c r="F50">
        <v>26</v>
      </c>
      <c r="J50">
        <v>26</v>
      </c>
      <c r="L50" s="1" t="s">
        <v>142</v>
      </c>
      <c r="M50" s="1" t="s">
        <v>47</v>
      </c>
      <c r="N50" s="1" t="s">
        <v>116</v>
      </c>
      <c r="O50" s="1" t="s">
        <v>41</v>
      </c>
      <c r="P50" s="1" t="s">
        <v>43</v>
      </c>
      <c r="Q50" s="1" t="s">
        <v>42</v>
      </c>
      <c r="R50" s="1" t="s">
        <v>43</v>
      </c>
      <c r="S50" t="s">
        <v>44</v>
      </c>
    </row>
    <row r="51" spans="1:19" x14ac:dyDescent="0.25">
      <c r="A51" s="1" t="s">
        <v>203</v>
      </c>
      <c r="B51">
        <v>1464945</v>
      </c>
      <c r="C51">
        <v>4</v>
      </c>
      <c r="D51">
        <v>2022</v>
      </c>
      <c r="E51" vm="160">
        <f>VLOOKUP(Indicador[[#This Row],[ID do Item]],procv,2,FALSE)</f>
        <v>169</v>
      </c>
      <c r="F51">
        <v>114</v>
      </c>
      <c r="J51">
        <v>113</v>
      </c>
      <c r="L51" s="1" t="s">
        <v>82</v>
      </c>
      <c r="M51" s="1" t="s">
        <v>47</v>
      </c>
      <c r="N51" s="1" t="s">
        <v>198</v>
      </c>
      <c r="O51" s="1" t="s">
        <v>41</v>
      </c>
      <c r="P51" s="1" t="s">
        <v>43</v>
      </c>
      <c r="Q51" s="1" t="s">
        <v>42</v>
      </c>
      <c r="R51" s="1" t="s">
        <v>43</v>
      </c>
      <c r="S51" t="s">
        <v>44</v>
      </c>
    </row>
    <row r="52" spans="1:19" x14ac:dyDescent="0.25">
      <c r="A52" s="1" t="s">
        <v>203</v>
      </c>
      <c r="B52">
        <v>1464944</v>
      </c>
      <c r="C52">
        <v>4</v>
      </c>
      <c r="D52">
        <v>2022</v>
      </c>
      <c r="E52" vm="165">
        <f>VLOOKUP(Indicador[[#This Row],[ID do Item]],procv,2,FALSE)</f>
        <v>202</v>
      </c>
      <c r="F52">
        <v>207</v>
      </c>
      <c r="J52">
        <v>207</v>
      </c>
      <c r="L52" s="1" t="s">
        <v>83</v>
      </c>
      <c r="M52" s="1" t="s">
        <v>47</v>
      </c>
      <c r="N52" s="1" t="s">
        <v>198</v>
      </c>
      <c r="O52" s="1" t="s">
        <v>41</v>
      </c>
      <c r="P52" s="1" t="s">
        <v>43</v>
      </c>
      <c r="Q52" s="1" t="s">
        <v>42</v>
      </c>
      <c r="R52" s="1" t="s">
        <v>43</v>
      </c>
      <c r="S52" t="s">
        <v>44</v>
      </c>
    </row>
    <row r="53" spans="1:19" x14ac:dyDescent="0.25">
      <c r="A53" s="1" t="s">
        <v>203</v>
      </c>
      <c r="B53">
        <v>1464942</v>
      </c>
      <c r="C53">
        <v>4</v>
      </c>
      <c r="D53">
        <v>2022</v>
      </c>
      <c r="E53" vm="176">
        <f>VLOOKUP(Indicador[[#This Row],[ID do Item]],procv,2,FALSE)</f>
        <v>20905</v>
      </c>
      <c r="F53">
        <v>23580</v>
      </c>
      <c r="L53" s="1" t="s">
        <v>87</v>
      </c>
      <c r="M53" s="1" t="s">
        <v>40</v>
      </c>
      <c r="N53" s="1" t="s">
        <v>198</v>
      </c>
      <c r="O53" s="1" t="s">
        <v>41</v>
      </c>
      <c r="P53" s="1" t="s">
        <v>43</v>
      </c>
      <c r="Q53" s="1" t="s">
        <v>42</v>
      </c>
      <c r="R53" s="1" t="s">
        <v>43</v>
      </c>
      <c r="S53" t="s">
        <v>44</v>
      </c>
    </row>
    <row r="54" spans="1:19" x14ac:dyDescent="0.25">
      <c r="A54" s="1" t="s">
        <v>203</v>
      </c>
      <c r="B54">
        <v>1464941</v>
      </c>
      <c r="C54">
        <v>4</v>
      </c>
      <c r="D54">
        <v>2022</v>
      </c>
      <c r="E54" vm="163">
        <f>VLOOKUP(Indicador[[#This Row],[ID do Item]],procv,2,FALSE)</f>
        <v>35307.899999999994</v>
      </c>
      <c r="F54">
        <v>38835</v>
      </c>
      <c r="L54" s="1" t="s">
        <v>89</v>
      </c>
      <c r="M54" s="1" t="s">
        <v>40</v>
      </c>
      <c r="N54" s="1" t="s">
        <v>198</v>
      </c>
      <c r="O54" s="1" t="s">
        <v>41</v>
      </c>
      <c r="P54" s="1" t="s">
        <v>43</v>
      </c>
      <c r="Q54" s="1" t="s">
        <v>42</v>
      </c>
      <c r="R54" s="1" t="s">
        <v>43</v>
      </c>
      <c r="S54" t="s">
        <v>44</v>
      </c>
    </row>
    <row r="55" spans="1:19" x14ac:dyDescent="0.25">
      <c r="A55" s="1" t="s">
        <v>203</v>
      </c>
      <c r="B55">
        <v>1460909</v>
      </c>
      <c r="C55">
        <v>4</v>
      </c>
      <c r="D55">
        <v>2022</v>
      </c>
      <c r="E55" vm="146">
        <f>VLOOKUP(Indicador[[#This Row],[ID do Item]],procv,2,FALSE)</f>
        <v>151.51725067385448</v>
      </c>
      <c r="F55">
        <v>119</v>
      </c>
      <c r="G55">
        <v>150</v>
      </c>
      <c r="J55">
        <v>140</v>
      </c>
      <c r="K55">
        <v>160</v>
      </c>
      <c r="L55" s="1" t="s">
        <v>144</v>
      </c>
      <c r="M55" s="1" t="s">
        <v>40</v>
      </c>
      <c r="N55" s="1" t="s">
        <v>198</v>
      </c>
      <c r="O55" s="1" t="s">
        <v>46</v>
      </c>
      <c r="P55" s="1" t="s">
        <v>42</v>
      </c>
      <c r="Q55" s="1" t="s">
        <v>42</v>
      </c>
      <c r="R55" s="1" t="s">
        <v>43</v>
      </c>
      <c r="S55" t="s">
        <v>44</v>
      </c>
    </row>
    <row r="56" spans="1:19" x14ac:dyDescent="0.25">
      <c r="A56" s="1" t="s">
        <v>203</v>
      </c>
      <c r="B56">
        <v>1460910</v>
      </c>
      <c r="C56">
        <v>4</v>
      </c>
      <c r="D56">
        <v>2022</v>
      </c>
      <c r="E56" vm="201">
        <f>VLOOKUP(Indicador[[#This Row],[ID do Item]],procv,2,FALSE)</f>
        <v>123.69822485207101</v>
      </c>
      <c r="F56">
        <v>110</v>
      </c>
      <c r="G56">
        <v>130</v>
      </c>
      <c r="J56">
        <v>115</v>
      </c>
      <c r="K56">
        <v>120</v>
      </c>
      <c r="L56" s="1" t="s">
        <v>96</v>
      </c>
      <c r="M56" s="1" t="s">
        <v>40</v>
      </c>
      <c r="N56" s="1" t="s">
        <v>198</v>
      </c>
      <c r="O56" s="1" t="s">
        <v>46</v>
      </c>
      <c r="P56" s="1" t="s">
        <v>43</v>
      </c>
      <c r="Q56" s="1" t="s">
        <v>42</v>
      </c>
      <c r="R56" s="1" t="s">
        <v>43</v>
      </c>
      <c r="S56" t="s">
        <v>44</v>
      </c>
    </row>
    <row r="57" spans="1:19" x14ac:dyDescent="0.25">
      <c r="A57" s="1" t="s">
        <v>203</v>
      </c>
      <c r="B57">
        <v>1460911</v>
      </c>
      <c r="C57">
        <v>4</v>
      </c>
      <c r="D57">
        <v>2022</v>
      </c>
      <c r="E57" vm="154">
        <f>VLOOKUP(Indicador[[#This Row],[ID do Item]],procv,2,FALSE)</f>
        <v>174.79158415841582</v>
      </c>
      <c r="F57">
        <v>120</v>
      </c>
      <c r="G57">
        <v>180</v>
      </c>
      <c r="J57">
        <v>150</v>
      </c>
      <c r="K57">
        <v>185</v>
      </c>
      <c r="L57" s="1" t="s">
        <v>97</v>
      </c>
      <c r="M57" s="1" t="s">
        <v>40</v>
      </c>
      <c r="N57" s="1" t="s">
        <v>198</v>
      </c>
      <c r="O57" s="1" t="s">
        <v>46</v>
      </c>
      <c r="P57" s="1" t="s">
        <v>43</v>
      </c>
      <c r="Q57" s="1" t="s">
        <v>42</v>
      </c>
      <c r="R57" s="1" t="s">
        <v>43</v>
      </c>
      <c r="S57" t="s">
        <v>44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D4014-F7A3-414A-9A05-B1D8F137852A}">
  <sheetPr codeName="Planilha4"/>
  <dimension ref="A1:Z99"/>
  <sheetViews>
    <sheetView topLeftCell="A19" workbookViewId="0">
      <selection activeCell="G42" sqref="G42"/>
    </sheetView>
  </sheetViews>
  <sheetFormatPr defaultRowHeight="15" x14ac:dyDescent="0.25"/>
  <cols>
    <col min="11" max="11" width="37.5703125" bestFit="1" customWidth="1"/>
  </cols>
  <sheetData>
    <row r="1" spans="1:26" x14ac:dyDescent="0.25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  <c r="R1" t="s">
        <v>31</v>
      </c>
      <c r="S1" t="s">
        <v>32</v>
      </c>
      <c r="T1" t="s">
        <v>33</v>
      </c>
      <c r="U1" t="s">
        <v>34</v>
      </c>
      <c r="V1" t="s">
        <v>35</v>
      </c>
      <c r="W1" t="s">
        <v>36</v>
      </c>
      <c r="X1" t="s">
        <v>37</v>
      </c>
      <c r="Y1" t="s">
        <v>38</v>
      </c>
      <c r="Z1" t="s">
        <v>39</v>
      </c>
    </row>
    <row r="2" spans="1:26" x14ac:dyDescent="0.25">
      <c r="A2">
        <v>1460977</v>
      </c>
      <c r="B2">
        <v>4</v>
      </c>
      <c r="C2">
        <v>2022</v>
      </c>
      <c r="D2" s="1" vm="132">
        <v>11</v>
      </c>
      <c r="E2">
        <v>9</v>
      </c>
      <c r="I2">
        <v>9</v>
      </c>
      <c r="K2" t="s">
        <v>81</v>
      </c>
      <c r="L2" t="s">
        <v>47</v>
      </c>
      <c r="M2" t="s">
        <v>197</v>
      </c>
      <c r="N2" t="s">
        <v>41</v>
      </c>
      <c r="O2" t="s">
        <v>43</v>
      </c>
      <c r="P2" t="s">
        <v>42</v>
      </c>
      <c r="Q2" t="s">
        <v>43</v>
      </c>
      <c r="R2" t="s">
        <v>44</v>
      </c>
    </row>
    <row r="3" spans="1:26" x14ac:dyDescent="0.25">
      <c r="A3">
        <v>1460976</v>
      </c>
      <c r="B3">
        <v>4</v>
      </c>
      <c r="C3">
        <v>2022</v>
      </c>
      <c r="D3" s="1" vm="109">
        <v>147</v>
      </c>
      <c r="E3">
        <v>184</v>
      </c>
      <c r="I3">
        <v>203</v>
      </c>
      <c r="K3" t="s">
        <v>61</v>
      </c>
      <c r="L3" t="s">
        <v>47</v>
      </c>
      <c r="M3" t="s">
        <v>197</v>
      </c>
      <c r="N3" t="s">
        <v>41</v>
      </c>
      <c r="O3" t="s">
        <v>43</v>
      </c>
      <c r="P3" t="s">
        <v>42</v>
      </c>
      <c r="Q3" t="s">
        <v>43</v>
      </c>
      <c r="R3" t="s">
        <v>44</v>
      </c>
    </row>
    <row r="4" spans="1:26" x14ac:dyDescent="0.25">
      <c r="A4">
        <v>1460956</v>
      </c>
      <c r="B4">
        <v>4</v>
      </c>
      <c r="C4">
        <v>2022</v>
      </c>
      <c r="D4" s="1" vm="117">
        <v>22050</v>
      </c>
      <c r="E4">
        <v>19640</v>
      </c>
      <c r="I4">
        <v>23149.7</v>
      </c>
      <c r="K4" t="s">
        <v>84</v>
      </c>
      <c r="L4" t="s">
        <v>40</v>
      </c>
      <c r="M4" t="s">
        <v>197</v>
      </c>
      <c r="N4" t="s">
        <v>41</v>
      </c>
      <c r="O4" t="s">
        <v>43</v>
      </c>
      <c r="P4" t="s">
        <v>42</v>
      </c>
      <c r="Q4" t="s">
        <v>43</v>
      </c>
      <c r="R4" t="s">
        <v>44</v>
      </c>
    </row>
    <row r="5" spans="1:26" x14ac:dyDescent="0.25">
      <c r="A5">
        <v>1460961</v>
      </c>
      <c r="B5">
        <v>4</v>
      </c>
      <c r="C5">
        <v>2022</v>
      </c>
      <c r="D5" s="1" vm="116">
        <v>3850</v>
      </c>
      <c r="E5">
        <v>3150</v>
      </c>
      <c r="I5">
        <v>3737.52</v>
      </c>
      <c r="K5" t="s">
        <v>85</v>
      </c>
      <c r="L5" t="s">
        <v>40</v>
      </c>
      <c r="M5" t="s">
        <v>197</v>
      </c>
      <c r="N5" t="s">
        <v>41</v>
      </c>
      <c r="O5" t="s">
        <v>43</v>
      </c>
      <c r="P5" t="s">
        <v>42</v>
      </c>
      <c r="Q5" t="s">
        <v>43</v>
      </c>
      <c r="R5" t="s">
        <v>44</v>
      </c>
    </row>
    <row r="6" spans="1:26" x14ac:dyDescent="0.25">
      <c r="A6">
        <v>1460960</v>
      </c>
      <c r="B6">
        <v>4</v>
      </c>
      <c r="C6">
        <v>2022</v>
      </c>
      <c r="D6" s="1" vm="99">
        <v>597.5100000000001</v>
      </c>
      <c r="E6">
        <v>5246</v>
      </c>
      <c r="I6">
        <v>6699.59</v>
      </c>
      <c r="K6" t="s">
        <v>86</v>
      </c>
      <c r="L6" t="s">
        <v>40</v>
      </c>
      <c r="M6" t="s">
        <v>197</v>
      </c>
      <c r="N6" t="s">
        <v>41</v>
      </c>
      <c r="O6" t="s">
        <v>43</v>
      </c>
      <c r="P6" t="s">
        <v>42</v>
      </c>
      <c r="Q6" t="s">
        <v>43</v>
      </c>
      <c r="R6" t="s">
        <v>44</v>
      </c>
    </row>
    <row r="7" spans="1:26" x14ac:dyDescent="0.25">
      <c r="A7">
        <v>1460959</v>
      </c>
      <c r="B7">
        <v>4</v>
      </c>
      <c r="C7">
        <v>2022</v>
      </c>
      <c r="D7" s="1">
        <v>11295.503999999983</v>
      </c>
      <c r="E7">
        <v>11197</v>
      </c>
      <c r="I7">
        <v>12694.78</v>
      </c>
      <c r="K7" t="s">
        <v>88</v>
      </c>
      <c r="L7" t="s">
        <v>40</v>
      </c>
      <c r="M7" t="s">
        <v>197</v>
      </c>
      <c r="N7" t="s">
        <v>41</v>
      </c>
      <c r="O7" t="s">
        <v>43</v>
      </c>
      <c r="P7" t="s">
        <v>42</v>
      </c>
      <c r="Q7" t="s">
        <v>43</v>
      </c>
      <c r="R7" t="s">
        <v>44</v>
      </c>
    </row>
    <row r="8" spans="1:26" x14ac:dyDescent="0.25">
      <c r="A8">
        <v>1460957</v>
      </c>
      <c r="B8">
        <v>4</v>
      </c>
      <c r="C8">
        <v>2022</v>
      </c>
      <c r="D8" s="1" vm="126">
        <v>10819.41</v>
      </c>
      <c r="E8">
        <v>8700</v>
      </c>
      <c r="I8">
        <v>10429.06</v>
      </c>
      <c r="K8" t="s">
        <v>90</v>
      </c>
      <c r="L8" t="s">
        <v>40</v>
      </c>
      <c r="M8" t="s">
        <v>197</v>
      </c>
      <c r="N8" t="s">
        <v>41</v>
      </c>
      <c r="O8" t="s">
        <v>43</v>
      </c>
      <c r="P8" t="s">
        <v>42</v>
      </c>
      <c r="Q8" t="s">
        <v>43</v>
      </c>
      <c r="R8" t="s">
        <v>44</v>
      </c>
    </row>
    <row r="9" spans="1:26" x14ac:dyDescent="0.25">
      <c r="A9">
        <v>1460958</v>
      </c>
      <c r="B9">
        <v>4</v>
      </c>
      <c r="C9">
        <v>2022</v>
      </c>
      <c r="D9" s="1" vm="113">
        <v>6026.2000000000025</v>
      </c>
      <c r="E9">
        <v>7210</v>
      </c>
      <c r="I9">
        <v>10429.06</v>
      </c>
      <c r="K9" t="s">
        <v>91</v>
      </c>
      <c r="L9" t="s">
        <v>40</v>
      </c>
      <c r="M9" t="s">
        <v>197</v>
      </c>
      <c r="N9" t="s">
        <v>41</v>
      </c>
      <c r="O9" t="s">
        <v>43</v>
      </c>
      <c r="P9" t="s">
        <v>42</v>
      </c>
      <c r="Q9" t="s">
        <v>43</v>
      </c>
      <c r="R9" t="s">
        <v>44</v>
      </c>
    </row>
    <row r="10" spans="1:26" x14ac:dyDescent="0.25">
      <c r="A10">
        <v>1460973</v>
      </c>
      <c r="B10">
        <v>4</v>
      </c>
      <c r="C10">
        <v>2022</v>
      </c>
      <c r="D10" s="1">
        <v>1315.6000000000001</v>
      </c>
      <c r="E10">
        <v>1517</v>
      </c>
      <c r="I10">
        <v>1620</v>
      </c>
      <c r="K10" t="s">
        <v>92</v>
      </c>
      <c r="L10" t="s">
        <v>47</v>
      </c>
      <c r="M10" t="s">
        <v>197</v>
      </c>
      <c r="N10" t="s">
        <v>41</v>
      </c>
      <c r="O10" t="s">
        <v>43</v>
      </c>
      <c r="P10" t="s">
        <v>42</v>
      </c>
      <c r="Q10" t="s">
        <v>43</v>
      </c>
      <c r="R10" t="s">
        <v>44</v>
      </c>
    </row>
    <row r="11" spans="1:26" x14ac:dyDescent="0.25">
      <c r="A11">
        <v>1460962</v>
      </c>
      <c r="B11">
        <v>4</v>
      </c>
      <c r="C11">
        <v>2022</v>
      </c>
      <c r="D11" s="1" vm="130">
        <v>150</v>
      </c>
      <c r="E11">
        <v>115</v>
      </c>
      <c r="F11">
        <v>120</v>
      </c>
      <c r="I11">
        <v>118</v>
      </c>
      <c r="J11">
        <v>125</v>
      </c>
      <c r="K11" t="s">
        <v>94</v>
      </c>
      <c r="L11" t="s">
        <v>40</v>
      </c>
      <c r="M11" t="s">
        <v>197</v>
      </c>
      <c r="N11" t="s">
        <v>46</v>
      </c>
      <c r="O11" t="s">
        <v>43</v>
      </c>
      <c r="P11" t="s">
        <v>42</v>
      </c>
      <c r="Q11" t="s">
        <v>43</v>
      </c>
      <c r="R11" t="s">
        <v>44</v>
      </c>
    </row>
    <row r="12" spans="1:26" x14ac:dyDescent="0.25">
      <c r="A12">
        <v>1460963</v>
      </c>
      <c r="B12">
        <v>4</v>
      </c>
      <c r="C12">
        <v>2022</v>
      </c>
      <c r="D12" s="1" vm="101">
        <v>350</v>
      </c>
      <c r="E12">
        <v>300</v>
      </c>
      <c r="F12">
        <v>360</v>
      </c>
      <c r="I12">
        <v>345</v>
      </c>
      <c r="J12">
        <v>365</v>
      </c>
      <c r="K12" t="s">
        <v>95</v>
      </c>
      <c r="L12" t="s">
        <v>40</v>
      </c>
      <c r="M12" t="s">
        <v>197</v>
      </c>
      <c r="N12" t="s">
        <v>46</v>
      </c>
      <c r="O12" t="s">
        <v>43</v>
      </c>
      <c r="P12" t="s">
        <v>42</v>
      </c>
      <c r="Q12" t="s">
        <v>43</v>
      </c>
      <c r="R12" t="s">
        <v>44</v>
      </c>
    </row>
    <row r="13" spans="1:26" x14ac:dyDescent="0.25">
      <c r="A13">
        <v>1460964</v>
      </c>
      <c r="B13">
        <v>4</v>
      </c>
      <c r="C13">
        <v>2022</v>
      </c>
      <c r="D13" s="1" vm="104">
        <v>54.319090909090917</v>
      </c>
      <c r="E13">
        <v>45</v>
      </c>
      <c r="F13">
        <v>65</v>
      </c>
      <c r="I13">
        <v>50</v>
      </c>
      <c r="J13">
        <v>70</v>
      </c>
      <c r="K13" t="s">
        <v>98</v>
      </c>
      <c r="L13" t="s">
        <v>40</v>
      </c>
      <c r="M13" t="s">
        <v>197</v>
      </c>
      <c r="N13" t="s">
        <v>46</v>
      </c>
      <c r="O13" t="s">
        <v>43</v>
      </c>
      <c r="P13" t="s">
        <v>42</v>
      </c>
      <c r="Q13" t="s">
        <v>43</v>
      </c>
      <c r="R13" t="s">
        <v>44</v>
      </c>
    </row>
    <row r="14" spans="1:26" x14ac:dyDescent="0.25">
      <c r="A14">
        <v>1460966</v>
      </c>
      <c r="B14">
        <v>4</v>
      </c>
      <c r="C14">
        <v>2022</v>
      </c>
      <c r="D14" s="1">
        <v>126.04111019377397</v>
      </c>
      <c r="E14">
        <v>5</v>
      </c>
      <c r="F14">
        <v>12</v>
      </c>
      <c r="I14">
        <v>8</v>
      </c>
      <c r="J14">
        <v>15</v>
      </c>
      <c r="K14" t="s">
        <v>99</v>
      </c>
      <c r="L14" t="s">
        <v>40</v>
      </c>
      <c r="M14" t="s">
        <v>197</v>
      </c>
      <c r="N14" t="s">
        <v>46</v>
      </c>
      <c r="O14" t="s">
        <v>43</v>
      </c>
      <c r="P14" t="s">
        <v>42</v>
      </c>
      <c r="Q14" t="s">
        <v>43</v>
      </c>
      <c r="R14" t="s">
        <v>44</v>
      </c>
    </row>
    <row r="15" spans="1:26" x14ac:dyDescent="0.25">
      <c r="A15">
        <v>1460965</v>
      </c>
      <c r="B15">
        <v>4</v>
      </c>
      <c r="C15">
        <v>2022</v>
      </c>
      <c r="D15" s="1" vm="103">
        <v>50.089861111111112</v>
      </c>
      <c r="E15">
        <v>35</v>
      </c>
      <c r="F15">
        <v>50</v>
      </c>
      <c r="I15">
        <v>35</v>
      </c>
      <c r="J15">
        <v>50</v>
      </c>
      <c r="K15" t="s">
        <v>100</v>
      </c>
      <c r="L15" t="s">
        <v>40</v>
      </c>
      <c r="M15" t="s">
        <v>197</v>
      </c>
      <c r="N15" t="s">
        <v>46</v>
      </c>
      <c r="O15" t="s">
        <v>43</v>
      </c>
      <c r="P15" t="s">
        <v>42</v>
      </c>
      <c r="Q15" t="s">
        <v>43</v>
      </c>
      <c r="R15" t="s">
        <v>44</v>
      </c>
    </row>
    <row r="16" spans="1:26" x14ac:dyDescent="0.25">
      <c r="A16">
        <v>1460967</v>
      </c>
      <c r="B16">
        <v>4</v>
      </c>
      <c r="C16">
        <v>2022</v>
      </c>
      <c r="D16" s="1" vm="107">
        <v>120.52400000000006</v>
      </c>
      <c r="E16">
        <v>100</v>
      </c>
      <c r="F16">
        <v>120</v>
      </c>
      <c r="I16">
        <v>115</v>
      </c>
      <c r="J16">
        <v>120</v>
      </c>
      <c r="K16" t="s">
        <v>101</v>
      </c>
      <c r="L16" t="s">
        <v>40</v>
      </c>
      <c r="M16" t="s">
        <v>197</v>
      </c>
      <c r="N16" t="s">
        <v>46</v>
      </c>
      <c r="O16" t="s">
        <v>43</v>
      </c>
      <c r="P16" t="s">
        <v>42</v>
      </c>
      <c r="Q16" t="s">
        <v>43</v>
      </c>
      <c r="R16" t="s">
        <v>44</v>
      </c>
    </row>
    <row r="17" spans="1:18" x14ac:dyDescent="0.25">
      <c r="A17">
        <v>1460974</v>
      </c>
      <c r="B17">
        <v>4</v>
      </c>
      <c r="C17">
        <v>2022</v>
      </c>
      <c r="D17" s="1" vm="111">
        <v>216</v>
      </c>
      <c r="E17">
        <v>216.36364</v>
      </c>
      <c r="I17">
        <v>241</v>
      </c>
      <c r="K17" t="s">
        <v>62</v>
      </c>
      <c r="L17" t="s">
        <v>47</v>
      </c>
      <c r="M17" t="s">
        <v>197</v>
      </c>
      <c r="N17" t="s">
        <v>41</v>
      </c>
      <c r="O17" t="s">
        <v>43</v>
      </c>
      <c r="P17" t="s">
        <v>42</v>
      </c>
      <c r="Q17" t="s">
        <v>43</v>
      </c>
      <c r="R17" t="s">
        <v>44</v>
      </c>
    </row>
    <row r="18" spans="1:18" x14ac:dyDescent="0.25">
      <c r="A18">
        <v>1460975</v>
      </c>
      <c r="B18">
        <v>4</v>
      </c>
      <c r="C18">
        <v>2022</v>
      </c>
      <c r="D18" s="1" vm="131">
        <v>11</v>
      </c>
      <c r="E18">
        <v>101</v>
      </c>
      <c r="I18">
        <v>121</v>
      </c>
      <c r="K18" t="s">
        <v>102</v>
      </c>
      <c r="L18" t="s">
        <v>47</v>
      </c>
      <c r="M18" t="s">
        <v>197</v>
      </c>
      <c r="N18" t="s">
        <v>41</v>
      </c>
      <c r="O18" t="s">
        <v>43</v>
      </c>
      <c r="P18" t="s">
        <v>42</v>
      </c>
      <c r="Q18" t="s">
        <v>43</v>
      </c>
      <c r="R18" t="s">
        <v>44</v>
      </c>
    </row>
    <row r="19" spans="1:18" x14ac:dyDescent="0.25">
      <c r="A19">
        <v>1460972</v>
      </c>
      <c r="B19">
        <v>4</v>
      </c>
      <c r="C19">
        <v>2022</v>
      </c>
      <c r="D19" s="1" vm="92">
        <v>50</v>
      </c>
      <c r="E19">
        <v>83</v>
      </c>
      <c r="I19">
        <v>98</v>
      </c>
      <c r="K19" t="s">
        <v>64</v>
      </c>
      <c r="L19" t="s">
        <v>47</v>
      </c>
      <c r="M19" t="s">
        <v>197</v>
      </c>
      <c r="N19" t="s">
        <v>41</v>
      </c>
      <c r="O19" t="s">
        <v>43</v>
      </c>
      <c r="P19" t="s">
        <v>42</v>
      </c>
      <c r="Q19" t="s">
        <v>43</v>
      </c>
      <c r="R19" t="s">
        <v>44</v>
      </c>
    </row>
    <row r="20" spans="1:18" x14ac:dyDescent="0.25">
      <c r="A20">
        <v>1470221</v>
      </c>
      <c r="B20">
        <v>4</v>
      </c>
      <c r="C20">
        <v>2022</v>
      </c>
      <c r="D20" s="1" vm="121">
        <v>18.375</v>
      </c>
      <c r="E20">
        <v>10</v>
      </c>
      <c r="F20">
        <v>20</v>
      </c>
      <c r="I20">
        <v>15</v>
      </c>
      <c r="J20">
        <v>25</v>
      </c>
      <c r="K20" t="s">
        <v>109</v>
      </c>
      <c r="L20" t="s">
        <v>110</v>
      </c>
      <c r="M20" t="s">
        <v>103</v>
      </c>
      <c r="N20" t="s">
        <v>46</v>
      </c>
      <c r="O20" t="s">
        <v>42</v>
      </c>
      <c r="P20" t="s">
        <v>42</v>
      </c>
      <c r="Q20" t="s">
        <v>43</v>
      </c>
      <c r="R20" t="s">
        <v>44</v>
      </c>
    </row>
    <row r="21" spans="1:18" x14ac:dyDescent="0.25">
      <c r="A21">
        <v>1470222</v>
      </c>
      <c r="B21">
        <v>4</v>
      </c>
      <c r="C21">
        <v>2022</v>
      </c>
      <c r="D21" s="1" vm="105">
        <v>0.32885906040268459</v>
      </c>
      <c r="E21">
        <v>0.3</v>
      </c>
      <c r="F21">
        <v>0</v>
      </c>
      <c r="I21">
        <v>0.3</v>
      </c>
      <c r="J21">
        <v>0</v>
      </c>
      <c r="K21" t="s">
        <v>111</v>
      </c>
      <c r="L21" t="s">
        <v>110</v>
      </c>
      <c r="M21" t="s">
        <v>103</v>
      </c>
      <c r="N21" t="s">
        <v>46</v>
      </c>
      <c r="O21" t="s">
        <v>42</v>
      </c>
      <c r="P21" t="s">
        <v>42</v>
      </c>
      <c r="Q21" t="s">
        <v>43</v>
      </c>
      <c r="R21" t="s">
        <v>44</v>
      </c>
    </row>
    <row r="22" spans="1:18" x14ac:dyDescent="0.25">
      <c r="A22">
        <v>1470223</v>
      </c>
      <c r="B22">
        <v>4</v>
      </c>
      <c r="C22">
        <v>2022</v>
      </c>
      <c r="D22" s="1" vm="133">
        <v>1.9342105263157894</v>
      </c>
      <c r="E22">
        <v>1</v>
      </c>
      <c r="F22">
        <v>3</v>
      </c>
      <c r="I22">
        <v>2</v>
      </c>
      <c r="J22">
        <v>3</v>
      </c>
      <c r="K22" t="s">
        <v>112</v>
      </c>
      <c r="L22" t="s">
        <v>110</v>
      </c>
      <c r="M22" t="s">
        <v>103</v>
      </c>
      <c r="N22" t="s">
        <v>46</v>
      </c>
      <c r="O22" t="s">
        <v>42</v>
      </c>
      <c r="P22" t="s">
        <v>42</v>
      </c>
      <c r="Q22" t="s">
        <v>43</v>
      </c>
      <c r="R22" t="s">
        <v>44</v>
      </c>
    </row>
    <row r="23" spans="1:18" x14ac:dyDescent="0.25">
      <c r="A23">
        <v>1460899</v>
      </c>
      <c r="B23">
        <v>4</v>
      </c>
      <c r="C23">
        <v>2022</v>
      </c>
      <c r="D23" s="1" vm="106">
        <v>357.6960569105691</v>
      </c>
      <c r="E23">
        <v>200</v>
      </c>
      <c r="F23">
        <v>400</v>
      </c>
      <c r="I23">
        <v>200</v>
      </c>
      <c r="J23">
        <v>400</v>
      </c>
      <c r="K23" t="s">
        <v>114</v>
      </c>
      <c r="L23" t="s">
        <v>40</v>
      </c>
      <c r="M23" t="s">
        <v>103</v>
      </c>
      <c r="N23" t="s">
        <v>46</v>
      </c>
      <c r="O23" t="s">
        <v>42</v>
      </c>
      <c r="P23" t="s">
        <v>42</v>
      </c>
      <c r="Q23" t="s">
        <v>43</v>
      </c>
      <c r="R23" t="s">
        <v>44</v>
      </c>
    </row>
    <row r="24" spans="1:18" x14ac:dyDescent="0.25">
      <c r="A24">
        <v>1460979</v>
      </c>
      <c r="B24">
        <v>4</v>
      </c>
      <c r="C24">
        <v>2022</v>
      </c>
      <c r="D24" s="1" vm="115">
        <v>44</v>
      </c>
      <c r="E24">
        <v>53</v>
      </c>
      <c r="I24">
        <v>66</v>
      </c>
      <c r="K24" t="s">
        <v>115</v>
      </c>
      <c r="L24" t="s">
        <v>47</v>
      </c>
      <c r="M24" t="s">
        <v>116</v>
      </c>
      <c r="N24" t="s">
        <v>41</v>
      </c>
      <c r="O24" t="s">
        <v>43</v>
      </c>
      <c r="P24" t="s">
        <v>42</v>
      </c>
      <c r="Q24" t="s">
        <v>43</v>
      </c>
      <c r="R24" t="s">
        <v>44</v>
      </c>
    </row>
    <row r="25" spans="1:18" x14ac:dyDescent="0.25">
      <c r="A25">
        <v>1460929</v>
      </c>
      <c r="B25">
        <v>4</v>
      </c>
      <c r="C25">
        <v>2022</v>
      </c>
      <c r="D25" s="1" t="s" vm="114">
        <v>44</v>
      </c>
      <c r="E25">
        <v>0</v>
      </c>
      <c r="I25">
        <v>0</v>
      </c>
      <c r="K25" t="s">
        <v>117</v>
      </c>
      <c r="L25" t="s">
        <v>47</v>
      </c>
      <c r="M25" t="s">
        <v>116</v>
      </c>
      <c r="N25" t="s">
        <v>41</v>
      </c>
      <c r="O25" t="s">
        <v>43</v>
      </c>
      <c r="P25" t="s">
        <v>42</v>
      </c>
      <c r="Q25" t="s">
        <v>43</v>
      </c>
      <c r="R25" t="s">
        <v>44</v>
      </c>
    </row>
    <row r="26" spans="1:18" x14ac:dyDescent="0.25">
      <c r="A26">
        <v>1460923</v>
      </c>
      <c r="B26">
        <v>4</v>
      </c>
      <c r="C26">
        <v>2022</v>
      </c>
      <c r="D26" s="1" vm="120">
        <v>3</v>
      </c>
      <c r="E26">
        <v>5</v>
      </c>
      <c r="I26">
        <v>6</v>
      </c>
      <c r="K26" t="s">
        <v>118</v>
      </c>
      <c r="L26" t="s">
        <v>47</v>
      </c>
      <c r="M26" t="s">
        <v>116</v>
      </c>
      <c r="N26" t="s">
        <v>41</v>
      </c>
      <c r="O26" t="s">
        <v>43</v>
      </c>
      <c r="P26" t="s">
        <v>42</v>
      </c>
      <c r="Q26" t="s">
        <v>43</v>
      </c>
      <c r="R26" t="s">
        <v>44</v>
      </c>
    </row>
    <row r="27" spans="1:18" x14ac:dyDescent="0.25">
      <c r="A27">
        <v>1460915</v>
      </c>
      <c r="B27">
        <v>4</v>
      </c>
      <c r="C27">
        <v>2022</v>
      </c>
      <c r="D27" s="1" vm="97">
        <v>8</v>
      </c>
      <c r="E27">
        <v>9</v>
      </c>
      <c r="I27">
        <v>11</v>
      </c>
      <c r="K27" t="s">
        <v>60</v>
      </c>
      <c r="L27" t="s">
        <v>47</v>
      </c>
      <c r="M27" t="s">
        <v>116</v>
      </c>
      <c r="N27" t="s">
        <v>41</v>
      </c>
      <c r="O27" t="s">
        <v>43</v>
      </c>
      <c r="P27" t="s">
        <v>42</v>
      </c>
      <c r="Q27" t="s">
        <v>43</v>
      </c>
      <c r="R27" t="s">
        <v>44</v>
      </c>
    </row>
    <row r="28" spans="1:18" x14ac:dyDescent="0.25">
      <c r="A28">
        <v>1460936</v>
      </c>
      <c r="B28">
        <v>4</v>
      </c>
      <c r="C28">
        <v>2022</v>
      </c>
      <c r="D28" s="1" vm="87">
        <v>55</v>
      </c>
      <c r="E28">
        <v>91</v>
      </c>
      <c r="I28">
        <v>121</v>
      </c>
      <c r="K28" t="s">
        <v>119</v>
      </c>
      <c r="L28" t="s">
        <v>47</v>
      </c>
      <c r="M28" t="s">
        <v>116</v>
      </c>
      <c r="N28" t="s">
        <v>41</v>
      </c>
      <c r="O28" t="s">
        <v>43</v>
      </c>
      <c r="P28" t="s">
        <v>42</v>
      </c>
      <c r="Q28" t="s">
        <v>43</v>
      </c>
      <c r="R28" t="s">
        <v>44</v>
      </c>
    </row>
    <row r="29" spans="1:18" x14ac:dyDescent="0.25">
      <c r="A29">
        <v>1464952</v>
      </c>
      <c r="B29">
        <v>4</v>
      </c>
      <c r="C29">
        <v>2022</v>
      </c>
      <c r="D29" s="1" vm="125">
        <v>19</v>
      </c>
      <c r="E29">
        <v>44</v>
      </c>
      <c r="I29">
        <v>53</v>
      </c>
      <c r="K29" t="s">
        <v>120</v>
      </c>
      <c r="L29" t="s">
        <v>47</v>
      </c>
      <c r="M29" t="s">
        <v>116</v>
      </c>
      <c r="N29" t="s">
        <v>41</v>
      </c>
      <c r="O29" t="s">
        <v>43</v>
      </c>
      <c r="P29" t="s">
        <v>42</v>
      </c>
      <c r="Q29" t="s">
        <v>43</v>
      </c>
      <c r="R29" t="s">
        <v>44</v>
      </c>
    </row>
    <row r="30" spans="1:18" x14ac:dyDescent="0.25">
      <c r="A30">
        <v>1460978</v>
      </c>
      <c r="B30">
        <v>4</v>
      </c>
      <c r="C30">
        <v>2022</v>
      </c>
      <c r="D30" s="1" vm="122">
        <v>1450.5900000000001</v>
      </c>
      <c r="E30">
        <v>1219</v>
      </c>
      <c r="I30">
        <v>1399.11</v>
      </c>
      <c r="K30" t="s">
        <v>121</v>
      </c>
      <c r="L30" t="s">
        <v>40</v>
      </c>
      <c r="M30" t="s">
        <v>116</v>
      </c>
      <c r="N30" t="s">
        <v>41</v>
      </c>
      <c r="O30" t="s">
        <v>43</v>
      </c>
      <c r="P30" t="s">
        <v>42</v>
      </c>
      <c r="Q30" t="s">
        <v>43</v>
      </c>
      <c r="R30" t="s">
        <v>44</v>
      </c>
    </row>
    <row r="31" spans="1:18" x14ac:dyDescent="0.25">
      <c r="A31">
        <v>1460927</v>
      </c>
      <c r="B31">
        <v>4</v>
      </c>
      <c r="C31">
        <v>2022</v>
      </c>
      <c r="D31" s="1" t="s" vm="94">
        <v>44</v>
      </c>
      <c r="E31">
        <v>0</v>
      </c>
      <c r="I31">
        <v>0</v>
      </c>
      <c r="K31" t="s">
        <v>122</v>
      </c>
      <c r="L31" t="s">
        <v>40</v>
      </c>
      <c r="M31" t="s">
        <v>116</v>
      </c>
      <c r="N31" t="s">
        <v>41</v>
      </c>
      <c r="O31" t="s">
        <v>43</v>
      </c>
      <c r="P31" t="s">
        <v>42</v>
      </c>
      <c r="Q31" t="s">
        <v>43</v>
      </c>
      <c r="R31" t="s">
        <v>44</v>
      </c>
    </row>
    <row r="32" spans="1:18" x14ac:dyDescent="0.25">
      <c r="A32">
        <v>1460919</v>
      </c>
      <c r="B32">
        <v>4</v>
      </c>
      <c r="C32">
        <v>2022</v>
      </c>
      <c r="D32" s="1" vm="127">
        <v>2250</v>
      </c>
      <c r="E32">
        <v>2850</v>
      </c>
      <c r="I32">
        <v>3152.04</v>
      </c>
      <c r="K32" t="s">
        <v>123</v>
      </c>
      <c r="L32" t="s">
        <v>40</v>
      </c>
      <c r="M32" t="s">
        <v>116</v>
      </c>
      <c r="N32" t="s">
        <v>41</v>
      </c>
      <c r="O32" t="s">
        <v>43</v>
      </c>
      <c r="P32" t="s">
        <v>42</v>
      </c>
      <c r="Q32" t="s">
        <v>43</v>
      </c>
      <c r="R32" t="s">
        <v>44</v>
      </c>
    </row>
    <row r="33" spans="1:18" x14ac:dyDescent="0.25">
      <c r="A33">
        <v>1460917</v>
      </c>
      <c r="B33">
        <v>4</v>
      </c>
      <c r="C33">
        <v>2022</v>
      </c>
      <c r="D33" s="1" vm="100">
        <v>3775</v>
      </c>
      <c r="E33">
        <v>6965</v>
      </c>
      <c r="I33">
        <v>7783.13</v>
      </c>
      <c r="K33" t="s">
        <v>124</v>
      </c>
      <c r="L33" t="s">
        <v>40</v>
      </c>
      <c r="M33" t="s">
        <v>116</v>
      </c>
      <c r="N33" t="s">
        <v>41</v>
      </c>
      <c r="O33" t="s">
        <v>43</v>
      </c>
      <c r="P33" t="s">
        <v>42</v>
      </c>
      <c r="Q33" t="s">
        <v>43</v>
      </c>
      <c r="R33" t="s">
        <v>44</v>
      </c>
    </row>
    <row r="34" spans="1:18" x14ac:dyDescent="0.25">
      <c r="A34">
        <v>1460934</v>
      </c>
      <c r="B34">
        <v>4</v>
      </c>
      <c r="C34">
        <v>2022</v>
      </c>
      <c r="D34" s="1" vm="119">
        <v>205.91</v>
      </c>
      <c r="E34">
        <v>243</v>
      </c>
      <c r="I34">
        <v>269.33</v>
      </c>
      <c r="K34" t="s">
        <v>125</v>
      </c>
      <c r="L34" t="s">
        <v>40</v>
      </c>
      <c r="M34" t="s">
        <v>116</v>
      </c>
      <c r="N34" t="s">
        <v>41</v>
      </c>
      <c r="O34" t="s">
        <v>43</v>
      </c>
      <c r="P34" t="s">
        <v>42</v>
      </c>
      <c r="Q34" t="s">
        <v>43</v>
      </c>
      <c r="R34" t="s">
        <v>44</v>
      </c>
    </row>
    <row r="35" spans="1:18" x14ac:dyDescent="0.25">
      <c r="A35">
        <v>1464948</v>
      </c>
      <c r="B35">
        <v>4</v>
      </c>
      <c r="C35">
        <v>2022</v>
      </c>
      <c r="D35" s="1" vm="95">
        <v>5960</v>
      </c>
      <c r="E35">
        <v>8450</v>
      </c>
      <c r="I35">
        <v>9830.5300000000007</v>
      </c>
      <c r="K35" t="s">
        <v>126</v>
      </c>
      <c r="L35" t="s">
        <v>40</v>
      </c>
      <c r="M35" t="s">
        <v>116</v>
      </c>
      <c r="N35" t="s">
        <v>41</v>
      </c>
      <c r="O35" t="s">
        <v>43</v>
      </c>
      <c r="P35" t="s">
        <v>42</v>
      </c>
      <c r="Q35" t="s">
        <v>43</v>
      </c>
      <c r="R35" t="s">
        <v>44</v>
      </c>
    </row>
    <row r="36" spans="1:18" x14ac:dyDescent="0.25">
      <c r="A36">
        <v>1460932</v>
      </c>
      <c r="B36">
        <v>4</v>
      </c>
      <c r="C36">
        <v>2022</v>
      </c>
      <c r="D36" s="1">
        <v>16943.255999999972</v>
      </c>
      <c r="E36">
        <v>16795</v>
      </c>
      <c r="I36">
        <v>19042.18</v>
      </c>
      <c r="K36" t="s">
        <v>127</v>
      </c>
      <c r="L36" t="s">
        <v>40</v>
      </c>
      <c r="M36" t="s">
        <v>116</v>
      </c>
      <c r="N36" t="s">
        <v>41</v>
      </c>
      <c r="O36" t="s">
        <v>43</v>
      </c>
      <c r="P36" t="s">
        <v>42</v>
      </c>
      <c r="Q36" t="s">
        <v>43</v>
      </c>
      <c r="R36" t="s">
        <v>44</v>
      </c>
    </row>
    <row r="37" spans="1:18" x14ac:dyDescent="0.25">
      <c r="A37">
        <v>1460931</v>
      </c>
      <c r="B37">
        <v>4</v>
      </c>
      <c r="C37">
        <v>2022</v>
      </c>
      <c r="D37" s="1" vm="98">
        <v>22700</v>
      </c>
      <c r="E37">
        <v>21400</v>
      </c>
      <c r="I37">
        <v>24362.36</v>
      </c>
      <c r="K37" t="s">
        <v>128</v>
      </c>
      <c r="L37" t="s">
        <v>40</v>
      </c>
      <c r="M37" t="s">
        <v>116</v>
      </c>
      <c r="N37" t="s">
        <v>41</v>
      </c>
      <c r="O37" t="s">
        <v>43</v>
      </c>
      <c r="P37" t="s">
        <v>42</v>
      </c>
      <c r="Q37" t="s">
        <v>43</v>
      </c>
      <c r="R37" t="s">
        <v>44</v>
      </c>
    </row>
    <row r="38" spans="1:18" x14ac:dyDescent="0.25">
      <c r="A38">
        <v>1460935</v>
      </c>
      <c r="B38">
        <v>4</v>
      </c>
      <c r="C38">
        <v>2022</v>
      </c>
      <c r="D38" s="1" vm="128">
        <v>2002.8</v>
      </c>
      <c r="E38">
        <v>3411</v>
      </c>
      <c r="I38">
        <v>3921.84</v>
      </c>
      <c r="K38" t="s">
        <v>129</v>
      </c>
      <c r="L38" t="s">
        <v>40</v>
      </c>
      <c r="M38" t="s">
        <v>116</v>
      </c>
      <c r="N38" t="s">
        <v>41</v>
      </c>
      <c r="O38" t="s">
        <v>43</v>
      </c>
      <c r="P38" t="s">
        <v>42</v>
      </c>
      <c r="Q38" t="s">
        <v>43</v>
      </c>
      <c r="R38" t="s">
        <v>44</v>
      </c>
    </row>
    <row r="39" spans="1:18" x14ac:dyDescent="0.25">
      <c r="A39">
        <v>1460937</v>
      </c>
      <c r="B39">
        <v>4</v>
      </c>
      <c r="C39">
        <v>2022</v>
      </c>
      <c r="D39" s="1">
        <v>1973.3999999999999</v>
      </c>
      <c r="E39">
        <v>2276</v>
      </c>
      <c r="I39">
        <v>2955</v>
      </c>
      <c r="K39" t="s">
        <v>130</v>
      </c>
      <c r="L39" t="s">
        <v>47</v>
      </c>
      <c r="M39" t="s">
        <v>116</v>
      </c>
      <c r="N39" t="s">
        <v>41</v>
      </c>
      <c r="O39" t="s">
        <v>43</v>
      </c>
      <c r="P39" t="s">
        <v>42</v>
      </c>
      <c r="Q39" t="s">
        <v>43</v>
      </c>
      <c r="R39" t="s">
        <v>44</v>
      </c>
    </row>
    <row r="40" spans="1:18" x14ac:dyDescent="0.25">
      <c r="A40">
        <v>1460930</v>
      </c>
      <c r="B40">
        <v>4</v>
      </c>
      <c r="C40">
        <v>2022</v>
      </c>
      <c r="D40" s="1" vm="90">
        <v>61</v>
      </c>
      <c r="E40">
        <v>71</v>
      </c>
      <c r="I40">
        <v>87</v>
      </c>
      <c r="K40" t="s">
        <v>131</v>
      </c>
      <c r="L40" t="s">
        <v>47</v>
      </c>
      <c r="M40" t="s">
        <v>116</v>
      </c>
      <c r="N40" t="s">
        <v>41</v>
      </c>
      <c r="O40" t="s">
        <v>43</v>
      </c>
      <c r="P40" t="s">
        <v>42</v>
      </c>
      <c r="Q40" t="s">
        <v>43</v>
      </c>
      <c r="R40" t="s">
        <v>44</v>
      </c>
    </row>
    <row r="41" spans="1:18" x14ac:dyDescent="0.25">
      <c r="A41">
        <v>1460980</v>
      </c>
      <c r="B41">
        <v>4</v>
      </c>
      <c r="C41">
        <v>2022</v>
      </c>
      <c r="D41" s="1" vm="108">
        <v>32.967954545454546</v>
      </c>
      <c r="E41">
        <v>20</v>
      </c>
      <c r="F41">
        <v>33</v>
      </c>
      <c r="I41">
        <v>25</v>
      </c>
      <c r="J41">
        <v>35</v>
      </c>
      <c r="K41" t="s">
        <v>132</v>
      </c>
      <c r="L41" t="s">
        <v>40</v>
      </c>
      <c r="M41" t="s">
        <v>116</v>
      </c>
      <c r="N41" t="s">
        <v>46</v>
      </c>
      <c r="O41" t="s">
        <v>43</v>
      </c>
      <c r="P41" t="s">
        <v>42</v>
      </c>
      <c r="Q41" t="s">
        <v>43</v>
      </c>
      <c r="R41" t="s">
        <v>44</v>
      </c>
    </row>
    <row r="42" spans="1:18" x14ac:dyDescent="0.25">
      <c r="A42">
        <v>1460928</v>
      </c>
      <c r="B42">
        <v>4</v>
      </c>
      <c r="C42">
        <v>2022</v>
      </c>
      <c r="D42" s="1" t="s" vm="129">
        <v>44</v>
      </c>
      <c r="E42">
        <v>300</v>
      </c>
      <c r="F42">
        <v>400</v>
      </c>
      <c r="I42">
        <v>300</v>
      </c>
      <c r="J42">
        <v>400</v>
      </c>
      <c r="K42" t="s">
        <v>133</v>
      </c>
      <c r="L42" t="s">
        <v>40</v>
      </c>
      <c r="M42" t="s">
        <v>116</v>
      </c>
      <c r="N42" t="s">
        <v>46</v>
      </c>
      <c r="O42" t="s">
        <v>43</v>
      </c>
      <c r="P42" t="s">
        <v>42</v>
      </c>
      <c r="Q42" t="s">
        <v>43</v>
      </c>
      <c r="R42" t="s">
        <v>44</v>
      </c>
    </row>
    <row r="43" spans="1:18" x14ac:dyDescent="0.25">
      <c r="A43">
        <v>1460922</v>
      </c>
      <c r="B43">
        <v>4</v>
      </c>
      <c r="C43">
        <v>2022</v>
      </c>
      <c r="D43" s="1" vm="85">
        <v>750</v>
      </c>
      <c r="E43">
        <v>600</v>
      </c>
      <c r="F43">
        <v>870</v>
      </c>
      <c r="I43">
        <v>650</v>
      </c>
      <c r="J43">
        <v>900</v>
      </c>
      <c r="K43" t="s">
        <v>134</v>
      </c>
      <c r="L43" t="s">
        <v>40</v>
      </c>
      <c r="M43" t="s">
        <v>116</v>
      </c>
      <c r="N43" t="s">
        <v>46</v>
      </c>
      <c r="O43" t="s">
        <v>43</v>
      </c>
      <c r="P43" t="s">
        <v>42</v>
      </c>
      <c r="Q43" t="s">
        <v>43</v>
      </c>
      <c r="R43" t="s">
        <v>44</v>
      </c>
    </row>
    <row r="44" spans="1:18" x14ac:dyDescent="0.25">
      <c r="A44">
        <v>1460920</v>
      </c>
      <c r="B44">
        <v>4</v>
      </c>
      <c r="C44">
        <v>2022</v>
      </c>
      <c r="D44" s="1" vm="102">
        <v>471.875</v>
      </c>
      <c r="E44">
        <v>650</v>
      </c>
      <c r="F44">
        <v>900</v>
      </c>
      <c r="I44">
        <v>690</v>
      </c>
      <c r="J44">
        <v>950</v>
      </c>
      <c r="K44" t="s">
        <v>135</v>
      </c>
      <c r="L44" t="s">
        <v>40</v>
      </c>
      <c r="M44" t="s">
        <v>116</v>
      </c>
      <c r="N44" t="s">
        <v>46</v>
      </c>
      <c r="O44" t="s">
        <v>43</v>
      </c>
      <c r="P44" t="s">
        <v>42</v>
      </c>
      <c r="Q44" t="s">
        <v>43</v>
      </c>
      <c r="R44" t="s">
        <v>44</v>
      </c>
    </row>
    <row r="45" spans="1:18" x14ac:dyDescent="0.25">
      <c r="A45">
        <v>1460939</v>
      </c>
      <c r="B45">
        <v>4</v>
      </c>
      <c r="C45">
        <v>2022</v>
      </c>
      <c r="D45" s="1" vm="118">
        <v>3.7438181818181819</v>
      </c>
      <c r="E45">
        <v>3</v>
      </c>
      <c r="F45">
        <v>5</v>
      </c>
      <c r="I45">
        <v>3</v>
      </c>
      <c r="J45">
        <v>5</v>
      </c>
      <c r="K45" t="s">
        <v>137</v>
      </c>
      <c r="L45" t="s">
        <v>40</v>
      </c>
      <c r="M45" t="s">
        <v>116</v>
      </c>
      <c r="N45" t="s">
        <v>46</v>
      </c>
      <c r="O45" t="s">
        <v>43</v>
      </c>
      <c r="P45" t="s">
        <v>42</v>
      </c>
      <c r="Q45" t="s">
        <v>43</v>
      </c>
      <c r="R45" t="s">
        <v>44</v>
      </c>
    </row>
    <row r="46" spans="1:18" x14ac:dyDescent="0.25">
      <c r="A46">
        <v>1464953</v>
      </c>
      <c r="B46">
        <v>4</v>
      </c>
      <c r="C46">
        <v>2022</v>
      </c>
      <c r="D46" s="1" vm="89">
        <v>313.68421052631578</v>
      </c>
      <c r="E46">
        <v>190</v>
      </c>
      <c r="F46">
        <v>300</v>
      </c>
      <c r="I46">
        <v>190</v>
      </c>
      <c r="J46">
        <v>300</v>
      </c>
      <c r="K46" t="s">
        <v>138</v>
      </c>
      <c r="L46" t="s">
        <v>40</v>
      </c>
      <c r="M46" t="s">
        <v>116</v>
      </c>
      <c r="N46" t="s">
        <v>46</v>
      </c>
      <c r="O46" t="s">
        <v>43</v>
      </c>
      <c r="P46" t="s">
        <v>42</v>
      </c>
      <c r="Q46" t="s">
        <v>43</v>
      </c>
      <c r="R46" t="s">
        <v>44</v>
      </c>
    </row>
    <row r="47" spans="1:18" x14ac:dyDescent="0.25">
      <c r="A47">
        <v>1460941</v>
      </c>
      <c r="B47">
        <v>4</v>
      </c>
      <c r="C47">
        <v>2022</v>
      </c>
      <c r="D47" s="1">
        <v>3.1458333333333335</v>
      </c>
      <c r="E47">
        <v>6</v>
      </c>
      <c r="F47">
        <v>10</v>
      </c>
      <c r="I47">
        <v>6</v>
      </c>
      <c r="J47">
        <v>10</v>
      </c>
      <c r="K47" t="s">
        <v>139</v>
      </c>
      <c r="L47" t="s">
        <v>40</v>
      </c>
      <c r="M47" t="s">
        <v>116</v>
      </c>
      <c r="N47" t="s">
        <v>46</v>
      </c>
      <c r="O47" t="s">
        <v>43</v>
      </c>
      <c r="P47" t="s">
        <v>42</v>
      </c>
      <c r="Q47" t="s">
        <v>43</v>
      </c>
      <c r="R47" t="s">
        <v>44</v>
      </c>
    </row>
    <row r="48" spans="1:18" x14ac:dyDescent="0.25">
      <c r="A48">
        <v>1460938</v>
      </c>
      <c r="B48">
        <v>4</v>
      </c>
      <c r="C48">
        <v>2022</v>
      </c>
      <c r="D48" s="1" vm="96">
        <v>372.13114754098359</v>
      </c>
      <c r="E48">
        <v>300</v>
      </c>
      <c r="F48">
        <v>400</v>
      </c>
      <c r="I48">
        <v>350</v>
      </c>
      <c r="J48">
        <v>450</v>
      </c>
      <c r="K48" t="s">
        <v>140</v>
      </c>
      <c r="L48" t="s">
        <v>40</v>
      </c>
      <c r="M48" t="s">
        <v>116</v>
      </c>
      <c r="N48" t="s">
        <v>46</v>
      </c>
      <c r="O48" t="s">
        <v>43</v>
      </c>
      <c r="P48" t="s">
        <v>42</v>
      </c>
      <c r="Q48" t="s">
        <v>43</v>
      </c>
      <c r="R48" t="s">
        <v>44</v>
      </c>
    </row>
    <row r="49" spans="1:18" x14ac:dyDescent="0.25">
      <c r="A49">
        <v>1460942</v>
      </c>
      <c r="B49">
        <v>4</v>
      </c>
      <c r="C49">
        <v>2022</v>
      </c>
      <c r="D49" s="1" vm="110">
        <v>133.52000000000001</v>
      </c>
      <c r="E49">
        <v>130</v>
      </c>
      <c r="F49">
        <v>190</v>
      </c>
      <c r="I49">
        <v>155</v>
      </c>
      <c r="J49">
        <v>210</v>
      </c>
      <c r="K49" t="s">
        <v>141</v>
      </c>
      <c r="L49" t="s">
        <v>40</v>
      </c>
      <c r="M49" t="s">
        <v>116</v>
      </c>
      <c r="N49" t="s">
        <v>46</v>
      </c>
      <c r="O49" t="s">
        <v>43</v>
      </c>
      <c r="P49" t="s">
        <v>42</v>
      </c>
      <c r="Q49" t="s">
        <v>43</v>
      </c>
      <c r="R49" t="s">
        <v>44</v>
      </c>
    </row>
    <row r="50" spans="1:18" x14ac:dyDescent="0.25">
      <c r="A50">
        <v>1460943</v>
      </c>
      <c r="B50">
        <v>4</v>
      </c>
      <c r="C50">
        <v>2022</v>
      </c>
      <c r="D50" s="1" vm="112">
        <v>15</v>
      </c>
      <c r="E50">
        <v>26</v>
      </c>
      <c r="I50">
        <v>26</v>
      </c>
      <c r="K50" t="s">
        <v>142</v>
      </c>
      <c r="L50" t="s">
        <v>47</v>
      </c>
      <c r="M50" t="s">
        <v>116</v>
      </c>
      <c r="N50" t="s">
        <v>41</v>
      </c>
      <c r="O50" t="s">
        <v>43</v>
      </c>
      <c r="P50" t="s">
        <v>42</v>
      </c>
      <c r="Q50" t="s">
        <v>43</v>
      </c>
      <c r="R50" t="s">
        <v>44</v>
      </c>
    </row>
    <row r="51" spans="1:18" x14ac:dyDescent="0.25">
      <c r="A51">
        <v>1464945</v>
      </c>
      <c r="B51">
        <v>4</v>
      </c>
      <c r="C51">
        <v>2022</v>
      </c>
      <c r="D51" s="1" vm="88">
        <v>192</v>
      </c>
      <c r="E51">
        <v>114</v>
      </c>
      <c r="I51">
        <v>113</v>
      </c>
      <c r="K51" t="s">
        <v>82</v>
      </c>
      <c r="L51" t="s">
        <v>47</v>
      </c>
      <c r="M51" t="s">
        <v>198</v>
      </c>
      <c r="N51" t="s">
        <v>41</v>
      </c>
      <c r="O51" t="s">
        <v>43</v>
      </c>
      <c r="P51" t="s">
        <v>42</v>
      </c>
      <c r="Q51" t="s">
        <v>43</v>
      </c>
      <c r="R51" t="s">
        <v>44</v>
      </c>
    </row>
    <row r="52" spans="1:18" x14ac:dyDescent="0.25">
      <c r="A52">
        <v>1464944</v>
      </c>
      <c r="B52">
        <v>4</v>
      </c>
      <c r="C52">
        <v>2022</v>
      </c>
      <c r="D52" s="1" vm="86">
        <v>255</v>
      </c>
      <c r="E52">
        <v>207</v>
      </c>
      <c r="I52">
        <v>207</v>
      </c>
      <c r="K52" t="s">
        <v>83</v>
      </c>
      <c r="L52" t="s">
        <v>47</v>
      </c>
      <c r="M52" t="s">
        <v>198</v>
      </c>
      <c r="N52" t="s">
        <v>41</v>
      </c>
      <c r="O52" t="s">
        <v>43</v>
      </c>
      <c r="P52" t="s">
        <v>42</v>
      </c>
      <c r="Q52" t="s">
        <v>43</v>
      </c>
      <c r="R52" t="s">
        <v>44</v>
      </c>
    </row>
    <row r="53" spans="1:18" x14ac:dyDescent="0.25">
      <c r="A53">
        <v>1464942</v>
      </c>
      <c r="B53">
        <v>4</v>
      </c>
      <c r="C53">
        <v>2022</v>
      </c>
      <c r="D53" s="1" vm="123">
        <v>22700</v>
      </c>
      <c r="E53">
        <v>23580</v>
      </c>
      <c r="K53" t="s">
        <v>87</v>
      </c>
      <c r="L53" t="s">
        <v>40</v>
      </c>
      <c r="M53" t="s">
        <v>198</v>
      </c>
      <c r="N53" t="s">
        <v>41</v>
      </c>
      <c r="O53" t="s">
        <v>43</v>
      </c>
      <c r="P53" t="s">
        <v>42</v>
      </c>
      <c r="Q53" t="s">
        <v>43</v>
      </c>
      <c r="R53" t="s">
        <v>44</v>
      </c>
    </row>
    <row r="54" spans="1:18" x14ac:dyDescent="0.25">
      <c r="A54">
        <v>1464941</v>
      </c>
      <c r="B54">
        <v>4</v>
      </c>
      <c r="C54">
        <v>2022</v>
      </c>
      <c r="D54" s="1" vm="84">
        <v>43360.28</v>
      </c>
      <c r="E54">
        <v>38835</v>
      </c>
      <c r="K54" t="s">
        <v>89</v>
      </c>
      <c r="L54" t="s">
        <v>40</v>
      </c>
      <c r="M54" t="s">
        <v>198</v>
      </c>
      <c r="N54" t="s">
        <v>41</v>
      </c>
      <c r="O54" t="s">
        <v>43</v>
      </c>
      <c r="P54" t="s">
        <v>42</v>
      </c>
      <c r="Q54" t="s">
        <v>43</v>
      </c>
      <c r="R54" t="s">
        <v>44</v>
      </c>
    </row>
    <row r="55" spans="1:18" x14ac:dyDescent="0.25">
      <c r="A55">
        <v>1460909</v>
      </c>
      <c r="B55">
        <v>4</v>
      </c>
      <c r="C55">
        <v>2022</v>
      </c>
      <c r="D55" s="1" vm="93">
        <v>147.78586129753916</v>
      </c>
      <c r="E55">
        <v>119</v>
      </c>
      <c r="F55">
        <v>150</v>
      </c>
      <c r="I55">
        <v>140</v>
      </c>
      <c r="J55">
        <v>160</v>
      </c>
      <c r="K55" t="s">
        <v>144</v>
      </c>
      <c r="L55" t="s">
        <v>40</v>
      </c>
      <c r="M55" t="s">
        <v>198</v>
      </c>
      <c r="N55" t="s">
        <v>46</v>
      </c>
      <c r="O55" t="s">
        <v>42</v>
      </c>
      <c r="P55" t="s">
        <v>42</v>
      </c>
      <c r="Q55" t="s">
        <v>43</v>
      </c>
      <c r="R55" t="s">
        <v>44</v>
      </c>
    </row>
    <row r="56" spans="1:18" x14ac:dyDescent="0.25">
      <c r="A56">
        <v>1460910</v>
      </c>
      <c r="B56">
        <v>4</v>
      </c>
      <c r="C56">
        <v>2022</v>
      </c>
      <c r="D56" s="1" vm="91">
        <v>118.22916666666667</v>
      </c>
      <c r="E56">
        <v>110</v>
      </c>
      <c r="F56">
        <v>130</v>
      </c>
      <c r="I56">
        <v>115</v>
      </c>
      <c r="J56">
        <v>120</v>
      </c>
      <c r="K56" t="s">
        <v>96</v>
      </c>
      <c r="L56" t="s">
        <v>40</v>
      </c>
      <c r="M56" t="s">
        <v>198</v>
      </c>
      <c r="N56" t="s">
        <v>46</v>
      </c>
      <c r="O56" t="s">
        <v>43</v>
      </c>
      <c r="P56" t="s">
        <v>42</v>
      </c>
      <c r="Q56" t="s">
        <v>43</v>
      </c>
      <c r="R56" t="s">
        <v>44</v>
      </c>
    </row>
    <row r="57" spans="1:18" x14ac:dyDescent="0.25">
      <c r="A57">
        <v>1460911</v>
      </c>
      <c r="B57">
        <v>4</v>
      </c>
      <c r="C57">
        <v>2022</v>
      </c>
      <c r="D57" s="1" vm="124">
        <v>170.04031372549019</v>
      </c>
      <c r="E57">
        <v>120</v>
      </c>
      <c r="F57">
        <v>180</v>
      </c>
      <c r="I57">
        <v>150</v>
      </c>
      <c r="J57">
        <v>185</v>
      </c>
      <c r="K57" t="s">
        <v>97</v>
      </c>
      <c r="L57" t="s">
        <v>40</v>
      </c>
      <c r="M57" t="s">
        <v>198</v>
      </c>
      <c r="N57" t="s">
        <v>46</v>
      </c>
      <c r="O57" t="s">
        <v>43</v>
      </c>
      <c r="P57" t="s">
        <v>42</v>
      </c>
      <c r="Q57" t="s">
        <v>43</v>
      </c>
      <c r="R57" t="s">
        <v>44</v>
      </c>
    </row>
    <row r="58" spans="1:18" x14ac:dyDescent="0.25">
      <c r="D58" s="1"/>
    </row>
    <row r="59" spans="1:18" x14ac:dyDescent="0.25">
      <c r="D59" s="1"/>
    </row>
    <row r="60" spans="1:18" x14ac:dyDescent="0.25">
      <c r="D60" s="1"/>
    </row>
    <row r="61" spans="1:18" x14ac:dyDescent="0.25">
      <c r="D61" s="1"/>
    </row>
    <row r="62" spans="1:18" x14ac:dyDescent="0.25">
      <c r="D62" s="1"/>
    </row>
    <row r="63" spans="1:18" x14ac:dyDescent="0.25">
      <c r="D63" s="1"/>
    </row>
    <row r="64" spans="1:18" x14ac:dyDescent="0.25">
      <c r="D64" s="1"/>
    </row>
    <row r="65" spans="4:4" x14ac:dyDescent="0.25">
      <c r="D65" s="1"/>
    </row>
    <row r="66" spans="4:4" x14ac:dyDescent="0.25">
      <c r="D66" s="1"/>
    </row>
    <row r="67" spans="4:4" x14ac:dyDescent="0.25">
      <c r="D67" s="1"/>
    </row>
    <row r="68" spans="4:4" x14ac:dyDescent="0.25">
      <c r="D68" s="1"/>
    </row>
    <row r="69" spans="4:4" x14ac:dyDescent="0.25">
      <c r="D69" s="1"/>
    </row>
    <row r="70" spans="4:4" x14ac:dyDescent="0.25">
      <c r="D70" s="1"/>
    </row>
    <row r="71" spans="4:4" x14ac:dyDescent="0.25">
      <c r="D71" s="1"/>
    </row>
    <row r="72" spans="4:4" x14ac:dyDescent="0.25">
      <c r="D72" s="1"/>
    </row>
    <row r="73" spans="4:4" x14ac:dyDescent="0.25">
      <c r="D73" s="1"/>
    </row>
    <row r="74" spans="4:4" x14ac:dyDescent="0.25">
      <c r="D74" s="1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1"/>
    </row>
    <row r="86" spans="4:4" x14ac:dyDescent="0.25">
      <c r="D86" s="1"/>
    </row>
    <row r="87" spans="4:4" x14ac:dyDescent="0.25">
      <c r="D87" s="1"/>
    </row>
    <row r="88" spans="4:4" x14ac:dyDescent="0.25">
      <c r="D88" s="1"/>
    </row>
    <row r="89" spans="4:4" x14ac:dyDescent="0.25">
      <c r="D89" s="1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4:4" x14ac:dyDescent="0.25">
      <c r="D97" s="1"/>
    </row>
    <row r="98" spans="4:4" x14ac:dyDescent="0.25">
      <c r="D98" s="1"/>
    </row>
    <row r="99" spans="4:4" x14ac:dyDescent="0.25">
      <c r="D99" s="1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E20A0-3E63-4AA2-8605-DAB79EA65EC3}">
  <sheetPr codeName="Planilha6"/>
  <dimension ref="B4:C7"/>
  <sheetViews>
    <sheetView zoomScale="110" zoomScaleNormal="110" workbookViewId="0">
      <selection activeCell="D13" sqref="D13"/>
    </sheetView>
  </sheetViews>
  <sheetFormatPr defaultRowHeight="15" x14ac:dyDescent="0.25"/>
  <cols>
    <col min="2" max="2" width="17.42578125" bestFit="1" customWidth="1"/>
    <col min="3" max="3" width="11.7109375" bestFit="1" customWidth="1"/>
    <col min="4" max="10" width="10.140625" bestFit="1" customWidth="1"/>
  </cols>
  <sheetData>
    <row r="4" spans="2:3" x14ac:dyDescent="0.25">
      <c r="B4" s="2" t="s">
        <v>3</v>
      </c>
      <c r="C4" t="s">
        <v>2</v>
      </c>
    </row>
    <row r="5" spans="2:3" x14ac:dyDescent="0.25">
      <c r="B5" s="3">
        <v>2021</v>
      </c>
      <c r="C5" s="6">
        <v>604738.62999999058</v>
      </c>
    </row>
    <row r="6" spans="2:3" x14ac:dyDescent="0.25">
      <c r="B6" s="3">
        <v>2022</v>
      </c>
      <c r="C6" s="6">
        <v>1014885.5099999784</v>
      </c>
    </row>
    <row r="7" spans="2:3" x14ac:dyDescent="0.25">
      <c r="B7" s="3" t="s">
        <v>1</v>
      </c>
      <c r="C7" s="6">
        <v>1619624.1399999871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51F33-CD20-4BD2-9B0A-70B6DDA92A03}">
  <dimension ref="A1:D79"/>
  <sheetViews>
    <sheetView topLeftCell="A19" workbookViewId="0">
      <selection activeCell="C45" sqref="C45"/>
    </sheetView>
  </sheetViews>
  <sheetFormatPr defaultRowHeight="15" x14ac:dyDescent="0.25"/>
  <cols>
    <col min="3" max="3" width="38.5703125" bestFit="1" customWidth="1"/>
  </cols>
  <sheetData>
    <row r="1" spans="1:4" x14ac:dyDescent="0.25">
      <c r="A1" t="s">
        <v>14</v>
      </c>
      <c r="B1" t="s">
        <v>17</v>
      </c>
      <c r="C1" t="s">
        <v>24</v>
      </c>
      <c r="D1" t="s">
        <v>25</v>
      </c>
    </row>
    <row r="2" spans="1:4" x14ac:dyDescent="0.25">
      <c r="A2">
        <v>1460979</v>
      </c>
      <c r="B2" vm="50">
        <v>72</v>
      </c>
      <c r="C2" t="s">
        <v>115</v>
      </c>
      <c r="D2" t="s">
        <v>47</v>
      </c>
    </row>
    <row r="3" spans="1:4" x14ac:dyDescent="0.25">
      <c r="A3">
        <v>1460929</v>
      </c>
      <c r="B3" vm="62">
        <v>1</v>
      </c>
      <c r="C3" t="s">
        <v>117</v>
      </c>
      <c r="D3" t="s">
        <v>47</v>
      </c>
    </row>
    <row r="4" spans="1:4" x14ac:dyDescent="0.25">
      <c r="A4">
        <v>1460923</v>
      </c>
      <c r="B4" vm="44">
        <v>8</v>
      </c>
      <c r="C4" t="s">
        <v>118</v>
      </c>
      <c r="D4" t="s">
        <v>47</v>
      </c>
    </row>
    <row r="5" spans="1:4" x14ac:dyDescent="0.25">
      <c r="A5">
        <v>1460977</v>
      </c>
      <c r="B5" vm="68">
        <v>16</v>
      </c>
      <c r="C5" t="s">
        <v>81</v>
      </c>
      <c r="D5" t="s">
        <v>47</v>
      </c>
    </row>
    <row r="6" spans="1:4" x14ac:dyDescent="0.25">
      <c r="A6">
        <v>1460915</v>
      </c>
      <c r="B6" vm="15">
        <v>14</v>
      </c>
      <c r="C6" t="s">
        <v>60</v>
      </c>
      <c r="D6" t="s">
        <v>47</v>
      </c>
    </row>
    <row r="7" spans="1:4" x14ac:dyDescent="0.25">
      <c r="A7">
        <v>1460898</v>
      </c>
      <c r="C7" t="s">
        <v>48</v>
      </c>
      <c r="D7" t="s">
        <v>47</v>
      </c>
    </row>
    <row r="8" spans="1:4" x14ac:dyDescent="0.25">
      <c r="A8">
        <v>1460947</v>
      </c>
      <c r="C8" t="s">
        <v>104</v>
      </c>
      <c r="D8" t="s">
        <v>47</v>
      </c>
    </row>
    <row r="9" spans="1:4" x14ac:dyDescent="0.25">
      <c r="A9">
        <v>1460948</v>
      </c>
      <c r="C9" t="s">
        <v>105</v>
      </c>
      <c r="D9" t="s">
        <v>47</v>
      </c>
    </row>
    <row r="10" spans="1:4" x14ac:dyDescent="0.25">
      <c r="A10">
        <v>1460946</v>
      </c>
      <c r="C10" t="s">
        <v>106</v>
      </c>
      <c r="D10" t="s">
        <v>47</v>
      </c>
    </row>
    <row r="11" spans="1:4" x14ac:dyDescent="0.25">
      <c r="A11">
        <v>1460949</v>
      </c>
      <c r="C11" t="s">
        <v>107</v>
      </c>
      <c r="D11" t="s">
        <v>47</v>
      </c>
    </row>
    <row r="12" spans="1:4" x14ac:dyDescent="0.25">
      <c r="A12">
        <v>1460950</v>
      </c>
      <c r="C12" t="s">
        <v>108</v>
      </c>
      <c r="D12" t="s">
        <v>47</v>
      </c>
    </row>
    <row r="13" spans="1:4" x14ac:dyDescent="0.25">
      <c r="A13">
        <v>1470221</v>
      </c>
      <c r="B13" vm="81">
        <v>12.785714285714286</v>
      </c>
      <c r="C13" t="s">
        <v>109</v>
      </c>
      <c r="D13" t="s">
        <v>110</v>
      </c>
    </row>
    <row r="14" spans="1:4" x14ac:dyDescent="0.25">
      <c r="A14">
        <v>1470222</v>
      </c>
      <c r="B14" vm="82">
        <v>0.39427312775330398</v>
      </c>
      <c r="C14" t="s">
        <v>111</v>
      </c>
      <c r="D14" t="s">
        <v>110</v>
      </c>
    </row>
    <row r="15" spans="1:4" x14ac:dyDescent="0.25">
      <c r="A15">
        <v>1470223</v>
      </c>
      <c r="B15" vm="83">
        <v>1.335820895522388</v>
      </c>
      <c r="C15" t="s">
        <v>112</v>
      </c>
      <c r="D15" t="s">
        <v>110</v>
      </c>
    </row>
    <row r="16" spans="1:4" x14ac:dyDescent="0.25">
      <c r="A16">
        <v>1460976</v>
      </c>
      <c r="B16" vm="16">
        <v>179</v>
      </c>
      <c r="C16" t="s">
        <v>61</v>
      </c>
      <c r="D16" t="s">
        <v>47</v>
      </c>
    </row>
    <row r="17" spans="1:4" x14ac:dyDescent="0.25">
      <c r="A17">
        <v>1460953</v>
      </c>
      <c r="C17" t="s">
        <v>148</v>
      </c>
      <c r="D17" t="s">
        <v>45</v>
      </c>
    </row>
    <row r="18" spans="1:4" x14ac:dyDescent="0.25">
      <c r="A18">
        <v>1460936</v>
      </c>
      <c r="B18" vm="64">
        <v>33</v>
      </c>
      <c r="C18" t="s">
        <v>119</v>
      </c>
      <c r="D18" t="s">
        <v>47</v>
      </c>
    </row>
    <row r="19" spans="1:4" x14ac:dyDescent="0.25">
      <c r="A19">
        <v>1464952</v>
      </c>
      <c r="B19" vm="48">
        <v>23</v>
      </c>
      <c r="C19" t="s">
        <v>120</v>
      </c>
      <c r="D19" t="s">
        <v>47</v>
      </c>
    </row>
    <row r="20" spans="1:4" x14ac:dyDescent="0.25">
      <c r="A20">
        <v>1464945</v>
      </c>
      <c r="B20" vm="60">
        <v>198</v>
      </c>
      <c r="C20" t="s">
        <v>82</v>
      </c>
      <c r="D20" t="s">
        <v>47</v>
      </c>
    </row>
    <row r="21" spans="1:4" x14ac:dyDescent="0.25">
      <c r="A21">
        <v>1464944</v>
      </c>
      <c r="B21" vm="53">
        <v>256</v>
      </c>
      <c r="C21" t="s">
        <v>83</v>
      </c>
      <c r="D21" t="s">
        <v>47</v>
      </c>
    </row>
    <row r="22" spans="1:4" x14ac:dyDescent="0.25">
      <c r="A22">
        <v>1460956</v>
      </c>
      <c r="B22" vm="14">
        <v>21000</v>
      </c>
      <c r="C22" t="s">
        <v>84</v>
      </c>
      <c r="D22" t="s">
        <v>40</v>
      </c>
    </row>
    <row r="23" spans="1:4" x14ac:dyDescent="0.25">
      <c r="A23">
        <v>1460961</v>
      </c>
      <c r="B23" vm="36">
        <v>5600</v>
      </c>
      <c r="C23" t="s">
        <v>85</v>
      </c>
      <c r="D23" t="s">
        <v>40</v>
      </c>
    </row>
    <row r="24" spans="1:4" x14ac:dyDescent="0.25">
      <c r="A24">
        <v>1460960</v>
      </c>
      <c r="B24" vm="45">
        <v>71.900000000000006</v>
      </c>
      <c r="C24" t="s">
        <v>86</v>
      </c>
      <c r="D24" t="s">
        <v>40</v>
      </c>
    </row>
    <row r="25" spans="1:4" x14ac:dyDescent="0.25">
      <c r="A25">
        <v>1464942</v>
      </c>
      <c r="B25" vm="67">
        <v>24150</v>
      </c>
      <c r="C25" s="19" t="s">
        <v>87</v>
      </c>
      <c r="D25" t="s">
        <v>40</v>
      </c>
    </row>
    <row r="26" spans="1:4" x14ac:dyDescent="0.25">
      <c r="A26">
        <v>1460959</v>
      </c>
      <c r="B26" s="7">
        <v>19593.728000000094</v>
      </c>
      <c r="C26" t="s">
        <v>88</v>
      </c>
      <c r="D26" t="s">
        <v>40</v>
      </c>
    </row>
    <row r="27" spans="1:4" x14ac:dyDescent="0.25">
      <c r="A27">
        <v>1464941</v>
      </c>
      <c r="B27" vm="59">
        <v>43681.44000000001</v>
      </c>
      <c r="C27" t="s">
        <v>89</v>
      </c>
      <c r="D27" t="s">
        <v>40</v>
      </c>
    </row>
    <row r="28" spans="1:4" x14ac:dyDescent="0.25">
      <c r="A28">
        <v>1460957</v>
      </c>
      <c r="B28" vm="41">
        <v>9306.2999999999993</v>
      </c>
      <c r="C28" t="s">
        <v>90</v>
      </c>
      <c r="D28" t="s">
        <v>40</v>
      </c>
    </row>
    <row r="29" spans="1:4" x14ac:dyDescent="0.25">
      <c r="A29">
        <v>1460958</v>
      </c>
      <c r="B29" vm="52">
        <v>7636.7600000000066</v>
      </c>
      <c r="C29" t="s">
        <v>91</v>
      </c>
      <c r="D29" t="s">
        <v>40</v>
      </c>
    </row>
    <row r="30" spans="1:4" x14ac:dyDescent="0.25">
      <c r="A30">
        <v>1460978</v>
      </c>
      <c r="B30" vm="57">
        <v>2232.719999999998</v>
      </c>
      <c r="C30" t="s">
        <v>121</v>
      </c>
      <c r="D30" t="s">
        <v>40</v>
      </c>
    </row>
    <row r="31" spans="1:4" x14ac:dyDescent="0.25">
      <c r="A31">
        <v>1460927</v>
      </c>
      <c r="B31" vm="69">
        <v>300</v>
      </c>
      <c r="C31" t="s">
        <v>122</v>
      </c>
      <c r="D31" t="s">
        <v>40</v>
      </c>
    </row>
    <row r="32" spans="1:4" x14ac:dyDescent="0.25">
      <c r="A32">
        <v>1460919</v>
      </c>
      <c r="B32" vm="49">
        <v>6510</v>
      </c>
      <c r="C32" t="s">
        <v>123</v>
      </c>
      <c r="D32" t="s">
        <v>40</v>
      </c>
    </row>
    <row r="33" spans="1:4" x14ac:dyDescent="0.25">
      <c r="A33">
        <v>1460917</v>
      </c>
      <c r="B33" vm="13">
        <v>11515</v>
      </c>
      <c r="C33" t="s">
        <v>124</v>
      </c>
      <c r="D33" t="s">
        <v>40</v>
      </c>
    </row>
    <row r="34" spans="1:4" x14ac:dyDescent="0.25">
      <c r="A34">
        <v>1460934</v>
      </c>
      <c r="B34" vm="43">
        <v>143.73000000000002</v>
      </c>
      <c r="C34" t="s">
        <v>125</v>
      </c>
      <c r="D34" t="s">
        <v>40</v>
      </c>
    </row>
    <row r="35" spans="1:4" x14ac:dyDescent="0.25">
      <c r="A35">
        <v>1464948</v>
      </c>
      <c r="B35" vm="55">
        <v>6840</v>
      </c>
      <c r="C35" t="s">
        <v>126</v>
      </c>
      <c r="D35" t="s">
        <v>40</v>
      </c>
    </row>
    <row r="37" spans="1:4" x14ac:dyDescent="0.25">
      <c r="A37">
        <v>1460932</v>
      </c>
      <c r="B37">
        <v>29390.592000000139</v>
      </c>
      <c r="C37" t="s">
        <v>127</v>
      </c>
      <c r="D37" t="s">
        <v>40</v>
      </c>
    </row>
    <row r="38" spans="1:4" x14ac:dyDescent="0.25">
      <c r="A38">
        <v>1460931</v>
      </c>
      <c r="B38" vm="70">
        <v>34650</v>
      </c>
      <c r="C38" t="s">
        <v>128</v>
      </c>
      <c r="D38" t="s">
        <v>40</v>
      </c>
    </row>
    <row r="39" spans="1:4" x14ac:dyDescent="0.25">
      <c r="A39">
        <v>1460907</v>
      </c>
      <c r="B39" vm="59">
        <v>43681.44000000001</v>
      </c>
      <c r="C39" t="s">
        <v>143</v>
      </c>
      <c r="D39" t="s">
        <v>40</v>
      </c>
    </row>
    <row r="40" spans="1:4" x14ac:dyDescent="0.25">
      <c r="A40">
        <v>1460935</v>
      </c>
      <c r="B40" vm="33">
        <v>3747.8200000000015</v>
      </c>
      <c r="C40" t="s">
        <v>129</v>
      </c>
      <c r="D40" t="s">
        <v>40</v>
      </c>
    </row>
    <row r="41" spans="1:4" x14ac:dyDescent="0.25">
      <c r="A41">
        <v>1460952</v>
      </c>
      <c r="C41" t="s">
        <v>59</v>
      </c>
      <c r="D41" t="s">
        <v>40</v>
      </c>
    </row>
    <row r="42" spans="1:4" x14ac:dyDescent="0.25">
      <c r="A42">
        <v>1460954</v>
      </c>
      <c r="C42" t="s">
        <v>113</v>
      </c>
      <c r="D42" t="s">
        <v>40</v>
      </c>
    </row>
    <row r="43" spans="1:4" x14ac:dyDescent="0.25">
      <c r="A43">
        <v>1460973</v>
      </c>
      <c r="B43">
        <v>1865.2</v>
      </c>
      <c r="C43" t="s">
        <v>92</v>
      </c>
      <c r="D43" t="s">
        <v>47</v>
      </c>
    </row>
    <row r="44" spans="1:4" x14ac:dyDescent="0.25">
      <c r="A44">
        <v>1460937</v>
      </c>
      <c r="B44">
        <v>2797.7999999999997</v>
      </c>
      <c r="C44" t="s">
        <v>130</v>
      </c>
      <c r="D44" t="s">
        <v>47</v>
      </c>
    </row>
    <row r="45" spans="1:4" x14ac:dyDescent="0.25">
      <c r="A45">
        <v>1460930</v>
      </c>
      <c r="B45" vm="34">
        <v>111</v>
      </c>
      <c r="C45" t="s">
        <v>131</v>
      </c>
      <c r="D45" t="s">
        <v>47</v>
      </c>
    </row>
    <row r="46" spans="1:4" x14ac:dyDescent="0.25">
      <c r="A46">
        <v>1460980</v>
      </c>
      <c r="B46" vm="37">
        <v>31.009999999999973</v>
      </c>
      <c r="C46" t="s">
        <v>132</v>
      </c>
      <c r="D46" t="s">
        <v>40</v>
      </c>
    </row>
    <row r="47" spans="1:4" x14ac:dyDescent="0.25">
      <c r="A47">
        <v>1460928</v>
      </c>
      <c r="B47" vm="56">
        <v>300</v>
      </c>
      <c r="C47" t="s">
        <v>133</v>
      </c>
      <c r="D47" t="s">
        <v>40</v>
      </c>
    </row>
    <row r="48" spans="1:4" x14ac:dyDescent="0.25">
      <c r="A48">
        <v>1460922</v>
      </c>
      <c r="B48" vm="51">
        <v>813.75</v>
      </c>
      <c r="C48" t="s">
        <v>134</v>
      </c>
      <c r="D48" t="s">
        <v>40</v>
      </c>
    </row>
    <row r="49" spans="1:4" x14ac:dyDescent="0.25">
      <c r="A49">
        <v>1460920</v>
      </c>
      <c r="B49" vm="17">
        <v>822.5</v>
      </c>
      <c r="C49" t="s">
        <v>135</v>
      </c>
      <c r="D49" t="s">
        <v>40</v>
      </c>
    </row>
    <row r="50" spans="1:4" x14ac:dyDescent="0.25">
      <c r="A50">
        <v>1460921</v>
      </c>
      <c r="C50" t="s">
        <v>136</v>
      </c>
      <c r="D50" t="s">
        <v>40</v>
      </c>
    </row>
    <row r="51" spans="1:4" x14ac:dyDescent="0.25">
      <c r="A51">
        <v>1460968</v>
      </c>
      <c r="C51" t="s">
        <v>93</v>
      </c>
      <c r="D51" t="s">
        <v>40</v>
      </c>
    </row>
    <row r="52" spans="1:4" x14ac:dyDescent="0.25">
      <c r="A52">
        <v>1460962</v>
      </c>
      <c r="B52" vm="18">
        <v>117.31843575418995</v>
      </c>
      <c r="C52" t="s">
        <v>94</v>
      </c>
      <c r="D52" t="s">
        <v>40</v>
      </c>
    </row>
    <row r="53" spans="1:4" x14ac:dyDescent="0.25">
      <c r="A53">
        <v>1460939</v>
      </c>
      <c r="B53" vm="39">
        <v>4.3554545454545464</v>
      </c>
      <c r="C53" t="s">
        <v>137</v>
      </c>
      <c r="D53" t="s">
        <v>40</v>
      </c>
    </row>
    <row r="54" spans="1:4" x14ac:dyDescent="0.25">
      <c r="A54">
        <v>1460963</v>
      </c>
      <c r="B54" vm="61">
        <v>350</v>
      </c>
      <c r="C54" t="s">
        <v>95</v>
      </c>
      <c r="D54" t="s">
        <v>40</v>
      </c>
    </row>
    <row r="55" spans="1:4" x14ac:dyDescent="0.25">
      <c r="A55">
        <v>1464953</v>
      </c>
      <c r="B55" vm="42">
        <v>297.39130434782606</v>
      </c>
      <c r="C55" t="s">
        <v>138</v>
      </c>
      <c r="D55" t="s">
        <v>40</v>
      </c>
    </row>
    <row r="56" spans="1:4" x14ac:dyDescent="0.25">
      <c r="A56">
        <v>1460909</v>
      </c>
      <c r="B56" vm="76">
        <v>149.40845814977976</v>
      </c>
      <c r="C56" t="s">
        <v>144</v>
      </c>
      <c r="D56" t="s">
        <v>40</v>
      </c>
    </row>
    <row r="57" spans="1:4" x14ac:dyDescent="0.25">
      <c r="A57">
        <v>1460910</v>
      </c>
      <c r="B57" vm="54">
        <v>121.96969696969697</v>
      </c>
      <c r="C57" t="s">
        <v>96</v>
      </c>
      <c r="D57" t="s">
        <v>40</v>
      </c>
    </row>
    <row r="58" spans="1:4" x14ac:dyDescent="0.25">
      <c r="A58">
        <v>1460911</v>
      </c>
      <c r="B58" vm="47">
        <v>170.63062500000004</v>
      </c>
      <c r="C58" t="s">
        <v>97</v>
      </c>
      <c r="D58" t="s">
        <v>40</v>
      </c>
    </row>
    <row r="59" spans="1:4" x14ac:dyDescent="0.25">
      <c r="A59">
        <v>1460964</v>
      </c>
      <c r="B59" vm="35">
        <v>23.966666666666669</v>
      </c>
      <c r="C59" t="s">
        <v>98</v>
      </c>
      <c r="D59" t="s">
        <v>40</v>
      </c>
    </row>
    <row r="60" spans="1:4" x14ac:dyDescent="0.25">
      <c r="A60">
        <v>1460966</v>
      </c>
      <c r="B60">
        <v>10.504893845164107</v>
      </c>
      <c r="C60" t="s">
        <v>99</v>
      </c>
      <c r="D60" t="s">
        <v>40</v>
      </c>
    </row>
    <row r="61" spans="1:4" x14ac:dyDescent="0.25">
      <c r="A61">
        <v>1460941</v>
      </c>
      <c r="B61">
        <v>10.504893845164109</v>
      </c>
      <c r="C61" t="s">
        <v>139</v>
      </c>
      <c r="D61" t="s">
        <v>40</v>
      </c>
    </row>
    <row r="62" spans="1:4" x14ac:dyDescent="0.25">
      <c r="A62">
        <v>1460938</v>
      </c>
      <c r="B62" vm="66">
        <v>312.16216216216219</v>
      </c>
      <c r="C62" t="s">
        <v>140</v>
      </c>
      <c r="D62" t="s">
        <v>40</v>
      </c>
    </row>
    <row r="63" spans="1:4" x14ac:dyDescent="0.25">
      <c r="A63">
        <v>1460942</v>
      </c>
      <c r="B63" vm="58">
        <v>162.94869565217397</v>
      </c>
      <c r="C63" t="s">
        <v>141</v>
      </c>
      <c r="D63" t="s">
        <v>40</v>
      </c>
    </row>
    <row r="64" spans="1:4" x14ac:dyDescent="0.25">
      <c r="A64">
        <v>1460965</v>
      </c>
      <c r="B64" vm="38">
        <v>37.225199999999994</v>
      </c>
      <c r="C64" t="s">
        <v>100</v>
      </c>
      <c r="D64" t="s">
        <v>40</v>
      </c>
    </row>
    <row r="65" spans="1:4" x14ac:dyDescent="0.25">
      <c r="A65">
        <v>1460967</v>
      </c>
      <c r="B65" vm="40">
        <v>115.70848484848494</v>
      </c>
      <c r="C65" t="s">
        <v>101</v>
      </c>
      <c r="D65" t="s">
        <v>40</v>
      </c>
    </row>
    <row r="66" spans="1:4" x14ac:dyDescent="0.25">
      <c r="A66">
        <v>1460943</v>
      </c>
      <c r="B66" vm="65">
        <v>23</v>
      </c>
      <c r="C66" t="s">
        <v>142</v>
      </c>
      <c r="D66" t="s">
        <v>47</v>
      </c>
    </row>
    <row r="67" spans="1:4" x14ac:dyDescent="0.25">
      <c r="A67">
        <v>1460974</v>
      </c>
      <c r="B67" vm="71">
        <v>250</v>
      </c>
      <c r="C67" t="s">
        <v>62</v>
      </c>
      <c r="D67" t="s">
        <v>47</v>
      </c>
    </row>
    <row r="68" spans="1:4" x14ac:dyDescent="0.25">
      <c r="A68">
        <v>1460975</v>
      </c>
      <c r="B68" vm="63">
        <v>3</v>
      </c>
      <c r="C68" t="s">
        <v>102</v>
      </c>
      <c r="D68" t="s">
        <v>47</v>
      </c>
    </row>
    <row r="69" spans="1:4" x14ac:dyDescent="0.25">
      <c r="A69">
        <v>1460912</v>
      </c>
      <c r="B69" vm="60">
        <v>198</v>
      </c>
      <c r="C69" t="s">
        <v>145</v>
      </c>
      <c r="D69" t="s">
        <v>47</v>
      </c>
    </row>
    <row r="70" spans="1:4" x14ac:dyDescent="0.25">
      <c r="A70">
        <v>1460913</v>
      </c>
      <c r="B70" vm="53">
        <v>256</v>
      </c>
      <c r="C70" t="s">
        <v>146</v>
      </c>
      <c r="D70" t="s">
        <v>47</v>
      </c>
    </row>
    <row r="71" spans="1:4" x14ac:dyDescent="0.25">
      <c r="A71">
        <v>1464949</v>
      </c>
      <c r="C71" t="s">
        <v>149</v>
      </c>
      <c r="D71" t="s">
        <v>40</v>
      </c>
    </row>
    <row r="72" spans="1:4" x14ac:dyDescent="0.25">
      <c r="A72">
        <v>1464946</v>
      </c>
      <c r="C72" t="s">
        <v>63</v>
      </c>
      <c r="D72" t="s">
        <v>40</v>
      </c>
    </row>
    <row r="73" spans="1:4" x14ac:dyDescent="0.25">
      <c r="A73">
        <v>1464951</v>
      </c>
      <c r="C73" t="s">
        <v>150</v>
      </c>
      <c r="D73" t="s">
        <v>40</v>
      </c>
    </row>
    <row r="74" spans="1:4" x14ac:dyDescent="0.25">
      <c r="A74">
        <v>1464947</v>
      </c>
      <c r="C74" t="s">
        <v>147</v>
      </c>
      <c r="D74" t="s">
        <v>40</v>
      </c>
    </row>
    <row r="75" spans="1:4" x14ac:dyDescent="0.25">
      <c r="A75">
        <v>1460914</v>
      </c>
      <c r="C75" t="s">
        <v>147</v>
      </c>
      <c r="D75" t="s">
        <v>40</v>
      </c>
    </row>
    <row r="76" spans="1:4" x14ac:dyDescent="0.25">
      <c r="A76">
        <v>1464950</v>
      </c>
      <c r="C76" t="s">
        <v>151</v>
      </c>
      <c r="D76" t="s">
        <v>40</v>
      </c>
    </row>
    <row r="77" spans="1:4" x14ac:dyDescent="0.25">
      <c r="A77">
        <v>1460955</v>
      </c>
      <c r="C77" t="s">
        <v>65</v>
      </c>
      <c r="D77" t="s">
        <v>45</v>
      </c>
    </row>
    <row r="78" spans="1:4" x14ac:dyDescent="0.25">
      <c r="A78">
        <v>1460899</v>
      </c>
      <c r="B78" vm="10">
        <v>331.43483162518311</v>
      </c>
      <c r="C78" t="s">
        <v>114</v>
      </c>
      <c r="D78" t="s">
        <v>40</v>
      </c>
    </row>
    <row r="79" spans="1:4" x14ac:dyDescent="0.25">
      <c r="A79">
        <v>1460972</v>
      </c>
      <c r="B79" vm="46">
        <v>66</v>
      </c>
      <c r="C79" t="s">
        <v>64</v>
      </c>
      <c r="D79" t="s">
        <v>47</v>
      </c>
    </row>
  </sheetData>
  <sortState xmlns:xlrd2="http://schemas.microsoft.com/office/spreadsheetml/2017/richdata2" ref="A2:D79">
    <sortCondition ref="C2:C79"/>
  </sortState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Props1.xml><?xml version="1.0" encoding="utf-8"?>
<ds:datastoreItem xmlns:ds="http://schemas.openxmlformats.org/officeDocument/2006/customXml" ds:itemID="{60A78F6D-8E6D-42F2-9FC6-7EA4E8BF6FEB}">
  <ds:schemaRefs/>
</ds:datastoreItem>
</file>

<file path=customXml/itemProps2.xml><?xml version="1.0" encoding="utf-8"?>
<ds:datastoreItem xmlns:ds="http://schemas.openxmlformats.org/officeDocument/2006/customXml" ds:itemID="{E7628A83-F981-4683-B8E8-F5B2EBF592E2}">
  <ds:schemaRefs/>
</ds:datastoreItem>
</file>

<file path=customXml/itemProps3.xml><?xml version="1.0" encoding="utf-8"?>
<ds:datastoreItem xmlns:ds="http://schemas.openxmlformats.org/officeDocument/2006/customXml" ds:itemID="{CB94EE29-1C00-4147-80AE-94241834D271}">
  <ds:schemaRefs/>
</ds:datastoreItem>
</file>

<file path=customXml/itemProps4.xml><?xml version="1.0" encoding="utf-8"?>
<ds:datastoreItem xmlns:ds="http://schemas.openxmlformats.org/officeDocument/2006/customXml" ds:itemID="{79080464-104A-4DC2-B968-D58121EAACF3}">
  <ds:schemaRefs/>
</ds:datastoreItem>
</file>

<file path=customXml/itemProps5.xml><?xml version="1.0" encoding="utf-8"?>
<ds:datastoreItem xmlns:ds="http://schemas.openxmlformats.org/officeDocument/2006/customXml" ds:itemID="{63F5A4FF-5CD3-4BCE-89C1-D793E5AC31AF}">
  <ds:schemaRefs/>
</ds:datastoreItem>
</file>

<file path=customXml/itemProps6.xml><?xml version="1.0" encoding="utf-8"?>
<ds:datastoreItem xmlns:ds="http://schemas.openxmlformats.org/officeDocument/2006/customXml" ds:itemID="{6C66273B-87A9-4FF9-9B94-EF54652DF552}">
  <ds:schemaRefs/>
</ds:datastoreItem>
</file>

<file path=customXml/itemProps7.xml><?xml version="1.0" encoding="utf-8"?>
<ds:datastoreItem xmlns:ds="http://schemas.openxmlformats.org/officeDocument/2006/customXml" ds:itemID="{7A5C791C-81F8-4DC2-A20E-73976C31A745}">
  <ds:schemaRefs/>
</ds:datastoreItem>
</file>

<file path=customXml/itemProps8.xml><?xml version="1.0" encoding="utf-8"?>
<ds:datastoreItem xmlns:ds="http://schemas.openxmlformats.org/officeDocument/2006/customXml" ds:itemID="{D1F04FFB-F0BD-403F-8535-AB264A8D216D}">
  <ds:schemaRefs/>
</ds:datastoreItem>
</file>

<file path=customXml/itemProps9.xml><?xml version="1.0" encoding="utf-8"?>
<ds:datastoreItem xmlns:ds="http://schemas.openxmlformats.org/officeDocument/2006/customXml" ds:itemID="{F6A5ED41-A6A4-4F82-8E04-2E1CBB7A28EC}">
  <ds:schemaRefs/>
</ds:datastoreItem>
</file>

<file path=customXml/itemProps10.xml><?xml version="1.0" encoding="utf-8"?>
<ds:datastoreItem xmlns:ds="http://schemas.openxmlformats.org/officeDocument/2006/customXml" ds:itemID="{B3FDEB2D-349E-48CC-929F-36D372E30B30}">
  <ds:schemaRefs/>
</ds:datastoreItem>
</file>

<file path=customXml/itemProps11.xml><?xml version="1.0" encoding="utf-8"?>
<ds:datastoreItem xmlns:ds="http://schemas.openxmlformats.org/officeDocument/2006/customXml" ds:itemID="{35432F3E-8BD0-4128-93EF-3C06EEB1F6F5}">
  <ds:schemaRefs/>
</ds:datastoreItem>
</file>

<file path=customXml/itemProps12.xml><?xml version="1.0" encoding="utf-8"?>
<ds:datastoreItem xmlns:ds="http://schemas.openxmlformats.org/officeDocument/2006/customXml" ds:itemID="{F31A94B2-562B-42A6-BEE3-993FF6B712CF}">
  <ds:schemaRefs/>
</ds:datastoreItem>
</file>

<file path=customXml/itemProps13.xml><?xml version="1.0" encoding="utf-8"?>
<ds:datastoreItem xmlns:ds="http://schemas.openxmlformats.org/officeDocument/2006/customXml" ds:itemID="{82C219C5-B503-4333-A00F-51D15C6027B2}">
  <ds:schemaRefs/>
</ds:datastoreItem>
</file>

<file path=customXml/itemProps14.xml><?xml version="1.0" encoding="utf-8"?>
<ds:datastoreItem xmlns:ds="http://schemas.openxmlformats.org/officeDocument/2006/customXml" ds:itemID="{8FD10F07-2D3C-4CC1-BB07-3FDD2FB4B0DD}">
  <ds:schemaRefs/>
</ds:datastoreItem>
</file>

<file path=customXml/itemProps15.xml><?xml version="1.0" encoding="utf-8"?>
<ds:datastoreItem xmlns:ds="http://schemas.openxmlformats.org/officeDocument/2006/customXml" ds:itemID="{E1D314C9-992F-404C-ABE4-23C4F3C0CDBD}">
  <ds:schemaRefs/>
</ds:datastoreItem>
</file>

<file path=customXml/itemProps16.xml><?xml version="1.0" encoding="utf-8"?>
<ds:datastoreItem xmlns:ds="http://schemas.openxmlformats.org/officeDocument/2006/customXml" ds:itemID="{2EA0BB30-773E-42ED-994E-54A8CA63FEC6}">
  <ds:schemaRefs/>
</ds:datastoreItem>
</file>

<file path=customXml/itemProps17.xml><?xml version="1.0" encoding="utf-8"?>
<ds:datastoreItem xmlns:ds="http://schemas.openxmlformats.org/officeDocument/2006/customXml" ds:itemID="{2C23F9CA-08E5-4FCD-8FCE-68A8AAECCCE5}">
  <ds:schemaRefs/>
</ds:datastoreItem>
</file>

<file path=customXml/itemProps18.xml><?xml version="1.0" encoding="utf-8"?>
<ds:datastoreItem xmlns:ds="http://schemas.openxmlformats.org/officeDocument/2006/customXml" ds:itemID="{36410781-0A4A-4033-A9A4-DB12322BE7B0}">
  <ds:schemaRefs/>
</ds:datastoreItem>
</file>

<file path=customXml/itemProps19.xml><?xml version="1.0" encoding="utf-8"?>
<ds:datastoreItem xmlns:ds="http://schemas.openxmlformats.org/officeDocument/2006/customXml" ds:itemID="{D78CDCFD-1F2F-48A0-9A75-E7EC23E70B8A}">
  <ds:schemaRefs/>
</ds:datastoreItem>
</file>

<file path=customXml/itemProps20.xml><?xml version="1.0" encoding="utf-8"?>
<ds:datastoreItem xmlns:ds="http://schemas.openxmlformats.org/officeDocument/2006/customXml" ds:itemID="{D9D91DBF-4E36-4BA1-8A99-901A4AFFB3F5}">
  <ds:schemaRefs/>
</ds:datastoreItem>
</file>

<file path=customXml/itemProps21.xml><?xml version="1.0" encoding="utf-8"?>
<ds:datastoreItem xmlns:ds="http://schemas.openxmlformats.org/officeDocument/2006/customXml" ds:itemID="{C0125699-B0D7-4A18-BDAE-63EC36E564FA}">
  <ds:schemaRefs/>
</ds:datastoreItem>
</file>

<file path=customXml/itemProps22.xml><?xml version="1.0" encoding="utf-8"?>
<ds:datastoreItem xmlns:ds="http://schemas.openxmlformats.org/officeDocument/2006/customXml" ds:itemID="{4FFFA5A2-C138-4194-9AF9-9861E95B7C8E}">
  <ds:schemaRefs/>
</ds:datastoreItem>
</file>

<file path=customXml/itemProps23.xml><?xml version="1.0" encoding="utf-8"?>
<ds:datastoreItem xmlns:ds="http://schemas.openxmlformats.org/officeDocument/2006/customXml" ds:itemID="{F6730BCF-C6A5-458E-BC05-7ABA294FAED7}">
  <ds:schemaRefs/>
</ds:datastoreItem>
</file>

<file path=customXml/itemProps24.xml><?xml version="1.0" encoding="utf-8"?>
<ds:datastoreItem xmlns:ds="http://schemas.openxmlformats.org/officeDocument/2006/customXml" ds:itemID="{F649EFF6-4A96-48F3-8A9F-3BF0B9139206}">
  <ds:schemaRefs/>
</ds:datastoreItem>
</file>

<file path=customXml/itemProps25.xml><?xml version="1.0" encoding="utf-8"?>
<ds:datastoreItem xmlns:ds="http://schemas.openxmlformats.org/officeDocument/2006/customXml" ds:itemID="{84ED0881-A2B0-4BD7-B28B-6BDB33E82365}">
  <ds:schemaRefs/>
</ds:datastoreItem>
</file>

<file path=customXml/itemProps26.xml><?xml version="1.0" encoding="utf-8"?>
<ds:datastoreItem xmlns:ds="http://schemas.openxmlformats.org/officeDocument/2006/customXml" ds:itemID="{9696E6FF-AFF3-4760-B11E-CD424383B561}">
  <ds:schemaRefs/>
</ds:datastoreItem>
</file>

<file path=customXml/itemProps27.xml><?xml version="1.0" encoding="utf-8"?>
<ds:datastoreItem xmlns:ds="http://schemas.openxmlformats.org/officeDocument/2006/customXml" ds:itemID="{C9704A36-E10B-4355-89C0-B0704B5A7E8A}">
  <ds:schemaRefs/>
</ds:datastoreItem>
</file>

<file path=customXml/itemProps28.xml><?xml version="1.0" encoding="utf-8"?>
<ds:datastoreItem xmlns:ds="http://schemas.openxmlformats.org/officeDocument/2006/customXml" ds:itemID="{781BF6A8-23C1-4CBF-B243-D663DAB318BC}">
  <ds:schemaRefs/>
</ds:datastoreItem>
</file>

<file path=customXml/itemProps29.xml><?xml version="1.0" encoding="utf-8"?>
<ds:datastoreItem xmlns:ds="http://schemas.openxmlformats.org/officeDocument/2006/customXml" ds:itemID="{6192205C-4E40-4C99-8421-AA8EB193EC71}">
  <ds:schemaRefs/>
</ds:datastoreItem>
</file>

<file path=customXml/itemProps30.xml><?xml version="1.0" encoding="utf-8"?>
<ds:datastoreItem xmlns:ds="http://schemas.openxmlformats.org/officeDocument/2006/customXml" ds:itemID="{B969C49A-CF01-4364-8F44-D90C113357AE}">
  <ds:schemaRefs/>
</ds:datastoreItem>
</file>

<file path=customXml/itemProps31.xml><?xml version="1.0" encoding="utf-8"?>
<ds:datastoreItem xmlns:ds="http://schemas.openxmlformats.org/officeDocument/2006/customXml" ds:itemID="{1B573CEA-6FB6-47B2-AA62-88B7C2323649}">
  <ds:schemaRefs/>
</ds:datastoreItem>
</file>

<file path=customXml/itemProps32.xml><?xml version="1.0" encoding="utf-8"?>
<ds:datastoreItem xmlns:ds="http://schemas.openxmlformats.org/officeDocument/2006/customXml" ds:itemID="{2205C19A-29F0-4BCD-B559-CF0069289E5A}">
  <ds:schemaRefs/>
</ds:datastoreItem>
</file>

<file path=customXml/itemProps33.xml><?xml version="1.0" encoding="utf-8"?>
<ds:datastoreItem xmlns:ds="http://schemas.openxmlformats.org/officeDocument/2006/customXml" ds:itemID="{2EEC9C04-0CFF-413F-A7F2-4865A265E41A}">
  <ds:schemaRefs/>
</ds:datastoreItem>
</file>

<file path=customXml/itemProps34.xml><?xml version="1.0" encoding="utf-8"?>
<ds:datastoreItem xmlns:ds="http://schemas.openxmlformats.org/officeDocument/2006/customXml" ds:itemID="{A3FD1C2A-76BB-495E-A809-CDC1DE7BD906}">
  <ds:schemaRefs/>
</ds:datastoreItem>
</file>

<file path=customXml/itemProps35.xml><?xml version="1.0" encoding="utf-8"?>
<ds:datastoreItem xmlns:ds="http://schemas.openxmlformats.org/officeDocument/2006/customXml" ds:itemID="{91391190-6FD1-4883-BACF-4EACE79F1B7B}">
  <ds:schemaRefs/>
</ds:datastoreItem>
</file>

<file path=customXml/itemProps36.xml><?xml version="1.0" encoding="utf-8"?>
<ds:datastoreItem xmlns:ds="http://schemas.openxmlformats.org/officeDocument/2006/customXml" ds:itemID="{847E66B1-65BA-4A20-8980-F2361E3B8F54}">
  <ds:schemaRefs/>
</ds:datastoreItem>
</file>

<file path=customXml/itemProps37.xml><?xml version="1.0" encoding="utf-8"?>
<ds:datastoreItem xmlns:ds="http://schemas.openxmlformats.org/officeDocument/2006/customXml" ds:itemID="{309C8496-CC07-4DA6-AECE-ED109C60789A}">
  <ds:schemaRefs/>
</ds:datastoreItem>
</file>

<file path=customXml/itemProps38.xml><?xml version="1.0" encoding="utf-8"?>
<ds:datastoreItem xmlns:ds="http://schemas.openxmlformats.org/officeDocument/2006/customXml" ds:itemID="{296ABFE9-4C70-414A-AD92-668A13DC615C}">
  <ds:schemaRefs/>
</ds:datastoreItem>
</file>

<file path=customXml/itemProps39.xml><?xml version="1.0" encoding="utf-8"?>
<ds:datastoreItem xmlns:ds="http://schemas.openxmlformats.org/officeDocument/2006/customXml" ds:itemID="{1322E8F0-38AE-4D36-9AA9-724A64FDBCE4}">
  <ds:schemaRefs/>
</ds:datastoreItem>
</file>

<file path=customXml/itemProps40.xml><?xml version="1.0" encoding="utf-8"?>
<ds:datastoreItem xmlns:ds="http://schemas.openxmlformats.org/officeDocument/2006/customXml" ds:itemID="{BD5E6AFA-6E01-4C88-BAAF-203CD5480715}">
  <ds:schemaRefs/>
</ds:datastoreItem>
</file>

<file path=customXml/itemProps41.xml><?xml version="1.0" encoding="utf-8"?>
<ds:datastoreItem xmlns:ds="http://schemas.openxmlformats.org/officeDocument/2006/customXml" ds:itemID="{EB8D16AA-EEB9-4DFF-86BE-AB602C5CB4C0}">
  <ds:schemaRefs/>
</ds:datastoreItem>
</file>

<file path=customXml/itemProps42.xml><?xml version="1.0" encoding="utf-8"?>
<ds:datastoreItem xmlns:ds="http://schemas.openxmlformats.org/officeDocument/2006/customXml" ds:itemID="{017FC6C2-B53B-4BA6-9E87-31064A123B90}">
  <ds:schemaRefs/>
</ds:datastoreItem>
</file>

<file path=customXml/itemProps43.xml><?xml version="1.0" encoding="utf-8"?>
<ds:datastoreItem xmlns:ds="http://schemas.openxmlformats.org/officeDocument/2006/customXml" ds:itemID="{2A84C83A-2669-42F8-B4B1-533B5C4C28B8}">
  <ds:schemaRefs/>
</ds:datastoreItem>
</file>

<file path=customXml/itemProps44.xml><?xml version="1.0" encoding="utf-8"?>
<ds:datastoreItem xmlns:ds="http://schemas.openxmlformats.org/officeDocument/2006/customXml" ds:itemID="{093BFDC9-2BD6-4856-B440-6517E9F8E7F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</vt:i4>
      </vt:variant>
    </vt:vector>
  </HeadingPairs>
  <TitlesOfParts>
    <vt:vector size="8" baseType="lpstr">
      <vt:lpstr>Resumo</vt:lpstr>
      <vt:lpstr>Cubo</vt:lpstr>
      <vt:lpstr>Data_Exp</vt:lpstr>
      <vt:lpstr>Indicador</vt:lpstr>
      <vt:lpstr>Import</vt:lpstr>
      <vt:lpstr>Verificação</vt:lpstr>
      <vt:lpstr>Planilha1</vt:lpstr>
      <vt:lpstr>procv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vitor praxedes</dc:creator>
  <cp:lastModifiedBy>William KENNEDY GOMES WANDERLEY</cp:lastModifiedBy>
  <dcterms:created xsi:type="dcterms:W3CDTF">2022-04-13T18:42:30Z</dcterms:created>
  <dcterms:modified xsi:type="dcterms:W3CDTF">2022-07-06T13:29:45Z</dcterms:modified>
</cp:coreProperties>
</file>