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<sst xmlns="http://schemas.openxmlformats.org/spreadsheetml/2006/main" count="76" uniqueCount="76">
  <si>
    <t>transverse
line</t>
  </si>
  <si>
    <t>adjusted
bearing</t>
  </si>
  <si>
    <t>horizontal
distance</t>
  </si>
  <si>
    <t>x-a</t>
  </si>
  <si>
    <t>148 35 20</t>
  </si>
  <si>
    <t>a-b</t>
  </si>
  <si>
    <t>211 04 30</t>
  </si>
  <si>
    <t>b-c</t>
  </si>
  <si>
    <t>277 19 05</t>
  </si>
  <si>
    <t>c-y</t>
  </si>
  <si>
    <t>05 24 30</t>
  </si>
  <si>
    <t>坐标x</t>
  </si>
  <si>
    <t>mN</t>
  </si>
  <si>
    <t>mE</t>
  </si>
  <si>
    <t>坐标y</t>
  </si>
  <si>
    <t>diff</t>
  </si>
  <si>
    <t>测站</t>
  </si>
  <si>
    <t>bearing</t>
  </si>
  <si>
    <t>distance</t>
  </si>
  <si>
    <t>delta y</t>
  </si>
  <si>
    <t>mm</t>
  </si>
  <si>
    <t>delta x</t>
  </si>
  <si>
    <t>mm</t>
  </si>
  <si>
    <t>northing</t>
  </si>
  <si>
    <t>easting</t>
  </si>
  <si>
    <t>x</t>
  </si>
  <si>
    <t>x-a</t>
  </si>
  <si>
    <t>148 35 20</t>
  </si>
  <si>
    <t>a-b</t>
  </si>
  <si>
    <t>211 04 30</t>
  </si>
  <si>
    <t>b-c</t>
  </si>
  <si>
    <t>277 19 05</t>
  </si>
  <si>
    <t>c-y</t>
  </si>
  <si>
    <t>05 24 30</t>
  </si>
  <si>
    <t>diff</t>
  </si>
  <si>
    <t>ratio</t>
  </si>
  <si>
    <t>cos</t>
  </si>
  <si>
    <t>sin</t>
  </si>
  <si>
    <t>hd</t>
  </si>
  <si>
    <t>delta n</t>
  </si>
  <si>
    <t>delta e</t>
  </si>
  <si>
    <t>sum</t>
  </si>
  <si>
    <t>err</t>
  </si>
  <si>
    <t>misclosure</t>
  </si>
  <si>
    <t>angle</t>
  </si>
  <si>
    <t>cos</t>
  </si>
  <si>
    <t>sin</t>
  </si>
  <si>
    <t>hd</t>
  </si>
  <si>
    <t>d n</t>
  </si>
  <si>
    <t>d e</t>
  </si>
  <si>
    <t>sum</t>
  </si>
  <si>
    <t>ratio</t>
  </si>
  <si>
    <t>lm</t>
  </si>
  <si>
    <t>err</t>
  </si>
  <si>
    <t>angle err</t>
  </si>
  <si>
    <t>an ratio</t>
  </si>
  <si>
    <t>ang</t>
  </si>
  <si>
    <t>angle</t>
  </si>
  <si>
    <t>brg</t>
  </si>
  <si>
    <t>n</t>
  </si>
  <si>
    <t>a</t>
  </si>
  <si>
    <t>b</t>
  </si>
  <si>
    <t>c</t>
  </si>
  <si>
    <t>d</t>
  </si>
  <si>
    <t>e</t>
  </si>
  <si>
    <t>f</t>
  </si>
  <si>
    <t>angle</t>
  </si>
  <si>
    <t>cos</t>
  </si>
  <si>
    <t>sin</t>
  </si>
  <si>
    <t>hd</t>
  </si>
  <si>
    <t>d n</t>
  </si>
  <si>
    <t>d e</t>
  </si>
  <si>
    <t>sum</t>
  </si>
  <si>
    <t>err ratio</t>
  </si>
  <si>
    <t>delta l</t>
  </si>
  <si>
    <t>linear misclosure</t>
  </si>
</sst>
</file>

<file path=xl/styles.xml><?xml version="1.0" encoding="utf-8"?>
<styleSheet xmlns="http://schemas.openxmlformats.org/spreadsheetml/2006/main">
  <numFmts count="68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"/>
    <numFmt numFmtId="65" formatCode="0.000_);[Red](0.000)"/>
    <numFmt numFmtId="66" formatCode="0.000;[Red]-0.000"/>
    <numFmt numFmtId="67" formatCode="0;[Red]-0"/>
  </numFmts>
  <fonts count="85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357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3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34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3" borderId="273" xfId="0">
      <alignment vertical="center"/>
    </xf>
    <xf numFmtId="0" fontId="66" fillId="274" borderId="274" xfId="0">
      <alignment vertical="center"/>
    </xf>
    <xf numFmtId="0" fontId="66" fillId="275" borderId="275" xfId="0">
      <alignment vertical="center"/>
    </xf>
    <xf numFmtId="0" fontId="67" fillId="276" borderId="276" xfId="0">
      <alignment vertical="center"/>
    </xf>
    <xf numFmtId="0" fontId="67" fillId="277" borderId="277" xfId="0">
      <alignment vertical="center"/>
    </xf>
    <xf numFmtId="0" fontId="65" fillId="278" borderId="278" xfId="0">
      <alignment vertical="center"/>
    </xf>
    <xf numFmtId="0" fontId="65" fillId="279" borderId="279" xfId="0">
      <alignment vertical="center"/>
    </xf>
    <xf numFmtId="0" fontId="65" fillId="280" borderId="280" xfId="0">
      <alignment vertical="center"/>
    </xf>
    <xf numFmtId="0" fontId="65" fillId="281" borderId="281" xfId="0">
      <alignment vertical="center"/>
    </xf>
    <xf numFmtId="0" fontId="65" fillId="282" borderId="282" xfId="0">
      <alignment vertical="center"/>
    </xf>
    <xf numFmtId="0" fontId="65" fillId="283" borderId="283" xfId="0">
      <alignment vertical="center"/>
    </xf>
    <xf numFmtId="0" fontId="65" fillId="284" borderId="284" xfId="0">
      <alignment vertical="center"/>
    </xf>
    <xf numFmtId="0" fontId="65" fillId="285" borderId="285" xfId="0">
      <alignment vertical="center"/>
    </xf>
    <xf numFmtId="0" fontId="65" fillId="286" borderId="286" xfId="0">
      <alignment vertical="center"/>
    </xf>
    <xf numFmtId="0" fontId="65" fillId="287" borderId="287" xfId="0">
      <alignment vertical="center"/>
    </xf>
    <xf numFmtId="0" fontId="65" fillId="288" borderId="288" xfId="0">
      <alignment vertical="center"/>
    </xf>
    <xf numFmtId="43" fontId="65" fillId="289" borderId="289" xfId="0">
      <alignment vertical="center"/>
    </xf>
    <xf numFmtId="41" fontId="65" fillId="290" borderId="290" xfId="0">
      <alignment vertical="center"/>
    </xf>
    <xf numFmtId="44" fontId="65" fillId="291" borderId="291" xfId="0">
      <alignment vertical="center"/>
    </xf>
    <xf numFmtId="42" fontId="65" fillId="292" borderId="292" xfId="0">
      <alignment vertical="center"/>
    </xf>
    <xf numFmtId="9" fontId="65" fillId="293" borderId="293" xfId="0">
      <alignment vertical="center"/>
    </xf>
    <xf numFmtId="0" fontId="69" fillId="273" borderId="273" xfId="0">
      <alignment horizontal="center" vertical="center"/>
    </xf>
    <xf numFmtId="0" fontId="70" fillId="294" borderId="294" xfId="0">
      <alignment vertical="center"/>
    </xf>
    <xf numFmtId="0" fontId="71" fillId="295" borderId="295" xfId="0">
      <alignment vertical="center"/>
    </xf>
    <xf numFmtId="0" fontId="71" fillId="296" borderId="296" xfId="0">
      <alignment vertical="center"/>
    </xf>
    <xf numFmtId="0" fontId="72" fillId="297" borderId="297" xfId="0">
      <alignment vertical="center"/>
    </xf>
    <xf numFmtId="0" fontId="72" fillId="298" borderId="298" xfId="0">
      <alignment vertical="center"/>
    </xf>
    <xf numFmtId="0" fontId="70" fillId="299" borderId="299" xfId="0">
      <alignment vertical="center"/>
    </xf>
    <xf numFmtId="0" fontId="70" fillId="300" borderId="300" xfId="0">
      <alignment vertical="center"/>
    </xf>
    <xf numFmtId="0" fontId="70" fillId="301" borderId="301" xfId="0">
      <alignment vertical="center"/>
    </xf>
    <xf numFmtId="0" fontId="70" fillId="302" borderId="302" xfId="0">
      <alignment vertical="center"/>
    </xf>
    <xf numFmtId="0" fontId="70" fillId="303" borderId="303" xfId="0">
      <alignment vertical="center"/>
    </xf>
    <xf numFmtId="0" fontId="70" fillId="304" borderId="304" xfId="0">
      <alignment vertical="center"/>
    </xf>
    <xf numFmtId="0" fontId="70" fillId="305" borderId="305" xfId="0">
      <alignment vertical="center"/>
    </xf>
    <xf numFmtId="0" fontId="70" fillId="306" borderId="306" xfId="0">
      <alignment vertical="center"/>
    </xf>
    <xf numFmtId="0" fontId="70" fillId="307" borderId="307" xfId="0">
      <alignment vertical="center"/>
    </xf>
    <xf numFmtId="0" fontId="70" fillId="308" borderId="308" xfId="0">
      <alignment vertical="center"/>
    </xf>
    <xf numFmtId="0" fontId="70" fillId="309" borderId="309" xfId="0">
      <alignment vertical="center"/>
    </xf>
    <xf numFmtId="43" fontId="70" fillId="310" borderId="310" xfId="0">
      <alignment vertical="center"/>
    </xf>
    <xf numFmtId="41" fontId="70" fillId="311" borderId="311" xfId="0">
      <alignment vertical="center"/>
    </xf>
    <xf numFmtId="44" fontId="70" fillId="312" borderId="312" xfId="0">
      <alignment vertical="center"/>
    </xf>
    <xf numFmtId="42" fontId="70" fillId="313" borderId="313" xfId="0">
      <alignment vertical="center"/>
    </xf>
    <xf numFmtId="9" fontId="70" fillId="314" borderId="314" xfId="0">
      <alignment vertical="center"/>
    </xf>
    <xf numFmtId="0" fontId="74" fillId="294" borderId="294" xfId="0">
      <alignment horizontal="center" vertical="center"/>
    </xf>
    <xf numFmtId="0" fontId="75" fillId="315" borderId="315" xfId="0">
      <alignment vertical="center"/>
    </xf>
    <xf numFmtId="0" fontId="76" fillId="316" borderId="316" xfId="0">
      <alignment vertical="center"/>
    </xf>
    <xf numFmtId="0" fontId="76" fillId="317" borderId="317" xfId="0">
      <alignment vertical="center"/>
    </xf>
    <xf numFmtId="0" fontId="77" fillId="318" borderId="318" xfId="0">
      <alignment vertical="center"/>
    </xf>
    <xf numFmtId="0" fontId="77" fillId="319" borderId="319" xfId="0">
      <alignment vertical="center"/>
    </xf>
    <xf numFmtId="0" fontId="75" fillId="320" borderId="320" xfId="0">
      <alignment vertical="center"/>
    </xf>
    <xf numFmtId="0" fontId="75" fillId="321" borderId="321" xfId="0">
      <alignment vertical="center"/>
    </xf>
    <xf numFmtId="0" fontId="75" fillId="322" borderId="322" xfId="0">
      <alignment vertical="center"/>
    </xf>
    <xf numFmtId="0" fontId="75" fillId="323" borderId="323" xfId="0">
      <alignment vertical="center"/>
    </xf>
    <xf numFmtId="0" fontId="75" fillId="324" borderId="324" xfId="0">
      <alignment vertical="center"/>
    </xf>
    <xf numFmtId="0" fontId="75" fillId="325" borderId="325" xfId="0">
      <alignment vertical="center"/>
    </xf>
    <xf numFmtId="0" fontId="75" fillId="326" borderId="326" xfId="0">
      <alignment vertical="center"/>
    </xf>
    <xf numFmtId="0" fontId="75" fillId="327" borderId="327" xfId="0">
      <alignment vertical="center"/>
    </xf>
    <xf numFmtId="0" fontId="75" fillId="328" borderId="328" xfId="0">
      <alignment vertical="center"/>
    </xf>
    <xf numFmtId="0" fontId="75" fillId="329" borderId="329" xfId="0">
      <alignment vertical="center"/>
    </xf>
    <xf numFmtId="0" fontId="75" fillId="330" borderId="330" xfId="0">
      <alignment vertical="center"/>
    </xf>
    <xf numFmtId="43" fontId="75" fillId="331" borderId="331" xfId="0">
      <alignment vertical="center"/>
    </xf>
    <xf numFmtId="41" fontId="75" fillId="332" borderId="332" xfId="0">
      <alignment vertical="center"/>
    </xf>
    <xf numFmtId="44" fontId="75" fillId="333" borderId="333" xfId="0">
      <alignment vertical="center"/>
    </xf>
    <xf numFmtId="42" fontId="75" fillId="334" borderId="334" xfId="0">
      <alignment vertical="center"/>
    </xf>
    <xf numFmtId="9" fontId="75" fillId="335" borderId="335" xfId="0">
      <alignment vertical="center"/>
    </xf>
    <xf numFmtId="0" fontId="79" fillId="315" borderId="315" xfId="0">
      <alignment horizontal="center" vertical="center"/>
    </xf>
    <xf numFmtId="0" fontId="80" fillId="336" borderId="336" xfId="0">
      <alignment vertical="center"/>
    </xf>
    <xf numFmtId="0" fontId="81" fillId="337" borderId="337" xfId="0">
      <alignment vertical="center"/>
    </xf>
    <xf numFmtId="0" fontId="81" fillId="338" borderId="338" xfId="0">
      <alignment vertical="center"/>
    </xf>
    <xf numFmtId="0" fontId="82" fillId="339" borderId="339" xfId="0">
      <alignment vertical="center"/>
    </xf>
    <xf numFmtId="0" fontId="82" fillId="340" borderId="340" xfId="0">
      <alignment vertical="center"/>
    </xf>
    <xf numFmtId="0" fontId="80" fillId="341" borderId="341" xfId="0">
      <alignment vertical="center"/>
    </xf>
    <xf numFmtId="0" fontId="80" fillId="342" borderId="342" xfId="0">
      <alignment vertical="center"/>
    </xf>
    <xf numFmtId="0" fontId="80" fillId="343" borderId="343" xfId="0">
      <alignment vertical="center"/>
    </xf>
    <xf numFmtId="0" fontId="80" fillId="344" borderId="344" xfId="0">
      <alignment vertical="center"/>
    </xf>
    <xf numFmtId="0" fontId="80" fillId="345" borderId="345" xfId="0">
      <alignment vertical="center"/>
    </xf>
    <xf numFmtId="0" fontId="80" fillId="346" borderId="346" xfId="0">
      <alignment vertical="center"/>
    </xf>
    <xf numFmtId="0" fontId="80" fillId="347" borderId="347" xfId="0">
      <alignment vertical="center"/>
    </xf>
    <xf numFmtId="0" fontId="80" fillId="348" borderId="348" xfId="0">
      <alignment vertical="center"/>
    </xf>
    <xf numFmtId="0" fontId="80" fillId="349" borderId="349" xfId="0">
      <alignment vertical="center"/>
    </xf>
    <xf numFmtId="0" fontId="80" fillId="350" borderId="350" xfId="0">
      <alignment vertical="center"/>
    </xf>
    <xf numFmtId="0" fontId="80" fillId="351" borderId="351" xfId="0">
      <alignment vertical="center"/>
    </xf>
    <xf numFmtId="43" fontId="80" fillId="352" borderId="352" xfId="0">
      <alignment vertical="center"/>
    </xf>
    <xf numFmtId="41" fontId="80" fillId="353" borderId="353" xfId="0">
      <alignment vertical="center"/>
    </xf>
    <xf numFmtId="44" fontId="80" fillId="354" borderId="354" xfId="0">
      <alignment vertical="center"/>
    </xf>
    <xf numFmtId="42" fontId="80" fillId="355" borderId="355" xfId="0">
      <alignment vertical="center"/>
    </xf>
    <xf numFmtId="9" fontId="80" fillId="356" borderId="356" xfId="0">
      <alignment vertical="center"/>
    </xf>
    <xf numFmtId="0" fontId="84" fillId="336" borderId="336" xfId="0">
      <alignment horizontal="center" vertical="center"/>
    </xf>
    <xf numFmtId="0" fontId="80" fillId="351" borderId="351" xfId="0">
      <alignment horizontal="center" vertical="center"/>
    </xf>
    <xf numFmtId="0" fontId="80" fillId="351" borderId="351" xfId="0">
      <alignment horizontal="center" vertical="top"/>
    </xf>
    <xf numFmtId="0" fontId="80" fillId="351" borderId="351" xfId="0">
      <alignment horizontal="center" vertical="top" wrapText="1"/>
    </xf>
    <xf numFmtId="64" fontId="80" fillId="351" borderId="351" xfId="0">
      <alignment horizontal="center" vertical="top"/>
    </xf>
    <xf numFmtId="0" fontId="80" fillId="336" borderId="336" xfId="0">
      <alignment horizontal="center" vertical="top"/>
    </xf>
    <xf numFmtId="64" fontId="80" fillId="336" borderId="336" xfId="0">
      <alignment horizontal="center" vertical="top"/>
    </xf>
    <xf numFmtId="0" fontId="80" fillId="315" borderId="315" xfId="0">
      <alignment horizontal="center" vertical="top"/>
    </xf>
    <xf numFmtId="64" fontId="80" fillId="336" borderId="336" xfId="0">
      <alignment horizontal="center" vertical="top"/>
    </xf>
    <xf numFmtId="64" fontId="80" fillId="315" borderId="315" xfId="0">
      <alignment horizontal="center" vertical="top"/>
    </xf>
    <xf numFmtId="65" fontId="80" fillId="336" borderId="336" xfId="0">
      <alignment horizontal="center" vertical="top"/>
    </xf>
    <xf numFmtId="65" fontId="80" fillId="351" borderId="351" xfId="0">
      <alignment horizontal="center" vertical="top"/>
    </xf>
    <xf numFmtId="66" fontId="80" fillId="336" borderId="336" xfId="0">
      <alignment horizontal="center" vertical="top"/>
    </xf>
    <xf numFmtId="66" fontId="80" fillId="351" borderId="351" xfId="0">
      <alignment horizontal="center" vertical="top"/>
    </xf>
    <xf numFmtId="64" fontId="80" fillId="351" borderId="351" xfId="0">
      <alignment horizontal="center" vertical="top"/>
    </xf>
    <xf numFmtId="0" fontId="80" fillId="252" borderId="252" xfId="0">
      <alignment horizontal="center" vertical="top"/>
    </xf>
    <xf numFmtId="64" fontId="80" fillId="252" borderId="252" xfId="0">
      <alignment horizontal="center" vertical="top"/>
    </xf>
    <xf numFmtId="64" fontId="55" fillId="246" borderId="246" xfId="0">
      <alignment vertical="center"/>
    </xf>
    <xf numFmtId="64" fontId="55" fillId="231" borderId="231" xfId="0">
      <alignment vertical="center"/>
    </xf>
    <xf numFmtId="64" fontId="50" fillId="225" borderId="225" xfId="0">
      <alignment vertical="center"/>
    </xf>
    <xf numFmtId="64" fontId="50" fillId="231" borderId="231" xfId="0">
      <alignment vertical="center"/>
    </xf>
    <xf numFmtId="65" fontId="80" fillId="351" borderId="351" xfId="0">
      <alignment horizontal="center" vertical="top"/>
    </xf>
    <xf numFmtId="65" fontId="80" fillId="252" borderId="252" xfId="0">
      <alignment horizontal="center" vertical="top"/>
    </xf>
    <xf numFmtId="66" fontId="80" fillId="252" borderId="252" xfId="0">
      <alignment horizontal="center" vertical="top"/>
    </xf>
    <xf numFmtId="66" fontId="80" fillId="351" borderId="351" xfId="0">
      <alignment horizontal="center" vertical="top"/>
    </xf>
    <xf numFmtId="0" fontId="80" fillId="210" borderId="210" xfId="0">
      <alignment horizontal="center" vertical="top"/>
    </xf>
    <xf numFmtId="64" fontId="80" fillId="351" borderId="351" xfId="0">
      <alignment horizontal="center" vertical="top"/>
    </xf>
    <xf numFmtId="66" fontId="80" fillId="351" borderId="351" xfId="0">
      <alignment horizontal="center" vertical="top"/>
    </xf>
    <xf numFmtId="66" fontId="80" fillId="252" borderId="252" xfId="0">
      <alignment horizontal="center" vertical="top"/>
    </xf>
    <xf numFmtId="0" fontId="80" fillId="147" borderId="147" xfId="0">
      <alignment horizontal="center" vertical="top"/>
    </xf>
    <xf numFmtId="64" fontId="55" fillId="147" borderId="147" xfId="0">
      <alignment vertical="center"/>
    </xf>
    <xf numFmtId="64" fontId="50" fillId="147" borderId="147" xfId="0">
      <alignment vertical="center"/>
    </xf>
    <xf numFmtId="0" fontId="80" fillId="126" borderId="126" xfId="0">
      <alignment horizontal="center" vertical="top"/>
    </xf>
    <xf numFmtId="0" fontId="15" fillId="78" borderId="78" xfId="0">
      <alignment horizontal="center" vertical="center"/>
    </xf>
    <xf numFmtId="64" fontId="80" fillId="351" borderId="351" xfId="0">
      <alignment horizontal="center" vertical="top"/>
    </xf>
    <xf numFmtId="0" fontId="80" fillId="84" borderId="84" xfId="0">
      <alignment horizontal="center" vertical="top"/>
    </xf>
    <xf numFmtId="0" fontId="80" fillId="84" borderId="84" xfId="0">
      <alignment horizontal="center" vertical="top"/>
    </xf>
    <xf numFmtId="0" fontId="80" fillId="351" borderId="351" xfId="0">
      <alignment horizontal="center" vertical="top"/>
    </xf>
    <xf numFmtId="0" fontId="15" fillId="78" borderId="78" xfId="0">
      <alignment horizontal="center" vertical="top"/>
    </xf>
    <xf numFmtId="66" fontId="15" fillId="78" borderId="78" xfId="0">
      <alignment horizontal="center" vertical="top"/>
    </xf>
    <xf numFmtId="66" fontId="80" fillId="351" borderId="351" xfId="0">
      <alignment horizontal="center" vertical="top"/>
    </xf>
    <xf numFmtId="66" fontId="80" fillId="84" borderId="84" xfId="0">
      <alignment horizontal="center" vertical="top"/>
    </xf>
    <xf numFmtId="67" fontId="15" fillId="78" borderId="78" xfId="0">
      <alignment horizontal="center" vertical="top"/>
    </xf>
    <xf numFmtId="67" fontId="80" fillId="84" borderId="84" xfId="0">
      <alignment horizontal="center" vertical="top"/>
    </xf>
    <xf numFmtId="67" fontId="80" fillId="351" borderId="351" xfId="0">
      <alignment horizontal="center" vertical="top"/>
    </xf>
    <xf numFmtId="67" fontId="80" fillId="84" borderId="84" xfId="0">
      <alignment horizontal="center" vertical="top"/>
    </xf>
    <xf numFmtId="67" fontId="80" fillId="351" borderId="351" xfId="0">
      <alignment horizontal="center" vertical="top"/>
    </xf>
    <xf numFmtId="0" fontId="20" fillId="84" borderId="84" xfId="0">
      <alignment horizontal="center" vertical="center"/>
    </xf>
    <xf numFmtId="0" fontId="15" fillId="84" borderId="84" xfId="0">
      <alignment horizontal="center" vertical="center"/>
    </xf>
    <xf numFmtId="0" fontId="15" fillId="84" borderId="84" xfId="0">
      <alignment horizontal="center" vertical="top"/>
    </xf>
    <xf numFmtId="0" fontId="20" fillId="84" borderId="84" xfId="0">
      <alignment horizontal="center" vertical="top"/>
    </xf>
    <xf numFmtId="0" fontId="80" fillId="351" borderId="357" xfId="0">
      <alignment horizontal="center" vertical="top"/>
    </xf>
    <xf numFmtId="0" fontId="80" fillId="351" borderId="358" xfId="0">
      <alignment horizontal="center" vertical="top"/>
    </xf>
    <xf numFmtId="0" fontId="80" fillId="351" borderId="359" xfId="0">
      <alignment horizontal="center" vertical="top"/>
    </xf>
    <xf numFmtId="0" fontId="80" fillId="351" borderId="356" xfId="0">
      <alignment horizontal="center" vertical="top"/>
    </xf>
    <xf numFmtId="66" fontId="80" fillId="252" borderId="356" xfId="0">
      <alignment horizontal="center" vertical="top"/>
    </xf>
    <xf numFmtId="64" fontId="55" fillId="246" borderId="356" xfId="0">
      <alignment vertical="center"/>
    </xf>
    <xf numFmtId="66" fontId="15" fillId="63" borderId="63" xfId="0">
      <alignment vertical="center"/>
    </xf>
    <xf numFmtId="0" fontId="80" fillId="42" borderId="42" xfId="0">
      <alignment horizontal="center" vertical="top"/>
    </xf>
    <xf numFmtId="66" fontId="80" fillId="351" borderId="351" xfId="0" applyNumberFormat="1">
      <alignment horizontal="center" vertical="top"/>
    </xf>
    <xf numFmtId="66" fontId="80" fillId="84" borderId="84" xfId="0" applyNumberFormat="1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D48" tabSelected="1" workbookViewId="0">
      <selection activeCell="G54" sqref="G54"/>
    </sheetView>
  </sheetViews>
  <sheetFormatPr defaultRowHeight="15.000000"/>
  <cols>
    <col min="1" max="1" style="411" width="8.937500" customWidth="1"/>
    <col min="2" max="3" style="375" width="7.437500" customWidth="1"/>
    <col min="4" max="4" style="375" width="9.437500" customWidth="1"/>
    <col min="5" max="5" style="375" width="5.187500" customWidth="1"/>
    <col min="6" max="6" style="375" width="5.687500" customWidth="1"/>
    <col min="7" max="7" style="375" width="7.187500" customWidth="1"/>
    <col min="8" max="8" style="375" width="5.812500" customWidth="1"/>
    <col min="9" max="9" style="375" width="6.687500" customWidth="1"/>
    <col min="10" max="10" style="375" width="7.937500" customWidth="1"/>
    <col min="11" max="11" style="390" width="7.187500" customWidth="1"/>
    <col min="12" max="12" style="392" width="6.937500" customWidth="1"/>
    <col min="13" max="13" style="59" width="10.062500" customWidth="1"/>
  </cols>
  <sheetData>
    <row r="1" spans="1:15" ht="23.850000" customHeight="1">
      <c r="A1" s="423"/>
      <c r="C1" s="376" t="s">
        <v>0</v>
      </c>
      <c r="D1" s="376" t="s">
        <v>1</v>
      </c>
      <c r="G1" s="376" t="s">
        <v>2</v>
      </c>
      <c r="L1" s="391"/>
    </row>
    <row r="2" spans="1:15">
      <c r="A2" s="423"/>
      <c r="C2" s="375" t="s">
        <v>3</v>
      </c>
      <c r="D2" s="375" t="s">
        <v>4</v>
      </c>
      <c r="G2" s="375">
        <v>106.372</v>
      </c>
      <c r="L2" s="391"/>
    </row>
    <row r="3" spans="1:15">
      <c r="A3" s="423"/>
      <c r="C3" s="375" t="s">
        <v>5</v>
      </c>
      <c r="D3" s="375" t="s">
        <v>6</v>
      </c>
      <c r="G3" s="375">
        <v>86.571</v>
      </c>
      <c r="L3" s="391"/>
    </row>
    <row r="4" spans="1:15">
      <c r="A4" s="423"/>
      <c r="C4" s="375" t="s">
        <v>7</v>
      </c>
      <c r="D4" s="375" t="s">
        <v>8</v>
      </c>
      <c r="G4" s="375">
        <v>62.103</v>
      </c>
      <c r="L4" s="391"/>
    </row>
    <row r="5" spans="1:15">
      <c r="A5" s="423"/>
      <c r="C5" s="375" t="s">
        <v>9</v>
      </c>
      <c r="D5" s="375" t="s">
        <v>10</v>
      </c>
      <c r="G5" s="375">
        <v>118.622</v>
      </c>
      <c r="L5" s="391"/>
    </row>
    <row r="6" spans="1:15">
      <c r="A6" s="423"/>
      <c r="C6" s="375"/>
      <c r="D6" s="375"/>
      <c r="G6" s="375"/>
      <c r="L6" s="391"/>
    </row>
    <row r="7" spans="1:15">
      <c r="A7" s="423"/>
      <c r="C7" s="375" t="s">
        <v>11</v>
      </c>
      <c r="D7" s="375">
        <v>2835.642</v>
      </c>
      <c r="E7" s="375" t="s">
        <v>12</v>
      </c>
      <c r="G7" s="375">
        <v>8401.947</v>
      </c>
      <c r="H7" s="375" t="s">
        <v>13</v>
      </c>
      <c r="L7" s="391"/>
    </row>
    <row r="8" spans="1:15">
      <c r="A8" s="423"/>
      <c r="C8" s="375" t="s">
        <v>14</v>
      </c>
      <c r="D8" s="375">
        <v>2796.695</v>
      </c>
      <c r="G8" s="375">
        <v>8362.311</v>
      </c>
      <c r="L8" s="391"/>
    </row>
    <row r="9" spans="1:15">
      <c r="A9" s="423"/>
      <c r="C9" s="375" t="s">
        <v>15</v>
      </c>
      <c r="D9" s="375">
        <f>D8-D7</f>
        <v>-38.9469999999997</v>
      </c>
      <c r="E9" s="375"/>
      <c r="F9" s="375"/>
      <c r="G9" s="375">
        <f>G8-G7</f>
        <v>-39.6360000000004</v>
      </c>
      <c r="L9" s="391"/>
    </row>
    <row r="10" spans="1:15">
      <c r="A10" s="423"/>
      <c r="C10" s="375"/>
      <c r="L10" s="391"/>
    </row>
    <row r="11" spans="1:15">
      <c r="A11" s="423"/>
      <c r="B11" s="375" t="s">
        <v>16</v>
      </c>
      <c r="C11" s="375" t="s">
        <v>17</v>
      </c>
      <c r="D11" s="375" t="s">
        <v>18</v>
      </c>
      <c r="E11" s="375" t="s">
        <v>19</v>
      </c>
      <c r="F11" s="375" t="s">
        <v>20</v>
      </c>
      <c r="G11" s="375" t="s">
        <v>21</v>
      </c>
      <c r="H11" s="375" t="s">
        <v>22</v>
      </c>
      <c r="I11" s="375" t="s">
        <v>23</v>
      </c>
      <c r="J11" s="375" t="s">
        <v>24</v>
      </c>
      <c r="L11" s="391"/>
    </row>
    <row r="12" spans="1:15">
      <c r="A12" s="423"/>
      <c r="B12" s="375" t="s">
        <v>25</v>
      </c>
      <c r="I12" s="378">
        <f>D7</f>
        <v>2835.642</v>
      </c>
      <c r="J12" s="381">
        <f>G7</f>
        <v>8401.947</v>
      </c>
      <c r="L12" s="391"/>
    </row>
    <row r="13" spans="1:15">
      <c r="A13" s="423"/>
      <c r="B13" s="375" t="s">
        <v>26</v>
      </c>
      <c r="C13" s="375" t="s">
        <v>27</v>
      </c>
      <c r="D13" s="375">
        <v>106.372</v>
      </c>
      <c r="E13" s="377">
        <v>-90.782</v>
      </c>
      <c r="F13" s="385">
        <f>E13*E$19</f>
        <v>-0.05130903018544</v>
      </c>
      <c r="G13" s="379">
        <v>55.44</v>
      </c>
      <c r="H13" s="378">
        <f>G13*G$19*(-1)</f>
        <v>0.034946168779826</v>
      </c>
      <c r="I13" s="380">
        <f>I12+E13+F13</f>
        <v>2744.80869096981</v>
      </c>
      <c r="J13" s="382">
        <f>J12+G13+H13</f>
        <v>8457.42194616878</v>
      </c>
      <c r="L13" s="391"/>
    </row>
    <row r="14" spans="1:15">
      <c r="A14" s="423"/>
      <c r="B14" s="375" t="s">
        <v>28</v>
      </c>
      <c r="C14" s="375" t="s">
        <v>29</v>
      </c>
      <c r="D14" s="375">
        <v>86.571</v>
      </c>
      <c r="E14" s="377">
        <v>-74.147</v>
      </c>
      <c r="F14" s="385">
        <f>E14*E$19</f>
        <v>-0.0419071034033159</v>
      </c>
      <c r="G14" s="379">
        <v>-44.684</v>
      </c>
      <c r="H14" s="378">
        <f>G14*G$19*(-1)</f>
        <v>-0.028166208617564</v>
      </c>
      <c r="I14" s="380">
        <f>I13+E14+F14</f>
        <v>2670.61978386641</v>
      </c>
      <c r="J14" s="382">
        <f>J13+G14+H14</f>
        <v>8412.70977996016</v>
      </c>
      <c r="L14" s="391"/>
    </row>
    <row r="15" spans="1:15">
      <c r="A15" s="423"/>
      <c r="B15" s="375" t="s">
        <v>30</v>
      </c>
      <c r="C15" s="375" t="s">
        <v>31</v>
      </c>
      <c r="D15" s="375">
        <v>62.103</v>
      </c>
      <c r="E15" s="377">
        <v>7.91</v>
      </c>
      <c r="F15" s="385">
        <f>E15*E$19</f>
        <v>0.00447064868329438</v>
      </c>
      <c r="G15" s="379">
        <v>-61.597</v>
      </c>
      <c r="H15" s="378">
        <f>G15*G$19*(-1)</f>
        <v>-0.0388271853955798</v>
      </c>
      <c r="I15" s="380">
        <f>I14+E15+F15</f>
        <v>2678.53425451509</v>
      </c>
      <c r="J15" s="382">
        <f>J14+G15+H15</f>
        <v>8351.07395277477</v>
      </c>
      <c r="L15" s="391"/>
    </row>
    <row r="16" spans="1:15">
      <c r="A16" s="423"/>
      <c r="B16" s="375" t="s">
        <v>32</v>
      </c>
      <c r="C16" s="375" t="s">
        <v>33</v>
      </c>
      <c r="D16" s="375">
        <v>118.622</v>
      </c>
      <c r="E16" s="377">
        <v>118.094</v>
      </c>
      <c r="F16" s="385">
        <f>E16*E$19</f>
        <v>0.0667454849058112</v>
      </c>
      <c r="G16" s="379">
        <v>11.18</v>
      </c>
      <c r="H16" s="378">
        <f>G16*G$19*(-1)</f>
        <v>0.00704722523373836</v>
      </c>
      <c r="I16" s="380">
        <f>I15+E16+F16</f>
        <v>2796.695</v>
      </c>
      <c r="J16" s="382">
        <f>J15+G16+H16</f>
        <v>8362.261</v>
      </c>
      <c r="L16" s="391"/>
    </row>
    <row r="17" spans="1:15">
      <c r="A17" s="423"/>
      <c r="D17" s="375">
        <f>SUM(D13:D16)</f>
        <v>373.668</v>
      </c>
      <c r="E17" s="377">
        <f>SUM(E13:E16)</f>
        <v>-38.925</v>
      </c>
      <c r="F17" s="386">
        <f>SUM(F13:F16)</f>
        <v>-0.0219999999996503</v>
      </c>
      <c r="G17" s="378">
        <f>SUM(G13:G16)</f>
        <v>-39.661</v>
      </c>
      <c r="H17" s="378">
        <f>SUM(H13:H16)</f>
        <v>-0.0249999999995794</v>
      </c>
      <c r="J17" s="382"/>
      <c r="L17" s="391"/>
    </row>
    <row r="18" spans="1:15">
      <c r="A18" s="423"/>
      <c r="D18" s="378" t="s">
        <v>34</v>
      </c>
      <c r="E18" s="378">
        <f>D9-E17</f>
        <v>-0.0219999999996503</v>
      </c>
      <c r="G18" s="378">
        <f>G9-G17</f>
        <v>0.0249999999995794</v>
      </c>
      <c r="L18" s="391"/>
    </row>
    <row r="19" spans="1:15">
      <c r="A19" s="423"/>
      <c r="D19" s="375" t="s">
        <v>35</v>
      </c>
      <c r="E19" s="375">
        <f>E18/E17</f>
        <v>0.000565189466914587</v>
      </c>
      <c r="G19" s="378">
        <f>G18/G17</f>
        <v>-0.000630342149708262</v>
      </c>
      <c r="L19" s="391"/>
    </row>
    <row r="20" spans="1:15">
      <c r="A20" s="423"/>
      <c r="E20" s="375"/>
      <c r="L20" s="391"/>
    </row>
    <row r="21" spans="1:15">
      <c r="A21" s="423"/>
      <c r="F21" s="375" t="s">
        <v>36</v>
      </c>
      <c r="G21" s="375" t="s">
        <v>37</v>
      </c>
      <c r="H21" s="375" t="s">
        <v>38</v>
      </c>
      <c r="I21" s="394" t="s">
        <v>39</v>
      </c>
      <c r="J21" s="394" t="s">
        <v>40</v>
      </c>
      <c r="L21" s="391"/>
    </row>
    <row r="22" spans="1:15">
      <c r="A22" s="423"/>
      <c r="B22" s="375">
        <v>119</v>
      </c>
      <c r="C22" s="375">
        <v>40</v>
      </c>
      <c r="D22" s="375">
        <v>10</v>
      </c>
      <c r="E22" s="387">
        <f>B22+C22/60+D22/3600</f>
        <v>119.669444444444</v>
      </c>
      <c r="F22" s="388">
        <f>COS(E22*PI()/180)</f>
        <v>-0.494995363727291</v>
      </c>
      <c r="G22" s="388">
        <f>SIN(E22*PI()/180)</f>
        <v>0.868895613467249</v>
      </c>
      <c r="H22" s="388">
        <v>33.609</v>
      </c>
      <c r="I22" s="396">
        <f>H22*F22</f>
        <v>-16.6362991795105</v>
      </c>
      <c r="J22" s="396">
        <f>H22*G22</f>
        <v>29.2027126730208</v>
      </c>
      <c r="K22" s="391">
        <f>K$27+I22</f>
        <v>827726.577700821</v>
      </c>
      <c r="L22" s="391">
        <f>L$27+J22-J$27*I22</f>
        <v>839855.459963346</v>
      </c>
    </row>
    <row r="23" spans="1:15">
      <c r="A23" s="423"/>
      <c r="B23" s="375">
        <v>359</v>
      </c>
      <c r="C23" s="375">
        <v>4</v>
      </c>
      <c r="D23" s="375">
        <v>32</v>
      </c>
      <c r="E23" s="387">
        <f>B23+C23/60+D23/3600</f>
        <v>359.075555555556</v>
      </c>
      <c r="F23" s="388">
        <f>COS(E23*PI()/180)</f>
        <v>0.999869840559926</v>
      </c>
      <c r="G23" s="388">
        <f>SIN(E23*PI()/180)</f>
        <v>-0.016133899190676</v>
      </c>
      <c r="H23" s="388">
        <v>28.805</v>
      </c>
      <c r="I23" s="396">
        <f>H23*F23</f>
        <v>28.8012507573287</v>
      </c>
      <c r="J23" s="396">
        <f>H23*G23</f>
        <v>-0.464736966187422</v>
      </c>
      <c r="K23" s="391">
        <f>K$27+I23</f>
        <v>827772.015250757</v>
      </c>
      <c r="L23" s="391">
        <f>L$27+J23-J$27*I23</f>
        <v>839825.791829061</v>
      </c>
    </row>
    <row r="24" spans="1:15">
      <c r="A24" s="423"/>
      <c r="B24" s="375">
        <v>310</v>
      </c>
      <c r="C24" s="375">
        <v>37</v>
      </c>
      <c r="D24" s="375">
        <v>46</v>
      </c>
      <c r="E24" s="387">
        <f>B24+C24/60+D24/3600</f>
        <v>310.629444444444</v>
      </c>
      <c r="F24" s="388">
        <f>COS(E24*PI()/180)</f>
        <v>0.65116432340194</v>
      </c>
      <c r="G24" s="388">
        <f>SIN(E24*PI()/180)</f>
        <v>-0.758936769401343</v>
      </c>
      <c r="H24" s="388">
        <v>29.365</v>
      </c>
      <c r="I24" s="396">
        <f>H24*F24</f>
        <v>19.121440356698</v>
      </c>
      <c r="J24" s="396">
        <f>H24*G24</f>
        <v>-22.2861782334704</v>
      </c>
      <c r="K24" s="391">
        <f>K$27+I24</f>
        <v>827762.335440357</v>
      </c>
      <c r="L24" s="391">
        <f>L$27+J24-J$27*I24</f>
        <v>839803.970533648</v>
      </c>
    </row>
    <row r="25" spans="1:15">
      <c r="A25" s="423"/>
      <c r="B25" s="375">
        <v>191</v>
      </c>
      <c r="C25" s="375">
        <v>39</v>
      </c>
      <c r="D25" s="375">
        <v>8</v>
      </c>
      <c r="E25" s="387">
        <f>B25+C25/60+D25/3600</f>
        <v>191.652222222222</v>
      </c>
      <c r="F25" s="388">
        <f>COS(E25*PI()/180)</f>
        <v>-0.979391573372037</v>
      </c>
      <c r="G25" s="388">
        <f>SIN(E25*PI()/180)</f>
        <v>-0.201970670747043</v>
      </c>
      <c r="H25" s="388">
        <v>31.935</v>
      </c>
      <c r="I25" s="396">
        <f>H25*F25</f>
        <v>-31.276869895636</v>
      </c>
      <c r="J25" s="396">
        <f>H25*G25</f>
        <v>-6.44993337030683</v>
      </c>
      <c r="K25" s="391">
        <f>K$27+I25</f>
        <v>827711.937130104</v>
      </c>
      <c r="L25" s="391">
        <f>L$27+J25-J$27*I25</f>
        <v>839819.807537905</v>
      </c>
    </row>
    <row r="26" spans="1:13">
      <c r="A26" s="423"/>
      <c r="B26"/>
      <c r="C26"/>
      <c r="D26"/>
      <c r="E26"/>
      <c r="G26" s="375" t="s">
        <v>41</v>
      </c>
      <c r="H26" s="397">
        <f>SUM(H22:H25)</f>
        <v>123.714</v>
      </c>
      <c r="I26" s="397">
        <f>SUM(I22:I25)</f>
        <v>0.00952203888008185</v>
      </c>
      <c r="J26" s="397">
        <f>SUM(J22:J25)</f>
        <v>0.00186410305608753</v>
      </c>
    </row>
    <row r="27" spans="1:15">
      <c r="A27" s="423"/>
      <c r="B27"/>
      <c r="C27"/>
      <c r="D27"/>
      <c r="E27"/>
      <c r="G27" s="398" t="s">
        <v>42</v>
      </c>
      <c r="I27" s="398">
        <f>I26/H26</f>
        <v>0.0000769681594652331</v>
      </c>
      <c r="J27" s="398">
        <f>J26/H26</f>
        <v>0.000015067842411429</v>
      </c>
      <c r="K27" s="390">
        <v>827743.214</v>
      </c>
      <c r="L27" s="392">
        <v>839826.257</v>
      </c>
    </row>
    <row r="28" spans="1:12">
      <c r="A28" s="423"/>
      <c r="B28"/>
      <c r="C28"/>
      <c r="D28"/>
      <c r="E28"/>
      <c r="G28" s="375" t="s">
        <v>43</v>
      </c>
      <c r="I28" s="375">
        <f>1/I27</f>
        <v>12992.3855130212</v>
      </c>
    </row>
    <row r="29" spans="1:13">
      <c r="A29" s="423"/>
      <c r="B29"/>
      <c r="C29"/>
      <c r="D29"/>
      <c r="E29"/>
      <c r="J29" s="375">
        <f>H22/H$26*I$26</f>
        <v>0.00258682287146702</v>
      </c>
    </row>
    <row r="30" spans="1:13">
      <c r="A30" s="423"/>
      <c r="B30" s="402">
        <f>116+42</f>
        <v>158</v>
      </c>
      <c r="C30" s="402">
        <v>26</v>
      </c>
      <c r="D30" s="402">
        <f>19+15</f>
        <v>34</v>
      </c>
      <c r="E30" s="387">
        <f>B30+C30/60+D30/3600</f>
        <v>158.442777777778</v>
      </c>
      <c r="J30" s="375"/>
    </row>
    <row r="31" spans="1:13">
      <c r="A31" s="423"/>
      <c r="B31" s="402">
        <f>116</f>
        <v>116</v>
      </c>
      <c r="C31" s="402">
        <v>9</v>
      </c>
      <c r="D31" s="402">
        <v>44</v>
      </c>
      <c r="E31" s="387">
        <f>B31+C31/60+D31/3600</f>
        <v>116.162222222222</v>
      </c>
      <c r="F31" s="402">
        <f>E31-G31</f>
        <v>94.605</v>
      </c>
      <c r="G31" s="402">
        <f>180-E30</f>
        <v>21.5572222222222</v>
      </c>
      <c r="J31" s="375"/>
    </row>
    <row r="32" spans="1:13">
      <c r="A32" s="423"/>
      <c r="B32" s="402">
        <v>91</v>
      </c>
      <c r="C32" s="402">
        <v>13</v>
      </c>
      <c r="D32" s="402">
        <v>33</v>
      </c>
      <c r="E32" s="387">
        <f>B32+C32/60+D32/3600</f>
        <v>91.2258333333333</v>
      </c>
      <c r="F32" s="402">
        <f>E32+F31-180</f>
        <v>5.83083333333337</v>
      </c>
      <c r="J32" s="375"/>
    </row>
    <row r="33" spans="1:13">
      <c r="A33" s="423"/>
      <c r="B33" s="402">
        <v>92</v>
      </c>
      <c r="C33" s="402">
        <v>59</v>
      </c>
      <c r="D33" s="402">
        <v>1</v>
      </c>
      <c r="E33" s="387">
        <f>B33+C33/60+D33/3600</f>
        <v>92.9836111111111</v>
      </c>
      <c r="F33" s="402">
        <f>E33+F32+180</f>
        <v>278.814444444444</v>
      </c>
      <c r="J33" s="375"/>
    </row>
    <row r="34" spans="1:13">
      <c r="A34" s="423"/>
      <c r="B34" s="402">
        <v>123</v>
      </c>
      <c r="C34" s="402">
        <v>11</v>
      </c>
      <c r="D34" s="402">
        <v>23</v>
      </c>
      <c r="E34" s="387">
        <f>B34+C34/60+D34/3600</f>
        <v>123.189722222222</v>
      </c>
      <c r="F34" s="402">
        <f>F33-180+E34</f>
        <v>222.004166666667</v>
      </c>
      <c r="J34" s="375"/>
    </row>
    <row r="35" spans="1:15">
      <c r="A35" s="423"/>
      <c r="B35"/>
      <c r="C35"/>
      <c r="D35"/>
      <c r="E35" t="s">
        <v>44</v>
      </c>
      <c r="F35" s="375" t="s">
        <v>45</v>
      </c>
      <c r="G35" s="375" t="s">
        <v>46</v>
      </c>
      <c r="H35" s="375" t="s">
        <v>47</v>
      </c>
      <c r="I35" s="375" t="s">
        <v>48</v>
      </c>
      <c r="J35" t="s">
        <v>49</v>
      </c>
      <c r="K35" s="390">
        <v>827784.88</v>
      </c>
      <c r="L35" s="392">
        <v>839919.548</v>
      </c>
    </row>
    <row r="36" spans="1:15">
      <c r="A36" s="423"/>
      <c r="B36"/>
      <c r="C36"/>
      <c r="D36"/>
      <c r="E36" s="387">
        <f>E30</f>
        <v>158.442777777778</v>
      </c>
      <c r="F36" s="388">
        <f>COS(E36*PI()/180)</f>
        <v>-0.930051075962771</v>
      </c>
      <c r="G36" s="388">
        <f>SIN(E36*PI()/180)</f>
        <v>0.367430268204464</v>
      </c>
      <c r="H36" s="400">
        <v>23.576</v>
      </c>
      <c r="I36" s="401">
        <f>H36*F36</f>
        <v>-21.9268841668983</v>
      </c>
      <c r="J36" s="401">
        <f>H36*G36</f>
        <v>8.66253600318845</v>
      </c>
      <c r="K36" s="390">
        <f>K35+I36</f>
        <v>827762.953115833</v>
      </c>
      <c r="L36" s="390">
        <f>L35+J36</f>
        <v>839928.210536003</v>
      </c>
    </row>
    <row r="37" spans="1:15">
      <c r="A37" s="423"/>
      <c r="B37"/>
      <c r="C37"/>
      <c r="D37"/>
      <c r="E37" s="387">
        <f>F31</f>
        <v>94.605</v>
      </c>
      <c r="F37" s="388">
        <f>COS(E37*PI()/180)</f>
        <v>-0.0802859090151245</v>
      </c>
      <c r="G37" s="388">
        <f>SIN(E37*PI()/180)</f>
        <v>0.996771870819953</v>
      </c>
      <c r="H37" s="400">
        <v>23.92</v>
      </c>
      <c r="I37" s="401">
        <f>H37*F37</f>
        <v>-1.92043894364178</v>
      </c>
      <c r="J37" s="401">
        <f>H37*G37</f>
        <v>23.8427831500133</v>
      </c>
      <c r="K37" s="390">
        <f>K36+I37</f>
        <v>827761.03267689</v>
      </c>
      <c r="L37" s="390">
        <f>L36+J37</f>
        <v>839952.053319153</v>
      </c>
    </row>
    <row r="38" spans="1:15">
      <c r="A38" s="423"/>
      <c r="B38"/>
      <c r="C38"/>
      <c r="D38"/>
      <c r="E38">
        <f>F32</f>
        <v>5.83083333333337</v>
      </c>
      <c r="F38" s="388">
        <f>COS(E38*PI()/180)</f>
        <v>0.994826177756625</v>
      </c>
      <c r="G38" s="388">
        <f>SIN(E38*PI()/180)</f>
        <v>0.101591670361354</v>
      </c>
      <c r="H38" s="400">
        <v>35.959</v>
      </c>
      <c r="I38" s="401">
        <f>H38*F38</f>
        <v>35.7729545259505</v>
      </c>
      <c r="J38" s="401">
        <f>H38*G38</f>
        <v>3.65313487452393</v>
      </c>
      <c r="K38" s="390">
        <f>K37+I38</f>
        <v>827796.805631416</v>
      </c>
      <c r="L38" s="390">
        <f>L37+J38</f>
        <v>839955.706454028</v>
      </c>
    </row>
    <row r="39" spans="1:15">
      <c r="A39" s="423"/>
      <c r="B39"/>
      <c r="C39"/>
      <c r="D39"/>
      <c r="E39">
        <f>F33</f>
        <v>278.814444444444</v>
      </c>
      <c r="F39" s="388">
        <f>COS(E39*PI()/180)</f>
        <v>0.153234966394607</v>
      </c>
      <c r="G39" s="388">
        <f>SIN(E39*PI()/180)</f>
        <v>-0.98818978146117</v>
      </c>
      <c r="H39" s="400">
        <v>22.59</v>
      </c>
      <c r="I39" s="401">
        <f>H39*F39</f>
        <v>3.46157789085417</v>
      </c>
      <c r="J39" s="401">
        <f>H39*G39</f>
        <v>-22.3232071632078</v>
      </c>
      <c r="K39" s="390">
        <f>K38+I39</f>
        <v>827800.267209306</v>
      </c>
      <c r="L39" s="390">
        <f>L38+J39</f>
        <v>839933.383246864</v>
      </c>
    </row>
    <row r="40" spans="1:15">
      <c r="A40" s="423"/>
      <c r="B40"/>
      <c r="C40"/>
      <c r="D40"/>
      <c r="E40">
        <f>F34</f>
        <v>222.004166666667</v>
      </c>
      <c r="F40" s="388">
        <f>COS(E40*PI()/180)</f>
        <v>-0.74309616032411</v>
      </c>
      <c r="G40" s="388">
        <f>SIN(E40*PI()/180)</f>
        <v>-0.66918464769403</v>
      </c>
      <c r="H40" s="400">
        <v>20.705</v>
      </c>
      <c r="I40" s="401">
        <f>H40*F40</f>
        <v>-15.3858059995107</v>
      </c>
      <c r="J40" s="401">
        <f>H40*G40</f>
        <v>-13.8554681305049</v>
      </c>
      <c r="K40" s="390">
        <f>K39+I40</f>
        <v>827784.881403307</v>
      </c>
      <c r="L40" s="390">
        <f>L39+J40</f>
        <v>839919.527778734</v>
      </c>
    </row>
    <row r="41" spans="1:14">
      <c r="A41" s="423"/>
      <c r="B41"/>
      <c r="C41"/>
      <c r="D41"/>
      <c r="E41"/>
      <c r="G41" s="375" t="s">
        <v>50</v>
      </c>
      <c r="H41" s="400">
        <f>SUM(H36:H40)</f>
        <v>126.75</v>
      </c>
      <c r="I41" s="400">
        <f>SUM(I36:I40)</f>
        <v>0.00140330675388967</v>
      </c>
      <c r="J41" s="400">
        <f>SUM(J36:J40)</f>
        <v>-0.0202212659870664</v>
      </c>
      <c r="K41"/>
    </row>
    <row r="42" spans="1:9">
      <c r="A42" s="423"/>
      <c r="B42"/>
      <c r="C42"/>
      <c r="D42"/>
      <c r="E42"/>
      <c r="F42" s="414"/>
    </row>
    <row r="43" spans="1:13">
      <c r="A43" s="423"/>
      <c r="B43"/>
      <c r="C43"/>
      <c r="D43"/>
      <c r="E43"/>
      <c r="F43" s="414"/>
      <c r="G43" s="375" t="s">
        <v>51</v>
      </c>
      <c r="H43" s="375">
        <f>J41/H41</f>
        <v>-0.000159536615282575</v>
      </c>
      <c r="J43" s="405" t="s">
        <v>52</v>
      </c>
    </row>
    <row r="44" spans="1:13">
      <c r="A44" s="423"/>
      <c r="B44"/>
      <c r="C44"/>
      <c r="D44"/>
      <c r="E44"/>
      <c r="F44" s="414"/>
      <c r="G44" s="375" t="s">
        <v>53</v>
      </c>
      <c r="I44" s="399">
        <f>H36*H$43</f>
        <v>-0.00376123524190199</v>
      </c>
      <c r="J44" s="405">
        <f>H41/J41</f>
        <v>-6268.15354098352</v>
      </c>
    </row>
    <row r="45" spans="1:12">
      <c r="A45" s="423"/>
      <c r="B45"/>
      <c r="C45"/>
      <c r="D45"/>
      <c r="E45"/>
      <c r="F45" s="414"/>
      <c r="I45" s="399">
        <f>H37*H$43</f>
        <v>-0.0038161158375592</v>
      </c>
    </row>
    <row r="46" spans="1:12">
      <c r="A46" s="423"/>
      <c r="B46"/>
      <c r="C46"/>
      <c r="D46"/>
      <c r="E46"/>
      <c r="F46" s="414"/>
      <c r="I46" s="399">
        <f>H38*H$43</f>
        <v>-0.00573677714894613</v>
      </c>
    </row>
    <row r="47" spans="1:12">
      <c r="A47" s="423"/>
      <c r="B47" s="416"/>
      <c r="C47" s="416"/>
      <c r="D47" s="416"/>
      <c r="E47"/>
      <c r="F47" s="414"/>
      <c r="I47" s="399">
        <f>H39*H$43</f>
        <v>-0.00360393213923338</v>
      </c>
    </row>
    <row r="48" spans="1:12">
      <c r="A48" s="423"/>
      <c r="B48" s="416"/>
      <c r="C48" s="416"/>
      <c r="D48" s="416"/>
      <c r="E48" s="414"/>
      <c r="F48" s="414"/>
      <c r="I48" s="399">
        <f>H40*H$43</f>
        <v>-0.00330320561942572</v>
      </c>
    </row>
    <row r="49" spans="1:12">
      <c r="A49" s="423"/>
      <c r="B49" s="416"/>
      <c r="C49" s="416"/>
      <c r="D49" s="416"/>
      <c r="E49" s="414"/>
      <c r="F49" s="414"/>
      <c r="I49" s="375">
        <f>SUM(I44:I48)</f>
        <v>-0.0202212659870664</v>
      </c>
    </row>
    <row r="50" spans="2:10">
      <c r="B50" s="417"/>
      <c r="C50" s="417"/>
      <c r="D50" s="417"/>
      <c r="E50" s="413"/>
      <c r="F50" s="413" t="s">
        <v>54</v>
      </c>
      <c r="G50" s="375" t="s">
        <v>55</v>
      </c>
    </row>
    <row r="51" spans="1:13">
      <c r="A51" s="411" t="s">
        <v>56</v>
      </c>
      <c r="B51" s="413"/>
      <c r="C51" s="413"/>
      <c r="D51" s="413"/>
      <c r="E51" s="411" t="s">
        <v>57</v>
      </c>
      <c r="F51"/>
      <c r="G51">
        <f>1/60/H66</f>
        <v>0.00014003131100114</v>
      </c>
      <c r="H51" t="s">
        <v>58</v>
      </c>
      <c r="I51"/>
      <c r="J51"/>
    </row>
    <row r="52" spans="1:9">
      <c r="A52" s="411" t="s">
        <v>59</v>
      </c>
      <c r="B52" s="417">
        <v>13</v>
      </c>
      <c r="C52" s="417">
        <v>47</v>
      </c>
      <c r="D52" s="417">
        <v>5</v>
      </c>
      <c r="E52" s="413">
        <f>B52+C52/60+D52/3600</f>
        <v>13.7847222222222</v>
      </c>
      <c r="F52" s="413"/>
    </row>
    <row r="53" spans="1:11">
      <c r="A53" s="423" t="s">
        <v>60</v>
      </c>
      <c r="B53" s="418">
        <v>116</v>
      </c>
      <c r="C53" s="418">
        <v>15</v>
      </c>
      <c r="D53" s="418">
        <v>2</v>
      </c>
      <c r="E53" s="432">
        <f>B53+C53/60+D53/3600</f>
        <v>116.250555555556</v>
      </c>
      <c r="F53" s="432">
        <f>G$51*H60</f>
        <v>0.00300297146441944</v>
      </c>
      <c r="G53" s="433">
        <f>E53+F53</f>
        <v>116.25355852702</v>
      </c>
      <c r="H53" s="433">
        <f>G53+E52</f>
        <v>130.038280749242</v>
      </c>
    </row>
    <row r="54" spans="1:11">
      <c r="A54" s="411" t="s">
        <v>61</v>
      </c>
      <c r="B54" s="419">
        <v>103</v>
      </c>
      <c r="C54" s="419">
        <v>20</v>
      </c>
      <c r="D54" s="419">
        <v>52</v>
      </c>
      <c r="E54" s="432">
        <f>B54+C54/60+D54/3600</f>
        <v>103.347777777778</v>
      </c>
      <c r="F54" s="432">
        <f>G$51*H61</f>
        <v>0.00275721651361244</v>
      </c>
      <c r="G54" s="433">
        <f>E54+F54</f>
        <v>103.350534994291</v>
      </c>
      <c r="H54" s="433">
        <f>G54-180+H53</f>
        <v>53.3888157435336</v>
      </c>
    </row>
    <row r="55" spans="1:11">
      <c r="A55" s="411" t="s">
        <v>62</v>
      </c>
      <c r="B55" s="419">
        <v>132</v>
      </c>
      <c r="C55" s="419">
        <v>47</v>
      </c>
      <c r="D55" s="419">
        <v>58</v>
      </c>
      <c r="E55" s="432">
        <f>B55+C55/60+D55/3600</f>
        <v>132.799444444444</v>
      </c>
      <c r="F55" s="432">
        <f>G$51*H62</f>
        <v>0.00263342883468744</v>
      </c>
      <c r="G55" s="433">
        <f>E55+F55</f>
        <v>132.802077873279</v>
      </c>
      <c r="H55" s="433">
        <f>G55-180+H54</f>
        <v>6.19089361681273</v>
      </c>
    </row>
    <row r="56" spans="1:11">
      <c r="A56" s="411" t="s">
        <v>63</v>
      </c>
      <c r="B56" s="419">
        <v>124</v>
      </c>
      <c r="C56" s="419">
        <v>17</v>
      </c>
      <c r="D56" s="419">
        <v>43</v>
      </c>
      <c r="E56" s="432">
        <f>B56+C56/60+D56/3600</f>
        <v>124.295277777778</v>
      </c>
      <c r="F56" s="432">
        <f>G$51*H63</f>
        <v>0.00293771687349291</v>
      </c>
      <c r="G56" s="433">
        <f>E56+F56</f>
        <v>124.298215494651</v>
      </c>
      <c r="H56" s="433">
        <f>G56+180+H55</f>
        <v>310.489109111464</v>
      </c>
    </row>
    <row r="57" spans="1:11">
      <c r="A57" s="411" t="s">
        <v>64</v>
      </c>
      <c r="B57" s="419">
        <v>107</v>
      </c>
      <c r="C57" s="419">
        <v>59</v>
      </c>
      <c r="D57" s="419">
        <v>13</v>
      </c>
      <c r="E57" s="432">
        <f>B57+C57/60+D57/3600</f>
        <v>107.986944444444</v>
      </c>
      <c r="F57" s="432">
        <f>G$51*H64</f>
        <v>0.00209626872568706</v>
      </c>
      <c r="G57" s="433">
        <f>E57+F57</f>
        <v>107.98904071317</v>
      </c>
      <c r="H57" s="433">
        <f>G57+90+H56-270</f>
        <v>238.478149824634</v>
      </c>
    </row>
    <row r="58" spans="1:11">
      <c r="A58" s="411" t="s">
        <v>65</v>
      </c>
      <c r="B58" s="419">
        <v>135</v>
      </c>
      <c r="C58" s="419">
        <v>18</v>
      </c>
      <c r="D58" s="419">
        <v>12</v>
      </c>
      <c r="E58" s="432">
        <f>B58+C58/60+D58/3600</f>
        <v>135.303333333333</v>
      </c>
      <c r="F58" s="432">
        <f>G$51*H65</f>
        <v>0.00323906425476737</v>
      </c>
      <c r="G58" s="433">
        <f>E58+F58</f>
        <v>135.306572397588</v>
      </c>
      <c r="H58" s="433">
        <f>H57-180+G58</f>
        <v>193.784722222222</v>
      </c>
    </row>
    <row r="59" spans="2:16">
      <c r="B59" s="419"/>
      <c r="C59" s="419"/>
      <c r="D59" s="419"/>
      <c r="E59" s="411" t="s">
        <v>66</v>
      </c>
      <c r="F59" s="410" t="s">
        <v>67</v>
      </c>
      <c r="G59" s="410" t="s">
        <v>68</v>
      </c>
      <c r="H59" s="410" t="s">
        <v>69</v>
      </c>
      <c r="I59" s="410" t="s">
        <v>70</v>
      </c>
      <c r="J59" s="411" t="s">
        <v>71</v>
      </c>
      <c r="M59" s="430">
        <v>827767.273</v>
      </c>
      <c r="N59" s="430">
        <v>839990.538</v>
      </c>
    </row>
    <row r="60" spans="2:16">
      <c r="B60" s="419"/>
      <c r="C60" s="419"/>
      <c r="D60" s="419"/>
      <c r="E60" s="375">
        <f>H53</f>
        <v>130.038280749242</v>
      </c>
      <c r="F60" s="388">
        <f>COS(E60*PI()/180)</f>
        <v>-0.643299280604863</v>
      </c>
      <c r="G60" s="388">
        <f>SIN(E60*PI()/180)</f>
        <v>0.765614806223648</v>
      </c>
      <c r="H60" s="400">
        <v>21.445</v>
      </c>
      <c r="I60" s="401">
        <f>H60*F60</f>
        <v>-13.7955530725713</v>
      </c>
      <c r="J60" s="401">
        <f>H60*G60</f>
        <v>16.4186095194661</v>
      </c>
      <c r="K60" s="390">
        <f>H$67*H60</f>
        <v>-0.00471786354901149</v>
      </c>
      <c r="L60" s="390">
        <f>I$67*H60</f>
        <v>0.00435040026135603</v>
      </c>
      <c r="M60" s="430">
        <f>M59+I60-K60</f>
        <v>827753.482164791</v>
      </c>
      <c r="N60" s="430">
        <f>N59+J60-L60</f>
        <v>840006.952259119</v>
      </c>
    </row>
    <row r="61" spans="2:16">
      <c r="B61" s="419"/>
      <c r="C61" s="419"/>
      <c r="D61" s="419"/>
      <c r="E61" s="375">
        <f>H54</f>
        <v>53.3888157435336</v>
      </c>
      <c r="F61" s="388">
        <f>COS(E61*PI()/180)</f>
        <v>0.596381577238525</v>
      </c>
      <c r="G61" s="388">
        <f>SIN(E61*PI()/180)</f>
        <v>0.802701071285451</v>
      </c>
      <c r="H61" s="375">
        <v>19.69</v>
      </c>
      <c r="I61" s="401">
        <f>H61*F61</f>
        <v>11.7427532558266</v>
      </c>
      <c r="J61" s="401">
        <f>H61*G61</f>
        <v>15.8051840936105</v>
      </c>
      <c r="K61" s="390">
        <f>H$67*H61</f>
        <v>-0.00433176653206045</v>
      </c>
      <c r="L61" s="390">
        <f>I$67*H61</f>
        <v>0.0039943754323199</v>
      </c>
      <c r="M61" s="430">
        <f>M60+I61-K61</f>
        <v>827765.229249813</v>
      </c>
      <c r="N61" s="430">
        <f>N60+J61-L61</f>
        <v>840022.753448837</v>
      </c>
    </row>
    <row r="62" spans="5:16">
      <c r="E62" s="375">
        <f>H55</f>
        <v>6.19089361681273</v>
      </c>
      <c r="F62" s="388">
        <f>COS(E62*PI()/180)</f>
        <v>0.994168112568743</v>
      </c>
      <c r="G62" s="388">
        <f>SIN(E62*PI()/180)</f>
        <v>0.107841347146587</v>
      </c>
      <c r="H62" s="375">
        <v>18.806</v>
      </c>
      <c r="I62" s="401">
        <f>H62*F62</f>
        <v>18.6963255249678</v>
      </c>
      <c r="J62" s="401">
        <f>H62*G62</f>
        <v>2.02806437443871</v>
      </c>
      <c r="K62" s="390">
        <f>H$67*H62</f>
        <v>-0.00413728803463325</v>
      </c>
      <c r="L62" s="390">
        <f>I$67*H62</f>
        <v>0.00381504440732392</v>
      </c>
      <c r="M62" s="430">
        <f>M61+I62-K62</f>
        <v>827783.929712626</v>
      </c>
      <c r="N62" s="430">
        <f>N61+J62-L62</f>
        <v>840024.777698167</v>
      </c>
    </row>
    <row r="63" spans="5:16">
      <c r="E63" s="375">
        <f>H56</f>
        <v>310.489109111464</v>
      </c>
      <c r="F63" s="388">
        <f>COS(E63*PI()/180)</f>
        <v>0.649303497933312</v>
      </c>
      <c r="G63" s="388">
        <f>SIN(E63*PI()/180)</f>
        <v>-0.760529396915385</v>
      </c>
      <c r="H63" s="375">
        <v>20.979</v>
      </c>
      <c r="I63" s="401">
        <f>H63*F63</f>
        <v>13.6217380831429</v>
      </c>
      <c r="J63" s="401">
        <f>H63*G63</f>
        <v>-15.9551462178879</v>
      </c>
      <c r="K63" s="390">
        <f>H$67*H63</f>
        <v>-0.00461534434109173</v>
      </c>
      <c r="L63" s="390">
        <f>I$67*H63</f>
        <v>0.00425586603324729</v>
      </c>
      <c r="M63" s="430">
        <f>M62+I63-K63</f>
        <v>827797.556066054</v>
      </c>
      <c r="N63" s="430">
        <f>N62+J63-L63</f>
        <v>840008.818296084</v>
      </c>
    </row>
    <row r="64" spans="5:16">
      <c r="E64" s="375">
        <f>H57</f>
        <v>238.478149824634</v>
      </c>
      <c r="F64" s="388">
        <f>COS(E64*PI()/180)</f>
        <v>-0.522823690083781</v>
      </c>
      <c r="G64" s="388">
        <f>SIN(E64*PI()/180)</f>
        <v>-0.852440839772174</v>
      </c>
      <c r="H64" s="375">
        <v>14.97</v>
      </c>
      <c r="I64" s="401">
        <f>H64*F64</f>
        <v>-7.8266706405542</v>
      </c>
      <c r="J64" s="401">
        <f>H64*G64</f>
        <v>-12.7610393713895</v>
      </c>
      <c r="K64" s="390">
        <f>H$67*H64</f>
        <v>-0.00329337455484738</v>
      </c>
      <c r="L64" s="390">
        <f>I$67*H64</f>
        <v>0.00303686136220563</v>
      </c>
      <c r="M64" s="430">
        <f>M63+I64-K64</f>
        <v>827789.732688788</v>
      </c>
      <c r="N64" s="430">
        <f>N63+J64-L64</f>
        <v>839996.054219851</v>
      </c>
    </row>
    <row r="65" spans="5:16">
      <c r="E65" s="375">
        <f>H58</f>
        <v>193.784722222222</v>
      </c>
      <c r="F65" s="388">
        <f>COS(E65*PI()/180)</f>
        <v>-0.971197854329976</v>
      </c>
      <c r="G65" s="388">
        <f>SIN(E65*PI()/180)</f>
        <v>-0.238274498431048</v>
      </c>
      <c r="H65" s="427">
        <v>23.131</v>
      </c>
      <c r="I65" s="428">
        <f>H65*F65</f>
        <v>-22.4647775685067</v>
      </c>
      <c r="J65" s="428">
        <f>H65*G65</f>
        <v>-5.51152742320857</v>
      </c>
      <c r="K65" s="390">
        <f>H$67*H65</f>
        <v>-0.00508878068324481</v>
      </c>
      <c r="L65" s="390">
        <f>I$67*H65</f>
        <v>0.00469242753301125</v>
      </c>
      <c r="M65" s="430">
        <f>M64+I65-K65</f>
        <v>827767.273</v>
      </c>
      <c r="N65" s="430">
        <f>N64+J65-L65</f>
        <v>839990.538</v>
      </c>
    </row>
    <row r="66" spans="7:14">
      <c r="G66" s="427" t="s">
        <v>72</v>
      </c>
      <c r="H66" s="424">
        <f>SUM(H60:H65)</f>
        <v>119.021</v>
      </c>
      <c r="I66" s="425">
        <f>SUM(I60:I65)</f>
        <v>-0.0261844176948891</v>
      </c>
      <c r="J66" s="426">
        <f>SUM(J60:J65)</f>
        <v>0.024144975029464</v>
      </c>
      <c r="K66" s="429"/>
    </row>
    <row r="67" spans="7:13">
      <c r="G67" s="375" t="s">
        <v>73</v>
      </c>
      <c r="H67" s="427">
        <f>I66/H$66</f>
        <v>-0.000219998300257006</v>
      </c>
      <c r="I67" s="427">
        <f>J66/H$66</f>
        <v>0.000202863150447938</v>
      </c>
      <c r="J67" s="427"/>
    </row>
    <row r="69" spans="7:11">
      <c r="G69" s="431" t="s">
        <v>74</v>
      </c>
      <c r="H69" s="375">
        <f>SQRT(I66*I66+J66*J66)</f>
        <v>0.0356174612963061</v>
      </c>
    </row>
    <row r="70" spans="6:11">
      <c r="F70" s="431" t="s">
        <v>75</v>
      </c>
      <c r="H70" s="375">
        <f>H69/H66</f>
        <v>0.000299253587991246</v>
      </c>
      <c r="I70" s="431">
        <f>H66/H69</f>
        <v>3341.64748604202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