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1" minimized="0" showHorizontalScroll="1" showSheetTabs="1" showVerticalScroll="1" tabRatio="500" visibility="visible" windowHeight="13920" windowWidth="20775" xWindow="3510" yWindow="2280"/>
  </bookViews>
  <sheets>
    <sheet name="Instructions" sheetId="1" state="hidden" r:id="rId1"/>
    <sheet name="Charts" sheetId="2" state="visible" r:id="rId2"/>
    <sheet name="Data set" sheetId="3" state="visible" r:id="rId3"/>
    <sheet name="Inputs" sheetId="4" state="hidden" r:id="rId4"/>
    <sheet name="Results" sheetId="5" state="visible" r:id="rId5"/>
    <sheet name="D%$&amp;01_DevSheet" sheetId="6" state="hidden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[$-409]d\-mmm\-yyyy;@" numFmtId="164"/>
    <numFmt formatCode="0.0" numFmtId="165"/>
  </numFmts>
  <fonts count="20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charset val="238"/>
      <family val="2"/>
      <b val="1"/>
      <color rgb="FFFF0000"/>
      <sz val="12"/>
      <scheme val="minor"/>
    </font>
    <font>
      <name val="Calibri"/>
      <charset val="238"/>
      <family val="2"/>
      <b val="1"/>
      <i val="1"/>
      <color theme="1"/>
      <sz val="12"/>
      <scheme val="minor"/>
    </font>
    <font>
      <name val="Calibri"/>
      <charset val="238"/>
      <family val="2"/>
      <b val="1"/>
      <color theme="1"/>
      <sz val="12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i val="1"/>
      <color theme="1"/>
      <sz val="12"/>
      <scheme val="minor"/>
    </font>
    <font>
      <name val="Calibri"/>
      <family val="2"/>
      <sz val="12"/>
      <scheme val="minor"/>
    </font>
    <font>
      <name val="Calibri"/>
      <charset val="238"/>
      <family val="2"/>
      <b val="1"/>
      <i val="1"/>
      <color theme="1"/>
      <sz val="12"/>
      <u val="single"/>
      <scheme val="minor"/>
    </font>
    <font>
      <name val="Calibri"/>
      <charset val="238"/>
      <family val="2"/>
      <b val="1"/>
      <i val="1"/>
      <color theme="1"/>
      <sz val="22"/>
      <u val="single"/>
      <scheme val="minor"/>
    </font>
    <font>
      <name val="Calibri"/>
      <charset val="238"/>
      <family val="2"/>
      <b val="1"/>
      <i val="1"/>
      <color theme="1"/>
      <sz val="2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rgb="FF0070C0"/>
      <sz val="12"/>
      <scheme val="minor"/>
    </font>
  </fonts>
  <fills count="13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6">
    <xf borderId="0" fillId="0" fontId="1" numFmtId="0"/>
    <xf borderId="0" fillId="0" fontId="1" numFmtId="9"/>
    <xf borderId="0" fillId="0" fontId="3" numFmtId="0"/>
    <xf borderId="0" fillId="0" fontId="4" numFmtId="0"/>
    <xf borderId="0" fillId="0" fontId="4" numFmtId="0"/>
    <xf borderId="0" fillId="0" fontId="3" numFmtId="0"/>
  </cellStyleXfs>
  <cellXfs count="145">
    <xf borderId="0" fillId="0" fontId="0" numFmtId="0" pivotButton="0" quotePrefix="0" xfId="0"/>
    <xf borderId="0" fillId="0" fontId="0" numFmtId="1" pivotButton="0" quotePrefix="0" xfId="0"/>
    <xf borderId="2" fillId="0" fontId="0" numFmtId="0" pivotButton="0" quotePrefix="0" xfId="0"/>
    <xf borderId="4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1" fillId="2" fontId="0" numFmtId="0" pivotButton="0" quotePrefix="0" xfId="0"/>
    <xf borderId="1" fillId="2" fontId="0" numFmtId="1" pivotButton="0" quotePrefix="0" xfId="0"/>
    <xf borderId="7" fillId="2" fontId="0" numFmtId="0" pivotButton="0" quotePrefix="0" xfId="0"/>
    <xf borderId="10" fillId="2" fontId="0" numFmtId="0" pivotButton="0" quotePrefix="0" xfId="0"/>
    <xf borderId="1" fillId="2" fontId="5" numFmtId="0" pivotButton="0" quotePrefix="0" xfId="0"/>
    <xf borderId="5" fillId="5" fontId="0" numFmtId="10" pivotButton="0" quotePrefix="0" xfId="0"/>
    <xf borderId="8" fillId="5" fontId="0" numFmtId="1" pivotButton="0" quotePrefix="0" xfId="0"/>
    <xf borderId="0" fillId="0" fontId="0" numFmtId="10" pivotButton="0" quotePrefix="0" xfId="0"/>
    <xf borderId="0" fillId="0" fontId="0" numFmtId="2" pivotButton="0" quotePrefix="0" xfId="0"/>
    <xf borderId="0" fillId="0" fontId="0" numFmtId="9" pivotButton="0" quotePrefix="0" xfId="0"/>
    <xf borderId="1" fillId="2" fontId="7" numFmtId="0" pivotButton="0" quotePrefix="0" xfId="0"/>
    <xf borderId="22" fillId="0" fontId="0" numFmtId="0" pivotButton="0" quotePrefix="0" xfId="0"/>
    <xf borderId="11" fillId="0" fontId="8" numFmtId="0" pivotButton="0" quotePrefix="0" xfId="0"/>
    <xf applyAlignment="1" borderId="3" fillId="6" fontId="0" numFmtId="0" pivotButton="0" quotePrefix="0" xfId="0">
      <alignment horizontal="center"/>
    </xf>
    <xf borderId="0" fillId="0" fontId="9" numFmtId="0" pivotButton="0" quotePrefix="0" xfId="0"/>
    <xf applyAlignment="1" borderId="0" fillId="0" fontId="0" numFmtId="1" pivotButton="0" quotePrefix="0" xfId="0">
      <alignment horizontal="left"/>
    </xf>
    <xf applyAlignment="1" borderId="0" fillId="0" fontId="0" numFmtId="0" pivotButton="0" quotePrefix="0" xfId="0">
      <alignment horizontal="center"/>
    </xf>
    <xf borderId="0" fillId="7" fontId="10" numFmtId="0" pivotButton="0" quotePrefix="0" xfId="0"/>
    <xf borderId="0" fillId="7" fontId="0" numFmtId="0" pivotButton="0" quotePrefix="0" xfId="0"/>
    <xf borderId="23" fillId="0" fontId="0" numFmtId="0" pivotButton="0" quotePrefix="0" xfId="0"/>
    <xf borderId="21" fillId="2" fontId="0" numFmtId="0" pivotButton="0" quotePrefix="0" xfId="0"/>
    <xf borderId="0" fillId="0" fontId="12" numFmtId="0" pivotButton="0" quotePrefix="0" xfId="0"/>
    <xf borderId="21" fillId="7" fontId="13" numFmtId="0" pivotButton="0" quotePrefix="0" xfId="0"/>
    <xf applyAlignment="1" borderId="19" fillId="0" fontId="0" numFmtId="0" pivotButton="0" quotePrefix="0" xfId="0">
      <alignment wrapText="1"/>
    </xf>
    <xf borderId="0" fillId="0" fontId="10" numFmtId="0" pivotButton="0" quotePrefix="0" xfId="0"/>
    <xf borderId="0" fillId="0" fontId="10" numFmtId="1" pivotButton="0" quotePrefix="0" xfId="0"/>
    <xf borderId="1" fillId="0" fontId="0" numFmtId="0" pivotButton="0" quotePrefix="0" xfId="0"/>
    <xf applyAlignment="1" borderId="0" fillId="0" fontId="0" numFmtId="0" pivotButton="0" quotePrefix="0" xfId="0">
      <alignment wrapText="1"/>
    </xf>
    <xf borderId="0" fillId="0" fontId="2" numFmtId="0" pivotButton="0" quotePrefix="0" xfId="0"/>
    <xf borderId="0" fillId="2" fontId="0" numFmtId="0" pivotButton="0" quotePrefix="0" xfId="0"/>
    <xf borderId="0" fillId="0" fontId="11" numFmtId="0" pivotButton="0" quotePrefix="0" xfId="0"/>
    <xf applyAlignment="1" borderId="1" fillId="9" fontId="1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4" numFmtId="0" pivotButton="0" quotePrefix="0" xfId="0">
      <alignment vertical="center"/>
    </xf>
    <xf borderId="0" fillId="0" fontId="14" numFmtId="0" pivotButton="0" quotePrefix="0" xfId="0"/>
    <xf borderId="5" fillId="0" fontId="0" numFmtId="0" pivotButton="0" quotePrefix="0" xfId="0"/>
    <xf applyAlignment="1" borderId="0" fillId="0" fontId="0" numFmtId="1" pivotButton="0" quotePrefix="0" xfId="0">
      <alignment horizontal="center"/>
    </xf>
    <xf borderId="0" fillId="0" fontId="8" numFmtId="0" pivotButton="0" quotePrefix="0" xfId="0"/>
    <xf applyAlignment="1" borderId="0" fillId="0" fontId="1" numFmtId="1" pivotButton="0" quotePrefix="0" xfId="0">
      <alignment horizontal="center"/>
    </xf>
    <xf applyAlignment="1" borderId="13" fillId="0" fontId="1" numFmtId="1" pivotButton="0" quotePrefix="0" xfId="0">
      <alignment horizontal="center"/>
    </xf>
    <xf applyAlignment="1" borderId="1" fillId="0" fontId="0" numFmtId="0" pivotButton="0" quotePrefix="0" xfId="0">
      <alignment horizontal="center"/>
    </xf>
    <xf borderId="29" fillId="0" fontId="0" numFmtId="0" pivotButton="0" quotePrefix="0" xfId="0"/>
    <xf applyAlignment="1" borderId="27" fillId="2" fontId="0" numFmtId="0" pivotButton="0" quotePrefix="0" xfId="0">
      <alignment horizontal="center"/>
    </xf>
    <xf borderId="28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borderId="31" fillId="0" fontId="0" numFmtId="0" pivotButton="0" quotePrefix="0" xfId="0"/>
    <xf applyAlignment="1" borderId="11" fillId="0" fontId="2" numFmtId="0" pivotButton="0" quotePrefix="0" xfId="0">
      <alignment horizontal="center"/>
    </xf>
    <xf applyAlignment="1" borderId="12" fillId="0" fontId="2" numFmtId="0" pivotButton="0" quotePrefix="0" xfId="0">
      <alignment horizontal="center"/>
    </xf>
    <xf borderId="13" fillId="0" fontId="2" numFmtId="0" pivotButton="0" quotePrefix="0" xfId="0"/>
    <xf borderId="10" fillId="0" fontId="0" numFmtId="0" pivotButton="0" quotePrefix="0" xfId="0"/>
    <xf borderId="7" fillId="0" fontId="0" numFmtId="1" pivotButton="0" quotePrefix="0" xfId="0"/>
    <xf borderId="8" fillId="0" fontId="0" numFmtId="1" pivotButton="0" quotePrefix="0" xfId="0"/>
    <xf borderId="30" fillId="0" fontId="0" numFmtId="0" pivotButton="0" quotePrefix="0" xfId="0"/>
    <xf borderId="3" fillId="0" fontId="0" numFmtId="0" pivotButton="0" quotePrefix="0" xfId="0"/>
    <xf borderId="9" fillId="0" fontId="0" numFmtId="0" pivotButton="0" quotePrefix="0" xfId="0"/>
    <xf borderId="10" fillId="0" fontId="0" numFmtId="1" pivotButton="0" quotePrefix="0" xfId="0"/>
    <xf borderId="31" fillId="0" fontId="0" numFmtId="1" pivotButton="0" quotePrefix="0" xfId="0"/>
    <xf borderId="11" fillId="12" fontId="15" numFmtId="0" pivotButton="0" quotePrefix="0" xfId="0"/>
    <xf applyAlignment="1" borderId="12" fillId="12" fontId="15" numFmtId="0" pivotButton="0" quotePrefix="0" xfId="0">
      <alignment horizontal="center" vertical="center"/>
    </xf>
    <xf applyAlignment="1" borderId="13" fillId="12" fontId="15" numFmtId="0" pivotButton="0" quotePrefix="0" xfId="0">
      <alignment horizontal="center" vertical="center"/>
    </xf>
    <xf borderId="25" fillId="12" fontId="16" numFmtId="1" pivotButton="0" quotePrefix="0" xfId="0"/>
    <xf borderId="17" fillId="12" fontId="16" numFmtId="1" pivotButton="0" quotePrefix="0" xfId="0"/>
    <xf borderId="16" fillId="12" fontId="15" numFmtId="0" pivotButton="0" quotePrefix="0" xfId="0"/>
    <xf borderId="1" fillId="2" fontId="10" numFmtId="1" pivotButton="0" quotePrefix="0" xfId="0"/>
    <xf borderId="1" fillId="2" fontId="10" numFmtId="0" pivotButton="0" quotePrefix="0" xfId="0"/>
    <xf applyAlignment="1" borderId="1" fillId="2" fontId="10" numFmtId="1" pivotButton="0" quotePrefix="0" xfId="0">
      <alignment wrapText="1"/>
    </xf>
    <xf applyAlignment="1" borderId="1" fillId="2" fontId="10" numFmtId="1" pivotButton="0" quotePrefix="0" xfId="0">
      <alignment vertical="center"/>
    </xf>
    <xf applyAlignment="1" borderId="1" fillId="2" fontId="10" numFmtId="0" pivotButton="0" quotePrefix="0" xfId="0">
      <alignment vertical="center" wrapText="1"/>
    </xf>
    <xf borderId="1" fillId="0" fontId="10" numFmtId="0" pivotButton="0" quotePrefix="0" xfId="0"/>
    <xf borderId="28" fillId="0" fontId="1" numFmtId="0" pivotButton="0" quotePrefix="0" xfId="0"/>
    <xf borderId="2" fillId="4" fontId="0" numFmtId="0" pivotButton="0" quotePrefix="0" xfId="0"/>
    <xf applyAlignment="1" borderId="3" fillId="10" fontId="0" numFmtId="2" pivotButton="0" quotePrefix="0" xfId="0">
      <alignment horizontal="center"/>
    </xf>
    <xf borderId="6" fillId="4" fontId="0" numFmtId="0" pivotButton="0" quotePrefix="0" xfId="0"/>
    <xf applyAlignment="1" borderId="8" fillId="10" fontId="0" numFmtId="2" pivotButton="0" quotePrefix="0" xfId="0">
      <alignment horizontal="center"/>
    </xf>
    <xf applyAlignment="1" borderId="3" fillId="8" fontId="0" numFmtId="2" pivotButton="0" quotePrefix="0" xfId="0">
      <alignment horizontal="center"/>
    </xf>
    <xf applyAlignment="1" borderId="8" fillId="8" fontId="0" numFmtId="2" pivotButton="0" quotePrefix="0" xfId="0">
      <alignment horizontal="center"/>
    </xf>
    <xf borderId="32" fillId="2" fontId="0" numFmtId="0" pivotButton="0" quotePrefix="0" xfId="0"/>
    <xf borderId="14" fillId="2" fontId="10" numFmtId="0" pivotButton="0" quotePrefix="0" xfId="0"/>
    <xf borderId="14" fillId="2" fontId="0" numFmtId="0" pivotButton="0" quotePrefix="0" xfId="0"/>
    <xf borderId="15" fillId="2" fontId="0" numFmtId="0" pivotButton="0" quotePrefix="0" xfId="0"/>
    <xf borderId="1" fillId="2" fontId="10" numFmtId="10" pivotButton="0" quotePrefix="0" xfId="0"/>
    <xf borderId="10" fillId="0" fontId="10" numFmtId="0" pivotButton="0" quotePrefix="0" xfId="0"/>
    <xf borderId="18" fillId="0" fontId="0" numFmtId="0" pivotButton="0" quotePrefix="0" xfId="0"/>
    <xf borderId="33" fillId="0" fontId="0" numFmtId="0" pivotButton="0" quotePrefix="0" xfId="0"/>
    <xf applyAlignment="1" borderId="10" fillId="5" fontId="0" numFmtId="0" pivotButton="0" quotePrefix="0" xfId="0">
      <alignment horizontal="center" vertical="center"/>
    </xf>
    <xf applyAlignment="1" borderId="9" fillId="5" fontId="0" numFmtId="0" pivotButton="0" quotePrefix="0" xfId="0">
      <alignment horizontal="center" vertical="center"/>
    </xf>
    <xf applyAlignment="1" borderId="31" fillId="5" fontId="0" numFmtId="0" pivotButton="0" quotePrefix="0" xfId="0">
      <alignment horizontal="center" vertical="center"/>
    </xf>
    <xf applyAlignment="1" borderId="6" fillId="5" fontId="0" numFmtId="1" pivotButton="0" quotePrefix="0" xfId="0">
      <alignment horizontal="center" vertical="center"/>
    </xf>
    <xf applyAlignment="1" borderId="7" fillId="5" fontId="0" numFmtId="10" pivotButton="0" quotePrefix="0" xfId="1">
      <alignment horizontal="center" vertical="center"/>
    </xf>
    <xf applyAlignment="1" borderId="8" fillId="5" fontId="0" numFmtId="2" pivotButton="0" quotePrefix="0" xfId="1">
      <alignment horizontal="center" vertical="center"/>
    </xf>
    <xf borderId="1" fillId="2" fontId="17" numFmtId="0" pivotButton="0" quotePrefix="0" xfId="0"/>
    <xf borderId="1" fillId="2" fontId="17" numFmtId="1" pivotButton="0" quotePrefix="0" xfId="0"/>
    <xf borderId="1" fillId="3" fontId="17" numFmtId="0" pivotButton="0" quotePrefix="0" xfId="0"/>
    <xf borderId="0" fillId="0" fontId="17" numFmtId="0" pivotButton="0" quotePrefix="0" xfId="0"/>
    <xf borderId="1" fillId="3" fontId="18" numFmtId="0" pivotButton="0" quotePrefix="0" xfId="0"/>
    <xf applyAlignment="1" borderId="1" fillId="5" fontId="2" numFmtId="0" pivotButton="0" quotePrefix="0" xfId="0">
      <alignment horizontal="center"/>
    </xf>
    <xf applyAlignment="1" borderId="2" fillId="12" fontId="15" numFmtId="0" pivotButton="0" quotePrefix="0" xfId="0">
      <alignment horizontal="center"/>
    </xf>
    <xf applyAlignment="1" borderId="4" fillId="12" fontId="15" numFmtId="0" pivotButton="0" quotePrefix="0" xfId="0">
      <alignment horizontal="center"/>
    </xf>
    <xf applyAlignment="1" borderId="5" fillId="5" fontId="2" numFmtId="0" pivotButton="0" quotePrefix="0" xfId="0">
      <alignment horizontal="center"/>
    </xf>
    <xf applyAlignment="1" borderId="6" fillId="12" fontId="15" numFmtId="0" pivotButton="0" quotePrefix="0" xfId="0">
      <alignment horizontal="center"/>
    </xf>
    <xf applyAlignment="1" borderId="1" fillId="0" fontId="0" numFmtId="2" pivotButton="0" quotePrefix="0" xfId="0">
      <alignment horizontal="center"/>
    </xf>
    <xf applyAlignment="1" borderId="5" fillId="0" fontId="0" numFmtId="2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26" fillId="2" fontId="1" numFmtId="0" pivotButton="0" quotePrefix="0" xfId="0">
      <alignment horizontal="center"/>
    </xf>
    <xf applyAlignment="1" borderId="1" fillId="2" fontId="0" numFmtId="1" pivotButton="0" quotePrefix="0" xfId="0">
      <alignment wrapText="1"/>
    </xf>
    <xf borderId="35" fillId="2" fontId="0" numFmtId="0" pivotButton="0" quotePrefix="0" xfId="0"/>
    <xf applyAlignment="1" borderId="1" fillId="2" fontId="14" numFmtId="1" pivotButton="0" quotePrefix="0" xfId="0">
      <alignment wrapText="1"/>
    </xf>
    <xf borderId="1" fillId="2" fontId="19" numFmtId="1" pivotButton="0" quotePrefix="0" xfId="0"/>
    <xf borderId="1" fillId="2" fontId="0" numFmtId="2" pivotButton="0" quotePrefix="0" xfId="0"/>
    <xf applyAlignment="1" borderId="1" fillId="2" fontId="0" numFmtId="2" pivotButton="0" quotePrefix="0" xfId="0">
      <alignment vertical="center"/>
    </xf>
    <xf borderId="25" fillId="2" fontId="19" numFmtId="1" pivotButton="0" quotePrefix="0" xfId="0"/>
    <xf borderId="4" fillId="2" fontId="0" numFmtId="0" pivotButton="0" quotePrefix="0" xfId="0"/>
    <xf borderId="36" fillId="2" fontId="0" numFmtId="0" pivotButton="0" quotePrefix="0" xfId="0"/>
    <xf applyAlignment="1" borderId="26" fillId="2" fontId="0" numFmtId="164" pivotButton="0" quotePrefix="0" xfId="0">
      <alignment horizontal="center"/>
    </xf>
    <xf applyAlignment="1" borderId="24" fillId="2" fontId="0" numFmtId="164" pivotButton="0" quotePrefix="0" xfId="0">
      <alignment horizontal="center"/>
    </xf>
    <xf applyAlignment="1" borderId="24" fillId="0" fontId="1" numFmtId="165" pivotButton="0" quotePrefix="0" xfId="0">
      <alignment horizontal="center"/>
    </xf>
    <xf applyAlignment="1" borderId="27" fillId="0" fontId="1" numFmtId="165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2" fontId="6" numFmtId="0" pivotButton="0" quotePrefix="0" xfId="0">
      <alignment horizontal="center"/>
    </xf>
    <xf applyAlignment="1" borderId="30" fillId="12" fontId="15" numFmtId="0" pivotButton="0" quotePrefix="0" xfId="0">
      <alignment horizontal="center"/>
    </xf>
    <xf borderId="34" fillId="0" fontId="0" numFmtId="0" pivotButton="0" quotePrefix="0" xfId="0"/>
    <xf applyAlignment="1" borderId="37" fillId="12" fontId="15" numFmtId="0" pivotButton="0" quotePrefix="0" xfId="0">
      <alignment horizontal="center"/>
    </xf>
    <xf borderId="38" fillId="0" fontId="0" numFmtId="0" pivotButton="0" quotePrefix="0" xfId="0"/>
    <xf applyAlignment="1" borderId="11" fillId="4" fontId="17" numFmtId="0" pivotButton="0" quotePrefix="0" xfId="0">
      <alignment horizontal="center"/>
    </xf>
    <xf borderId="39" fillId="0" fontId="0" numFmtId="0" pivotButton="0" quotePrefix="0" xfId="0"/>
    <xf borderId="40" fillId="0" fontId="0" numFmtId="0" pivotButton="0" quotePrefix="0" xfId="0"/>
    <xf applyAlignment="1" borderId="41" fillId="3" fontId="2" numFmtId="0" pivotButton="0" quotePrefix="0" xfId="0">
      <alignment horizontal="center"/>
    </xf>
    <xf borderId="20" fillId="0" fontId="0" numFmtId="0" pivotButton="0" quotePrefix="0" xfId="0"/>
    <xf applyAlignment="1" borderId="41" fillId="3" fontId="0" numFmtId="0" pivotButton="0" quotePrefix="0" xfId="0">
      <alignment horizontal="center"/>
    </xf>
    <xf applyAlignment="1" borderId="41" fillId="11" fontId="15" numFmtId="0" pivotButton="0" quotePrefix="0" xfId="0">
      <alignment horizontal="center"/>
    </xf>
  </cellXfs>
  <cellStyles count="6">
    <cellStyle builtinId="0" name="Normal" xfId="0"/>
    <cellStyle builtinId="5" name="Percent" xfId="1"/>
    <cellStyle builtinId="8" hidden="1" name="Hyperlink" xfId="2"/>
    <cellStyle builtinId="9" hidden="1" name="Followed Hyperlink" xfId="3"/>
    <cellStyle name="Normal 5 42 2" xfId="4"/>
    <cellStyle name="Percent 5 7" xf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>
                <a:solidFill>
                  <a:schemeClr val="lt1">
                    <a:lumMod val="95000"/>
                  </a:schemeClr>
                </a:solidFill>
                <effectLst>
                  <a:outerShdw algn="t" blurRad="50800" dir="5400000" dist="38100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en-MY"/>
              <a:t>Capacity Data for Controller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>
              <a:solidFill>
                <a:schemeClr val="lt1">
                  <a:lumMod val="95000"/>
                </a:schemeClr>
              </a:solidFill>
              <effectLst>
                <a:outerShdw algn="t" blurRad="50800" dir="5400000" dist="38100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8032963043973425"/>
          <y val="0.1435070625463495"/>
          <w val="0.9056957251648379"/>
          <h val="0.6988545877563171"/>
        </manualLayout>
      </layout>
      <barChart>
        <barDir val="col"/>
        <grouping val="clustered"/>
        <varyColors val="0"/>
        <ser>
          <idx val="0"/>
          <order val="0"/>
          <tx>
            <strRef>
              <f>Charts!$C$42</f>
              <strCache>
                <ptCount val="1"/>
                <pt idx="0">
                  <v>Without Debug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dir="t" rig="threePt">
                <rot lat="0" lon="0" rev="1200000"/>
              </lightRig>
            </scene3d>
            <a:sp3d>
              <bevelT h="25400" w="63500"/>
            </a:sp3d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Charts!$D$41:$E$41</f>
              <strCache>
                <ptCount val="2"/>
                <pt idx="0">
                  <v>16 Hours</v>
                </pt>
                <pt idx="1">
                  <v>24 Hours</v>
                </pt>
              </strCache>
            </strRef>
          </cat>
          <val>
            <numRef>
              <f>Charts!$D$42:$E$42</f>
              <numCache>
                <formatCode>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Charts!$C$43</f>
              <strCache>
                <ptCount val="1"/>
                <pt idx="0">
                  <v>With Debug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dir="t" rig="threePt">
                <rot lat="0" lon="0" rev="1200000"/>
              </lightRig>
            </scene3d>
            <a:sp3d>
              <bevelT h="25400" w="63500"/>
            </a:sp3d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Charts!$D$41:$E$41</f>
              <strCache>
                <ptCount val="2"/>
                <pt idx="0">
                  <v>16 Hours</v>
                </pt>
                <pt idx="1">
                  <v>24 Hours</v>
                </pt>
              </strCache>
            </strRef>
          </cat>
          <val>
            <numRef>
              <f>Charts!$D$43:$E$43</f>
              <numCache>
                <formatCode>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axId val="173080847"/>
        <axId val="173079207"/>
      </barChart>
      <lineChart>
        <grouping val="standard"/>
        <varyColors val="0"/>
        <ser>
          <idx val="2"/>
          <order val="2"/>
          <tx>
            <strRef>
              <f>Charts!$C$46</f>
              <strCache>
                <ptCount val="1"/>
                <pt idx="0">
                  <v>6 days/week</v>
                </pt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Charts!$D$41:$E$41</f>
              <strCache>
                <ptCount val="2"/>
                <pt idx="0">
                  <v>16 Hours</v>
                </pt>
                <pt idx="1">
                  <v>24 Hours</v>
                </pt>
              </strCache>
            </strRef>
          </cat>
          <val>
            <numRef>
              <f>Charts!$D$46:$E$46</f>
              <numCache>
                <formatCode>General</formatCode>
                <ptCount val="2"/>
                <pt idx="0">
                  <v>56</v>
                </pt>
                <pt idx="1">
                  <v>56</v>
                </pt>
              </numCache>
            </numRef>
          </val>
          <smooth val="0"/>
        </ser>
        <ser>
          <idx val="3"/>
          <order val="3"/>
          <tx>
            <strRef>
              <f>Charts!$C$47</f>
              <strCache>
                <ptCount val="1"/>
                <pt idx="0">
                  <v>7 days/week</v>
                </pt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Charts!$D$41:$E$41</f>
              <strCache>
                <ptCount val="2"/>
                <pt idx="0">
                  <v>16 Hours</v>
                </pt>
                <pt idx="1">
                  <v>24 Hours</v>
                </pt>
              </strCache>
            </strRef>
          </cat>
          <val>
            <numRef>
              <f>Charts!$D$47:$E$47</f>
              <numCache>
                <formatCode>General</formatCode>
                <ptCount val="2"/>
                <pt idx="0">
                  <v>65</v>
                </pt>
                <pt idx="1">
                  <v>65</v>
                </pt>
              </numCache>
            </numRef>
          </val>
          <smooth val="0"/>
        </ser>
        <ser>
          <idx val="4"/>
          <order val="4"/>
          <tx>
            <strRef>
              <f>Charts!$C$45</f>
              <strCache>
                <ptCount val="1"/>
                <pt idx="0">
                  <v>5 days/week</v>
                </pt>
              </strCache>
            </strRef>
          </tx>
          <spPr>
            <a:ln cap="rnd" w="34925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Charts!$D$45:$E$45</f>
              <numCache>
                <formatCode>General</formatCode>
                <ptCount val="2"/>
                <pt idx="0">
                  <v>46</v>
                </pt>
                <pt idx="1">
                  <v>46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73080847"/>
        <axId val="173079207"/>
      </lineChart>
      <catAx>
        <axId val="1730808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3079207"/>
        <crosses val="autoZero"/>
        <auto val="1"/>
        <lblAlgn val="ctr"/>
        <lblOffset val="100"/>
        <noMultiLvlLbl val="0"/>
      </catAx>
      <valAx>
        <axId val="1730792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cap="all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Days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1" baseline="0" cap="all" i="0" kern="1200" strike="noStrike"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308084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Ben Wong</author>
  </authors>
  <commentList>
    <comment authorId="0" ref="G1" shapeId="0">
      <text>
        <t>Test time of the op seq. If the product has 2 test op seq, they need to be filled in separately</t>
      </text>
    </comment>
    <comment authorId="0" ref="P1" shapeId="0">
      <text>
        <t>The number of retest iteration in operator mode after the DUT is fixed at debug. 
Default = 1</t>
      </text>
    </comment>
    <comment authorId="0" ref="Q1" shapeId="0">
      <text>
        <t>The number of test iteration needed during debug.
Default = 2</t>
      </text>
    </comment>
    <comment authorId="0" ref="R1" shapeId="0">
      <text>
        <t>Percentage or portion of test sequence run in tech mode during debug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569882</colOff>
      <row>1</row>
      <rowOff>57150</rowOff>
    </from>
    <to>
      <col>18</col>
      <colOff>161925</colOff>
      <row>39</row>
      <rowOff>59038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96"/>
  <sheetViews>
    <sheetView topLeftCell="A40" workbookViewId="0" zoomScale="70" zoomScaleNormal="70" zoomScaleSheetLayoutView="30">
      <selection activeCell="Q19" sqref="Q19"/>
    </sheetView>
  </sheetViews>
  <sheetFormatPr baseColWidth="8" defaultRowHeight="15.75"/>
  <cols>
    <col bestFit="1" customWidth="1" max="2" min="2" style="132" width="22.5"/>
    <col customWidth="1" max="12" min="12" style="132" width="9"/>
  </cols>
  <sheetData>
    <row customHeight="1" ht="28.5" r="2" s="132">
      <c r="B2" s="28" t="inlineStr">
        <is>
          <t>Instructions:</t>
        </is>
      </c>
    </row>
    <row customHeight="1" ht="16.5" r="3" s="132" thickBot="1"/>
    <row customHeight="1" ht="16.5" r="4" s="132" thickBot="1">
      <c r="B4" s="27" t="inlineStr">
        <is>
          <t>Fill out the yellow cells!</t>
        </is>
      </c>
    </row>
    <row r="5">
      <c r="L5" s="35" t="inlineStr">
        <is>
          <t>Assumptions Made</t>
        </is>
      </c>
    </row>
    <row r="6">
      <c r="B6" s="24" t="inlineStr">
        <is>
          <t>1. Step</t>
        </is>
      </c>
      <c r="L6" t="inlineStr">
        <is>
          <t>Test Iterations/Debug Iterations can be updated as needed</t>
        </is>
      </c>
    </row>
    <row r="7">
      <c r="B7" s="131" t="inlineStr">
        <is>
          <t>Fill out the yellow cells on 'Inputs' tab:</t>
        </is>
      </c>
      <c r="L7" t="inlineStr">
        <is>
          <t xml:space="preserve">We use total number of test iterations for failed boards as 4 here. </t>
        </is>
      </c>
    </row>
    <row r="8">
      <c r="B8" t="inlineStr">
        <is>
          <t>a, Station type</t>
        </is>
      </c>
      <c r="L8" t="inlineStr">
        <is>
          <t>1. Production line test</t>
        </is>
      </c>
    </row>
    <row r="9">
      <c r="B9" t="inlineStr">
        <is>
          <t>b, Shift: 1,2 or 3 shift /day</t>
        </is>
      </c>
      <c r="L9" t="inlineStr">
        <is>
          <t>2. Confirm it’s a failure in debug mode</t>
        </is>
      </c>
    </row>
    <row r="10">
      <c r="B10" t="inlineStr">
        <is>
          <t>c, Workours / shift: 7 or 8</t>
        </is>
      </c>
      <c r="L10" t="inlineStr">
        <is>
          <t>3. Confirm after debug - test is good - in debug mode and verification full test</t>
        </is>
      </c>
    </row>
    <row r="11">
      <c r="B11" t="inlineStr">
        <is>
          <t>d, Available stations in the production</t>
        </is>
      </c>
      <c r="L11" t="inlineStr">
        <is>
          <t>4. Production line test for debugged board</t>
        </is>
      </c>
    </row>
    <row r="12">
      <c r="L12" t="inlineStr">
        <is>
          <t>1,4 are taken in production test without debug</t>
        </is>
      </c>
    </row>
    <row r="13">
      <c r="L13" t="inlineStr">
        <is>
          <t>2,3 are added in debug calc for Failed boards</t>
        </is>
      </c>
    </row>
    <row r="15">
      <c r="L15" s="36" t="inlineStr">
        <is>
          <t>*** use 2 in Dataset colum O if following above assumption</t>
        </is>
      </c>
      <c r="M15" s="36" t="n"/>
      <c r="N15" s="36" t="n"/>
      <c r="O15" s="36" t="n"/>
      <c r="P15" s="36" t="n"/>
      <c r="Q15" s="36" t="n"/>
      <c r="R15" s="36" t="n"/>
    </row>
    <row r="28">
      <c r="B28" s="25" t="inlineStr">
        <is>
          <t>2. Step</t>
        </is>
      </c>
    </row>
    <row r="29">
      <c r="B29" t="inlineStr">
        <is>
          <t>Fill out the yellow cells on 'Data set' tab:</t>
        </is>
      </c>
    </row>
    <row r="30">
      <c r="B30" t="inlineStr">
        <is>
          <t>a, Part Number: The PNs are supported by Station type</t>
        </is>
      </c>
    </row>
    <row r="31">
      <c r="B31" t="inlineStr">
        <is>
          <t>b, Description: Description of the PNs</t>
        </is>
      </c>
    </row>
    <row r="32">
      <c r="B32" t="inlineStr">
        <is>
          <t xml:space="preserve">c, Volume: EAU or the needed quantity </t>
        </is>
      </c>
    </row>
    <row r="33">
      <c r="B33" t="inlineStr">
        <is>
          <t>d, Test times: Test times to the PNs - SNAPP,IFT,Burn-In, FVT</t>
        </is>
      </c>
    </row>
    <row r="34">
      <c r="B34" t="inlineStr">
        <is>
          <t>e, Prod FR: Treshold FR value (predefined to every product line)</t>
        </is>
      </c>
    </row>
    <row customHeight="1" ht="16.5" r="61" s="132" thickBot="1"/>
    <row customHeight="1" ht="29.25" r="62" s="132" thickBot="1">
      <c r="B62" s="29" t="inlineStr">
        <is>
          <t>Example:</t>
        </is>
      </c>
    </row>
    <row r="63">
      <c r="B63" t="inlineStr">
        <is>
          <t xml:space="preserve">We have to test 250 pcs PXIe-4137 </t>
        </is>
      </c>
    </row>
    <row r="65">
      <c r="B65" s="133" t="inlineStr">
        <is>
          <t>Firstly you have to fill out the yellow cells as you can see above!</t>
        </is>
      </c>
    </row>
    <row customHeight="1" ht="16.5" r="69" s="132" thickBot="1"/>
    <row customHeight="1" ht="29.25" r="70" s="132" thickBot="1">
      <c r="B70" s="29" t="inlineStr">
        <is>
          <t>Results:</t>
        </is>
      </c>
      <c r="D70" t="inlineStr">
        <is>
          <t xml:space="preserve">Modify Number of Shifts and Days as needed. Enter number of holidays in that calendar time </t>
        </is>
      </c>
    </row>
    <row r="96">
      <c r="B96" s="37" t="n"/>
    </row>
  </sheetData>
  <mergeCells count="2">
    <mergeCell ref="B7:E7"/>
    <mergeCell ref="B65:F65"/>
  </mergeCells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41:Z50"/>
  <sheetViews>
    <sheetView workbookViewId="0" zoomScale="70" zoomScaleNormal="70">
      <selection activeCell="W16" sqref="W16"/>
    </sheetView>
  </sheetViews>
  <sheetFormatPr baseColWidth="8" defaultRowHeight="15.75"/>
  <cols>
    <col customWidth="1" max="3" min="3" style="132" width="18.25"/>
    <col bestFit="1" customWidth="1" max="4" min="4" style="132" width="20.125"/>
    <col bestFit="1" customWidth="1" max="5" min="5" style="132" width="21.25"/>
    <col bestFit="1" customWidth="1" max="9" min="9" style="132" width="15.625"/>
    <col bestFit="1" customWidth="1" max="13" min="10" style="132" width="13"/>
  </cols>
  <sheetData>
    <row customHeight="1" ht="16.5" r="40" s="132" thickBot="1"/>
    <row customHeight="1" ht="16.5" r="41" s="132" thickBot="1">
      <c r="C41" s="70" t="inlineStr">
        <is>
          <t>Shift Pattern</t>
        </is>
      </c>
      <c r="D41" s="71" t="inlineStr">
        <is>
          <t>16 Hours</t>
        </is>
      </c>
      <c r="E41" s="72" t="inlineStr">
        <is>
          <t>24 Hours</t>
        </is>
      </c>
      <c r="I41" s="109" t="inlineStr">
        <is>
          <t># Shift</t>
        </is>
      </c>
      <c r="J41" s="134" t="inlineStr">
        <is>
          <t>16hr</t>
        </is>
      </c>
      <c r="K41" s="135" t="n"/>
      <c r="L41" s="136" t="inlineStr">
        <is>
          <t>24hr</t>
        </is>
      </c>
      <c r="M41" s="137" t="n"/>
      <c r="V41" s="109" t="inlineStr">
        <is>
          <t># Shift</t>
        </is>
      </c>
      <c r="W41" s="134" t="inlineStr">
        <is>
          <t>16hr</t>
        </is>
      </c>
      <c r="X41" s="135" t="n"/>
      <c r="Y41" s="136" t="inlineStr">
        <is>
          <t>24hr</t>
        </is>
      </c>
      <c r="Z41" s="137" t="n"/>
    </row>
    <row r="42">
      <c r="C42" s="67" t="inlineStr">
        <is>
          <t>Without Debug</t>
        </is>
      </c>
      <c r="D42" s="68">
        <f>Results!C17</f>
        <v/>
      </c>
      <c r="E42" s="69">
        <f>Results!C23</f>
        <v/>
      </c>
      <c r="I42" s="110" t="inlineStr">
        <is>
          <t># Station</t>
        </is>
      </c>
      <c r="J42" s="108" t="inlineStr">
        <is>
          <t>No debug</t>
        </is>
      </c>
      <c r="K42" s="108" t="inlineStr">
        <is>
          <t>With debug</t>
        </is>
      </c>
      <c r="L42" s="108" t="inlineStr">
        <is>
          <t>No debug</t>
        </is>
      </c>
      <c r="M42" s="111" t="inlineStr">
        <is>
          <t>With debug</t>
        </is>
      </c>
      <c r="V42" s="110" t="inlineStr">
        <is>
          <t># Station</t>
        </is>
      </c>
      <c r="W42" s="108" t="inlineStr">
        <is>
          <t>No debug</t>
        </is>
      </c>
      <c r="X42" s="108" t="inlineStr">
        <is>
          <t>With debug</t>
        </is>
      </c>
      <c r="Y42" s="108" t="inlineStr">
        <is>
          <t>No debug</t>
        </is>
      </c>
      <c r="Z42" s="111" t="inlineStr">
        <is>
          <t>With debug</t>
        </is>
      </c>
    </row>
    <row customHeight="1" ht="16.5" r="43" s="132" thickBot="1">
      <c r="C43" s="4" t="inlineStr">
        <is>
          <t>With Debug</t>
        </is>
      </c>
      <c r="D43" s="63">
        <f>Results!H17</f>
        <v/>
      </c>
      <c r="E43" s="64">
        <f>Results!H23</f>
        <v/>
      </c>
      <c r="I43" s="110" t="inlineStr">
        <is>
          <t xml:space="preserve">Station Needed </t>
        </is>
      </c>
      <c r="J43" s="113">
        <f>Results!C19</f>
        <v/>
      </c>
      <c r="K43" s="113">
        <f>Results!H19</f>
        <v/>
      </c>
      <c r="L43" s="113">
        <f>Results!C25</f>
        <v/>
      </c>
      <c r="M43" s="114">
        <f>Results!H25</f>
        <v/>
      </c>
      <c r="V43" s="110" t="inlineStr">
        <is>
          <t xml:space="preserve">Station Needed </t>
        </is>
      </c>
      <c r="W43" s="113">
        <f>Results!C31</f>
        <v/>
      </c>
      <c r="X43" s="113">
        <f>Results!H31</f>
        <v/>
      </c>
      <c r="Y43" s="113">
        <f>Results!C37</f>
        <v/>
      </c>
      <c r="Z43" s="114">
        <f>Results!H37</f>
        <v/>
      </c>
    </row>
    <row customHeight="1" ht="16.5" r="44" s="132" thickBot="1">
      <c r="C44" s="75" t="inlineStr">
        <is>
          <t>Working Days</t>
        </is>
      </c>
      <c r="D44" s="73" t="n"/>
      <c r="E44" s="74" t="n"/>
      <c r="I44" s="112" t="inlineStr">
        <is>
          <t>Station Available</t>
        </is>
      </c>
      <c r="J44" s="55">
        <f>Results!C9</f>
        <v/>
      </c>
      <c r="K44" s="55">
        <f>J44</f>
        <v/>
      </c>
      <c r="L44" s="55">
        <f>K44</f>
        <v/>
      </c>
      <c r="M44" s="115">
        <f>L44</f>
        <v/>
      </c>
      <c r="V44" s="112" t="inlineStr">
        <is>
          <t>Station Available</t>
        </is>
      </c>
      <c r="W44" s="55">
        <f>Results!C9</f>
        <v/>
      </c>
      <c r="X44" s="55">
        <f>W44</f>
        <v/>
      </c>
      <c r="Y44" s="55">
        <f>X44</f>
        <v/>
      </c>
      <c r="Z44" s="115">
        <f>Y44</f>
        <v/>
      </c>
    </row>
    <row r="45">
      <c r="C45" s="2" t="inlineStr">
        <is>
          <t>5 days/week</t>
        </is>
      </c>
      <c r="D45" s="65">
        <f>Results!F9</f>
        <v/>
      </c>
      <c r="E45" s="66">
        <f>D45</f>
        <v/>
      </c>
    </row>
    <row r="46">
      <c r="C46" s="3" t="inlineStr">
        <is>
          <t>6 days/week</t>
        </is>
      </c>
      <c r="D46" s="33">
        <f>Results!F8</f>
        <v/>
      </c>
      <c r="E46" s="44">
        <f>D46</f>
        <v/>
      </c>
    </row>
    <row customHeight="1" ht="16.5" r="47" s="132" thickBot="1">
      <c r="C47" s="4" t="inlineStr">
        <is>
          <t>7 days/week</t>
        </is>
      </c>
      <c r="D47" s="5">
        <f>Results!F7</f>
        <v/>
      </c>
      <c r="E47" s="6">
        <f>D47</f>
        <v/>
      </c>
    </row>
    <row r="50">
      <c r="E50" t="inlineStr">
        <is>
          <t>7 days</t>
        </is>
      </c>
      <c r="X50" t="inlineStr">
        <is>
          <t>5 days</t>
        </is>
      </c>
    </row>
  </sheetData>
  <mergeCells count="4">
    <mergeCell ref="J41:K41"/>
    <mergeCell ref="L41:M41"/>
    <mergeCell ref="W41:X41"/>
    <mergeCell ref="Y41:Z41"/>
  </mergeCells>
  <conditionalFormatting sqref="J43">
    <cfRule dxfId="30" operator="lessThan" priority="12" type="cellIs">
      <formula>$J$44</formula>
    </cfRule>
    <cfRule dxfId="0" operator="greaterThan" priority="16" type="cellIs">
      <formula>$J$44</formula>
    </cfRule>
  </conditionalFormatting>
  <conditionalFormatting sqref="K43">
    <cfRule dxfId="30" operator="lessThan" priority="11" type="cellIs">
      <formula>$K$44</formula>
    </cfRule>
    <cfRule dxfId="0" operator="greaterThan" priority="15" type="cellIs">
      <formula>$K$44</formula>
    </cfRule>
  </conditionalFormatting>
  <conditionalFormatting sqref="L43">
    <cfRule dxfId="30" operator="lessThan" priority="10" type="cellIs">
      <formula>$L$44</formula>
    </cfRule>
    <cfRule dxfId="0" operator="greaterThan" priority="14" type="cellIs">
      <formula>$L$44</formula>
    </cfRule>
  </conditionalFormatting>
  <conditionalFormatting sqref="M43">
    <cfRule dxfId="30" operator="lessThan" priority="9" type="cellIs">
      <formula>$M$44</formula>
    </cfRule>
    <cfRule dxfId="0" operator="greaterThan" priority="13" type="cellIs">
      <formula>$M$44</formula>
    </cfRule>
  </conditionalFormatting>
  <conditionalFormatting sqref="W43">
    <cfRule dxfId="30" operator="lessThan" priority="4" type="cellIs">
      <formula>$J$44</formula>
    </cfRule>
    <cfRule dxfId="0" operator="greaterThan" priority="8" type="cellIs">
      <formula>$J$44</formula>
    </cfRule>
  </conditionalFormatting>
  <conditionalFormatting sqref="X43">
    <cfRule dxfId="30" operator="lessThan" priority="3" type="cellIs">
      <formula>$K$44</formula>
    </cfRule>
    <cfRule dxfId="0" operator="greaterThan" priority="7" type="cellIs">
      <formula>$K$44</formula>
    </cfRule>
  </conditionalFormatting>
  <conditionalFormatting sqref="Y43">
    <cfRule dxfId="30" operator="lessThan" priority="2" type="cellIs">
      <formula>$L$44</formula>
    </cfRule>
    <cfRule dxfId="0" operator="greaterThan" priority="6" type="cellIs">
      <formula>$L$44</formula>
    </cfRule>
  </conditionalFormatting>
  <conditionalFormatting sqref="Z43">
    <cfRule dxfId="30" operator="lessThan" priority="1" type="cellIs">
      <formula>$M$44</formula>
    </cfRule>
    <cfRule dxfId="0" operator="greaterThan" priority="5" type="cellIs">
      <formula>$M$44</formula>
    </cfRule>
  </conditionalFormatting>
  <pageMargins bottom="0.75" footer="0.3" header="0.3" left="0.7" right="0.7" top="0.75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511"/>
  <sheetViews>
    <sheetView tabSelected="1" workbookViewId="0" zoomScaleNormal="100">
      <pane activePane="bottomRight" state="frozen" topLeftCell="D19" xSplit="3" ySplit="1"/>
      <selection activeCell="D1" pane="topRight" sqref="D1"/>
      <selection activeCell="A2" pane="bottomLeft" sqref="A2"/>
      <selection activeCell="C6" pane="bottomRight" sqref="C6:C37"/>
    </sheetView>
  </sheetViews>
  <sheetFormatPr baseColWidth="8" defaultColWidth="11" defaultRowHeight="15.75"/>
  <cols>
    <col customWidth="1" max="1" min="1" style="132" width="17"/>
    <col bestFit="1" customWidth="1" max="2" min="2" style="132" width="60.5"/>
    <col bestFit="1" customWidth="1" max="3" min="3" style="1" width="8.875"/>
    <col customWidth="1" max="4" min="4" style="132" width="15.125"/>
    <col customWidth="1" hidden="1" max="6" min="5" style="132" width="13.125"/>
    <col bestFit="1" customWidth="1" max="7" min="7" style="132" width="10.75"/>
    <col customWidth="1" hidden="1" max="8" min="8" style="132" width="12.5"/>
    <col customWidth="1" hidden="1" max="9" min="9" style="132" width="13.25"/>
    <col customWidth="1" hidden="1" max="10" min="10" style="132" width="9.25"/>
    <col bestFit="1" customWidth="1" max="11" min="11" style="132" width="15.375"/>
    <col bestFit="1" customWidth="1" max="12" min="12" style="132" width="20.375"/>
    <col customWidth="1" max="13" min="13" style="132" width="18"/>
    <col bestFit="1" customWidth="1" max="14" min="14" style="132" width="20.25"/>
    <col customWidth="1" max="15" min="15" style="132" width="11"/>
    <col bestFit="1" customWidth="1" max="16" min="16" style="132" width="35.25"/>
    <col bestFit="1" customWidth="1" max="17" min="17" style="132" width="30.375"/>
    <col bestFit="1" customWidth="1" max="19" min="18" style="132" width="24.875"/>
    <col customWidth="1" max="20" min="20" style="132" width="5.75"/>
    <col customWidth="1" max="21" min="21" style="132" width="24"/>
    <col customWidth="1" max="22" min="22" style="132" width="32.875"/>
    <col customWidth="1" max="23" min="23" style="132" width="26.75"/>
    <col customWidth="1" max="24" min="24" style="132" width="4.625"/>
    <col bestFit="1" customWidth="1" max="25" min="25" style="132" width="12.875"/>
    <col bestFit="1" customWidth="1" max="26" min="26" style="132" width="18.625"/>
    <col bestFit="1" customWidth="1" max="27" min="27" style="132" width="16.375"/>
    <col bestFit="1" customWidth="1" max="28" min="28" style="132" width="34.25"/>
  </cols>
  <sheetData>
    <row customHeight="1" ht="19.5" r="1" s="132" thickBot="1">
      <c r="A1" s="103" t="inlineStr">
        <is>
          <t>Product P/N</t>
        </is>
      </c>
      <c r="B1" s="103" t="inlineStr">
        <is>
          <t>Description</t>
        </is>
      </c>
      <c r="C1" s="104" t="inlineStr">
        <is>
          <t>Volume</t>
        </is>
      </c>
      <c r="D1" s="105" t="inlineStr">
        <is>
          <t>Volume%</t>
        </is>
      </c>
      <c r="E1" s="103" t="inlineStr">
        <is>
          <t>Test Time IFT1</t>
        </is>
      </c>
      <c r="F1" s="103" t="inlineStr">
        <is>
          <t>Test Time IFT2</t>
        </is>
      </c>
      <c r="G1" s="103" t="inlineStr">
        <is>
          <t>Test Time</t>
        </is>
      </c>
      <c r="H1" s="103" t="inlineStr">
        <is>
          <t>Test Time FVT</t>
        </is>
      </c>
      <c r="I1" s="103" t="inlineStr">
        <is>
          <t>Test Time FVT2</t>
        </is>
      </c>
      <c r="J1" s="103" t="inlineStr">
        <is>
          <t>SNAPP</t>
        </is>
      </c>
      <c r="K1" s="105" t="inlineStr">
        <is>
          <t>Sum Test time</t>
        </is>
      </c>
      <c r="L1" s="105" t="inlineStr">
        <is>
          <t>Weighted test time</t>
        </is>
      </c>
      <c r="M1" s="105" t="inlineStr">
        <is>
          <t>Total test time</t>
        </is>
      </c>
      <c r="N1" s="105" t="inlineStr">
        <is>
          <t>Prod FR - Historical</t>
        </is>
      </c>
      <c r="O1" s="105" t="inlineStr">
        <is>
          <t>Calc Fails</t>
        </is>
      </c>
      <c r="P1" s="105" t="inlineStr">
        <is>
          <t>Retest iteration (Operator Mode)</t>
        </is>
      </c>
      <c r="Q1" s="105" t="inlineStr">
        <is>
          <t>Debug iteration (Tech Mode)</t>
        </is>
      </c>
      <c r="R1" s="105" t="inlineStr">
        <is>
          <t>% of Full Test for Debug</t>
        </is>
      </c>
      <c r="S1" s="105" t="inlineStr">
        <is>
          <t>Unit Failure Re-test Time</t>
        </is>
      </c>
      <c r="U1" s="138" t="inlineStr">
        <is>
          <t>Outputs of Data Set</t>
        </is>
      </c>
      <c r="V1" s="139" t="n"/>
      <c r="W1" s="140" t="n"/>
      <c r="X1" s="106" t="n"/>
      <c r="Y1" s="105" t="inlineStr">
        <is>
          <t>Debug Time</t>
        </is>
      </c>
      <c r="Z1" s="105" t="inlineStr">
        <is>
          <t>Total Debug Time</t>
        </is>
      </c>
      <c r="AA1" s="107" t="inlineStr">
        <is>
          <t>Total Test Time</t>
        </is>
      </c>
      <c r="AB1" s="107" t="inlineStr">
        <is>
          <t>Total test Time for Failed/Retest</t>
        </is>
      </c>
      <c r="AC1" s="31" t="n"/>
      <c r="AD1" s="31" t="n"/>
      <c r="AE1" s="31" t="n"/>
      <c r="AF1" s="31" t="n"/>
      <c r="AG1" s="31" t="n"/>
      <c r="AH1" s="31" t="n"/>
      <c r="AI1" s="31" t="n"/>
    </row>
    <row r="2">
      <c r="A2" s="8" t="n"/>
      <c r="B2" s="8" t="n"/>
      <c r="C2" s="8" t="n"/>
      <c r="D2" s="62">
        <f>C2/$U$3</f>
        <v/>
      </c>
      <c r="E2" s="10" t="n"/>
      <c r="F2" s="10" t="n"/>
      <c r="G2" s="10" t="n"/>
      <c r="H2" s="10" t="n"/>
      <c r="I2" s="89" t="n"/>
      <c r="J2" s="10" t="n"/>
      <c r="K2" s="94">
        <f>SUM(E2:I2)</f>
        <v/>
      </c>
      <c r="L2" s="62">
        <f>K2*D2</f>
        <v/>
      </c>
      <c r="M2" s="62">
        <f>K2*C2</f>
        <v/>
      </c>
      <c r="N2" s="10" t="n"/>
      <c r="O2" s="62">
        <f>N2*C2</f>
        <v/>
      </c>
      <c r="P2" s="10" t="n"/>
      <c r="Q2" s="10" t="n"/>
      <c r="R2" s="10" t="n"/>
      <c r="S2" s="62">
        <f>O2*L2</f>
        <v/>
      </c>
      <c r="T2" s="95" t="n"/>
      <c r="U2" s="98" t="inlineStr">
        <is>
          <t>Total volume</t>
        </is>
      </c>
      <c r="V2" s="97" t="inlineStr">
        <is>
          <t>Average FR</t>
        </is>
      </c>
      <c r="W2" s="99" t="n"/>
      <c r="Y2" s="33">
        <f>2*K2*R2</f>
        <v/>
      </c>
      <c r="Z2" s="33">
        <f>Y2*O2</f>
        <v/>
      </c>
      <c r="AA2" s="81">
        <f>C2*K2</f>
        <v/>
      </c>
      <c r="AB2" s="81">
        <f>(P2-1)*O2*K2</f>
        <v/>
      </c>
      <c r="AC2" s="31" t="n"/>
      <c r="AD2" s="31" t="n"/>
      <c r="AE2" s="31" t="n"/>
      <c r="AF2" s="31" t="n"/>
      <c r="AG2" s="31" t="n"/>
      <c r="AH2" s="31" t="n"/>
      <c r="AI2" s="31" t="n"/>
    </row>
    <row customHeight="1" ht="16.5" r="3" s="132" thickBot="1">
      <c r="A3" s="76" t="n"/>
      <c r="B3" s="76" t="n"/>
      <c r="C3" s="76" t="n"/>
      <c r="D3" s="81">
        <f>C3/$U$3</f>
        <v/>
      </c>
      <c r="E3" s="77" t="n"/>
      <c r="F3" s="77" t="n"/>
      <c r="G3" s="77" t="n"/>
      <c r="H3" s="77" t="n"/>
      <c r="I3" s="90" t="n"/>
      <c r="J3" s="77" t="n"/>
      <c r="K3" s="81">
        <f>SUM(E3:I3)</f>
        <v/>
      </c>
      <c r="L3" s="81">
        <f>K3*D3</f>
        <v/>
      </c>
      <c r="M3" s="81">
        <f>K3*C3</f>
        <v/>
      </c>
      <c r="N3" s="93" t="n"/>
      <c r="O3" s="81">
        <f>N3*C3</f>
        <v/>
      </c>
      <c r="P3" s="77" t="n"/>
      <c r="Q3" s="77" t="n"/>
      <c r="R3" s="77" t="n"/>
      <c r="S3" s="81">
        <f>O3*L3</f>
        <v/>
      </c>
      <c r="T3" s="96" t="n"/>
      <c r="U3" s="100">
        <f>SUM(C2:C1011)</f>
        <v/>
      </c>
      <c r="V3" s="101">
        <f>AVERAGE(N2:N1011)</f>
        <v/>
      </c>
      <c r="W3" s="102" t="n"/>
      <c r="Y3" s="33">
        <f>2*K3*R3</f>
        <v/>
      </c>
      <c r="Z3" s="33">
        <f>Y3*O3</f>
        <v/>
      </c>
      <c r="AA3" s="81">
        <f>C3*K3</f>
        <v/>
      </c>
      <c r="AB3" s="81">
        <f>(P3-1)*O3*K3</f>
        <v/>
      </c>
      <c r="AC3" s="31" t="n"/>
      <c r="AD3" s="31" t="n"/>
      <c r="AE3" s="31" t="n"/>
      <c r="AF3" s="31" t="n"/>
      <c r="AG3" s="31" t="n"/>
      <c r="AH3" s="31" t="n"/>
      <c r="AI3" s="31" t="n"/>
    </row>
    <row r="4">
      <c r="A4" s="76" t="n"/>
      <c r="B4" s="78" t="n"/>
      <c r="C4" s="76" t="n"/>
      <c r="D4" s="81">
        <f>C4/$U$3</f>
        <v/>
      </c>
      <c r="E4" s="77" t="n"/>
      <c r="F4" s="77" t="n"/>
      <c r="G4" s="77" t="n"/>
      <c r="H4" s="77" t="n"/>
      <c r="I4" s="90" t="n"/>
      <c r="J4" s="77" t="n"/>
      <c r="K4" s="81">
        <f>SUM(E4:I4)</f>
        <v/>
      </c>
      <c r="L4" s="81">
        <f>K4*D4</f>
        <v/>
      </c>
      <c r="M4" s="81">
        <f>K4*C4</f>
        <v/>
      </c>
      <c r="N4" s="77" t="n"/>
      <c r="O4" s="81">
        <f>N4*C4</f>
        <v/>
      </c>
      <c r="P4" s="77" t="n"/>
      <c r="Q4" s="77" t="n"/>
      <c r="R4" s="77" t="n"/>
      <c r="S4" s="81">
        <f>O4*L4</f>
        <v/>
      </c>
      <c r="U4" s="31" t="n"/>
      <c r="V4" s="31" t="n"/>
      <c r="W4" s="31" t="n"/>
      <c r="X4" s="31" t="n"/>
      <c r="Y4" s="33">
        <f>2*K4*R4</f>
        <v/>
      </c>
      <c r="Z4" s="33">
        <f>Y4*O4</f>
        <v/>
      </c>
      <c r="AA4" s="81">
        <f>C4*K4</f>
        <v/>
      </c>
      <c r="AB4" s="81">
        <f>(P4-1)*O4*K4</f>
        <v/>
      </c>
      <c r="AC4" s="31" t="n"/>
      <c r="AD4" s="31" t="n"/>
      <c r="AE4" s="31" t="n"/>
      <c r="AF4" s="31" t="n"/>
      <c r="AG4" s="31" t="n"/>
      <c r="AH4" s="31" t="n"/>
      <c r="AI4" s="31" t="n"/>
    </row>
    <row r="5">
      <c r="A5" s="79" t="n"/>
      <c r="B5" s="76" t="n"/>
      <c r="C5" s="76" t="n"/>
      <c r="D5" s="81">
        <f>C5/$U$3</f>
        <v/>
      </c>
      <c r="E5" s="77" t="n"/>
      <c r="F5" s="77" t="n"/>
      <c r="G5" s="77" t="n"/>
      <c r="H5" s="77" t="n"/>
      <c r="I5" s="90" t="n"/>
      <c r="J5" s="77" t="n"/>
      <c r="K5" s="81">
        <f>SUM(E5:I5)</f>
        <v/>
      </c>
      <c r="L5" s="81">
        <f>K5*D5</f>
        <v/>
      </c>
      <c r="M5" s="81">
        <f>K5*C5</f>
        <v/>
      </c>
      <c r="N5" s="77" t="n"/>
      <c r="O5" s="81">
        <f>N5*C5</f>
        <v/>
      </c>
      <c r="P5" s="77" t="n"/>
      <c r="Q5" s="77" t="n"/>
      <c r="R5" s="77" t="n"/>
      <c r="S5" s="81">
        <f>O5*L5</f>
        <v/>
      </c>
      <c r="U5" s="39" t="n"/>
      <c r="V5" s="39" t="n"/>
      <c r="W5" s="39" t="n"/>
      <c r="Y5" s="33">
        <f>2*K5*R5</f>
        <v/>
      </c>
      <c r="Z5" s="33">
        <f>Y5*O5</f>
        <v/>
      </c>
      <c r="AA5" s="81">
        <f>C5*K5</f>
        <v/>
      </c>
      <c r="AB5" s="81">
        <f>(P5-1)*O5*K5</f>
        <v/>
      </c>
      <c r="AC5" s="31" t="n"/>
      <c r="AD5" s="31" t="n"/>
      <c r="AE5" s="31" t="n"/>
      <c r="AF5" s="31" t="n"/>
      <c r="AG5" s="31" t="n"/>
      <c r="AH5" s="31" t="n"/>
      <c r="AI5" s="31" t="n"/>
    </row>
    <row customHeight="1" ht="31.5" r="6" s="132">
      <c r="A6" s="8" t="inlineStr">
        <is>
          <t>142292*-0**L</t>
        </is>
      </c>
      <c r="B6" s="117" t="inlineStr">
        <is>
          <t>MODULE ASSY,NI PXIE-8821 CORE I3-4110E 2.6GHZ CONTROLLER,DUAL CORE,LOCALIZED OS</t>
        </is>
      </c>
      <c r="C6" s="8" t="n">
        <v>48</v>
      </c>
      <c r="D6" s="81">
        <f>C6/$U$3</f>
        <v/>
      </c>
      <c r="E6" s="77" t="n"/>
      <c r="F6" s="77" t="n"/>
      <c r="G6" s="7" t="n">
        <v>0.447</v>
      </c>
      <c r="H6" s="80" t="n"/>
      <c r="I6" s="90" t="n"/>
      <c r="J6" s="77" t="n"/>
      <c r="K6" s="81">
        <f>SUM(E6:I6)</f>
        <v/>
      </c>
      <c r="L6" s="81">
        <f>K6*D6</f>
        <v/>
      </c>
      <c r="M6" s="81">
        <f>K6*C6</f>
        <v/>
      </c>
      <c r="N6" s="124" t="n">
        <v>0.12</v>
      </c>
      <c r="O6" s="81">
        <f>N6*C6</f>
        <v/>
      </c>
      <c r="P6" s="124" t="n">
        <v>1</v>
      </c>
      <c r="Q6" s="124" t="n">
        <v>2</v>
      </c>
      <c r="R6" s="125" t="n">
        <v>0.6</v>
      </c>
      <c r="S6" s="81">
        <f>O6*L6</f>
        <v/>
      </c>
      <c r="U6" s="39" t="n"/>
      <c r="V6" s="39" t="n"/>
      <c r="W6" s="39" t="n"/>
      <c r="Y6" s="33">
        <f>Q6*K6*R6</f>
        <v/>
      </c>
      <c r="Z6" s="33">
        <f>Y6*O6</f>
        <v/>
      </c>
      <c r="AA6" s="81">
        <f>C6*K6</f>
        <v/>
      </c>
      <c r="AB6" s="81">
        <f>P6*O6*K6</f>
        <v/>
      </c>
      <c r="AC6" s="31" t="n"/>
      <c r="AD6" s="31" t="n"/>
      <c r="AE6" s="31" t="n"/>
      <c r="AF6" s="31" t="n"/>
      <c r="AG6" s="31" t="n"/>
      <c r="AH6" s="31" t="n"/>
      <c r="AI6" s="31" t="n"/>
    </row>
    <row r="7">
      <c r="A7" s="8" t="inlineStr">
        <is>
          <t>142292*-1**L</t>
        </is>
      </c>
      <c r="B7" s="8" t="inlineStr">
        <is>
          <t>MODULE ASSY,NI PXIE-8821 CORE I3-4110E 2.6GHZ CONTROLLER,DUAL CORE,WIN 7 (64-BIT)</t>
        </is>
      </c>
      <c r="C7" s="8" t="n">
        <v>25</v>
      </c>
      <c r="D7" s="81">
        <f>C7/$U$3</f>
        <v/>
      </c>
      <c r="E7" s="77" t="n"/>
      <c r="F7" s="77" t="n"/>
      <c r="G7" s="7" t="n">
        <v>0.75</v>
      </c>
      <c r="H7" s="80" t="n"/>
      <c r="I7" s="90" t="n"/>
      <c r="J7" s="77" t="n"/>
      <c r="K7" s="81">
        <f>SUM(E7:I7)</f>
        <v/>
      </c>
      <c r="L7" s="81">
        <f>K7*D7</f>
        <v/>
      </c>
      <c r="M7" s="81">
        <f>K7*C7</f>
        <v/>
      </c>
      <c r="N7" s="124" t="n">
        <v>0.14</v>
      </c>
      <c r="O7" s="81">
        <f>N7*C7</f>
        <v/>
      </c>
      <c r="P7" s="124" t="n">
        <v>1</v>
      </c>
      <c r="Q7" s="124" t="n">
        <v>2</v>
      </c>
      <c r="R7" s="125" t="n">
        <v>0.6</v>
      </c>
      <c r="S7" s="81">
        <f>O7*L7</f>
        <v/>
      </c>
      <c r="U7" s="31" t="n"/>
      <c r="V7" s="31" t="n"/>
      <c r="W7" s="31" t="n"/>
      <c r="X7" s="31" t="n"/>
      <c r="Y7" s="33">
        <f>Q7*K7*R7</f>
        <v/>
      </c>
      <c r="Z7" s="33">
        <f>Y7*O7</f>
        <v/>
      </c>
      <c r="AA7" s="81">
        <f>C7*K7</f>
        <v/>
      </c>
      <c r="AB7" s="81">
        <f>P7*O7*K7</f>
        <v/>
      </c>
      <c r="AC7" s="31" t="n"/>
      <c r="AD7" s="31" t="n"/>
      <c r="AE7" s="31" t="n"/>
      <c r="AF7" s="31" t="n"/>
      <c r="AG7" s="31" t="n"/>
      <c r="AH7" s="31" t="n"/>
      <c r="AI7" s="31" t="n"/>
    </row>
    <row r="8">
      <c r="A8" s="8" t="inlineStr">
        <is>
          <t>142292*-3**L</t>
        </is>
      </c>
      <c r="B8" s="8" t="inlineStr">
        <is>
          <t xml:space="preserve">MODULE ASSY,NI PXIE-8821 CORE I3-4110E 2.6GHZ CONTROLLER,DUAL CORE,WIN IOT </t>
        </is>
      </c>
      <c r="C8" s="8" t="n">
        <v>120</v>
      </c>
      <c r="D8" s="81">
        <f>C8/$U$3</f>
        <v/>
      </c>
      <c r="E8" s="77" t="n"/>
      <c r="F8" s="77" t="n"/>
      <c r="G8" s="7" t="n">
        <v>0.75</v>
      </c>
      <c r="H8" s="80" t="n"/>
      <c r="I8" s="90" t="n"/>
      <c r="J8" s="77" t="n"/>
      <c r="K8" s="81">
        <f>SUM(E8:I8)</f>
        <v/>
      </c>
      <c r="L8" s="81">
        <f>K8*D8</f>
        <v/>
      </c>
      <c r="M8" s="81">
        <f>K8*C8</f>
        <v/>
      </c>
      <c r="N8" s="124" t="n">
        <v>0.08</v>
      </c>
      <c r="O8" s="81">
        <f>N8*C8</f>
        <v/>
      </c>
      <c r="P8" s="124" t="n">
        <v>1</v>
      </c>
      <c r="Q8" s="124" t="n">
        <v>2</v>
      </c>
      <c r="R8" s="125" t="n">
        <v>0.6</v>
      </c>
      <c r="S8" s="81">
        <f>O8*L8</f>
        <v/>
      </c>
      <c r="U8" s="31" t="n"/>
      <c r="V8" s="31" t="n"/>
      <c r="W8" s="31" t="n"/>
      <c r="X8" s="31" t="n"/>
      <c r="Y8" s="33">
        <f>Q8*K8*R8</f>
        <v/>
      </c>
      <c r="Z8" s="33">
        <f>Y8*O8</f>
        <v/>
      </c>
      <c r="AA8" s="81">
        <f>C8*K8</f>
        <v/>
      </c>
      <c r="AB8" s="81">
        <f>P8*O8*K8</f>
        <v/>
      </c>
      <c r="AC8" s="31" t="n"/>
      <c r="AD8" s="31" t="n"/>
      <c r="AE8" s="31" t="n"/>
      <c r="AF8" s="31" t="n"/>
      <c r="AG8" s="31" t="n"/>
      <c r="AH8" s="31" t="n"/>
      <c r="AI8" s="31" t="n"/>
    </row>
    <row r="9">
      <c r="A9" s="118" t="inlineStr">
        <is>
          <t>142470*-0**L</t>
        </is>
      </c>
      <c r="B9" s="8" t="inlineStr">
        <is>
          <t>MODULE ASSY, NI PXIE-8238/8240</t>
        </is>
      </c>
      <c r="C9" s="8" t="n">
        <v>68</v>
      </c>
      <c r="D9" s="81">
        <f>C9/$U$3</f>
        <v/>
      </c>
      <c r="E9" s="77" t="n"/>
      <c r="F9" s="77" t="n"/>
      <c r="G9" s="7" t="n">
        <v>0.2</v>
      </c>
      <c r="H9" s="80" t="n"/>
      <c r="I9" s="90" t="n"/>
      <c r="J9" s="77" t="n"/>
      <c r="K9" s="81">
        <f>SUM(E9:I9)</f>
        <v/>
      </c>
      <c r="L9" s="81">
        <f>K9*D9</f>
        <v/>
      </c>
      <c r="M9" s="81">
        <f>K9*C9</f>
        <v/>
      </c>
      <c r="N9" s="124" t="n">
        <v>0.03</v>
      </c>
      <c r="O9" s="81">
        <f>N9*C9</f>
        <v/>
      </c>
      <c r="P9" s="124" t="n">
        <v>1</v>
      </c>
      <c r="Q9" s="124" t="n">
        <v>2</v>
      </c>
      <c r="R9" s="125" t="n">
        <v>0.6</v>
      </c>
      <c r="S9" s="81">
        <f>O9*L9</f>
        <v/>
      </c>
      <c r="U9" s="32" t="n"/>
      <c r="V9" s="31" t="n"/>
      <c r="W9" s="31" t="n"/>
      <c r="X9" s="31" t="n"/>
      <c r="Y9" s="33">
        <f>Q9*K9*R9</f>
        <v/>
      </c>
      <c r="Z9" s="33">
        <f>Y9*O9</f>
        <v/>
      </c>
      <c r="AA9" s="81">
        <f>C9*K9</f>
        <v/>
      </c>
      <c r="AB9" s="81">
        <f>P9*O9*K9</f>
        <v/>
      </c>
      <c r="AC9" s="31" t="n"/>
      <c r="AD9" s="31" t="n"/>
      <c r="AE9" s="31" t="n"/>
      <c r="AF9" s="31" t="n"/>
      <c r="AG9" s="31" t="n"/>
      <c r="AH9" s="31" t="n"/>
      <c r="AI9" s="31" t="n"/>
    </row>
    <row r="10">
      <c r="A10" s="7" t="inlineStr">
        <is>
          <t>147164*-***L</t>
        </is>
      </c>
      <c r="B10" s="119" t="inlineStr">
        <is>
          <t>MODULE ASSEMBLY,PXIE-8267 M.2 STORAGE CARD, 4 X 1TB</t>
        </is>
      </c>
      <c r="C10" s="8" t="n"/>
      <c r="D10" s="81">
        <f>C10/$U$3</f>
        <v/>
      </c>
      <c r="E10" s="77" t="n"/>
      <c r="F10" s="77" t="n"/>
      <c r="G10" s="7" t="n">
        <v>0.23</v>
      </c>
      <c r="H10" s="80" t="n"/>
      <c r="I10" s="90" t="n"/>
      <c r="J10" s="77" t="n"/>
      <c r="K10" s="81">
        <f>SUM(E10:I10)</f>
        <v/>
      </c>
      <c r="L10" s="81">
        <f>K10*D10</f>
        <v/>
      </c>
      <c r="M10" s="81">
        <f>K10*C10</f>
        <v/>
      </c>
      <c r="N10" s="124" t="n">
        <v>0</v>
      </c>
      <c r="O10" s="81">
        <f>N10*C10</f>
        <v/>
      </c>
      <c r="P10" s="124" t="n">
        <v>1</v>
      </c>
      <c r="Q10" s="124" t="n">
        <v>2</v>
      </c>
      <c r="R10" s="125" t="n">
        <v>0.6</v>
      </c>
      <c r="S10" s="81">
        <f>O10*L10</f>
        <v/>
      </c>
      <c r="U10" s="39" t="n"/>
      <c r="V10" s="39" t="n"/>
      <c r="W10" s="39" t="n"/>
      <c r="Y10" s="81">
        <f>Q10*K10*R10</f>
        <v/>
      </c>
      <c r="Z10" s="81">
        <f>Y10*O10</f>
        <v/>
      </c>
      <c r="AA10" s="81">
        <f>C10*K10</f>
        <v/>
      </c>
      <c r="AB10" s="81">
        <f>P10*O10*K10</f>
        <v/>
      </c>
      <c r="AC10" s="31" t="n"/>
      <c r="AD10" s="31" t="n"/>
      <c r="AE10" s="31" t="n"/>
      <c r="AF10" s="31" t="n"/>
      <c r="AG10" s="31" t="n"/>
      <c r="AH10" s="31" t="n"/>
      <c r="AI10" s="31" t="n"/>
    </row>
    <row r="11">
      <c r="A11" s="7" t="inlineStr">
        <is>
          <t>154909*-9**L</t>
        </is>
      </c>
      <c r="B11" s="120" t="inlineStr">
        <is>
          <t>MODULE ASSY,NI PXI-8820,INTEL CELERON 1020E 2.2GHZ CONTROLLER, WINDOWS 7,(32-BIT)</t>
        </is>
      </c>
      <c r="C11" s="8" t="n">
        <v>27</v>
      </c>
      <c r="D11" s="81">
        <f>C11/$U$3</f>
        <v/>
      </c>
      <c r="E11" s="77" t="n"/>
      <c r="F11" s="77" t="n"/>
      <c r="G11" s="7" t="n">
        <v>0.72</v>
      </c>
      <c r="H11" s="77" t="n"/>
      <c r="I11" s="90" t="n"/>
      <c r="J11" s="77" t="n"/>
      <c r="K11" s="81">
        <f>SUM(E11:I11)</f>
        <v/>
      </c>
      <c r="L11" s="81">
        <f>K11*D11</f>
        <v/>
      </c>
      <c r="M11" s="81">
        <f>K11*C11</f>
        <v/>
      </c>
      <c r="N11" s="124" t="n">
        <v>0.03</v>
      </c>
      <c r="O11" s="81">
        <f>N11*C11</f>
        <v/>
      </c>
      <c r="P11" s="124" t="n">
        <v>1</v>
      </c>
      <c r="Q11" s="124" t="n">
        <v>2</v>
      </c>
      <c r="R11" s="125" t="n">
        <v>0.6</v>
      </c>
      <c r="S11" s="81">
        <f>O11*L11</f>
        <v/>
      </c>
      <c r="U11" s="38" t="inlineStr">
        <is>
          <t>Total Test Time</t>
        </is>
      </c>
      <c r="V11" s="38" t="inlineStr">
        <is>
          <t>Total Test Time for Failed Boards</t>
        </is>
      </c>
      <c r="W11" s="38" t="inlineStr">
        <is>
          <t xml:space="preserve"> Total Test Time for Debug =</t>
        </is>
      </c>
      <c r="Y11" s="81">
        <f>Q11*K11*R11</f>
        <v/>
      </c>
      <c r="Z11" s="81">
        <f>Y11*O11</f>
        <v/>
      </c>
      <c r="AA11" s="81">
        <f>C11*K11</f>
        <v/>
      </c>
      <c r="AB11" s="81">
        <f>P11*O11*K11</f>
        <v/>
      </c>
      <c r="AC11" s="31" t="n"/>
      <c r="AD11" s="31" t="n"/>
      <c r="AE11" s="31" t="n"/>
      <c r="AF11" s="31" t="n"/>
      <c r="AG11" s="31" t="n"/>
      <c r="AH11" s="31" t="n"/>
      <c r="AI11" s="31" t="n"/>
    </row>
    <row r="12">
      <c r="A12" s="121" t="inlineStr">
        <is>
          <t>154909*-0**L</t>
        </is>
      </c>
      <c r="B12" s="120" t="inlineStr">
        <is>
          <t>MODULE ASSY,NI PXI-8820,INTEL CELERON 1020E 2.2GHZ CONTROLLER, LOCALIZED OS</t>
        </is>
      </c>
      <c r="C12" s="8" t="n">
        <v>26</v>
      </c>
      <c r="D12" s="81">
        <f>C12/$U$3</f>
        <v/>
      </c>
      <c r="E12" s="77" t="n"/>
      <c r="F12" s="77" t="n"/>
      <c r="G12" s="7" t="n">
        <v>0.63</v>
      </c>
      <c r="H12" s="77" t="n"/>
      <c r="I12" s="90" t="n"/>
      <c r="J12" s="77" t="n"/>
      <c r="K12" s="81">
        <f>SUM(E12:I12)</f>
        <v/>
      </c>
      <c r="L12" s="81">
        <f>K12*D12</f>
        <v/>
      </c>
      <c r="M12" s="81">
        <f>K12*C12</f>
        <v/>
      </c>
      <c r="N12" s="124" t="n">
        <v>0</v>
      </c>
      <c r="O12" s="81">
        <f>N12*C12</f>
        <v/>
      </c>
      <c r="P12" s="124" t="n">
        <v>1</v>
      </c>
      <c r="Q12" s="124" t="n">
        <v>2</v>
      </c>
      <c r="R12" s="125" t="n">
        <v>0.6</v>
      </c>
      <c r="S12" s="81">
        <f>O12*L12</f>
        <v/>
      </c>
      <c r="U12" s="38">
        <f>SUM(AA5:AA511)</f>
        <v/>
      </c>
      <c r="V12" s="38">
        <f>SUM(AB5:AB511)</f>
        <v/>
      </c>
      <c r="W12" s="38">
        <f>SUM(Z5:Z511)</f>
        <v/>
      </c>
      <c r="Y12" s="81">
        <f>Q12*K12*R12</f>
        <v/>
      </c>
      <c r="Z12" s="81">
        <f>Y12*O12</f>
        <v/>
      </c>
      <c r="AA12" s="81">
        <f>C12*K12</f>
        <v/>
      </c>
      <c r="AB12" s="81">
        <f>P12*O12*K12</f>
        <v/>
      </c>
      <c r="AC12" s="31" t="n"/>
      <c r="AD12" s="31" t="n"/>
      <c r="AE12" s="31" t="n"/>
      <c r="AF12" s="31" t="n"/>
      <c r="AG12" s="31" t="n"/>
      <c r="AH12" s="31" t="n"/>
      <c r="AI12" s="31" t="n"/>
    </row>
    <row customFormat="1" r="13" s="40">
      <c r="A13" s="122" t="inlineStr">
        <is>
          <t>154911*-0**L</t>
        </is>
      </c>
      <c r="B13" s="120" t="inlineStr">
        <is>
          <t>MODULE ASSY,NI PXIE-8820,INTEL CELERON 1020E 2.2GHZ CONTROLLER, LOCALIZED OS</t>
        </is>
      </c>
      <c r="C13" s="8" t="n">
        <v>6</v>
      </c>
      <c r="D13" s="81">
        <f>C13/$U$3</f>
        <v/>
      </c>
      <c r="E13" s="77" t="n"/>
      <c r="F13" s="77" t="n"/>
      <c r="G13" s="7" t="n">
        <v>0.67</v>
      </c>
      <c r="H13" s="80" t="n"/>
      <c r="I13" s="90" t="n"/>
      <c r="J13" s="77" t="n"/>
      <c r="K13" s="81">
        <f>SUM(E13:I13)</f>
        <v/>
      </c>
      <c r="L13" s="81">
        <f>K13*D13</f>
        <v/>
      </c>
      <c r="M13" s="81">
        <f>K13*C13</f>
        <v/>
      </c>
      <c r="N13" s="124" t="n">
        <v>0.08</v>
      </c>
      <c r="O13" s="81">
        <f>N13*C13</f>
        <v/>
      </c>
      <c r="P13" s="124" t="n">
        <v>1</v>
      </c>
      <c r="Q13" s="124" t="n">
        <v>2</v>
      </c>
      <c r="R13" s="125" t="n">
        <v>0.6</v>
      </c>
      <c r="S13" s="81">
        <f>O13*L13</f>
        <v/>
      </c>
      <c r="V13" s="41" t="n"/>
      <c r="W13" s="41" t="n"/>
      <c r="Y13" s="81">
        <f>Q13*K13*R13</f>
        <v/>
      </c>
      <c r="Z13" s="81">
        <f>Y13*O13</f>
        <v/>
      </c>
      <c r="AA13" s="81">
        <f>C13*K13</f>
        <v/>
      </c>
      <c r="AB13" s="81">
        <f>P13*O13*K13</f>
        <v/>
      </c>
      <c r="AC13" s="41" t="n"/>
      <c r="AD13" s="41" t="n"/>
      <c r="AE13" s="41" t="n"/>
      <c r="AF13" s="41" t="n"/>
      <c r="AG13" s="41" t="n"/>
      <c r="AH13" s="41" t="n"/>
      <c r="AI13" s="41" t="n"/>
    </row>
    <row customFormat="1" r="14" s="42">
      <c r="A14" s="122" t="inlineStr">
        <is>
          <t>154911*-9**L</t>
        </is>
      </c>
      <c r="B14" s="120" t="inlineStr">
        <is>
          <t>MODULE ASSY,NI PXIE-8820,INTEL CELERON 1020E 2.2GHZ CONTROLLER, WINDOWS 7,(32BIT)</t>
        </is>
      </c>
      <c r="C14" s="8" t="n">
        <v>13</v>
      </c>
      <c r="D14" s="81">
        <f>C14/$U$3</f>
        <v/>
      </c>
      <c r="E14" s="77" t="n"/>
      <c r="F14" s="77" t="n"/>
      <c r="G14" s="7" t="n">
        <v>0.72</v>
      </c>
      <c r="H14" s="80" t="n"/>
      <c r="I14" s="90" t="n"/>
      <c r="J14" s="77" t="n"/>
      <c r="K14" s="81">
        <f>SUM(E14:I14)</f>
        <v/>
      </c>
      <c r="L14" s="81">
        <f>K14*D14</f>
        <v/>
      </c>
      <c r="M14" s="81">
        <f>K14*C14</f>
        <v/>
      </c>
      <c r="N14" s="124" t="n">
        <v>0</v>
      </c>
      <c r="O14" s="81">
        <f>N14*C14</f>
        <v/>
      </c>
      <c r="P14" s="124" t="n">
        <v>1</v>
      </c>
      <c r="Q14" s="124" t="n">
        <v>2</v>
      </c>
      <c r="R14" s="125" t="n">
        <v>0.6</v>
      </c>
      <c r="S14" s="81">
        <f>O14*L14</f>
        <v/>
      </c>
      <c r="Y14" s="81">
        <f>Q14*K14*R14</f>
        <v/>
      </c>
      <c r="Z14" s="81">
        <f>Y14*O14</f>
        <v/>
      </c>
      <c r="AA14" s="81">
        <f>C14*K14</f>
        <v/>
      </c>
      <c r="AB14" s="81">
        <f>P14*O14*K14</f>
        <v/>
      </c>
    </row>
    <row r="15">
      <c r="A15" s="7" t="inlineStr">
        <is>
          <t>155186*-1**L</t>
        </is>
      </c>
      <c r="B15" s="120" t="inlineStr">
        <is>
          <t>MODULE ASSY,NI PXIE-8840,CORE I5-4400E 2.7GHZ CONTROLLER,WIN 7 (64-BIT)</t>
        </is>
      </c>
      <c r="C15" s="8" t="n">
        <v>78</v>
      </c>
      <c r="D15" s="81">
        <f>C15/$U$3</f>
        <v/>
      </c>
      <c r="E15" s="77" t="n"/>
      <c r="F15" s="77" t="n"/>
      <c r="G15" s="7" t="n">
        <v>0.72</v>
      </c>
      <c r="H15" s="80" t="n"/>
      <c r="I15" s="90" t="n"/>
      <c r="J15" s="77" t="n"/>
      <c r="K15" s="81">
        <f>SUM(E15:I15)</f>
        <v/>
      </c>
      <c r="L15" s="81">
        <f>K15*D15</f>
        <v/>
      </c>
      <c r="M15" s="81">
        <f>K15*C15</f>
        <v/>
      </c>
      <c r="N15" s="124" t="n">
        <v>1.1</v>
      </c>
      <c r="O15" s="81">
        <f>N15*C15</f>
        <v/>
      </c>
      <c r="P15" s="124" t="n">
        <v>1</v>
      </c>
      <c r="Q15" s="124" t="n">
        <v>2</v>
      </c>
      <c r="R15" s="125" t="n">
        <v>0.6</v>
      </c>
      <c r="S15" s="81">
        <f>O15*L15</f>
        <v/>
      </c>
      <c r="U15" s="31" t="n"/>
      <c r="V15" s="31" t="n"/>
      <c r="W15" s="31" t="n"/>
      <c r="X15" s="31" t="n"/>
      <c r="Y15" s="81">
        <f>Q15*K15*R15</f>
        <v/>
      </c>
      <c r="Z15" s="81">
        <f>Y15*O15</f>
        <v/>
      </c>
      <c r="AA15" s="81">
        <f>C15*K15</f>
        <v/>
      </c>
      <c r="AB15" s="81">
        <f>P15*O15*K15</f>
        <v/>
      </c>
      <c r="AC15" s="31" t="n"/>
      <c r="AD15" s="31" t="n"/>
      <c r="AE15" s="31" t="n"/>
      <c r="AF15" s="31" t="n"/>
      <c r="AG15" s="31" t="n"/>
      <c r="AH15" s="31" t="n"/>
      <c r="AI15" s="31" t="n"/>
    </row>
    <row customHeight="1" ht="31.5" r="16" s="132">
      <c r="A16" s="7" t="inlineStr">
        <is>
          <t>155186*-0**L</t>
        </is>
      </c>
      <c r="B16" s="117" t="inlineStr">
        <is>
          <t>MODULE ASSY,NI PXIE-8840,CORE I5-4400E 2.7GHZ CONTROLLER,NO ECARD,LOCALIZED OS</t>
        </is>
      </c>
      <c r="C16" s="8" t="n">
        <v>77</v>
      </c>
      <c r="D16" s="81">
        <f>C16/$U$3</f>
        <v/>
      </c>
      <c r="E16" s="77" t="n"/>
      <c r="F16" s="77" t="n"/>
      <c r="G16" s="7" t="n">
        <v>0.65</v>
      </c>
      <c r="H16" s="80" t="n"/>
      <c r="I16" s="90" t="n"/>
      <c r="J16" s="77" t="n"/>
      <c r="K16" s="81">
        <f>SUM(E16:I16)</f>
        <v/>
      </c>
      <c r="L16" s="81">
        <f>K16*D16</f>
        <v/>
      </c>
      <c r="M16" s="81">
        <f>K16*C16</f>
        <v/>
      </c>
      <c r="N16" s="124" t="n">
        <v>0.34</v>
      </c>
      <c r="O16" s="81">
        <f>N16*C16</f>
        <v/>
      </c>
      <c r="P16" s="124" t="n">
        <v>1</v>
      </c>
      <c r="Q16" s="124" t="n">
        <v>2</v>
      </c>
      <c r="R16" s="125" t="n">
        <v>0.6</v>
      </c>
      <c r="S16" s="81">
        <f>O16*L16</f>
        <v/>
      </c>
      <c r="U16" s="31" t="n"/>
      <c r="V16" s="31" t="n"/>
      <c r="W16" s="31" t="n"/>
      <c r="X16" s="31" t="n"/>
      <c r="Y16" s="81">
        <f>Q16*K16*R16</f>
        <v/>
      </c>
      <c r="Z16" s="81">
        <f>Y16*O16</f>
        <v/>
      </c>
      <c r="AA16" s="81">
        <f>C16*K16</f>
        <v/>
      </c>
      <c r="AB16" s="81">
        <f>P16*O16*K16</f>
        <v/>
      </c>
      <c r="AC16" s="31" t="n"/>
      <c r="AD16" s="31" t="n"/>
      <c r="AE16" s="31" t="n"/>
      <c r="AF16" s="31" t="n"/>
      <c r="AG16" s="31" t="n"/>
      <c r="AH16" s="31" t="n"/>
      <c r="AI16" s="31" t="n"/>
    </row>
    <row customFormat="1" r="17" s="43">
      <c r="A17" s="7" t="inlineStr">
        <is>
          <t>155186*-3**L</t>
        </is>
      </c>
      <c r="B17" s="123" t="inlineStr">
        <is>
          <t>MODULE ASSY,NI PXIE-8840,CORE I5-4400E 2.7GHZ CONTROLLER,NO ECARD,WIN IOT</t>
        </is>
      </c>
      <c r="C17" s="8" t="n">
        <v>75</v>
      </c>
      <c r="D17" s="81">
        <f>C17/$U$3</f>
        <v/>
      </c>
      <c r="E17" s="77" t="n"/>
      <c r="F17" s="77" t="n"/>
      <c r="G17" s="7" t="n">
        <v>0.72</v>
      </c>
      <c r="H17" s="80" t="n"/>
      <c r="I17" s="90" t="n"/>
      <c r="J17" s="77" t="n"/>
      <c r="K17" s="81">
        <f>SUM(E17:I17)</f>
        <v/>
      </c>
      <c r="L17" s="81">
        <f>K17*D17</f>
        <v/>
      </c>
      <c r="M17" s="81">
        <f>K17*C17</f>
        <v/>
      </c>
      <c r="N17" s="124" t="n">
        <v>0.21</v>
      </c>
      <c r="O17" s="81">
        <f>N17*C17</f>
        <v/>
      </c>
      <c r="P17" s="124" t="n">
        <v>1</v>
      </c>
      <c r="Q17" s="124" t="n">
        <v>2</v>
      </c>
      <c r="R17" s="125" t="n">
        <v>0.6</v>
      </c>
      <c r="S17" s="81">
        <f>O17*L17</f>
        <v/>
      </c>
      <c r="Y17" s="81">
        <f>Q17*K17*R17</f>
        <v/>
      </c>
      <c r="Z17" s="81">
        <f>Y17*O17</f>
        <v/>
      </c>
      <c r="AA17" s="81">
        <f>C17*K17</f>
        <v/>
      </c>
      <c r="AB17" s="81">
        <f>P17*O17*K17</f>
        <v/>
      </c>
    </row>
    <row customHeight="1" ht="31.5" r="18" s="132">
      <c r="A18" s="7" t="inlineStr">
        <is>
          <t>156252*-0**L</t>
        </is>
      </c>
      <c r="B18" s="117" t="inlineStr">
        <is>
          <t>MODULE ASSY,PXIE-8830MC,2.3GHZ INTEL CORE I7-4700EQ,LOCALIZED OS</t>
        </is>
      </c>
      <c r="C18" s="8" t="n"/>
      <c r="D18" s="81">
        <f>C18/$U$3</f>
        <v/>
      </c>
      <c r="E18" s="77" t="n"/>
      <c r="F18" s="77" t="n"/>
      <c r="G18" s="7" t="n">
        <v>0.5</v>
      </c>
      <c r="H18" s="80" t="n"/>
      <c r="I18" s="90" t="n"/>
      <c r="J18" s="77" t="n"/>
      <c r="K18" s="81">
        <f>SUM(E18:I18)</f>
        <v/>
      </c>
      <c r="L18" s="81">
        <f>K18*D18</f>
        <v/>
      </c>
      <c r="M18" s="81">
        <f>K18*C18</f>
        <v/>
      </c>
      <c r="N18" s="124" t="n">
        <v>0</v>
      </c>
      <c r="O18" s="81">
        <f>N18*C18</f>
        <v/>
      </c>
      <c r="P18" s="124" t="n">
        <v>1</v>
      </c>
      <c r="Q18" s="124" t="n">
        <v>2</v>
      </c>
      <c r="R18" s="125" t="n">
        <v>0.6</v>
      </c>
      <c r="S18" s="81">
        <f>O18*L18</f>
        <v/>
      </c>
      <c r="U18" s="31" t="n"/>
      <c r="V18" s="31" t="n"/>
      <c r="W18" s="31" t="n"/>
      <c r="X18" s="31" t="n"/>
      <c r="Y18" s="81">
        <f>Q18*K18*R18</f>
        <v/>
      </c>
      <c r="Z18" s="81">
        <f>Y18*O18</f>
        <v/>
      </c>
      <c r="AA18" s="81">
        <f>C18*K18</f>
        <v/>
      </c>
      <c r="AB18" s="81">
        <f>P18*O18*K18</f>
        <v/>
      </c>
      <c r="AC18" s="31" t="n"/>
      <c r="AD18" s="31" t="n"/>
      <c r="AE18" s="31" t="n"/>
      <c r="AF18" s="31" t="n"/>
      <c r="AG18" s="31" t="n"/>
      <c r="AH18" s="31" t="n"/>
      <c r="AI18" s="31" t="n"/>
    </row>
    <row customHeight="1" ht="31.5" r="19" s="132">
      <c r="A19" s="7" t="inlineStr">
        <is>
          <t>156521*-0**L</t>
        </is>
      </c>
      <c r="B19" s="117" t="inlineStr">
        <is>
          <t>MODULE ASSY,NI PXIE-8880,XEON E5-2618L 2.3GHZ CONTROLLER,LOCALIZED OS</t>
        </is>
      </c>
      <c r="C19" s="8" t="n">
        <v>161</v>
      </c>
      <c r="D19" s="81">
        <f>C19/$U$3</f>
        <v/>
      </c>
      <c r="E19" s="77" t="n"/>
      <c r="F19" s="77" t="n"/>
      <c r="G19" s="7" t="n">
        <v>0.55</v>
      </c>
      <c r="H19" s="80" t="n"/>
      <c r="I19" s="90" t="n"/>
      <c r="J19" s="77" t="n"/>
      <c r="K19" s="81">
        <f>SUM(E19:I19)</f>
        <v/>
      </c>
      <c r="L19" s="81">
        <f>K19*D19</f>
        <v/>
      </c>
      <c r="M19" s="81">
        <f>K19*C19</f>
        <v/>
      </c>
      <c r="N19" s="124" t="n">
        <v>0.11</v>
      </c>
      <c r="O19" s="81">
        <f>N19*C19</f>
        <v/>
      </c>
      <c r="P19" s="124" t="n">
        <v>1</v>
      </c>
      <c r="Q19" s="124" t="n">
        <v>2</v>
      </c>
      <c r="R19" s="125" t="n">
        <v>0.6</v>
      </c>
      <c r="S19" s="81">
        <f>O19*L19</f>
        <v/>
      </c>
      <c r="U19" s="31" t="n"/>
      <c r="V19" s="31" t="n"/>
      <c r="W19" s="31" t="n"/>
      <c r="X19" s="31" t="n"/>
      <c r="Y19" s="81">
        <f>Q19*K19*R19</f>
        <v/>
      </c>
      <c r="Z19" s="81">
        <f>Y19*O19</f>
        <v/>
      </c>
      <c r="AA19" s="81">
        <f>C19*K19</f>
        <v/>
      </c>
      <c r="AB19" s="81">
        <f>P19*O19*K19</f>
        <v/>
      </c>
      <c r="AC19" s="31" t="n"/>
      <c r="AD19" s="31" t="n"/>
      <c r="AE19" s="31" t="n"/>
      <c r="AF19" s="31" t="n"/>
      <c r="AG19" s="31" t="n"/>
      <c r="AH19" s="31" t="n"/>
      <c r="AI19" s="31" t="n"/>
    </row>
    <row customHeight="1" ht="31.5" r="20" s="132">
      <c r="A20" s="7" t="inlineStr">
        <is>
          <t>156521*-1**L</t>
        </is>
      </c>
      <c r="B20" s="117" t="inlineStr">
        <is>
          <t>MODULE ASSY,NI PXIE-8880,XEON E5-2618L 2.3GHZ CONTROLLER,WIN 7 (64-BIT)</t>
        </is>
      </c>
      <c r="C20" s="8" t="n">
        <v>134</v>
      </c>
      <c r="D20" s="81">
        <f>C20/$U$3</f>
        <v/>
      </c>
      <c r="E20" s="77" t="n"/>
      <c r="F20" s="77" t="n"/>
      <c r="G20" s="7" t="n">
        <v>0.6</v>
      </c>
      <c r="H20" s="80" t="n"/>
      <c r="I20" s="90" t="n"/>
      <c r="J20" s="77" t="n"/>
      <c r="K20" s="81">
        <f>SUM(E20:I20)</f>
        <v/>
      </c>
      <c r="L20" s="81">
        <f>K20*D20</f>
        <v/>
      </c>
      <c r="M20" s="81">
        <f>K20*C20</f>
        <v/>
      </c>
      <c r="N20" s="124" t="n">
        <v>0.34</v>
      </c>
      <c r="O20" s="81">
        <f>N20*C20</f>
        <v/>
      </c>
      <c r="P20" s="124" t="n">
        <v>1</v>
      </c>
      <c r="Q20" s="124" t="n">
        <v>2</v>
      </c>
      <c r="R20" s="125" t="n">
        <v>0.6</v>
      </c>
      <c r="S20" s="81">
        <f>O20*L20</f>
        <v/>
      </c>
      <c r="U20" s="31" t="n"/>
      <c r="V20" s="31" t="n"/>
      <c r="W20" s="31" t="n"/>
      <c r="X20" s="31" t="n"/>
      <c r="Y20" s="81">
        <f>Q20*K20*R20</f>
        <v/>
      </c>
      <c r="Z20" s="81">
        <f>Y20*O20</f>
        <v/>
      </c>
      <c r="AA20" s="81">
        <f>C20*K20</f>
        <v/>
      </c>
      <c r="AB20" s="81">
        <f>P20*O20*K20</f>
        <v/>
      </c>
      <c r="AC20" s="31" t="n"/>
      <c r="AD20" s="31" t="n"/>
      <c r="AE20" s="31" t="n"/>
      <c r="AF20" s="31" t="n"/>
      <c r="AG20" s="31" t="n"/>
      <c r="AH20" s="31" t="n"/>
      <c r="AI20" s="31" t="n"/>
    </row>
    <row customHeight="1" ht="31.5" r="21" s="132">
      <c r="A21" s="7" t="inlineStr">
        <is>
          <t>156521*-3**L</t>
        </is>
      </c>
      <c r="B21" s="117" t="inlineStr">
        <is>
          <t>MODULE ASSY,NI PXIE-8880,XEON E5-2618L 2.3GHZ CONTROLLER,WIN IOT</t>
        </is>
      </c>
      <c r="C21" s="8" t="n">
        <v>236</v>
      </c>
      <c r="D21" s="81">
        <f>C21/$U$3</f>
        <v/>
      </c>
      <c r="E21" s="77" t="n"/>
      <c r="F21" s="77" t="n"/>
      <c r="G21" s="7" t="n">
        <v>0.55</v>
      </c>
      <c r="H21" s="80" t="n"/>
      <c r="I21" s="90" t="n"/>
      <c r="J21" s="77" t="n"/>
      <c r="K21" s="81">
        <f>SUM(E21:I21)</f>
        <v/>
      </c>
      <c r="L21" s="81">
        <f>K21*D21</f>
        <v/>
      </c>
      <c r="M21" s="81">
        <f>K21*C21</f>
        <v/>
      </c>
      <c r="N21" s="124" t="n">
        <v>0.2</v>
      </c>
      <c r="O21" s="81">
        <f>N21*C21</f>
        <v/>
      </c>
      <c r="P21" s="124" t="n">
        <v>1</v>
      </c>
      <c r="Q21" s="124" t="n">
        <v>2</v>
      </c>
      <c r="R21" s="125" t="n">
        <v>0.6</v>
      </c>
      <c r="S21" s="81">
        <f>O21*L21</f>
        <v/>
      </c>
      <c r="U21" s="31" t="n"/>
      <c r="V21" s="31" t="n"/>
      <c r="W21" s="31" t="n"/>
      <c r="X21" s="31" t="n"/>
      <c r="Y21" s="81">
        <f>Q21*K21*R21</f>
        <v/>
      </c>
      <c r="Z21" s="81">
        <f>Y21*O21</f>
        <v/>
      </c>
      <c r="AA21" s="81">
        <f>C21*K21</f>
        <v/>
      </c>
      <c r="AB21" s="81">
        <f>P21*O21*K21</f>
        <v/>
      </c>
      <c r="AC21" s="31" t="n"/>
      <c r="AD21" s="31" t="n"/>
      <c r="AE21" s="31" t="n"/>
      <c r="AF21" s="31" t="n"/>
      <c r="AG21" s="31" t="n"/>
      <c r="AH21" s="31" t="n"/>
      <c r="AI21" s="31" t="n"/>
    </row>
    <row customHeight="1" ht="31.5" r="22" s="132">
      <c r="A22" s="7" t="inlineStr">
        <is>
          <t>156968*-0**L</t>
        </is>
      </c>
      <c r="B22" s="117" t="inlineStr">
        <is>
          <t>MODULE ASSY,NI PXI-8840,CORE I5-4400E 2.7GHZ CONTROLLER,LOCALIZED OS</t>
        </is>
      </c>
      <c r="C22" s="8" t="n">
        <v>23</v>
      </c>
      <c r="D22" s="81">
        <f>C22/$U$3</f>
        <v/>
      </c>
      <c r="E22" s="77" t="n"/>
      <c r="F22" s="77" t="n"/>
      <c r="G22" s="7" t="n">
        <v>0.65</v>
      </c>
      <c r="H22" s="80" t="n"/>
      <c r="I22" s="90" t="n"/>
      <c r="J22" s="77" t="n"/>
      <c r="K22" s="81">
        <f>SUM(E22:I22)</f>
        <v/>
      </c>
      <c r="L22" s="81">
        <f>K22*D22</f>
        <v/>
      </c>
      <c r="M22" s="81">
        <f>K22*C22</f>
        <v/>
      </c>
      <c r="N22" s="124" t="n">
        <v>0.15</v>
      </c>
      <c r="O22" s="81">
        <f>N22*C22</f>
        <v/>
      </c>
      <c r="P22" s="124" t="n">
        <v>1</v>
      </c>
      <c r="Q22" s="124" t="n">
        <v>2</v>
      </c>
      <c r="R22" s="125" t="n">
        <v>0.6</v>
      </c>
      <c r="S22" s="81">
        <f>O22*L22</f>
        <v/>
      </c>
      <c r="U22" s="31" t="n"/>
      <c r="V22" s="31" t="n"/>
      <c r="W22" s="31" t="n"/>
      <c r="X22" s="31" t="n"/>
      <c r="Y22" s="81">
        <f>Q22*K22*R22</f>
        <v/>
      </c>
      <c r="Z22" s="81">
        <f>Y22*O22</f>
        <v/>
      </c>
      <c r="AA22" s="81">
        <f>C22*K22</f>
        <v/>
      </c>
      <c r="AB22" s="81">
        <f>P22*O22*K22</f>
        <v/>
      </c>
      <c r="AC22" s="31" t="n"/>
      <c r="AD22" s="31" t="n"/>
      <c r="AE22" s="31" t="n"/>
      <c r="AF22" s="31" t="n"/>
      <c r="AG22" s="31" t="n"/>
      <c r="AH22" s="31" t="n"/>
      <c r="AI22" s="31" t="n"/>
    </row>
    <row customHeight="1" ht="31.5" r="23" s="132">
      <c r="A23" s="7" t="inlineStr">
        <is>
          <t>156968*-1**L</t>
        </is>
      </c>
      <c r="B23" s="117" t="inlineStr">
        <is>
          <t>MODULE ASSY,NI PXI-8840,CORE I5-4400E 2.7GHZ CONTROLLER,NO ECARD,WIN 7 (64-BIT)</t>
        </is>
      </c>
      <c r="C23" s="8" t="n">
        <v>37</v>
      </c>
      <c r="D23" s="81">
        <f>C23/$U$3</f>
        <v/>
      </c>
      <c r="E23" s="77" t="n"/>
      <c r="F23" s="77" t="n"/>
      <c r="G23" s="7" t="n">
        <v>0.7</v>
      </c>
      <c r="H23" s="77" t="n"/>
      <c r="I23" s="90" t="n"/>
      <c r="J23" s="77" t="n"/>
      <c r="K23" s="81">
        <f>SUM(E23:I23)</f>
        <v/>
      </c>
      <c r="L23" s="81">
        <f>K23*D23</f>
        <v/>
      </c>
      <c r="M23" s="81">
        <f>K23*C23</f>
        <v/>
      </c>
      <c r="N23" s="124" t="n">
        <v>0.14</v>
      </c>
      <c r="O23" s="81">
        <f>N23*C23</f>
        <v/>
      </c>
      <c r="P23" s="124" t="n">
        <v>1</v>
      </c>
      <c r="Q23" s="124" t="n">
        <v>2</v>
      </c>
      <c r="R23" s="125" t="n">
        <v>0.6</v>
      </c>
      <c r="S23" s="81">
        <f>O23*L23</f>
        <v/>
      </c>
      <c r="U23" s="31" t="n"/>
      <c r="V23" s="31" t="n"/>
      <c r="W23" s="31" t="n"/>
      <c r="X23" s="31" t="n"/>
      <c r="Y23" s="81">
        <f>Q23*K23*R23</f>
        <v/>
      </c>
      <c r="Z23" s="81">
        <f>Y23*O23</f>
        <v/>
      </c>
      <c r="AA23" s="81">
        <f>C23*K23</f>
        <v/>
      </c>
      <c r="AB23" s="81">
        <f>P23*O23*K23</f>
        <v/>
      </c>
      <c r="AC23" s="31" t="n"/>
      <c r="AD23" s="31" t="n"/>
      <c r="AE23" s="31" t="n"/>
      <c r="AF23" s="31" t="n"/>
      <c r="AG23" s="31" t="n"/>
      <c r="AH23" s="31" t="n"/>
      <c r="AI23" s="31" t="n"/>
    </row>
    <row r="24">
      <c r="A24" s="7" t="inlineStr">
        <is>
          <t>156968*-3**L</t>
        </is>
      </c>
      <c r="B24" s="120" t="inlineStr">
        <is>
          <t>MODULE ASSY,NI PXI-8840,CORE I5-4400E 2.7GHZ CONTROLLER,NO ECARD,WIN IOT</t>
        </is>
      </c>
      <c r="C24" s="8" t="n">
        <v>20</v>
      </c>
      <c r="D24" s="81">
        <f>C24/$U$3</f>
        <v/>
      </c>
      <c r="E24" s="77" t="n"/>
      <c r="F24" s="77" t="n"/>
      <c r="G24" s="7" t="n">
        <v>0.7</v>
      </c>
      <c r="H24" s="77" t="n"/>
      <c r="I24" s="90" t="n"/>
      <c r="J24" s="77" t="n"/>
      <c r="K24" s="81">
        <f>SUM(E24:I24)</f>
        <v/>
      </c>
      <c r="L24" s="81">
        <f>K24*D24</f>
        <v/>
      </c>
      <c r="M24" s="81">
        <f>K24*C24</f>
        <v/>
      </c>
      <c r="N24" s="124" t="n">
        <v>0.09</v>
      </c>
      <c r="O24" s="81">
        <f>N24*C24</f>
        <v/>
      </c>
      <c r="P24" s="124" t="n">
        <v>1</v>
      </c>
      <c r="Q24" s="124" t="n">
        <v>2</v>
      </c>
      <c r="R24" s="125" t="n">
        <v>0.6</v>
      </c>
      <c r="S24" s="81">
        <f>O24*L24</f>
        <v/>
      </c>
      <c r="U24" s="31" t="n"/>
      <c r="V24" s="31" t="n"/>
      <c r="W24" s="31" t="n"/>
      <c r="X24" s="31" t="n"/>
      <c r="Y24" s="33">
        <f>Q24*K24*R24</f>
        <v/>
      </c>
      <c r="Z24" s="33">
        <f>Y24*O24</f>
        <v/>
      </c>
      <c r="AA24" s="81">
        <f>C24*K24</f>
        <v/>
      </c>
      <c r="AB24" s="81">
        <f>P24*O24*K24</f>
        <v/>
      </c>
      <c r="AC24" s="31" t="n"/>
      <c r="AD24" s="31" t="n"/>
      <c r="AE24" s="31" t="n"/>
      <c r="AF24" s="31" t="n"/>
      <c r="AG24" s="31" t="n"/>
      <c r="AH24" s="31" t="n"/>
      <c r="AI24" s="31" t="n"/>
    </row>
    <row r="25">
      <c r="A25" s="7" t="inlineStr">
        <is>
          <t>156968*-9**L</t>
        </is>
      </c>
      <c r="B25" s="120" t="inlineStr">
        <is>
          <t>MODULE ASSY,NI PXI-8840,CORE I5-4400E 2.7GHZ CONTROLLER,WIN 7 (32-BIT)</t>
        </is>
      </c>
      <c r="C25" s="8" t="n">
        <v>1</v>
      </c>
      <c r="D25" s="81">
        <f>C25/$U$3</f>
        <v/>
      </c>
      <c r="E25" s="77" t="n"/>
      <c r="F25" s="77" t="n"/>
      <c r="G25" s="7" t="n">
        <v>0.7</v>
      </c>
      <c r="H25" s="77" t="n"/>
      <c r="I25" s="90" t="n"/>
      <c r="J25" s="77" t="n"/>
      <c r="K25" s="81">
        <f>SUM(E25:I25)</f>
        <v/>
      </c>
      <c r="L25" s="81">
        <f>K25*D25</f>
        <v/>
      </c>
      <c r="M25" s="81">
        <f>K25*C25</f>
        <v/>
      </c>
      <c r="N25" s="124" t="n">
        <v>0.09</v>
      </c>
      <c r="O25" s="81">
        <f>N25*C25</f>
        <v/>
      </c>
      <c r="P25" s="124" t="n"/>
      <c r="Q25" s="124" t="n"/>
      <c r="R25" s="125" t="n"/>
      <c r="S25" s="81">
        <f>O25*L25</f>
        <v/>
      </c>
      <c r="U25" s="31" t="n"/>
      <c r="V25" s="31" t="n"/>
      <c r="W25" s="31" t="n"/>
      <c r="X25" s="31" t="n"/>
      <c r="Y25" s="33" t="n"/>
      <c r="Z25" s="33" t="n"/>
      <c r="AA25" s="81">
        <f>C25*K25</f>
        <v/>
      </c>
      <c r="AB25" s="81" t="n"/>
      <c r="AC25" s="31" t="n"/>
      <c r="AD25" s="31" t="n"/>
      <c r="AE25" s="31" t="n"/>
      <c r="AF25" s="31" t="n"/>
      <c r="AG25" s="31" t="n"/>
      <c r="AH25" s="31" t="n"/>
      <c r="AI25" s="31" t="n"/>
    </row>
    <row r="26">
      <c r="A26" s="8" t="inlineStr">
        <is>
          <t>158166*-0**L</t>
        </is>
      </c>
      <c r="B26" s="8" t="inlineStr">
        <is>
          <t>MODULE ASSY,NI PXIE-8135 E6460,CORE I7-3610QE 2.3GHZ CONTROLLER,NO ECARD,LOCALIZED OS, 2X8GB SODIMM, SSD</t>
        </is>
      </c>
      <c r="C26" s="8" t="n">
        <v>32</v>
      </c>
      <c r="D26" s="81">
        <f>C26/$U$3</f>
        <v/>
      </c>
      <c r="E26" s="77" t="n"/>
      <c r="F26" s="77" t="n"/>
      <c r="G26" s="7" t="n">
        <v>0.55</v>
      </c>
      <c r="H26" s="77" t="n"/>
      <c r="I26" s="90" t="n"/>
      <c r="J26" s="77" t="n"/>
      <c r="K26" s="81">
        <f>SUM(E26:I26)</f>
        <v/>
      </c>
      <c r="L26" s="81">
        <f>K26*D26</f>
        <v/>
      </c>
      <c r="M26" s="81">
        <f>K26*C26</f>
        <v/>
      </c>
      <c r="N26" s="124" t="n">
        <v>0.34</v>
      </c>
      <c r="O26" s="81">
        <f>N26*C26</f>
        <v/>
      </c>
      <c r="P26" s="124" t="n">
        <v>1</v>
      </c>
      <c r="Q26" s="124" t="n">
        <v>2</v>
      </c>
      <c r="R26" s="125" t="n">
        <v>0.6</v>
      </c>
      <c r="S26" s="81">
        <f>O26*L26</f>
        <v/>
      </c>
      <c r="U26" s="31" t="n"/>
      <c r="W26" s="31" t="n"/>
      <c r="X26" s="31" t="n"/>
      <c r="Y26" s="33">
        <f>Q26*K26*R26</f>
        <v/>
      </c>
      <c r="Z26" s="33">
        <f>Y26*O26</f>
        <v/>
      </c>
      <c r="AA26" s="81">
        <f>C26*K26</f>
        <v/>
      </c>
      <c r="AB26" s="81">
        <f>P26*O26*K26</f>
        <v/>
      </c>
      <c r="AC26" s="31" t="n"/>
      <c r="AD26" s="31" t="n"/>
      <c r="AE26" s="31" t="n"/>
      <c r="AF26" s="31" t="n"/>
      <c r="AG26" s="31" t="n"/>
      <c r="AH26" s="31" t="n"/>
      <c r="AI26" s="31" t="n"/>
    </row>
    <row r="27">
      <c r="A27" s="8" t="inlineStr">
        <is>
          <t>158166*-1**L</t>
        </is>
      </c>
      <c r="B27" s="8" t="inlineStr">
        <is>
          <t>MODULE ASSY,NI PXIE-8135 E6460,CORE I7-3610QE 2.3GHZ CONTROLLER,NO ECARD,WIN 7 (64-BIT)</t>
        </is>
      </c>
      <c r="C27" s="8" t="n">
        <v>38</v>
      </c>
      <c r="D27" s="81">
        <f>C27/$U$3</f>
        <v/>
      </c>
      <c r="E27" s="77" t="n"/>
      <c r="F27" s="77" t="n"/>
      <c r="G27" s="7" t="n">
        <v>0.72</v>
      </c>
      <c r="H27" s="77" t="n"/>
      <c r="I27" s="90" t="n"/>
      <c r="J27" s="77" t="n"/>
      <c r="K27" s="81">
        <f>SUM(E27:I27)</f>
        <v/>
      </c>
      <c r="L27" s="81">
        <f>K27*D27</f>
        <v/>
      </c>
      <c r="M27" s="81">
        <f>K27*C27</f>
        <v/>
      </c>
      <c r="N27" s="124" t="n">
        <v>1</v>
      </c>
      <c r="O27" s="81">
        <f>N27*C27</f>
        <v/>
      </c>
      <c r="P27" s="124" t="n">
        <v>1</v>
      </c>
      <c r="Q27" s="124" t="n">
        <v>2</v>
      </c>
      <c r="R27" s="125" t="n">
        <v>0.6</v>
      </c>
      <c r="S27" s="81">
        <f>O27*L27</f>
        <v/>
      </c>
      <c r="U27" s="31" t="n"/>
      <c r="W27" s="31" t="n"/>
      <c r="X27" s="31" t="n"/>
      <c r="Y27" s="33">
        <f>Q27*K27*R27</f>
        <v/>
      </c>
      <c r="Z27" s="33">
        <f>Y27*O27</f>
        <v/>
      </c>
      <c r="AA27" s="81">
        <f>C27*K27</f>
        <v/>
      </c>
      <c r="AB27" s="81">
        <f>P27*O27*K27</f>
        <v/>
      </c>
      <c r="AC27" s="31" t="n"/>
      <c r="AD27" s="31" t="n"/>
      <c r="AE27" s="31" t="n"/>
      <c r="AF27" s="31" t="n"/>
      <c r="AG27" s="31" t="n"/>
      <c r="AH27" s="31" t="n"/>
      <c r="AI27" s="31" t="n"/>
    </row>
    <row r="28">
      <c r="A28" s="8" t="inlineStr">
        <is>
          <t>158166*-9**L</t>
        </is>
      </c>
      <c r="B28" s="121" t="inlineStr">
        <is>
          <t>MODULE ASSY,NI PXIE-8135 E6465,CORE I7-3610QE 2.3GHZ CONTROLLER,NO ECARD,WIN 7 (32-BIT)</t>
        </is>
      </c>
      <c r="C28" s="8" t="n">
        <v>1</v>
      </c>
      <c r="D28" s="81">
        <f>C28/$U$3</f>
        <v/>
      </c>
      <c r="E28" s="77" t="n"/>
      <c r="F28" s="77" t="n"/>
      <c r="G28" s="7" t="n">
        <v>0.72</v>
      </c>
      <c r="H28" s="77" t="n"/>
      <c r="I28" s="90" t="n"/>
      <c r="J28" s="77" t="n"/>
      <c r="K28" s="81">
        <f>SUM(E28:I28)</f>
        <v/>
      </c>
      <c r="L28" s="81">
        <f>K28*D28</f>
        <v/>
      </c>
      <c r="M28" s="81">
        <f>K28*C28</f>
        <v/>
      </c>
      <c r="N28" s="124" t="n">
        <v>0.43</v>
      </c>
      <c r="O28" s="81">
        <f>N28*C28</f>
        <v/>
      </c>
      <c r="P28" s="124" t="n">
        <v>1</v>
      </c>
      <c r="Q28" s="124" t="n">
        <v>2</v>
      </c>
      <c r="R28" s="125" t="n">
        <v>0.6</v>
      </c>
      <c r="S28" s="81">
        <f>O28*L28</f>
        <v/>
      </c>
      <c r="U28" s="31" t="n"/>
      <c r="V28" s="31" t="n"/>
      <c r="W28" s="31" t="n"/>
      <c r="X28" s="31" t="n"/>
      <c r="Y28" s="33">
        <f>Q28*K28*R28</f>
        <v/>
      </c>
      <c r="Z28" s="33">
        <f>Y28*O28</f>
        <v/>
      </c>
      <c r="AA28" s="81">
        <f>C28*K28</f>
        <v/>
      </c>
      <c r="AB28" s="81">
        <f>P28*O28*K28</f>
        <v/>
      </c>
      <c r="AC28" s="31" t="n"/>
      <c r="AD28" s="31" t="n"/>
      <c r="AE28" s="31" t="n"/>
      <c r="AF28" s="31" t="n"/>
      <c r="AG28" s="31" t="n"/>
      <c r="AH28" s="31" t="n"/>
      <c r="AI28" s="31" t="n"/>
    </row>
    <row r="29">
      <c r="A29" s="8" t="inlineStr">
        <is>
          <t>158675*-0**L</t>
        </is>
      </c>
      <c r="B29" s="8" t="inlineStr">
        <is>
          <t>MODULE ASSY,NI PXIE-8840 QUAD-CORE,CORE I7-5700EQ 2.6GHZ CONTROLLER,NO ECARD,LOCALIZED OS</t>
        </is>
      </c>
      <c r="C29" s="8" t="n">
        <v>128</v>
      </c>
      <c r="D29" s="33">
        <f>C29/$U$3</f>
        <v/>
      </c>
      <c r="E29" s="7" t="n"/>
      <c r="F29" s="7" t="n"/>
      <c r="G29" s="7" t="n">
        <v>0.47</v>
      </c>
      <c r="H29" s="7" t="n"/>
      <c r="I29" s="91" t="n"/>
      <c r="J29" s="7" t="n"/>
      <c r="K29" s="33">
        <f>SUM(E29:I29)</f>
        <v/>
      </c>
      <c r="L29" s="33">
        <f>K29*D29</f>
        <v/>
      </c>
      <c r="M29" s="33">
        <f>K29*C29</f>
        <v/>
      </c>
      <c r="N29" s="124" t="n">
        <v>0.16</v>
      </c>
      <c r="O29" s="33">
        <f>N29*C29</f>
        <v/>
      </c>
      <c r="P29" s="124" t="n">
        <v>1</v>
      </c>
      <c r="Q29" s="7" t="n">
        <v>2</v>
      </c>
      <c r="R29" s="7" t="n">
        <v>0.6</v>
      </c>
      <c r="S29" s="33">
        <f>O29*L29</f>
        <v/>
      </c>
      <c r="U29" s="31" t="n"/>
      <c r="W29" s="31" t="n"/>
      <c r="X29" s="31" t="n"/>
      <c r="Y29" s="33">
        <f>Q29*K29*R29</f>
        <v/>
      </c>
      <c r="Z29" s="33">
        <f>Y29*O29</f>
        <v/>
      </c>
      <c r="AA29" s="81">
        <f>C29*K29</f>
        <v/>
      </c>
      <c r="AB29" s="81">
        <f>P29*O29*K29</f>
        <v/>
      </c>
      <c r="AC29" s="31" t="n"/>
      <c r="AD29" s="31" t="n"/>
      <c r="AE29" s="31" t="n"/>
      <c r="AF29" s="31" t="n"/>
      <c r="AG29" s="31" t="n"/>
      <c r="AH29" s="31" t="n"/>
      <c r="AI29" s="31" t="n"/>
    </row>
    <row r="30">
      <c r="A30" s="8" t="inlineStr">
        <is>
          <t>158675*-1**L</t>
        </is>
      </c>
      <c r="B30" s="8" t="inlineStr">
        <is>
          <t>MODULE ASSY,NI PXIE-8840 QUAD-CORE,CORE  I7-5700EQ 2.6GHZ CONTROLLER,NO ECARD,WIN 7 (64-BIT)</t>
        </is>
      </c>
      <c r="C30" s="8" t="n">
        <v>133</v>
      </c>
      <c r="D30" s="33">
        <f>C30/$U$3</f>
        <v/>
      </c>
      <c r="E30" s="7" t="n"/>
      <c r="F30" s="7" t="n"/>
      <c r="G30" s="7" t="n">
        <v>0.58</v>
      </c>
      <c r="H30" s="7" t="n"/>
      <c r="I30" s="91" t="n"/>
      <c r="J30" s="7" t="n"/>
      <c r="K30" s="33">
        <f>SUM(E30:I30)</f>
        <v/>
      </c>
      <c r="L30" s="33">
        <f>K30*D30</f>
        <v/>
      </c>
      <c r="M30" s="33">
        <f>K30*C30</f>
        <v/>
      </c>
      <c r="N30" s="124" t="n">
        <v>1</v>
      </c>
      <c r="O30" s="33">
        <f>N30*C30</f>
        <v/>
      </c>
      <c r="P30" s="124" t="n">
        <v>1</v>
      </c>
      <c r="Q30" s="7" t="n">
        <v>2</v>
      </c>
      <c r="R30" s="7" t="n">
        <v>0.6</v>
      </c>
      <c r="S30" s="33">
        <f>O30*L30</f>
        <v/>
      </c>
      <c r="U30" s="31" t="n"/>
      <c r="V30" s="31" t="n"/>
      <c r="W30" s="31" t="n"/>
      <c r="X30" s="31" t="n"/>
      <c r="Y30" s="33">
        <f>Q30*K30*R30</f>
        <v/>
      </c>
      <c r="Z30" s="33">
        <f>Y30*O30</f>
        <v/>
      </c>
      <c r="AA30" s="81">
        <f>C30*K30</f>
        <v/>
      </c>
      <c r="AB30" s="81">
        <f>P30*O30*K30</f>
        <v/>
      </c>
      <c r="AC30" s="31" t="n"/>
      <c r="AD30" s="31" t="n"/>
      <c r="AE30" s="31" t="n"/>
      <c r="AF30" s="31" t="n"/>
      <c r="AG30" s="31" t="n"/>
      <c r="AH30" s="31" t="n"/>
      <c r="AI30" s="31" t="n"/>
    </row>
    <row r="31">
      <c r="A31" s="8" t="inlineStr">
        <is>
          <t>158675*-3**L</t>
        </is>
      </c>
      <c r="B31" s="8" t="inlineStr">
        <is>
          <t>MODULE ASSY,NI PXIE-8840 QUAD-CORE,CORE  I7-5700EQ 2.6GHZ CONTROLLER,NO ECARD,WIN IOT</t>
        </is>
      </c>
      <c r="C31" s="8" t="n">
        <v>164</v>
      </c>
      <c r="D31" s="33">
        <f>C31/$U$3</f>
        <v/>
      </c>
      <c r="E31" s="7" t="n"/>
      <c r="F31" s="7" t="n"/>
      <c r="G31" s="7" t="n">
        <v>0.58</v>
      </c>
      <c r="H31" s="7" t="n"/>
      <c r="I31" s="91" t="n"/>
      <c r="J31" s="7" t="n"/>
      <c r="K31" s="33">
        <f>SUM(E31:I31)</f>
        <v/>
      </c>
      <c r="L31" s="33">
        <f>K31*D31</f>
        <v/>
      </c>
      <c r="M31" s="33">
        <f>K31*C31</f>
        <v/>
      </c>
      <c r="N31" s="124" t="n">
        <v>0.25</v>
      </c>
      <c r="O31" s="33">
        <f>N31*C31</f>
        <v/>
      </c>
      <c r="P31" s="124" t="n">
        <v>1</v>
      </c>
      <c r="Q31" s="7" t="n">
        <v>2</v>
      </c>
      <c r="R31" s="7" t="n">
        <v>0.6</v>
      </c>
      <c r="S31" s="33">
        <f>O31*L31</f>
        <v/>
      </c>
      <c r="U31" s="31" t="n"/>
      <c r="V31" s="31" t="n"/>
      <c r="W31" s="31" t="n"/>
      <c r="X31" s="31" t="n"/>
      <c r="Y31" s="33">
        <f>Q31*K31*R31</f>
        <v/>
      </c>
      <c r="Z31" s="33">
        <f>Y31*O31</f>
        <v/>
      </c>
      <c r="AA31" s="81">
        <f>C31*K31</f>
        <v/>
      </c>
      <c r="AB31" s="81">
        <f>P31*O31*K31</f>
        <v/>
      </c>
      <c r="AC31" s="31" t="n"/>
      <c r="AD31" s="31" t="n"/>
      <c r="AE31" s="31" t="n"/>
      <c r="AF31" s="31" t="n"/>
      <c r="AG31" s="31" t="n"/>
      <c r="AH31" s="31" t="n"/>
      <c r="AI31" s="31" t="n"/>
    </row>
    <row r="32">
      <c r="A32" s="8" t="inlineStr">
        <is>
          <t>158686*-0**L</t>
        </is>
      </c>
      <c r="B32" s="8" t="inlineStr">
        <is>
          <t>MODULE ASSY,NI PXI-8840 QUAD-CORE,CORE I7-5700EQ 2.6GHZ CONTROLLER,NO ECARD,LOCALIZED OS</t>
        </is>
      </c>
      <c r="C32" s="8" t="n">
        <v>24</v>
      </c>
      <c r="D32" s="33">
        <f>C32/$U$3</f>
        <v/>
      </c>
      <c r="E32" s="7" t="n"/>
      <c r="F32" s="7" t="n"/>
      <c r="G32" s="7" t="n">
        <v>0.65</v>
      </c>
      <c r="H32" s="7" t="n"/>
      <c r="I32" s="91" t="n"/>
      <c r="J32" s="7" t="n"/>
      <c r="K32" s="33">
        <f>SUM(E32:I32)</f>
        <v/>
      </c>
      <c r="L32" s="33">
        <f>K32*D32</f>
        <v/>
      </c>
      <c r="M32" s="33">
        <f>K32*C32</f>
        <v/>
      </c>
      <c r="N32" s="124" t="n">
        <v>0.08</v>
      </c>
      <c r="O32" s="33">
        <f>N32*C32</f>
        <v/>
      </c>
      <c r="P32" s="124" t="n">
        <v>1</v>
      </c>
      <c r="Q32" s="7" t="n">
        <v>2</v>
      </c>
      <c r="R32" s="7" t="n">
        <v>0.6</v>
      </c>
      <c r="S32" s="33">
        <f>O32*L32</f>
        <v/>
      </c>
      <c r="U32" s="31" t="n"/>
      <c r="V32" s="31" t="n"/>
      <c r="W32" s="31" t="n"/>
      <c r="X32" s="31" t="n"/>
      <c r="Y32" s="33">
        <f>Q32*K32*R32</f>
        <v/>
      </c>
      <c r="Z32" s="33">
        <f>Y32*O32</f>
        <v/>
      </c>
      <c r="AA32" s="81">
        <f>C32*K32</f>
        <v/>
      </c>
      <c r="AB32" s="81">
        <f>P32*O32*K32</f>
        <v/>
      </c>
      <c r="AC32" s="31" t="n"/>
      <c r="AD32" s="31" t="n"/>
      <c r="AE32" s="31" t="n"/>
      <c r="AF32" s="31" t="n"/>
      <c r="AG32" s="31" t="n"/>
      <c r="AH32" s="31" t="n"/>
      <c r="AI32" s="31" t="n"/>
    </row>
    <row r="33">
      <c r="A33" s="8" t="inlineStr">
        <is>
          <t>158686*-1**L</t>
        </is>
      </c>
      <c r="B33" s="8" t="inlineStr">
        <is>
          <t>MODULE ASSY,NI PXI-8840 QUAD-CORE,CORE  I7-5700EQ 2.6GHZ CONTROLLER,NO ECARD,WIN 7 (64-BIT)</t>
        </is>
      </c>
      <c r="C33" s="8" t="n">
        <v>27</v>
      </c>
      <c r="D33" s="33">
        <f>C33/$U$3</f>
        <v/>
      </c>
      <c r="E33" s="7" t="n"/>
      <c r="F33" s="7" t="n"/>
      <c r="G33" s="7" t="n">
        <v>0.7</v>
      </c>
      <c r="H33" s="7" t="n"/>
      <c r="I33" s="91" t="n"/>
      <c r="J33" s="7" t="n"/>
      <c r="K33" s="33">
        <f>SUM(E33:I33)</f>
        <v/>
      </c>
      <c r="L33" s="33">
        <f>K33*D33</f>
        <v/>
      </c>
      <c r="M33" s="33">
        <f>K33*C33</f>
        <v/>
      </c>
      <c r="N33" s="124" t="n">
        <v>0.21</v>
      </c>
      <c r="O33" s="33">
        <f>N33*C33</f>
        <v/>
      </c>
      <c r="P33" s="124" t="n">
        <v>1</v>
      </c>
      <c r="Q33" s="7" t="n">
        <v>2</v>
      </c>
      <c r="R33" s="7" t="n">
        <v>0.6</v>
      </c>
      <c r="S33" s="33">
        <f>O33*L33</f>
        <v/>
      </c>
      <c r="U33" s="31" t="n"/>
      <c r="V33" s="31" t="n"/>
      <c r="W33" s="31" t="n"/>
      <c r="X33" s="31" t="n"/>
      <c r="Y33" s="33">
        <f>Q33*K33*R33</f>
        <v/>
      </c>
      <c r="Z33" s="33">
        <f>Y33*O33</f>
        <v/>
      </c>
      <c r="AA33" s="81">
        <f>C33*K33</f>
        <v/>
      </c>
      <c r="AB33" s="81">
        <f>P33*O33*K33</f>
        <v/>
      </c>
      <c r="AC33" s="31" t="n"/>
      <c r="AD33" s="31" t="n"/>
      <c r="AE33" s="31" t="n"/>
      <c r="AF33" s="31" t="n"/>
      <c r="AG33" s="31" t="n"/>
      <c r="AH33" s="31" t="n"/>
      <c r="AI33" s="31" t="n"/>
    </row>
    <row r="34">
      <c r="A34" s="8" t="inlineStr">
        <is>
          <t>158686*-3**L</t>
        </is>
      </c>
      <c r="B34" s="8" t="inlineStr">
        <is>
          <t>MODULE ASSY,NI PXI-8840 QUAD-CORE,CORE  I7-5700EQ 2.6GHZ CONTROLLER,NO ECARD,WIN IOT</t>
        </is>
      </c>
      <c r="C34" s="8" t="n">
        <v>33</v>
      </c>
      <c r="D34" s="33">
        <f>C34/$U$3</f>
        <v/>
      </c>
      <c r="E34" s="7" t="n"/>
      <c r="F34" s="7" t="n"/>
      <c r="G34" s="7" t="n">
        <v>0.7</v>
      </c>
      <c r="H34" s="7" t="n"/>
      <c r="I34" s="91" t="n"/>
      <c r="J34" s="7" t="n"/>
      <c r="K34" s="33">
        <f>SUM(E34:I34)</f>
        <v/>
      </c>
      <c r="L34" s="33">
        <f>K34*D34</f>
        <v/>
      </c>
      <c r="M34" s="33">
        <f>K34*C34</f>
        <v/>
      </c>
      <c r="N34" s="124" t="n">
        <v>0.24</v>
      </c>
      <c r="O34" s="33">
        <f>N34*C34</f>
        <v/>
      </c>
      <c r="P34" s="124" t="n">
        <v>1</v>
      </c>
      <c r="Q34" s="7" t="n">
        <v>2</v>
      </c>
      <c r="R34" s="7" t="n">
        <v>0.6</v>
      </c>
      <c r="S34" s="33">
        <f>O34*L34</f>
        <v/>
      </c>
      <c r="U34" s="31" t="n"/>
      <c r="V34" s="31" t="n"/>
      <c r="W34" s="31" t="n"/>
      <c r="X34" s="31" t="n"/>
      <c r="Y34" s="33">
        <f>Q34*K34*R34</f>
        <v/>
      </c>
      <c r="Z34" s="33">
        <f>Y34*O34</f>
        <v/>
      </c>
      <c r="AA34" s="81">
        <f>C34*K34</f>
        <v/>
      </c>
      <c r="AB34" s="81">
        <f>P34*O34*K34</f>
        <v/>
      </c>
      <c r="AC34" s="31" t="n"/>
      <c r="AD34" s="31" t="n"/>
      <c r="AE34" s="31" t="n"/>
      <c r="AF34" s="31" t="n"/>
      <c r="AG34" s="31" t="n"/>
      <c r="AH34" s="31" t="n"/>
      <c r="AI34" s="31" t="n"/>
    </row>
    <row r="35">
      <c r="A35" s="8" t="inlineStr">
        <is>
          <t>159572*-0**L</t>
        </is>
      </c>
      <c r="B35" s="8" t="inlineStr">
        <is>
          <t>MODULE ASSY,NI PXIE-8861,SKYLAKE H,REMOVEABLE HARD-DRIVE OPTION (NO OS)</t>
        </is>
      </c>
      <c r="C35" s="8" t="n">
        <v>13</v>
      </c>
      <c r="D35" s="33">
        <f>C35/$U$3</f>
        <v/>
      </c>
      <c r="E35" s="7" t="n"/>
      <c r="F35" s="7" t="n"/>
      <c r="G35" s="7" t="n">
        <v>1.3</v>
      </c>
      <c r="H35" s="7" t="n"/>
      <c r="I35" s="91" t="n"/>
      <c r="J35" s="7" t="n"/>
      <c r="K35" s="33">
        <f>SUM(E35:I35)</f>
        <v/>
      </c>
      <c r="L35" s="33">
        <f>K35*D35</f>
        <v/>
      </c>
      <c r="M35" s="33">
        <f>K35*C35</f>
        <v/>
      </c>
      <c r="N35" s="124" t="n">
        <v>0.3</v>
      </c>
      <c r="O35" s="33">
        <f>N35*C35</f>
        <v/>
      </c>
      <c r="P35" s="124" t="n">
        <v>1</v>
      </c>
      <c r="Q35" s="7" t="n">
        <v>2</v>
      </c>
      <c r="R35" s="7" t="n">
        <v>0.6</v>
      </c>
      <c r="S35" s="33">
        <f>O35*L35</f>
        <v/>
      </c>
      <c r="U35" s="31" t="n"/>
      <c r="V35" s="31" t="n"/>
      <c r="W35" s="31" t="n"/>
      <c r="X35" s="31" t="n"/>
      <c r="Y35" s="33">
        <f>Q35*K35*R35</f>
        <v/>
      </c>
      <c r="Z35" s="33">
        <f>Y35*O35</f>
        <v/>
      </c>
      <c r="AA35" s="81">
        <f>C35*K35</f>
        <v/>
      </c>
      <c r="AB35" s="81">
        <f>P35*O35*K35</f>
        <v/>
      </c>
      <c r="AC35" s="31" t="n"/>
      <c r="AD35" s="31" t="n"/>
      <c r="AE35" s="31" t="n"/>
      <c r="AF35" s="31" t="n"/>
      <c r="AG35" s="31" t="n"/>
      <c r="AH35" s="31" t="n"/>
      <c r="AI35" s="31" t="n"/>
    </row>
    <row r="36">
      <c r="A36" s="8" t="inlineStr">
        <is>
          <t>159572*-3**L</t>
        </is>
      </c>
      <c r="B36" s="8" t="inlineStr">
        <is>
          <t>MODULE ASSY,NI PXIE-8861,SKYLAKE H,WINDOWS IOT</t>
        </is>
      </c>
      <c r="C36" s="8" t="n">
        <v>131</v>
      </c>
      <c r="D36" s="33">
        <f>C36/$U$3</f>
        <v/>
      </c>
      <c r="E36" s="7" t="n"/>
      <c r="F36" s="7" t="n"/>
      <c r="G36" s="7" t="n">
        <v>1.35</v>
      </c>
      <c r="H36" s="7" t="n"/>
      <c r="I36" s="91" t="n"/>
      <c r="J36" s="7" t="n"/>
      <c r="K36" s="33">
        <f>SUM(E36:I36)</f>
        <v/>
      </c>
      <c r="L36" s="33">
        <f>K36*D36</f>
        <v/>
      </c>
      <c r="M36" s="33">
        <f>K36*C36</f>
        <v/>
      </c>
      <c r="N36" s="124" t="n">
        <v>0.3</v>
      </c>
      <c r="O36" s="33">
        <f>N36*C36</f>
        <v/>
      </c>
      <c r="P36" s="124" t="n">
        <v>1</v>
      </c>
      <c r="Q36" s="7" t="n">
        <v>2</v>
      </c>
      <c r="R36" s="7" t="n">
        <v>0.6</v>
      </c>
      <c r="S36" s="33">
        <f>O36*L36</f>
        <v/>
      </c>
      <c r="U36" s="31" t="n"/>
      <c r="V36" s="31" t="n"/>
      <c r="W36" s="31" t="n"/>
      <c r="X36" s="31" t="n"/>
      <c r="Y36" s="33">
        <f>Q36*K36*R36</f>
        <v/>
      </c>
      <c r="Z36" s="33">
        <f>Y36*O36</f>
        <v/>
      </c>
      <c r="AA36" s="81">
        <f>C36*K36</f>
        <v/>
      </c>
      <c r="AB36" s="81">
        <f>P36*O36*K36</f>
        <v/>
      </c>
      <c r="AC36" s="31" t="n"/>
      <c r="AD36" s="31" t="n"/>
      <c r="AE36" s="31" t="n"/>
      <c r="AF36" s="31" t="n"/>
      <c r="AG36" s="31" t="n"/>
      <c r="AH36" s="31" t="n"/>
      <c r="AI36" s="31" t="n"/>
    </row>
    <row r="37">
      <c r="A37" s="8" t="inlineStr">
        <is>
          <t>159572*-4**L</t>
        </is>
      </c>
      <c r="B37" s="8" t="inlineStr">
        <is>
          <t>MODULE ASSY,NI PXIE-8861,SKYLAKE H,LINUX RT</t>
        </is>
      </c>
      <c r="C37" s="8" t="n">
        <v>75</v>
      </c>
      <c r="D37" s="33">
        <f>C37/$U$3</f>
        <v/>
      </c>
      <c r="E37" s="7" t="n"/>
      <c r="F37" s="7" t="n"/>
      <c r="G37" s="7" t="n">
        <v>1.5</v>
      </c>
      <c r="H37" s="7" t="n"/>
      <c r="I37" s="91" t="n"/>
      <c r="J37" s="7" t="n"/>
      <c r="K37" s="33">
        <f>SUM(E37:I37)</f>
        <v/>
      </c>
      <c r="L37" s="33">
        <f>K37*D37</f>
        <v/>
      </c>
      <c r="M37" s="33">
        <f>K37*C37</f>
        <v/>
      </c>
      <c r="N37" s="124" t="n">
        <v>0.4</v>
      </c>
      <c r="O37" s="33">
        <f>N37*C37</f>
        <v/>
      </c>
      <c r="P37" s="124" t="n">
        <v>1</v>
      </c>
      <c r="Q37" s="7" t="n">
        <v>2</v>
      </c>
      <c r="R37" s="7" t="n">
        <v>0.6</v>
      </c>
      <c r="S37" s="33">
        <f>O37*L37</f>
        <v/>
      </c>
      <c r="U37" s="31" t="n"/>
      <c r="V37" s="31" t="n"/>
      <c r="W37" s="31" t="n"/>
      <c r="X37" s="31" t="n"/>
      <c r="Y37" s="33">
        <f>Q37*K37*R37</f>
        <v/>
      </c>
      <c r="Z37" s="33">
        <f>Y37*O37</f>
        <v/>
      </c>
      <c r="AA37" s="81">
        <f>C37*K37</f>
        <v/>
      </c>
      <c r="AB37" s="81">
        <f>P37*O37*K37</f>
        <v/>
      </c>
      <c r="AC37" s="31" t="n"/>
      <c r="AD37" s="31" t="n"/>
      <c r="AE37" s="31" t="n"/>
      <c r="AF37" s="31" t="n"/>
      <c r="AG37" s="31" t="n"/>
      <c r="AH37" s="31" t="n"/>
      <c r="AI37" s="31" t="n"/>
    </row>
    <row r="38">
      <c r="A38" s="8" t="n"/>
      <c r="B38" s="8" t="n"/>
      <c r="C38" s="8" t="n"/>
      <c r="D38" s="33">
        <f>C38/$U$3</f>
        <v/>
      </c>
      <c r="E38" s="7" t="n"/>
      <c r="F38" s="7" t="n"/>
      <c r="G38" s="7" t="n"/>
      <c r="H38" s="7" t="n"/>
      <c r="I38" s="91" t="n"/>
      <c r="J38" s="7" t="n"/>
      <c r="K38" s="33">
        <f>SUM(E38:I38)</f>
        <v/>
      </c>
      <c r="L38" s="33">
        <f>K38*D38</f>
        <v/>
      </c>
      <c r="M38" s="33">
        <f>K38*C38</f>
        <v/>
      </c>
      <c r="N38" s="7" t="n"/>
      <c r="O38" s="33">
        <f>N38*C38</f>
        <v/>
      </c>
      <c r="P38" s="7" t="n"/>
      <c r="Q38" s="7" t="n"/>
      <c r="R38" s="7" t="n"/>
      <c r="S38" s="33">
        <f>O38*L38</f>
        <v/>
      </c>
      <c r="U38" s="31" t="n"/>
      <c r="V38" s="31" t="n"/>
      <c r="W38" s="31" t="n"/>
      <c r="X38" s="31" t="n"/>
      <c r="Y38" s="33">
        <f>Q38*K38*R38</f>
        <v/>
      </c>
      <c r="Z38" s="33">
        <f>Y38*O38</f>
        <v/>
      </c>
      <c r="AA38" s="81">
        <f>C38*K38</f>
        <v/>
      </c>
      <c r="AB38" s="81">
        <f>P38*O38*K38</f>
        <v/>
      </c>
      <c r="AC38" s="31" t="n"/>
      <c r="AD38" s="31" t="n"/>
      <c r="AE38" s="31" t="n"/>
      <c r="AF38" s="31" t="n"/>
      <c r="AG38" s="31" t="n"/>
      <c r="AH38" s="31" t="n"/>
      <c r="AI38" s="31" t="n"/>
    </row>
    <row r="39">
      <c r="A39" s="8" t="n"/>
      <c r="B39" s="8" t="n"/>
      <c r="C39" s="8" t="n"/>
      <c r="D39" s="33">
        <f>C39/$U$3</f>
        <v/>
      </c>
      <c r="E39" s="7" t="n"/>
      <c r="F39" s="7" t="n"/>
      <c r="G39" s="7" t="n"/>
      <c r="H39" s="7" t="n"/>
      <c r="I39" s="91" t="n"/>
      <c r="J39" s="7" t="n"/>
      <c r="K39" s="33">
        <f>SUM(E39:I39)</f>
        <v/>
      </c>
      <c r="L39" s="33">
        <f>K39*D39</f>
        <v/>
      </c>
      <c r="M39" s="33">
        <f>K39*C39</f>
        <v/>
      </c>
      <c r="N39" s="7" t="n"/>
      <c r="O39" s="33">
        <f>N39*C39</f>
        <v/>
      </c>
      <c r="P39" s="7" t="n"/>
      <c r="Q39" s="7" t="n"/>
      <c r="R39" s="7" t="n"/>
      <c r="S39" s="33">
        <f>O39*L39</f>
        <v/>
      </c>
      <c r="U39" s="31" t="n"/>
      <c r="V39" s="31" t="n"/>
      <c r="W39" s="31" t="n"/>
      <c r="X39" s="31" t="n"/>
      <c r="Y39" s="33">
        <f>Q39*K39*R39</f>
        <v/>
      </c>
      <c r="Z39" s="33">
        <f>Y39*O39</f>
        <v/>
      </c>
      <c r="AA39" s="81">
        <f>C39*K39</f>
        <v/>
      </c>
      <c r="AB39" s="81">
        <f>P39*O39*K39</f>
        <v/>
      </c>
      <c r="AC39" s="31" t="n"/>
      <c r="AD39" s="31" t="n"/>
      <c r="AE39" s="31" t="n"/>
      <c r="AF39" s="31" t="n"/>
      <c r="AG39" s="31" t="n"/>
      <c r="AH39" s="31" t="n"/>
      <c r="AI39" s="31" t="n"/>
    </row>
    <row r="40">
      <c r="A40" s="8" t="n"/>
      <c r="B40" s="8" t="n"/>
      <c r="C40" s="8" t="n"/>
      <c r="D40" s="33">
        <f>C40/$U$3</f>
        <v/>
      </c>
      <c r="E40" s="7" t="n"/>
      <c r="F40" s="7" t="n"/>
      <c r="G40" s="7" t="n"/>
      <c r="H40" s="7" t="n"/>
      <c r="I40" s="91" t="n"/>
      <c r="J40" s="7" t="n"/>
      <c r="K40" s="33">
        <f>SUM(E40:I40)</f>
        <v/>
      </c>
      <c r="L40" s="33">
        <f>K40*D40</f>
        <v/>
      </c>
      <c r="M40" s="33">
        <f>K40*C40</f>
        <v/>
      </c>
      <c r="N40" s="7" t="n"/>
      <c r="O40" s="33">
        <f>N40*C40</f>
        <v/>
      </c>
      <c r="P40" s="7" t="n"/>
      <c r="Q40" s="7" t="n"/>
      <c r="R40" s="7" t="n"/>
      <c r="S40" s="33">
        <f>O40*L40</f>
        <v/>
      </c>
      <c r="U40" s="31" t="n"/>
      <c r="V40" s="31" t="n"/>
      <c r="W40" s="31" t="n"/>
      <c r="X40" s="31" t="n"/>
      <c r="Y40" s="33">
        <f>Q40*K40*R40</f>
        <v/>
      </c>
      <c r="Z40" s="33">
        <f>Y40*O40</f>
        <v/>
      </c>
      <c r="AA40" s="81">
        <f>C40*K40</f>
        <v/>
      </c>
      <c r="AB40" s="81">
        <f>P40*O40*K40</f>
        <v/>
      </c>
      <c r="AC40" s="31" t="n"/>
      <c r="AD40" s="31" t="n"/>
      <c r="AE40" s="31" t="n"/>
      <c r="AF40" s="31" t="n"/>
      <c r="AG40" s="31" t="n"/>
      <c r="AH40" s="31" t="n"/>
      <c r="AI40" s="31" t="n"/>
    </row>
    <row r="41">
      <c r="A41" s="8" t="n"/>
      <c r="B41" s="7" t="n"/>
      <c r="C41" s="8" t="n"/>
      <c r="D41" s="33">
        <f>C41/$U$3</f>
        <v/>
      </c>
      <c r="E41" s="7" t="n"/>
      <c r="F41" s="7" t="n"/>
      <c r="G41" s="7" t="n"/>
      <c r="H41" s="7" t="n"/>
      <c r="I41" s="91" t="n"/>
      <c r="J41" s="7" t="n"/>
      <c r="K41" s="33">
        <f>SUM(E41:I41)</f>
        <v/>
      </c>
      <c r="L41" s="33">
        <f>K41*D41</f>
        <v/>
      </c>
      <c r="M41" s="33">
        <f>K41*C41</f>
        <v/>
      </c>
      <c r="N41" s="7" t="n"/>
      <c r="O41" s="33">
        <f>N41*C41</f>
        <v/>
      </c>
      <c r="P41" s="7" t="n"/>
      <c r="Q41" s="7" t="n"/>
      <c r="R41" s="7" t="n"/>
      <c r="S41" s="33">
        <f>O41*L41</f>
        <v/>
      </c>
      <c r="U41" s="31" t="n"/>
      <c r="V41" s="31" t="n"/>
      <c r="W41" s="31" t="n"/>
      <c r="X41" s="31" t="n"/>
      <c r="Y41" s="33">
        <f>Q41*K41*R41</f>
        <v/>
      </c>
      <c r="Z41" s="33">
        <f>Y41*O41</f>
        <v/>
      </c>
      <c r="AA41" s="81">
        <f>C41*K41</f>
        <v/>
      </c>
      <c r="AB41" s="81">
        <f>P41*O41*K41</f>
        <v/>
      </c>
      <c r="AC41" s="31" t="n"/>
      <c r="AD41" s="31" t="n"/>
      <c r="AE41" s="31" t="n"/>
      <c r="AF41" s="31" t="n"/>
      <c r="AG41" s="31" t="n"/>
      <c r="AH41" s="31" t="n"/>
      <c r="AI41" s="31" t="n"/>
    </row>
    <row r="42">
      <c r="A42" s="8" t="n"/>
      <c r="B42" s="7" t="n"/>
      <c r="C42" s="8" t="n"/>
      <c r="D42" s="33">
        <f>C42/$U$3</f>
        <v/>
      </c>
      <c r="E42" s="7" t="n"/>
      <c r="F42" s="7" t="n"/>
      <c r="G42" s="7" t="n"/>
      <c r="H42" s="7" t="n"/>
      <c r="I42" s="91" t="n"/>
      <c r="J42" s="7" t="n"/>
      <c r="K42" s="33">
        <f>SUM(E42:I42)</f>
        <v/>
      </c>
      <c r="L42" s="33">
        <f>K42*D42</f>
        <v/>
      </c>
      <c r="M42" s="33">
        <f>K42*C42</f>
        <v/>
      </c>
      <c r="N42" s="7" t="n"/>
      <c r="O42" s="33">
        <f>N42*C42</f>
        <v/>
      </c>
      <c r="P42" s="7" t="n"/>
      <c r="Q42" s="7" t="n"/>
      <c r="R42" s="7" t="n"/>
      <c r="S42" s="33">
        <f>O42*L42</f>
        <v/>
      </c>
      <c r="U42" s="31" t="n"/>
      <c r="V42" s="31" t="n"/>
      <c r="W42" s="31" t="n"/>
      <c r="X42" s="31" t="n"/>
      <c r="Y42" s="33">
        <f>Q42*K42*R42</f>
        <v/>
      </c>
      <c r="Z42" s="33">
        <f>Y42*O42</f>
        <v/>
      </c>
      <c r="AA42" s="81">
        <f>C42*K42</f>
        <v/>
      </c>
      <c r="AB42" s="81">
        <f>P42*O42*K42</f>
        <v/>
      </c>
      <c r="AC42" s="31" t="n"/>
      <c r="AD42" s="31" t="n"/>
      <c r="AE42" s="31" t="n"/>
      <c r="AF42" s="31" t="n"/>
      <c r="AG42" s="31" t="n"/>
      <c r="AH42" s="31" t="n"/>
      <c r="AI42" s="31" t="n"/>
    </row>
    <row r="43">
      <c r="A43" s="8" t="n"/>
      <c r="B43" s="7" t="n"/>
      <c r="C43" s="8" t="n"/>
      <c r="D43" s="33">
        <f>C43/$U$3</f>
        <v/>
      </c>
      <c r="E43" s="7" t="n"/>
      <c r="F43" s="7" t="n"/>
      <c r="G43" s="7" t="n"/>
      <c r="H43" s="7" t="n"/>
      <c r="I43" s="91" t="n"/>
      <c r="J43" s="7" t="n"/>
      <c r="K43" s="33">
        <f>SUM(E43:I43)</f>
        <v/>
      </c>
      <c r="L43" s="33">
        <f>K43*D43</f>
        <v/>
      </c>
      <c r="M43" s="33">
        <f>K43*C43</f>
        <v/>
      </c>
      <c r="N43" s="7" t="n"/>
      <c r="O43" s="33">
        <f>N43*C43</f>
        <v/>
      </c>
      <c r="P43" s="7" t="n"/>
      <c r="Q43" s="7" t="n"/>
      <c r="R43" s="7" t="n"/>
      <c r="S43" s="33">
        <f>O43*L43</f>
        <v/>
      </c>
      <c r="U43" s="31" t="n"/>
      <c r="V43" s="31" t="n"/>
      <c r="W43" s="31" t="n"/>
      <c r="X43" s="31" t="n"/>
      <c r="Y43" s="33">
        <f>Q43*K43*R43</f>
        <v/>
      </c>
      <c r="Z43" s="33">
        <f>Y43*O43</f>
        <v/>
      </c>
      <c r="AA43" s="81">
        <f>C43*K43</f>
        <v/>
      </c>
      <c r="AB43" s="81">
        <f>P43*O43*K43</f>
        <v/>
      </c>
      <c r="AC43" s="31" t="n"/>
      <c r="AD43" s="31" t="n"/>
      <c r="AE43" s="31" t="n"/>
      <c r="AF43" s="31" t="n"/>
      <c r="AG43" s="31" t="n"/>
      <c r="AH43" s="31" t="n"/>
      <c r="AI43" s="31" t="n"/>
    </row>
    <row r="44">
      <c r="A44" s="8" t="n"/>
      <c r="B44" s="7" t="n"/>
      <c r="C44" s="8" t="n"/>
      <c r="D44" s="33">
        <f>C44/$U$3</f>
        <v/>
      </c>
      <c r="E44" s="7" t="n"/>
      <c r="F44" s="7" t="n"/>
      <c r="G44" s="7" t="n"/>
      <c r="H44" s="7" t="n"/>
      <c r="I44" s="91" t="n"/>
      <c r="J44" s="7" t="n"/>
      <c r="K44" s="33">
        <f>SUM(E44:I44)</f>
        <v/>
      </c>
      <c r="L44" s="33">
        <f>K44*D44</f>
        <v/>
      </c>
      <c r="M44" s="33">
        <f>K44*C44</f>
        <v/>
      </c>
      <c r="N44" s="7" t="n"/>
      <c r="O44" s="33">
        <f>N44*C44</f>
        <v/>
      </c>
      <c r="P44" s="7" t="n"/>
      <c r="Q44" s="7" t="n"/>
      <c r="R44" s="7" t="n"/>
      <c r="S44" s="33">
        <f>O44*L44</f>
        <v/>
      </c>
      <c r="U44" s="31" t="n"/>
      <c r="V44" s="31" t="n"/>
      <c r="W44" s="31" t="n"/>
      <c r="X44" s="31" t="n"/>
      <c r="Y44" s="33">
        <f>Q44*K44*R44</f>
        <v/>
      </c>
      <c r="Z44" s="33">
        <f>Y44*O44</f>
        <v/>
      </c>
      <c r="AA44" s="81">
        <f>C44*K44</f>
        <v/>
      </c>
      <c r="AB44" s="81">
        <f>(P44-1)*O44*K44</f>
        <v/>
      </c>
      <c r="AC44" s="31" t="n"/>
      <c r="AD44" s="31" t="n"/>
      <c r="AE44" s="31" t="n"/>
      <c r="AF44" s="31" t="n"/>
      <c r="AG44" s="31" t="n"/>
      <c r="AH44" s="31" t="n"/>
      <c r="AI44" s="31" t="n"/>
    </row>
    <row r="45">
      <c r="A45" s="8" t="n"/>
      <c r="B45" s="7" t="n"/>
      <c r="C45" s="8" t="n"/>
      <c r="D45" s="33">
        <f>C45/$U$3</f>
        <v/>
      </c>
      <c r="E45" s="7" t="n"/>
      <c r="F45" s="7" t="n"/>
      <c r="G45" s="7" t="n"/>
      <c r="H45" s="7" t="n"/>
      <c r="I45" s="91" t="n"/>
      <c r="J45" s="7" t="n"/>
      <c r="K45" s="33">
        <f>SUM(E45:I45)</f>
        <v/>
      </c>
      <c r="L45" s="33">
        <f>K45*D45</f>
        <v/>
      </c>
      <c r="M45" s="33">
        <f>K45*C45</f>
        <v/>
      </c>
      <c r="N45" s="7" t="n"/>
      <c r="O45" s="33">
        <f>N45*C45</f>
        <v/>
      </c>
      <c r="P45" s="7" t="n"/>
      <c r="Q45" s="7" t="n"/>
      <c r="R45" s="7" t="n"/>
      <c r="S45" s="33">
        <f>O45*L45</f>
        <v/>
      </c>
      <c r="U45" s="31" t="n"/>
      <c r="V45" s="31" t="n"/>
      <c r="W45" s="31" t="n"/>
      <c r="X45" s="31" t="n"/>
      <c r="Y45" s="33">
        <f>Q45*K45*R45</f>
        <v/>
      </c>
      <c r="Z45" s="33">
        <f>Y45*O45</f>
        <v/>
      </c>
      <c r="AA45" s="81">
        <f>C45*K45</f>
        <v/>
      </c>
      <c r="AB45" s="81">
        <f>(P45-1)*O45*K45</f>
        <v/>
      </c>
      <c r="AC45" s="31" t="n"/>
      <c r="AD45" s="31" t="n"/>
      <c r="AE45" s="31" t="n"/>
      <c r="AF45" s="31" t="n"/>
      <c r="AG45" s="31" t="n"/>
      <c r="AH45" s="31" t="n"/>
      <c r="AI45" s="31" t="n"/>
    </row>
    <row r="46">
      <c r="A46" s="8" t="n"/>
      <c r="B46" s="11" t="n"/>
      <c r="C46" s="8" t="n"/>
      <c r="D46" s="33">
        <f>C46/$U$3</f>
        <v/>
      </c>
      <c r="E46" s="7" t="n"/>
      <c r="F46" s="7" t="n"/>
      <c r="G46" s="7" t="n"/>
      <c r="H46" s="7" t="n"/>
      <c r="I46" s="91" t="n"/>
      <c r="J46" s="7" t="n"/>
      <c r="K46" s="33">
        <f>SUM(E46:I46)</f>
        <v/>
      </c>
      <c r="L46" s="33">
        <f>K46*D46</f>
        <v/>
      </c>
      <c r="M46" s="33">
        <f>K46*C46</f>
        <v/>
      </c>
      <c r="N46" s="7" t="n"/>
      <c r="O46" s="33">
        <f>N46*C46</f>
        <v/>
      </c>
      <c r="P46" s="7" t="n"/>
      <c r="Q46" s="7" t="n"/>
      <c r="R46" s="7" t="n"/>
      <c r="S46" s="33">
        <f>O46*L46</f>
        <v/>
      </c>
      <c r="U46" s="31" t="n"/>
      <c r="V46" s="31" t="n"/>
      <c r="W46" s="31" t="n"/>
      <c r="X46" s="31" t="n"/>
      <c r="Y46" s="33">
        <f>Q46*K46*R46</f>
        <v/>
      </c>
      <c r="Z46" s="33">
        <f>Y46*O46</f>
        <v/>
      </c>
      <c r="AA46" s="81">
        <f>C46*K46</f>
        <v/>
      </c>
      <c r="AB46" s="81">
        <f>(P46-1)*O46*K46</f>
        <v/>
      </c>
      <c r="AC46" s="31" t="n"/>
      <c r="AD46" s="31" t="n"/>
      <c r="AE46" s="31" t="n"/>
      <c r="AF46" s="31" t="n"/>
      <c r="AG46" s="31" t="n"/>
      <c r="AH46" s="31" t="n"/>
      <c r="AI46" s="31" t="n"/>
    </row>
    <row r="47">
      <c r="A47" s="8" t="n"/>
      <c r="B47" s="7" t="n"/>
      <c r="C47" s="8" t="n"/>
      <c r="D47" s="33">
        <f>C47/$U$3</f>
        <v/>
      </c>
      <c r="E47" s="7" t="n"/>
      <c r="F47" s="7" t="n"/>
      <c r="G47" s="7" t="n"/>
      <c r="H47" s="7" t="n"/>
      <c r="I47" s="91" t="n"/>
      <c r="J47" s="7" t="n"/>
      <c r="K47" s="33">
        <f>SUM(E47:I47)</f>
        <v/>
      </c>
      <c r="L47" s="33">
        <f>K47*D47</f>
        <v/>
      </c>
      <c r="M47" s="33">
        <f>K47*C47</f>
        <v/>
      </c>
      <c r="N47" s="7" t="n"/>
      <c r="O47" s="33">
        <f>N47*C47</f>
        <v/>
      </c>
      <c r="P47" s="7" t="n"/>
      <c r="Q47" s="7" t="n"/>
      <c r="R47" s="7" t="n"/>
      <c r="S47" s="33">
        <f>O47*L47</f>
        <v/>
      </c>
      <c r="U47" s="31" t="n"/>
      <c r="V47" s="31" t="n"/>
      <c r="W47" s="31" t="n"/>
      <c r="X47" s="31" t="n"/>
      <c r="Y47" s="33">
        <f>Q47*K47*R47</f>
        <v/>
      </c>
      <c r="Z47" s="33">
        <f>Y47*O47</f>
        <v/>
      </c>
      <c r="AA47" s="81">
        <f>C47*K47</f>
        <v/>
      </c>
      <c r="AB47" s="81">
        <f>(P47-1)*O47*K47</f>
        <v/>
      </c>
      <c r="AC47" s="31" t="n"/>
      <c r="AD47" s="31" t="n"/>
      <c r="AE47" s="31" t="n"/>
      <c r="AF47" s="31" t="n"/>
      <c r="AG47" s="31" t="n"/>
      <c r="AH47" s="31" t="n"/>
      <c r="AI47" s="31" t="n"/>
    </row>
    <row r="48">
      <c r="A48" s="17" t="n"/>
      <c r="B48" s="17" t="n"/>
      <c r="C48" s="8" t="n"/>
      <c r="D48" s="33">
        <f>C48/$U$3</f>
        <v/>
      </c>
      <c r="E48" s="7" t="n"/>
      <c r="F48" s="7" t="n"/>
      <c r="G48" s="7" t="n"/>
      <c r="H48" s="7" t="n"/>
      <c r="I48" s="91" t="n"/>
      <c r="J48" s="7" t="n"/>
      <c r="K48" s="33">
        <f>SUM(E48:I48)</f>
        <v/>
      </c>
      <c r="L48" s="33">
        <f>K48*D48</f>
        <v/>
      </c>
      <c r="M48" s="33">
        <f>K48*C48</f>
        <v/>
      </c>
      <c r="N48" s="7" t="n"/>
      <c r="O48" s="33">
        <f>N48*C48</f>
        <v/>
      </c>
      <c r="P48" s="7" t="n"/>
      <c r="Q48" s="7" t="n"/>
      <c r="R48" s="7" t="n"/>
      <c r="S48" s="33">
        <f>O48*L48</f>
        <v/>
      </c>
      <c r="U48" s="31" t="n"/>
      <c r="V48" s="31" t="n"/>
      <c r="W48" s="31" t="n"/>
      <c r="X48" s="31" t="n"/>
      <c r="Y48" s="33">
        <f>Q48*K48*R48</f>
        <v/>
      </c>
      <c r="Z48" s="33">
        <f>Y48*O48</f>
        <v/>
      </c>
      <c r="AA48" s="81">
        <f>C48*K48</f>
        <v/>
      </c>
      <c r="AB48" s="81">
        <f>(P48-1)*O48*K48</f>
        <v/>
      </c>
      <c r="AC48" s="31" t="n"/>
      <c r="AD48" s="31" t="n"/>
      <c r="AE48" s="31" t="n"/>
      <c r="AF48" s="31" t="n"/>
      <c r="AG48" s="31" t="n"/>
      <c r="AH48" s="31" t="n"/>
      <c r="AI48" s="31" t="n"/>
    </row>
    <row r="49">
      <c r="A49" s="17" t="n"/>
      <c r="B49" s="17" t="n"/>
      <c r="C49" s="8" t="n"/>
      <c r="D49" s="33">
        <f>C49/$U$3</f>
        <v/>
      </c>
      <c r="E49" s="7" t="n"/>
      <c r="F49" s="7" t="n"/>
      <c r="G49" s="7" t="n"/>
      <c r="H49" s="7" t="n"/>
      <c r="I49" s="91" t="n"/>
      <c r="J49" s="7" t="n"/>
      <c r="K49" s="33">
        <f>SUM(E49:I49)</f>
        <v/>
      </c>
      <c r="L49" s="33">
        <f>K49*D49</f>
        <v/>
      </c>
      <c r="M49" s="33">
        <f>K49*C49</f>
        <v/>
      </c>
      <c r="N49" s="7" t="n"/>
      <c r="O49" s="33">
        <f>N49*C49</f>
        <v/>
      </c>
      <c r="P49" s="7" t="n"/>
      <c r="Q49" s="7" t="n"/>
      <c r="R49" s="7" t="n"/>
      <c r="S49" s="33">
        <f>O49*L49</f>
        <v/>
      </c>
      <c r="U49" s="31" t="n"/>
      <c r="V49" s="31" t="n"/>
      <c r="W49" s="31" t="n"/>
      <c r="X49" s="31" t="n"/>
      <c r="Y49" s="33">
        <f>Q49*K49*R49</f>
        <v/>
      </c>
      <c r="Z49" s="33">
        <f>Y49*O49</f>
        <v/>
      </c>
      <c r="AA49" s="81">
        <f>C49*K49</f>
        <v/>
      </c>
      <c r="AB49" s="81">
        <f>(P49-1)*O49*K49</f>
        <v/>
      </c>
      <c r="AC49" s="31" t="n"/>
      <c r="AD49" s="31" t="n"/>
      <c r="AE49" s="31" t="n"/>
      <c r="AF49" s="31" t="n"/>
      <c r="AG49" s="31" t="n"/>
      <c r="AH49" s="31" t="n"/>
      <c r="AI49" s="31" t="n"/>
    </row>
    <row r="50">
      <c r="A50" s="17" t="n"/>
      <c r="B50" s="17" t="n"/>
      <c r="C50" s="8" t="n"/>
      <c r="D50" s="33">
        <f>C50/$U$3</f>
        <v/>
      </c>
      <c r="E50" s="7" t="n"/>
      <c r="F50" s="7" t="n"/>
      <c r="G50" s="7" t="n"/>
      <c r="H50" s="7" t="n"/>
      <c r="I50" s="91" t="n"/>
      <c r="J50" s="7" t="n"/>
      <c r="K50" s="33">
        <f>SUM(E50:I50)</f>
        <v/>
      </c>
      <c r="L50" s="33">
        <f>K50*D50</f>
        <v/>
      </c>
      <c r="M50" s="33">
        <f>K50*C50</f>
        <v/>
      </c>
      <c r="N50" s="7" t="n"/>
      <c r="O50" s="33">
        <f>N50*C50</f>
        <v/>
      </c>
      <c r="P50" s="7" t="n"/>
      <c r="Q50" s="7" t="n"/>
      <c r="R50" s="7" t="n"/>
      <c r="S50" s="33">
        <f>O50*L50</f>
        <v/>
      </c>
      <c r="U50" s="31" t="n"/>
      <c r="V50" s="31" t="n"/>
      <c r="W50" s="31" t="n"/>
      <c r="X50" s="31" t="n"/>
      <c r="Y50" s="33">
        <f>Q50*K50*R50</f>
        <v/>
      </c>
      <c r="Z50" s="33">
        <f>Y50*O50</f>
        <v/>
      </c>
      <c r="AA50" s="81">
        <f>C50*K50</f>
        <v/>
      </c>
      <c r="AB50" s="81">
        <f>(P50-1)*O50*K50</f>
        <v/>
      </c>
      <c r="AC50" s="31" t="n"/>
      <c r="AD50" s="31" t="n"/>
      <c r="AE50" s="31" t="n"/>
      <c r="AF50" s="31" t="n"/>
      <c r="AG50" s="31" t="n"/>
      <c r="AH50" s="31" t="n"/>
      <c r="AI50" s="31" t="n"/>
    </row>
    <row r="51">
      <c r="A51" s="17" t="n"/>
      <c r="B51" s="17" t="n"/>
      <c r="C51" s="8" t="n"/>
      <c r="D51" s="33">
        <f>C51/$U$3</f>
        <v/>
      </c>
      <c r="E51" s="7" t="n"/>
      <c r="F51" s="7" t="n"/>
      <c r="G51" s="7" t="n"/>
      <c r="H51" s="7" t="n"/>
      <c r="I51" s="91" t="n"/>
      <c r="J51" s="7" t="n"/>
      <c r="K51" s="33">
        <f>SUM(E51:I51)</f>
        <v/>
      </c>
      <c r="L51" s="33">
        <f>K51*D51</f>
        <v/>
      </c>
      <c r="M51" s="33">
        <f>K51*C51</f>
        <v/>
      </c>
      <c r="N51" s="7" t="n"/>
      <c r="O51" s="33">
        <f>N51*C51</f>
        <v/>
      </c>
      <c r="P51" s="7" t="n"/>
      <c r="Q51" s="7" t="n"/>
      <c r="R51" s="7" t="n"/>
      <c r="S51" s="33">
        <f>O51*L51</f>
        <v/>
      </c>
      <c r="U51" s="31" t="n"/>
      <c r="V51" s="31" t="n"/>
      <c r="W51" s="31" t="n"/>
      <c r="X51" s="31" t="n"/>
      <c r="Y51" s="33">
        <f>Q51*K51*R51</f>
        <v/>
      </c>
      <c r="Z51" s="33">
        <f>Y51*O51</f>
        <v/>
      </c>
      <c r="AA51" s="81">
        <f>C51*K51</f>
        <v/>
      </c>
      <c r="AB51" s="81">
        <f>(P51-1)*O51*K51</f>
        <v/>
      </c>
      <c r="AC51" s="31" t="n"/>
      <c r="AD51" s="31" t="n"/>
      <c r="AE51" s="31" t="n"/>
      <c r="AF51" s="31" t="n"/>
      <c r="AG51" s="31" t="n"/>
      <c r="AH51" s="31" t="n"/>
      <c r="AI51" s="31" t="n"/>
    </row>
    <row r="52">
      <c r="A52" s="7" t="n"/>
      <c r="B52" s="7" t="n"/>
      <c r="C52" s="8" t="n"/>
      <c r="D52" s="33">
        <f>C52/$U$3</f>
        <v/>
      </c>
      <c r="E52" s="7" t="n"/>
      <c r="F52" s="7" t="n"/>
      <c r="G52" s="7" t="n"/>
      <c r="H52" s="7" t="n"/>
      <c r="I52" s="91" t="n"/>
      <c r="J52" s="7" t="n"/>
      <c r="K52" s="33">
        <f>SUM(E52:I52)</f>
        <v/>
      </c>
      <c r="L52" s="33">
        <f>K52*D52</f>
        <v/>
      </c>
      <c r="M52" s="33">
        <f>K52*C52</f>
        <v/>
      </c>
      <c r="N52" s="7" t="n"/>
      <c r="O52" s="33">
        <f>N52*C52</f>
        <v/>
      </c>
      <c r="P52" s="7" t="n"/>
      <c r="Q52" s="7" t="n"/>
      <c r="R52" s="7" t="n"/>
      <c r="S52" s="33">
        <f>O52*L52</f>
        <v/>
      </c>
      <c r="U52" s="31" t="n"/>
      <c r="V52" s="31" t="n"/>
      <c r="W52" s="31" t="n"/>
      <c r="X52" s="31" t="n"/>
      <c r="Y52" s="33">
        <f>Q52*K52*R52</f>
        <v/>
      </c>
      <c r="Z52" s="33">
        <f>Y52*O52</f>
        <v/>
      </c>
      <c r="AA52" s="81">
        <f>C52*K52</f>
        <v/>
      </c>
      <c r="AB52" s="81">
        <f>(P52-1)*O52*K52</f>
        <v/>
      </c>
      <c r="AC52" s="31" t="n"/>
      <c r="AD52" s="31" t="n"/>
      <c r="AE52" s="31" t="n"/>
      <c r="AF52" s="31" t="n"/>
      <c r="AG52" s="31" t="n"/>
      <c r="AH52" s="31" t="n"/>
      <c r="AI52" s="31" t="n"/>
    </row>
    <row r="53">
      <c r="A53" s="7" t="n"/>
      <c r="B53" s="7" t="n"/>
      <c r="C53" s="8" t="n"/>
      <c r="D53" s="33">
        <f>C53/$U$3</f>
        <v/>
      </c>
      <c r="E53" s="7" t="n"/>
      <c r="F53" s="7" t="n"/>
      <c r="G53" s="7" t="n"/>
      <c r="H53" s="7" t="n"/>
      <c r="I53" s="91" t="n"/>
      <c r="J53" s="7" t="n"/>
      <c r="K53" s="33">
        <f>SUM(E53:I53)</f>
        <v/>
      </c>
      <c r="L53" s="33">
        <f>K53*D53</f>
        <v/>
      </c>
      <c r="M53" s="33">
        <f>K53*C53</f>
        <v/>
      </c>
      <c r="N53" s="7" t="n"/>
      <c r="O53" s="33">
        <f>N53*C53</f>
        <v/>
      </c>
      <c r="P53" s="7" t="n"/>
      <c r="Q53" s="7" t="n"/>
      <c r="R53" s="7" t="n"/>
      <c r="S53" s="33">
        <f>O53*L53</f>
        <v/>
      </c>
      <c r="U53" s="31" t="n"/>
      <c r="V53" s="31" t="n"/>
      <c r="W53" s="31" t="n"/>
      <c r="X53" s="31" t="n"/>
      <c r="Y53" s="33">
        <f>Q53*K53*R53</f>
        <v/>
      </c>
      <c r="Z53" s="33">
        <f>Y53*O53</f>
        <v/>
      </c>
      <c r="AA53" s="81">
        <f>C53*H53</f>
        <v/>
      </c>
      <c r="AB53" s="81">
        <f>(P53-1)*O53*K53</f>
        <v/>
      </c>
      <c r="AC53" s="31" t="n"/>
      <c r="AD53" s="31" t="n"/>
      <c r="AE53" s="31" t="n"/>
      <c r="AF53" s="31" t="n"/>
      <c r="AG53" s="31" t="n"/>
      <c r="AH53" s="31" t="n"/>
      <c r="AI53" s="31" t="n"/>
    </row>
    <row r="54">
      <c r="A54" s="7" t="n"/>
      <c r="B54" s="7" t="n"/>
      <c r="C54" s="8" t="n"/>
      <c r="D54" s="33">
        <f>C54/$U$3</f>
        <v/>
      </c>
      <c r="E54" s="7" t="n"/>
      <c r="F54" s="7" t="n"/>
      <c r="G54" s="7" t="n"/>
      <c r="H54" s="7" t="n"/>
      <c r="I54" s="91" t="n"/>
      <c r="J54" s="7" t="n"/>
      <c r="K54" s="33">
        <f>SUM(E54:I54)</f>
        <v/>
      </c>
      <c r="L54" s="33">
        <f>K54*D54</f>
        <v/>
      </c>
      <c r="M54" s="33">
        <f>K54*C54</f>
        <v/>
      </c>
      <c r="N54" s="7" t="n"/>
      <c r="O54" s="33">
        <f>N54*C54</f>
        <v/>
      </c>
      <c r="P54" s="7" t="n"/>
      <c r="Q54" s="7" t="n"/>
      <c r="R54" s="7" t="n"/>
      <c r="S54" s="33">
        <f>O54*L54</f>
        <v/>
      </c>
      <c r="U54" s="31" t="n"/>
      <c r="V54" s="31" t="n"/>
      <c r="W54" s="31" t="n"/>
      <c r="X54" s="31" t="n"/>
      <c r="Y54" s="33">
        <f>Q54*K54*R54</f>
        <v/>
      </c>
      <c r="Z54" s="33">
        <f>Y54*O54</f>
        <v/>
      </c>
      <c r="AA54" s="81">
        <f>C54*H54</f>
        <v/>
      </c>
      <c r="AB54" s="81">
        <f>(P54-1)*O54*K54</f>
        <v/>
      </c>
      <c r="AC54" s="31" t="n"/>
      <c r="AD54" s="31" t="n"/>
      <c r="AE54" s="31" t="n"/>
      <c r="AF54" s="31" t="n"/>
      <c r="AG54" s="31" t="n"/>
      <c r="AH54" s="31" t="n"/>
      <c r="AI54" s="31" t="n"/>
    </row>
    <row r="55">
      <c r="A55" s="7" t="n"/>
      <c r="B55" s="7" t="n"/>
      <c r="C55" s="8" t="n"/>
      <c r="D55" s="33">
        <f>C55/$U$3</f>
        <v/>
      </c>
      <c r="E55" s="7" t="n"/>
      <c r="F55" s="7" t="n"/>
      <c r="G55" s="7" t="n"/>
      <c r="H55" s="7" t="n"/>
      <c r="I55" s="91" t="n"/>
      <c r="J55" s="7" t="n"/>
      <c r="K55" s="33">
        <f>SUM(E55:I55)</f>
        <v/>
      </c>
      <c r="L55" s="33">
        <f>K55*D55</f>
        <v/>
      </c>
      <c r="M55" s="33">
        <f>K55*C55</f>
        <v/>
      </c>
      <c r="N55" s="7" t="n"/>
      <c r="O55" s="33">
        <f>N55*C55</f>
        <v/>
      </c>
      <c r="P55" s="7" t="n"/>
      <c r="Q55" s="7" t="n"/>
      <c r="R55" s="7" t="n"/>
      <c r="S55" s="33">
        <f>O55*L55</f>
        <v/>
      </c>
      <c r="U55" s="31" t="n"/>
      <c r="V55" s="31" t="n"/>
      <c r="W55" s="31" t="n"/>
      <c r="X55" s="31" t="n"/>
      <c r="Y55" s="33">
        <f>Q55*K55*R55</f>
        <v/>
      </c>
      <c r="Z55" s="33">
        <f>Y55*O55</f>
        <v/>
      </c>
      <c r="AA55" s="81">
        <f>C55*H55</f>
        <v/>
      </c>
      <c r="AB55" s="81">
        <f>(P55-1)*O55*K55</f>
        <v/>
      </c>
      <c r="AC55" s="31" t="n"/>
      <c r="AD55" s="31" t="n"/>
      <c r="AE55" s="31" t="n"/>
      <c r="AF55" s="31" t="n"/>
      <c r="AG55" s="31" t="n"/>
      <c r="AH55" s="31" t="n"/>
      <c r="AI55" s="31" t="n"/>
    </row>
    <row r="56">
      <c r="A56" s="7" t="n"/>
      <c r="B56" s="7" t="n"/>
      <c r="C56" s="8" t="n"/>
      <c r="D56" s="33">
        <f>C56/$U$3</f>
        <v/>
      </c>
      <c r="E56" s="7" t="n"/>
      <c r="F56" s="7" t="n"/>
      <c r="G56" s="7" t="n"/>
      <c r="H56" s="7" t="n"/>
      <c r="I56" s="91" t="n"/>
      <c r="J56" s="7" t="n"/>
      <c r="K56" s="33">
        <f>SUM(E56:I56)</f>
        <v/>
      </c>
      <c r="L56" s="33">
        <f>K56*D56</f>
        <v/>
      </c>
      <c r="M56" s="33">
        <f>K56*C56</f>
        <v/>
      </c>
      <c r="N56" s="7" t="n"/>
      <c r="O56" s="33">
        <f>N56*C56</f>
        <v/>
      </c>
      <c r="P56" s="7" t="n"/>
      <c r="Q56" s="7" t="n"/>
      <c r="R56" s="7" t="n"/>
      <c r="S56" s="33">
        <f>O56*L56</f>
        <v/>
      </c>
      <c r="U56" s="31" t="n"/>
      <c r="V56" s="31" t="n"/>
      <c r="W56" s="31" t="n"/>
      <c r="X56" s="31" t="n"/>
      <c r="Y56" s="33">
        <f>Q56*K56*R56</f>
        <v/>
      </c>
      <c r="Z56" s="33">
        <f>Y56*O56</f>
        <v/>
      </c>
      <c r="AA56" s="81">
        <f>C56*H56</f>
        <v/>
      </c>
      <c r="AB56" s="81">
        <f>(P56-1)*O56*K56</f>
        <v/>
      </c>
      <c r="AC56" s="31" t="n"/>
      <c r="AD56" s="31" t="n"/>
      <c r="AE56" s="31" t="n"/>
      <c r="AF56" s="31" t="n"/>
      <c r="AG56" s="31" t="n"/>
      <c r="AH56" s="31" t="n"/>
      <c r="AI56" s="31" t="n"/>
    </row>
    <row r="57">
      <c r="A57" s="7" t="n"/>
      <c r="B57" s="7" t="n"/>
      <c r="C57" s="8" t="n"/>
      <c r="D57" s="33">
        <f>C57/$U$3</f>
        <v/>
      </c>
      <c r="E57" s="7" t="n"/>
      <c r="F57" s="7" t="n"/>
      <c r="G57" s="7" t="n"/>
      <c r="H57" s="7" t="n"/>
      <c r="I57" s="91" t="n"/>
      <c r="J57" s="7" t="n"/>
      <c r="K57" s="33">
        <f>SUM(E57:I57)</f>
        <v/>
      </c>
      <c r="L57" s="33">
        <f>K57*D57</f>
        <v/>
      </c>
      <c r="M57" s="33">
        <f>K57*C57</f>
        <v/>
      </c>
      <c r="N57" s="7" t="n"/>
      <c r="O57" s="33">
        <f>N57*C57</f>
        <v/>
      </c>
      <c r="P57" s="7" t="n"/>
      <c r="Q57" s="7" t="n"/>
      <c r="R57" s="7" t="n"/>
      <c r="S57" s="33">
        <f>O57*L57</f>
        <v/>
      </c>
      <c r="U57" s="31" t="n"/>
      <c r="V57" s="31" t="n"/>
      <c r="W57" s="31" t="n"/>
      <c r="X57" s="31" t="n"/>
      <c r="Y57" s="33">
        <f>Q57*K57*R57</f>
        <v/>
      </c>
      <c r="Z57" s="33">
        <f>Y57*O57</f>
        <v/>
      </c>
      <c r="AA57" s="81">
        <f>C57*H57</f>
        <v/>
      </c>
      <c r="AB57" s="81">
        <f>(P57-1)*O57*K57</f>
        <v/>
      </c>
    </row>
    <row r="58">
      <c r="A58" s="7" t="n"/>
      <c r="B58" s="7" t="n"/>
      <c r="C58" s="8" t="n"/>
      <c r="D58" s="33">
        <f>C58/$U$3</f>
        <v/>
      </c>
      <c r="E58" s="7" t="n"/>
      <c r="F58" s="7" t="n"/>
      <c r="G58" s="7" t="n"/>
      <c r="H58" s="7" t="n"/>
      <c r="I58" s="91" t="n"/>
      <c r="J58" s="7" t="n"/>
      <c r="K58" s="33">
        <f>SUM(E58:I58)</f>
        <v/>
      </c>
      <c r="L58" s="33">
        <f>K58*D58</f>
        <v/>
      </c>
      <c r="M58" s="33">
        <f>K58*C58</f>
        <v/>
      </c>
      <c r="N58" s="7" t="n"/>
      <c r="O58" s="33">
        <f>N58*C58</f>
        <v/>
      </c>
      <c r="P58" s="7" t="n"/>
      <c r="Q58" s="7" t="n"/>
      <c r="R58" s="7" t="n"/>
      <c r="S58" s="33">
        <f>O58*L58</f>
        <v/>
      </c>
      <c r="U58" s="31" t="n"/>
      <c r="V58" s="31" t="n"/>
      <c r="W58" s="31" t="n"/>
      <c r="X58" s="31" t="n"/>
      <c r="Y58" s="33">
        <f>Q58*K58*R58</f>
        <v/>
      </c>
      <c r="Z58" s="33">
        <f>Y58*O58</f>
        <v/>
      </c>
      <c r="AA58" s="81">
        <f>C58*H58</f>
        <v/>
      </c>
      <c r="AB58" s="81">
        <f>(P58-1)*O58*K58</f>
        <v/>
      </c>
    </row>
    <row r="59">
      <c r="A59" s="7" t="n"/>
      <c r="B59" s="7" t="n"/>
      <c r="C59" s="8" t="n"/>
      <c r="D59" s="33">
        <f>C59/$U$3</f>
        <v/>
      </c>
      <c r="E59" s="7" t="n"/>
      <c r="F59" s="7" t="n"/>
      <c r="G59" s="7" t="n"/>
      <c r="H59" s="7" t="n"/>
      <c r="I59" s="91" t="n"/>
      <c r="J59" s="7" t="n"/>
      <c r="K59" s="33">
        <f>SUM(E59:I59)</f>
        <v/>
      </c>
      <c r="L59" s="33">
        <f>K59*D59</f>
        <v/>
      </c>
      <c r="M59" s="33">
        <f>K59*C59</f>
        <v/>
      </c>
      <c r="N59" s="7" t="n"/>
      <c r="O59" s="33">
        <f>N59*C59</f>
        <v/>
      </c>
      <c r="P59" s="7" t="n"/>
      <c r="Q59" s="7" t="n"/>
      <c r="R59" s="7" t="n"/>
      <c r="S59" s="33">
        <f>O59*L59</f>
        <v/>
      </c>
      <c r="U59" s="31" t="n"/>
      <c r="V59" s="31" t="n"/>
      <c r="W59" s="31" t="n"/>
      <c r="X59" s="31" t="n"/>
      <c r="Y59" s="33">
        <f>Q59*K59*R59</f>
        <v/>
      </c>
      <c r="Z59" s="33">
        <f>Y59*O59</f>
        <v/>
      </c>
      <c r="AA59" s="81">
        <f>C59*H59</f>
        <v/>
      </c>
      <c r="AB59" s="81">
        <f>(P59-1)*O59*K59</f>
        <v/>
      </c>
    </row>
    <row r="60">
      <c r="A60" s="7" t="n"/>
      <c r="B60" s="7" t="n"/>
      <c r="C60" s="8" t="n"/>
      <c r="D60" s="33">
        <f>C60/$U$3</f>
        <v/>
      </c>
      <c r="E60" s="7" t="n"/>
      <c r="F60" s="7" t="n"/>
      <c r="G60" s="7" t="n"/>
      <c r="H60" s="7" t="n"/>
      <c r="I60" s="91" t="n"/>
      <c r="J60" s="7" t="n"/>
      <c r="K60" s="33">
        <f>SUM(E60:I60)</f>
        <v/>
      </c>
      <c r="L60" s="33">
        <f>K60*D60</f>
        <v/>
      </c>
      <c r="M60" s="33">
        <f>K60*C60</f>
        <v/>
      </c>
      <c r="N60" s="7" t="n"/>
      <c r="O60" s="33">
        <f>N60*C60</f>
        <v/>
      </c>
      <c r="P60" s="7" t="n"/>
      <c r="Q60" s="7" t="n"/>
      <c r="R60" s="7" t="n"/>
      <c r="S60" s="33">
        <f>O60*L60</f>
        <v/>
      </c>
      <c r="U60" s="31" t="n"/>
      <c r="V60" s="31" t="n"/>
      <c r="W60" s="31" t="n"/>
      <c r="X60" s="31" t="n"/>
      <c r="Y60" s="33">
        <f>Q60*K60*R60</f>
        <v/>
      </c>
      <c r="Z60" s="33">
        <f>Y60*O60</f>
        <v/>
      </c>
      <c r="AA60" s="81">
        <f>C60*H60</f>
        <v/>
      </c>
      <c r="AB60" s="81">
        <f>(P60-1)*O60*K60</f>
        <v/>
      </c>
    </row>
    <row r="61">
      <c r="A61" s="7" t="n"/>
      <c r="B61" s="7" t="n"/>
      <c r="C61" s="8" t="n"/>
      <c r="D61" s="33">
        <f>C61/$U$3</f>
        <v/>
      </c>
      <c r="E61" s="7" t="n"/>
      <c r="F61" s="7" t="n"/>
      <c r="G61" s="7" t="n"/>
      <c r="H61" s="7" t="n"/>
      <c r="I61" s="91" t="n"/>
      <c r="J61" s="7" t="n"/>
      <c r="K61" s="33">
        <f>SUM(E61:I61)</f>
        <v/>
      </c>
      <c r="L61" s="33">
        <f>K61*D61</f>
        <v/>
      </c>
      <c r="M61" s="33">
        <f>K61*C61</f>
        <v/>
      </c>
      <c r="N61" s="7" t="n"/>
      <c r="O61" s="33">
        <f>N61*C61</f>
        <v/>
      </c>
      <c r="P61" s="7" t="n"/>
      <c r="Q61" s="7" t="n"/>
      <c r="R61" s="7" t="n"/>
      <c r="S61" s="33">
        <f>O61*L61</f>
        <v/>
      </c>
      <c r="U61" s="31" t="n"/>
      <c r="V61" s="31" t="n"/>
      <c r="W61" s="31" t="n"/>
      <c r="X61" s="31" t="n"/>
      <c r="Y61" s="33">
        <f>Q61*K61*R61</f>
        <v/>
      </c>
      <c r="Z61" s="33">
        <f>Y61*O61</f>
        <v/>
      </c>
      <c r="AA61" s="81">
        <f>C61*H61</f>
        <v/>
      </c>
      <c r="AB61" s="81">
        <f>(P61-1)*O61*K61</f>
        <v/>
      </c>
    </row>
    <row r="62">
      <c r="A62" s="7" t="n"/>
      <c r="B62" s="7" t="n"/>
      <c r="C62" s="8" t="n"/>
      <c r="D62" s="33">
        <f>C62/$U$3</f>
        <v/>
      </c>
      <c r="E62" s="7" t="n"/>
      <c r="F62" s="7" t="n"/>
      <c r="G62" s="7" t="n"/>
      <c r="H62" s="7" t="n"/>
      <c r="I62" s="91" t="n"/>
      <c r="J62" s="7" t="n"/>
      <c r="K62" s="33">
        <f>SUM(E62:I62)</f>
        <v/>
      </c>
      <c r="L62" s="33">
        <f>K62*D62</f>
        <v/>
      </c>
      <c r="M62" s="33">
        <f>K62*C62</f>
        <v/>
      </c>
      <c r="N62" s="7" t="n"/>
      <c r="O62" s="33">
        <f>N62*C62</f>
        <v/>
      </c>
      <c r="P62" s="7" t="n"/>
      <c r="Q62" s="7" t="n"/>
      <c r="R62" s="7" t="n"/>
      <c r="S62" s="33">
        <f>O62*L62</f>
        <v/>
      </c>
      <c r="U62" s="31" t="n"/>
      <c r="V62" s="31" t="n"/>
      <c r="W62" s="31" t="n"/>
      <c r="X62" s="31" t="n"/>
      <c r="Y62" s="33">
        <f>Q62*K62*R62</f>
        <v/>
      </c>
      <c r="Z62" s="33">
        <f>Y62*O62</f>
        <v/>
      </c>
      <c r="AA62" s="81">
        <f>C62*H62</f>
        <v/>
      </c>
      <c r="AB62" s="81">
        <f>(P62-1)*O62*K62</f>
        <v/>
      </c>
    </row>
    <row r="63">
      <c r="A63" s="7" t="n"/>
      <c r="B63" s="7" t="n"/>
      <c r="C63" s="8" t="n"/>
      <c r="D63" s="33">
        <f>C63/$U$3</f>
        <v/>
      </c>
      <c r="E63" s="7" t="n"/>
      <c r="F63" s="7" t="n"/>
      <c r="G63" s="7" t="n"/>
      <c r="H63" s="7" t="n"/>
      <c r="I63" s="91" t="n"/>
      <c r="J63" s="7" t="n"/>
      <c r="K63" s="33">
        <f>SUM(E63:I63)</f>
        <v/>
      </c>
      <c r="L63" s="33">
        <f>K63*D63</f>
        <v/>
      </c>
      <c r="M63" s="33">
        <f>K63*C63</f>
        <v/>
      </c>
      <c r="N63" s="7" t="n"/>
      <c r="O63" s="33">
        <f>N63*C63</f>
        <v/>
      </c>
      <c r="P63" s="7" t="n"/>
      <c r="Q63" s="7" t="n"/>
      <c r="R63" s="7" t="n"/>
      <c r="S63" s="33">
        <f>O63*L63</f>
        <v/>
      </c>
      <c r="U63" s="31" t="n"/>
      <c r="V63" s="31" t="n"/>
      <c r="W63" s="31" t="n"/>
      <c r="X63" s="31" t="n"/>
      <c r="Y63" s="33">
        <f>Q63*K63*R63</f>
        <v/>
      </c>
      <c r="Z63" s="33">
        <f>Y63*O63</f>
        <v/>
      </c>
      <c r="AA63" s="81">
        <f>C63*H63</f>
        <v/>
      </c>
      <c r="AB63" s="81">
        <f>(P63-1)*O63*K63</f>
        <v/>
      </c>
    </row>
    <row r="64">
      <c r="A64" s="7" t="n"/>
      <c r="B64" s="7" t="n"/>
      <c r="C64" s="8" t="n"/>
      <c r="D64" s="33">
        <f>C64/$U$3</f>
        <v/>
      </c>
      <c r="E64" s="7" t="n"/>
      <c r="F64" s="7" t="n"/>
      <c r="G64" s="7" t="n"/>
      <c r="H64" s="7" t="n"/>
      <c r="I64" s="91" t="n"/>
      <c r="J64" s="7" t="n"/>
      <c r="K64" s="33">
        <f>SUM(E64:I64)</f>
        <v/>
      </c>
      <c r="L64" s="33">
        <f>K64*D64</f>
        <v/>
      </c>
      <c r="M64" s="33">
        <f>K64*C64</f>
        <v/>
      </c>
      <c r="N64" s="7" t="n"/>
      <c r="O64" s="33">
        <f>N64*C64</f>
        <v/>
      </c>
      <c r="P64" s="7" t="n"/>
      <c r="Q64" s="7" t="n"/>
      <c r="R64" s="7" t="n"/>
      <c r="S64" s="33">
        <f>O64*L64</f>
        <v/>
      </c>
      <c r="U64" s="31" t="n"/>
      <c r="V64" s="31" t="n"/>
      <c r="W64" s="31" t="n"/>
      <c r="X64" s="31" t="n"/>
      <c r="Y64" s="33">
        <f>Q64*K64*R64</f>
        <v/>
      </c>
      <c r="Z64" s="33">
        <f>Y64*O64</f>
        <v/>
      </c>
      <c r="AA64" s="81">
        <f>C64*H64</f>
        <v/>
      </c>
      <c r="AB64" s="81">
        <f>(P64-1)*O64*K64</f>
        <v/>
      </c>
    </row>
    <row r="65">
      <c r="A65" s="7" t="n"/>
      <c r="B65" s="7" t="n"/>
      <c r="C65" s="8" t="n"/>
      <c r="D65" s="33">
        <f>C65/$U$3</f>
        <v/>
      </c>
      <c r="E65" s="7" t="n"/>
      <c r="F65" s="7" t="n"/>
      <c r="G65" s="7" t="n"/>
      <c r="H65" s="7" t="n"/>
      <c r="I65" s="91" t="n"/>
      <c r="J65" s="7" t="n"/>
      <c r="K65" s="33">
        <f>SUM(E65:I65)</f>
        <v/>
      </c>
      <c r="L65" s="33">
        <f>K65*D65</f>
        <v/>
      </c>
      <c r="M65" s="33">
        <f>K65*C65</f>
        <v/>
      </c>
      <c r="N65" s="7" t="n"/>
      <c r="O65" s="33">
        <f>N65*C65</f>
        <v/>
      </c>
      <c r="P65" s="7" t="n"/>
      <c r="Q65" s="7" t="n"/>
      <c r="R65" s="7" t="n"/>
      <c r="S65" s="33">
        <f>O65*L65</f>
        <v/>
      </c>
      <c r="U65" s="31" t="n"/>
      <c r="W65" s="31" t="n"/>
      <c r="X65" s="31" t="n"/>
      <c r="Y65" s="33">
        <f>Q65*K65*R65</f>
        <v/>
      </c>
      <c r="Z65" s="33">
        <f>Y65*O65</f>
        <v/>
      </c>
      <c r="AA65" s="81">
        <f>C65*H65</f>
        <v/>
      </c>
      <c r="AB65" s="81">
        <f>(P65-1)*O65*K65</f>
        <v/>
      </c>
    </row>
    <row r="66">
      <c r="A66" s="7" t="n"/>
      <c r="B66" s="7" t="n"/>
      <c r="C66" s="8" t="n"/>
      <c r="D66" s="33">
        <f>C66/$U$3</f>
        <v/>
      </c>
      <c r="E66" s="7" t="n"/>
      <c r="F66" s="7" t="n"/>
      <c r="G66" s="7" t="n"/>
      <c r="H66" s="7" t="n"/>
      <c r="I66" s="91" t="n"/>
      <c r="J66" s="7" t="n"/>
      <c r="K66" s="33">
        <f>SUM(E66:I66)</f>
        <v/>
      </c>
      <c r="L66" s="33">
        <f>K66*D66</f>
        <v/>
      </c>
      <c r="M66" s="33">
        <f>K66*C66</f>
        <v/>
      </c>
      <c r="N66" s="7" t="n"/>
      <c r="O66" s="33">
        <f>N66*C66</f>
        <v/>
      </c>
      <c r="P66" s="7" t="n"/>
      <c r="Q66" s="7" t="n"/>
      <c r="R66" s="7" t="n"/>
      <c r="S66" s="33">
        <f>O66*L66</f>
        <v/>
      </c>
      <c r="Y66" s="33">
        <f>Q66*K66*R66</f>
        <v/>
      </c>
      <c r="Z66" s="33">
        <f>Y66*O66</f>
        <v/>
      </c>
      <c r="AA66" s="81">
        <f>C66*H66</f>
        <v/>
      </c>
      <c r="AB66" s="81">
        <f>(P66-1)*O66*K66</f>
        <v/>
      </c>
    </row>
    <row r="67">
      <c r="A67" s="7" t="n"/>
      <c r="B67" s="7" t="n"/>
      <c r="C67" s="8" t="n"/>
      <c r="D67" s="33">
        <f>C67/$U$3</f>
        <v/>
      </c>
      <c r="E67" s="7" t="n"/>
      <c r="F67" s="7" t="n"/>
      <c r="G67" s="7" t="n"/>
      <c r="H67" s="7" t="n"/>
      <c r="I67" s="91" t="n"/>
      <c r="J67" s="7" t="n"/>
      <c r="K67" s="33">
        <f>SUM(E67:I67)</f>
        <v/>
      </c>
      <c r="L67" s="33">
        <f>K67*D67</f>
        <v/>
      </c>
      <c r="M67" s="33">
        <f>K67*C67</f>
        <v/>
      </c>
      <c r="N67" s="7" t="n"/>
      <c r="O67" s="33">
        <f>N67*C67</f>
        <v/>
      </c>
      <c r="P67" s="7" t="n"/>
      <c r="Q67" s="7" t="n"/>
      <c r="R67" s="7" t="n"/>
      <c r="S67" s="33">
        <f>O67*L67</f>
        <v/>
      </c>
      <c r="Y67" s="33">
        <f>Q67*K67*R67</f>
        <v/>
      </c>
      <c r="Z67" s="33">
        <f>Y67*O67</f>
        <v/>
      </c>
      <c r="AA67" s="81">
        <f>C67*H67</f>
        <v/>
      </c>
      <c r="AB67" s="81">
        <f>(P67-1)*O67*K67</f>
        <v/>
      </c>
    </row>
    <row r="68">
      <c r="A68" s="7" t="n"/>
      <c r="B68" s="7" t="n"/>
      <c r="C68" s="8" t="n"/>
      <c r="D68" s="33">
        <f>C68/$U$3</f>
        <v/>
      </c>
      <c r="E68" s="7" t="n"/>
      <c r="F68" s="7" t="n"/>
      <c r="G68" s="7" t="n"/>
      <c r="H68" s="7" t="n"/>
      <c r="I68" s="91" t="n"/>
      <c r="J68" s="7" t="n"/>
      <c r="K68" s="33">
        <f>SUM(E68:I68)</f>
        <v/>
      </c>
      <c r="L68" s="33">
        <f>K68*D68</f>
        <v/>
      </c>
      <c r="M68" s="33">
        <f>K68*C68</f>
        <v/>
      </c>
      <c r="N68" s="7" t="n"/>
      <c r="O68" s="33">
        <f>N68*C68</f>
        <v/>
      </c>
      <c r="P68" s="7" t="n"/>
      <c r="Q68" s="7" t="n"/>
      <c r="R68" s="7" t="n"/>
      <c r="S68" s="33">
        <f>O68*L68</f>
        <v/>
      </c>
      <c r="Y68" s="33">
        <f>Q68*K68*R68</f>
        <v/>
      </c>
      <c r="Z68" s="33">
        <f>Y68*O68</f>
        <v/>
      </c>
      <c r="AA68" s="81">
        <f>C68*H68</f>
        <v/>
      </c>
      <c r="AB68" s="81">
        <f>(P68-1)*O68*K68</f>
        <v/>
      </c>
    </row>
    <row r="69">
      <c r="A69" s="7" t="n"/>
      <c r="B69" s="7" t="n"/>
      <c r="C69" s="8" t="n"/>
      <c r="D69" s="33">
        <f>C69/$U$3</f>
        <v/>
      </c>
      <c r="E69" s="7" t="n"/>
      <c r="F69" s="7" t="n"/>
      <c r="G69" s="7" t="n"/>
      <c r="H69" s="7" t="n"/>
      <c r="I69" s="91" t="n"/>
      <c r="J69" s="7" t="n"/>
      <c r="K69" s="33">
        <f>SUM(E69:I69)</f>
        <v/>
      </c>
      <c r="L69" s="33">
        <f>K69*D69</f>
        <v/>
      </c>
      <c r="M69" s="33">
        <f>K69*C69</f>
        <v/>
      </c>
      <c r="N69" s="7" t="n"/>
      <c r="O69" s="33">
        <f>N69*C69</f>
        <v/>
      </c>
      <c r="P69" s="7" t="n"/>
      <c r="Q69" s="7" t="n"/>
      <c r="R69" s="7" t="n"/>
      <c r="S69" s="33">
        <f>O69*L69</f>
        <v/>
      </c>
      <c r="Y69" s="33">
        <f>Q69*K69*R69</f>
        <v/>
      </c>
      <c r="Z69" s="33">
        <f>Y69*O69</f>
        <v/>
      </c>
      <c r="AA69" s="81">
        <f>C69*H69</f>
        <v/>
      </c>
      <c r="AB69" s="81">
        <f>(P69-1)*O69*K69</f>
        <v/>
      </c>
    </row>
    <row r="70">
      <c r="A70" s="7" t="n"/>
      <c r="B70" s="7" t="n"/>
      <c r="C70" s="8" t="n"/>
      <c r="D70" s="33">
        <f>C70/$U$3</f>
        <v/>
      </c>
      <c r="E70" s="7" t="n"/>
      <c r="F70" s="7" t="n"/>
      <c r="G70" s="7" t="n"/>
      <c r="H70" s="7" t="n"/>
      <c r="I70" s="91" t="n"/>
      <c r="J70" s="7" t="n"/>
      <c r="K70" s="33">
        <f>SUM(E70:I70)</f>
        <v/>
      </c>
      <c r="L70" s="33">
        <f>K70*D70</f>
        <v/>
      </c>
      <c r="M70" s="33">
        <f>K70*C70</f>
        <v/>
      </c>
      <c r="N70" s="7" t="n"/>
      <c r="O70" s="33">
        <f>N70*C70</f>
        <v/>
      </c>
      <c r="P70" s="7" t="n"/>
      <c r="Q70" s="7" t="n"/>
      <c r="R70" s="7" t="n"/>
      <c r="S70" s="33">
        <f>O70*L70</f>
        <v/>
      </c>
      <c r="Y70" s="33">
        <f>Q70*K70*R70</f>
        <v/>
      </c>
      <c r="Z70" s="33">
        <f>Y70*O70</f>
        <v/>
      </c>
      <c r="AA70" s="81">
        <f>C70*H70</f>
        <v/>
      </c>
      <c r="AB70" s="81">
        <f>(P70-1)*O70*K70</f>
        <v/>
      </c>
    </row>
    <row r="71">
      <c r="A71" s="7" t="n"/>
      <c r="B71" s="7" t="n"/>
      <c r="C71" s="8" t="n"/>
      <c r="D71" s="33">
        <f>C71/$U$3</f>
        <v/>
      </c>
      <c r="E71" s="7" t="n"/>
      <c r="F71" s="7" t="n"/>
      <c r="G71" s="7" t="n"/>
      <c r="H71" s="7" t="n"/>
      <c r="I71" s="91" t="n"/>
      <c r="J71" s="7" t="n"/>
      <c r="K71" s="33">
        <f>SUM(E71:I71)</f>
        <v/>
      </c>
      <c r="L71" s="33">
        <f>K71*D71</f>
        <v/>
      </c>
      <c r="M71" s="33">
        <f>K71*C71</f>
        <v/>
      </c>
      <c r="N71" s="7" t="n"/>
      <c r="O71" s="33">
        <f>N71*C71</f>
        <v/>
      </c>
      <c r="P71" s="7" t="n"/>
      <c r="Q71" s="7" t="n"/>
      <c r="R71" s="7" t="n"/>
      <c r="S71" s="33">
        <f>O71*L71</f>
        <v/>
      </c>
      <c r="Y71" s="33">
        <f>Q71*K71*R71</f>
        <v/>
      </c>
      <c r="Z71" s="33">
        <f>Y71*O71</f>
        <v/>
      </c>
      <c r="AA71" s="81">
        <f>C71*H71</f>
        <v/>
      </c>
      <c r="AB71" s="81">
        <f>(P71-1)*O71*K71</f>
        <v/>
      </c>
    </row>
    <row r="72">
      <c r="A72" s="7" t="n"/>
      <c r="B72" s="7" t="n"/>
      <c r="C72" s="8" t="n"/>
      <c r="D72" s="33">
        <f>C72/$U$3</f>
        <v/>
      </c>
      <c r="E72" s="7" t="n"/>
      <c r="F72" s="7" t="n"/>
      <c r="G72" s="7" t="n"/>
      <c r="H72" s="7" t="n"/>
      <c r="I72" s="91" t="n"/>
      <c r="J72" s="7" t="n"/>
      <c r="K72" s="33">
        <f>SUM(E72:I72)</f>
        <v/>
      </c>
      <c r="L72" s="33">
        <f>K72*D72</f>
        <v/>
      </c>
      <c r="M72" s="33">
        <f>K72*C72</f>
        <v/>
      </c>
      <c r="N72" s="7" t="n"/>
      <c r="O72" s="33">
        <f>N72*C72</f>
        <v/>
      </c>
      <c r="P72" s="7" t="n"/>
      <c r="Q72" s="7" t="n"/>
      <c r="R72" s="7" t="n"/>
      <c r="S72" s="33">
        <f>O72*L72</f>
        <v/>
      </c>
      <c r="Y72" s="33">
        <f>Q72*K72*R72</f>
        <v/>
      </c>
      <c r="Z72" s="33">
        <f>Y72*O72</f>
        <v/>
      </c>
      <c r="AA72" s="81">
        <f>C72*H72</f>
        <v/>
      </c>
      <c r="AB72" s="81">
        <f>(P72-1)*O72*K72</f>
        <v/>
      </c>
    </row>
    <row r="73">
      <c r="A73" s="7" t="n"/>
      <c r="B73" s="7" t="n"/>
      <c r="C73" s="8" t="n"/>
      <c r="D73" s="33">
        <f>C73/$U$3</f>
        <v/>
      </c>
      <c r="E73" s="7" t="n"/>
      <c r="F73" s="7" t="n"/>
      <c r="G73" s="7" t="n"/>
      <c r="H73" s="7" t="n"/>
      <c r="I73" s="91" t="n"/>
      <c r="J73" s="7" t="n"/>
      <c r="K73" s="33">
        <f>SUM(E73:I73)</f>
        <v/>
      </c>
      <c r="L73" s="33">
        <f>K73*D73</f>
        <v/>
      </c>
      <c r="M73" s="33">
        <f>K73*C73</f>
        <v/>
      </c>
      <c r="N73" s="7" t="n"/>
      <c r="O73" s="33">
        <f>N73*C73</f>
        <v/>
      </c>
      <c r="P73" s="7" t="n"/>
      <c r="Q73" s="7" t="n"/>
      <c r="R73" s="7" t="n"/>
      <c r="S73" s="33">
        <f>O73*L73</f>
        <v/>
      </c>
      <c r="Y73" s="33">
        <f>Q73*K73*R73</f>
        <v/>
      </c>
      <c r="Z73" s="33">
        <f>Y73*O73</f>
        <v/>
      </c>
      <c r="AA73" s="81">
        <f>C73*H73</f>
        <v/>
      </c>
      <c r="AB73" s="81">
        <f>(P73-1)*O73*K73</f>
        <v/>
      </c>
    </row>
    <row r="74">
      <c r="A74" s="7" t="n"/>
      <c r="B74" s="7" t="n"/>
      <c r="C74" s="8" t="n"/>
      <c r="D74" s="33">
        <f>C74/$U$3</f>
        <v/>
      </c>
      <c r="E74" s="7" t="n"/>
      <c r="F74" s="7" t="n"/>
      <c r="G74" s="7" t="n"/>
      <c r="H74" s="7" t="n"/>
      <c r="I74" s="91" t="n"/>
      <c r="J74" s="7" t="n"/>
      <c r="K74" s="33">
        <f>SUM(E74:I74)</f>
        <v/>
      </c>
      <c r="L74" s="33">
        <f>K74*D74</f>
        <v/>
      </c>
      <c r="M74" s="33">
        <f>K74*C74</f>
        <v/>
      </c>
      <c r="N74" s="7" t="n"/>
      <c r="O74" s="33">
        <f>N74*C74</f>
        <v/>
      </c>
      <c r="P74" s="7" t="n"/>
      <c r="Q74" s="7" t="n"/>
      <c r="R74" s="7" t="n"/>
      <c r="S74" s="33">
        <f>O74*L74</f>
        <v/>
      </c>
      <c r="Y74" s="33">
        <f>Q74*K74*R74</f>
        <v/>
      </c>
      <c r="Z74" s="33">
        <f>Y74*O74</f>
        <v/>
      </c>
      <c r="AA74" s="81">
        <f>C74*H74</f>
        <v/>
      </c>
      <c r="AB74" s="81">
        <f>(P74-1)*O74*K74</f>
        <v/>
      </c>
    </row>
    <row r="75">
      <c r="A75" s="7" t="n"/>
      <c r="B75" s="7" t="n"/>
      <c r="C75" s="8" t="n"/>
      <c r="D75" s="33">
        <f>C75/$U$3</f>
        <v/>
      </c>
      <c r="E75" s="7" t="n"/>
      <c r="F75" s="7" t="n"/>
      <c r="G75" s="7" t="n"/>
      <c r="H75" s="7" t="n"/>
      <c r="I75" s="91" t="n"/>
      <c r="J75" s="7" t="n"/>
      <c r="K75" s="33">
        <f>SUM(E75:I75)</f>
        <v/>
      </c>
      <c r="L75" s="33">
        <f>K75*D75</f>
        <v/>
      </c>
      <c r="M75" s="33">
        <f>K75*C75</f>
        <v/>
      </c>
      <c r="N75" s="7" t="n"/>
      <c r="O75" s="33">
        <f>N75*C75</f>
        <v/>
      </c>
      <c r="P75" s="7" t="n"/>
      <c r="Q75" s="7" t="n"/>
      <c r="R75" s="7" t="n"/>
      <c r="S75" s="33">
        <f>O75*L75</f>
        <v/>
      </c>
      <c r="Y75" s="33">
        <f>Q75*K75*R75</f>
        <v/>
      </c>
      <c r="Z75" s="33">
        <f>Y75*O75</f>
        <v/>
      </c>
      <c r="AA75" s="81">
        <f>C75*H75</f>
        <v/>
      </c>
      <c r="AB75" s="81">
        <f>(P75-1)*O75*K75</f>
        <v/>
      </c>
    </row>
    <row r="76">
      <c r="A76" s="7" t="n"/>
      <c r="B76" s="7" t="n"/>
      <c r="C76" s="8" t="n"/>
      <c r="D76" s="33">
        <f>C76/$U$3</f>
        <v/>
      </c>
      <c r="E76" s="7" t="n"/>
      <c r="F76" s="7" t="n"/>
      <c r="G76" s="7" t="n"/>
      <c r="H76" s="7" t="n"/>
      <c r="I76" s="91" t="n"/>
      <c r="J76" s="7" t="n"/>
      <c r="K76" s="33">
        <f>SUM(E76:I76)</f>
        <v/>
      </c>
      <c r="L76" s="33">
        <f>K76*D76</f>
        <v/>
      </c>
      <c r="M76" s="33">
        <f>K76*C76</f>
        <v/>
      </c>
      <c r="N76" s="7" t="n"/>
      <c r="O76" s="33">
        <f>N76*C76</f>
        <v/>
      </c>
      <c r="P76" s="7" t="n"/>
      <c r="Q76" s="7" t="n"/>
      <c r="R76" s="7" t="n"/>
      <c r="S76" s="33">
        <f>O76*L76</f>
        <v/>
      </c>
      <c r="Y76" s="33">
        <f>Q76*K76*R76</f>
        <v/>
      </c>
      <c r="Z76" s="33">
        <f>Y76*O76</f>
        <v/>
      </c>
      <c r="AA76" s="81">
        <f>C76*H76</f>
        <v/>
      </c>
      <c r="AB76" s="81">
        <f>(P76-1)*O76*K76</f>
        <v/>
      </c>
    </row>
    <row r="77">
      <c r="A77" s="7" t="n"/>
      <c r="B77" s="7" t="n"/>
      <c r="C77" s="8" t="n"/>
      <c r="D77" s="33">
        <f>C77/$U$3</f>
        <v/>
      </c>
      <c r="E77" s="7" t="n"/>
      <c r="F77" s="7" t="n"/>
      <c r="G77" s="7" t="n"/>
      <c r="H77" s="7" t="n"/>
      <c r="I77" s="91" t="n"/>
      <c r="J77" s="7" t="n"/>
      <c r="K77" s="33">
        <f>SUM(E77:I77)</f>
        <v/>
      </c>
      <c r="L77" s="33">
        <f>K77*D77</f>
        <v/>
      </c>
      <c r="M77" s="33">
        <f>K77*C77</f>
        <v/>
      </c>
      <c r="N77" s="7" t="n"/>
      <c r="O77" s="33">
        <f>N77*C77</f>
        <v/>
      </c>
      <c r="P77" s="7" t="n"/>
      <c r="Q77" s="7" t="n"/>
      <c r="R77" s="7" t="n"/>
      <c r="S77" s="33">
        <f>O77*L77</f>
        <v/>
      </c>
      <c r="Y77" s="33">
        <f>Q77*K77*R77</f>
        <v/>
      </c>
      <c r="Z77" s="33">
        <f>Y77*O77</f>
        <v/>
      </c>
      <c r="AA77" s="81">
        <f>C77*H77</f>
        <v/>
      </c>
      <c r="AB77" s="81">
        <f>(P77-1)*O77*K77</f>
        <v/>
      </c>
    </row>
    <row r="78">
      <c r="A78" s="7" t="n"/>
      <c r="B78" s="7" t="n"/>
      <c r="C78" s="8" t="n"/>
      <c r="D78" s="33">
        <f>C78/$U$3</f>
        <v/>
      </c>
      <c r="E78" s="7" t="n"/>
      <c r="F78" s="7" t="n"/>
      <c r="G78" s="7" t="n"/>
      <c r="H78" s="7" t="n"/>
      <c r="I78" s="91" t="n"/>
      <c r="J78" s="7" t="n"/>
      <c r="K78" s="33">
        <f>SUM(E78:I78)</f>
        <v/>
      </c>
      <c r="L78" s="33">
        <f>K78*D78</f>
        <v/>
      </c>
      <c r="M78" s="33">
        <f>K78*C78</f>
        <v/>
      </c>
      <c r="N78" s="7" t="n"/>
      <c r="O78" s="33">
        <f>N78*C78</f>
        <v/>
      </c>
      <c r="P78" s="7" t="n"/>
      <c r="Q78" s="7" t="n"/>
      <c r="R78" s="7" t="n"/>
      <c r="S78" s="33">
        <f>O78*L78</f>
        <v/>
      </c>
      <c r="Y78" s="33">
        <f>Q78*K78*R78</f>
        <v/>
      </c>
      <c r="Z78" s="33">
        <f>Y78*O78</f>
        <v/>
      </c>
      <c r="AA78" s="81">
        <f>C78*H78</f>
        <v/>
      </c>
      <c r="AB78" s="81">
        <f>(P78-1)*O78*K78</f>
        <v/>
      </c>
    </row>
    <row r="79">
      <c r="A79" s="7" t="n"/>
      <c r="B79" s="7" t="n"/>
      <c r="C79" s="8" t="n"/>
      <c r="D79" s="33">
        <f>C79/$U$3</f>
        <v/>
      </c>
      <c r="E79" s="7" t="n"/>
      <c r="F79" s="7" t="n"/>
      <c r="G79" s="7" t="n"/>
      <c r="H79" s="7" t="n"/>
      <c r="I79" s="91" t="n"/>
      <c r="J79" s="7" t="n"/>
      <c r="K79" s="33">
        <f>SUM(E79:I79)</f>
        <v/>
      </c>
      <c r="L79" s="33">
        <f>K79*D79</f>
        <v/>
      </c>
      <c r="M79" s="33">
        <f>K79*C79</f>
        <v/>
      </c>
      <c r="N79" s="7" t="n"/>
      <c r="O79" s="33">
        <f>N79*C79</f>
        <v/>
      </c>
      <c r="P79" s="7" t="n"/>
      <c r="Q79" s="7" t="n"/>
      <c r="R79" s="7" t="n"/>
      <c r="S79" s="33">
        <f>O79*L79</f>
        <v/>
      </c>
      <c r="Y79" s="33">
        <f>Q79*K79*R79</f>
        <v/>
      </c>
      <c r="Z79" s="33">
        <f>Y79*O79</f>
        <v/>
      </c>
      <c r="AA79" s="81">
        <f>C79*H79</f>
        <v/>
      </c>
      <c r="AB79" s="81">
        <f>(P79-1)*O79*K79</f>
        <v/>
      </c>
    </row>
    <row r="80">
      <c r="A80" s="7" t="n"/>
      <c r="B80" s="7" t="n"/>
      <c r="C80" s="8" t="n"/>
      <c r="D80" s="33">
        <f>C80/$U$3</f>
        <v/>
      </c>
      <c r="E80" s="7" t="n"/>
      <c r="F80" s="7" t="n"/>
      <c r="G80" s="7" t="n"/>
      <c r="H80" s="7" t="n"/>
      <c r="I80" s="91" t="n"/>
      <c r="J80" s="7" t="n"/>
      <c r="K80" s="33">
        <f>SUM(E80:I80)</f>
        <v/>
      </c>
      <c r="L80" s="33">
        <f>K80*D80</f>
        <v/>
      </c>
      <c r="M80" s="33">
        <f>K80*C80</f>
        <v/>
      </c>
      <c r="N80" s="7" t="n"/>
      <c r="O80" s="33">
        <f>N80*C80</f>
        <v/>
      </c>
      <c r="P80" s="7" t="n"/>
      <c r="Q80" s="7" t="n"/>
      <c r="R80" s="7" t="n"/>
      <c r="S80" s="33">
        <f>O80*L80</f>
        <v/>
      </c>
      <c r="Y80" s="33">
        <f>Q80*K80*R80</f>
        <v/>
      </c>
      <c r="Z80" s="33">
        <f>Y80*O80</f>
        <v/>
      </c>
      <c r="AA80" s="81">
        <f>C80*H80</f>
        <v/>
      </c>
      <c r="AB80" s="81">
        <f>(P80-1)*O80*K80</f>
        <v/>
      </c>
    </row>
    <row r="81">
      <c r="A81" s="7" t="n"/>
      <c r="B81" s="7" t="n"/>
      <c r="C81" s="8" t="n"/>
      <c r="D81" s="33">
        <f>C81/$U$3</f>
        <v/>
      </c>
      <c r="E81" s="7" t="n"/>
      <c r="F81" s="7" t="n"/>
      <c r="G81" s="7" t="n"/>
      <c r="H81" s="7" t="n"/>
      <c r="I81" s="91" t="n"/>
      <c r="J81" s="7" t="n"/>
      <c r="K81" s="33">
        <f>SUM(E81:I81)</f>
        <v/>
      </c>
      <c r="L81" s="33">
        <f>K81*D81</f>
        <v/>
      </c>
      <c r="M81" s="33">
        <f>K81*C81</f>
        <v/>
      </c>
      <c r="N81" s="7" t="n"/>
      <c r="O81" s="33">
        <f>N81*C81</f>
        <v/>
      </c>
      <c r="P81" s="7" t="n"/>
      <c r="Q81" s="7" t="n"/>
      <c r="R81" s="7" t="n"/>
      <c r="S81" s="33">
        <f>O81*L81</f>
        <v/>
      </c>
      <c r="Y81" s="33">
        <f>Q81*K81*R81</f>
        <v/>
      </c>
      <c r="Z81" s="33">
        <f>Y81*O81</f>
        <v/>
      </c>
      <c r="AA81" s="81">
        <f>C81*H81</f>
        <v/>
      </c>
      <c r="AB81" s="81">
        <f>(P81-1)*O81*K81</f>
        <v/>
      </c>
    </row>
    <row r="82">
      <c r="A82" s="7" t="n"/>
      <c r="B82" s="7" t="n"/>
      <c r="C82" s="8" t="n"/>
      <c r="D82" s="33">
        <f>C82/$U$3</f>
        <v/>
      </c>
      <c r="E82" s="7" t="n"/>
      <c r="F82" s="7" t="n"/>
      <c r="G82" s="7" t="n"/>
      <c r="H82" s="7" t="n"/>
      <c r="I82" s="91" t="n"/>
      <c r="J82" s="7" t="n"/>
      <c r="K82" s="33">
        <f>SUM(E82:I82)</f>
        <v/>
      </c>
      <c r="L82" s="33">
        <f>K82*D82</f>
        <v/>
      </c>
      <c r="M82" s="33">
        <f>K82*C82</f>
        <v/>
      </c>
      <c r="N82" s="7" t="n"/>
      <c r="O82" s="33">
        <f>N82*C82</f>
        <v/>
      </c>
      <c r="P82" s="7" t="n"/>
      <c r="Q82" s="7" t="n"/>
      <c r="R82" s="7" t="n"/>
      <c r="S82" s="33">
        <f>O82*L82</f>
        <v/>
      </c>
      <c r="Y82" s="33">
        <f>Q82*K82*R82</f>
        <v/>
      </c>
      <c r="Z82" s="33">
        <f>Y82*O82</f>
        <v/>
      </c>
      <c r="AA82" s="81">
        <f>C82*H82</f>
        <v/>
      </c>
      <c r="AB82" s="81">
        <f>(P82-1)*O82*K82</f>
        <v/>
      </c>
    </row>
    <row r="83">
      <c r="A83" s="7" t="n"/>
      <c r="B83" s="7" t="n"/>
      <c r="C83" s="8" t="n"/>
      <c r="D83" s="33">
        <f>C83/$U$3</f>
        <v/>
      </c>
      <c r="E83" s="7" t="n"/>
      <c r="F83" s="7" t="n"/>
      <c r="G83" s="7" t="n"/>
      <c r="H83" s="7" t="n"/>
      <c r="I83" s="91" t="n"/>
      <c r="J83" s="7" t="n"/>
      <c r="K83" s="33">
        <f>SUM(E83:I83)</f>
        <v/>
      </c>
      <c r="L83" s="33">
        <f>K83*D83</f>
        <v/>
      </c>
      <c r="M83" s="33">
        <f>K83*C83</f>
        <v/>
      </c>
      <c r="N83" s="7" t="n"/>
      <c r="O83" s="33">
        <f>N83*C83</f>
        <v/>
      </c>
      <c r="P83" s="7" t="n"/>
      <c r="Q83" s="7" t="n"/>
      <c r="R83" s="7" t="n"/>
      <c r="S83" s="33">
        <f>O83*L83</f>
        <v/>
      </c>
      <c r="Y83" s="33">
        <f>Q83*K83*R83</f>
        <v/>
      </c>
      <c r="Z83" s="33">
        <f>Y83*O83</f>
        <v/>
      </c>
      <c r="AA83" s="81">
        <f>C83*H83</f>
        <v/>
      </c>
      <c r="AB83" s="81">
        <f>(P83-1)*O83*K83</f>
        <v/>
      </c>
    </row>
    <row r="84">
      <c r="A84" s="7" t="n"/>
      <c r="B84" s="7" t="n"/>
      <c r="C84" s="8" t="n"/>
      <c r="D84" s="33">
        <f>C84/$U$3</f>
        <v/>
      </c>
      <c r="E84" s="7" t="n"/>
      <c r="F84" s="7" t="n"/>
      <c r="G84" s="7" t="n"/>
      <c r="H84" s="7" t="n"/>
      <c r="I84" s="91" t="n"/>
      <c r="J84" s="7" t="n"/>
      <c r="K84" s="33">
        <f>SUM(E84:I84)</f>
        <v/>
      </c>
      <c r="L84" s="33">
        <f>K84*D84</f>
        <v/>
      </c>
      <c r="M84" s="33">
        <f>K84*C84</f>
        <v/>
      </c>
      <c r="N84" s="7" t="n"/>
      <c r="O84" s="33">
        <f>N84*C84</f>
        <v/>
      </c>
      <c r="P84" s="7" t="n"/>
      <c r="Q84" s="7" t="n"/>
      <c r="R84" s="7" t="n"/>
      <c r="S84" s="33">
        <f>O84*L84</f>
        <v/>
      </c>
      <c r="Y84" s="33">
        <f>Q84*K84*R84</f>
        <v/>
      </c>
      <c r="Z84" s="33">
        <f>Y84*O84</f>
        <v/>
      </c>
      <c r="AA84" s="81">
        <f>C84*H84</f>
        <v/>
      </c>
      <c r="AB84" s="81">
        <f>(P84-1)*O84*K84</f>
        <v/>
      </c>
    </row>
    <row r="85">
      <c r="A85" s="7" t="n"/>
      <c r="B85" s="7" t="n"/>
      <c r="C85" s="8" t="n"/>
      <c r="D85" s="33">
        <f>C85/$U$3</f>
        <v/>
      </c>
      <c r="E85" s="7" t="n"/>
      <c r="F85" s="7" t="n"/>
      <c r="G85" s="7" t="n"/>
      <c r="H85" s="7" t="n"/>
      <c r="I85" s="91" t="n"/>
      <c r="J85" s="7" t="n"/>
      <c r="K85" s="33">
        <f>SUM(E85:I85)</f>
        <v/>
      </c>
      <c r="L85" s="33">
        <f>K85*D85</f>
        <v/>
      </c>
      <c r="M85" s="33">
        <f>K85*C85</f>
        <v/>
      </c>
      <c r="N85" s="7" t="n"/>
      <c r="O85" s="33">
        <f>N85*C85</f>
        <v/>
      </c>
      <c r="P85" s="7" t="n"/>
      <c r="Q85" s="7" t="n"/>
      <c r="R85" s="7" t="n"/>
      <c r="S85" s="33">
        <f>O85*L85</f>
        <v/>
      </c>
      <c r="Y85" s="33">
        <f>Q85*K85*R85</f>
        <v/>
      </c>
      <c r="Z85" s="33">
        <f>Y85*O85</f>
        <v/>
      </c>
      <c r="AA85" s="81">
        <f>C85*H85</f>
        <v/>
      </c>
      <c r="AB85" s="81">
        <f>(P85-1)*O85*K85</f>
        <v/>
      </c>
    </row>
    <row r="86">
      <c r="A86" s="7" t="n"/>
      <c r="B86" s="7" t="n"/>
      <c r="C86" s="8" t="n"/>
      <c r="D86" s="33">
        <f>C86/$U$3</f>
        <v/>
      </c>
      <c r="E86" s="7" t="n"/>
      <c r="F86" s="7" t="n"/>
      <c r="G86" s="7" t="n"/>
      <c r="H86" s="7" t="n"/>
      <c r="I86" s="91" t="n"/>
      <c r="J86" s="7" t="n"/>
      <c r="K86" s="33">
        <f>SUM(E86:I86)</f>
        <v/>
      </c>
      <c r="L86" s="33">
        <f>K86*D86</f>
        <v/>
      </c>
      <c r="M86" s="33">
        <f>K86*C86</f>
        <v/>
      </c>
      <c r="N86" s="7" t="n"/>
      <c r="O86" s="33">
        <f>N86*C86</f>
        <v/>
      </c>
      <c r="P86" s="7" t="n"/>
      <c r="Q86" s="7" t="n"/>
      <c r="R86" s="7" t="n"/>
      <c r="S86" s="33">
        <f>O86*L86</f>
        <v/>
      </c>
      <c r="Y86" s="33">
        <f>Q86*K86*R86</f>
        <v/>
      </c>
      <c r="Z86" s="33">
        <f>Y86*O86</f>
        <v/>
      </c>
      <c r="AA86" s="81">
        <f>C86*H86</f>
        <v/>
      </c>
      <c r="AB86" s="81">
        <f>(P86-1)*O86*K86</f>
        <v/>
      </c>
    </row>
    <row r="87">
      <c r="A87" s="7" t="n"/>
      <c r="B87" s="7" t="n"/>
      <c r="C87" s="8" t="n"/>
      <c r="D87" s="33">
        <f>C87/$U$3</f>
        <v/>
      </c>
      <c r="E87" s="7" t="n"/>
      <c r="F87" s="7" t="n"/>
      <c r="G87" s="7" t="n"/>
      <c r="H87" s="7" t="n"/>
      <c r="I87" s="91" t="n"/>
      <c r="J87" s="7" t="n"/>
      <c r="K87" s="33">
        <f>SUM(E87:I87)</f>
        <v/>
      </c>
      <c r="L87" s="33">
        <f>K87*D87</f>
        <v/>
      </c>
      <c r="M87" s="33">
        <f>K87*C87</f>
        <v/>
      </c>
      <c r="N87" s="7" t="n"/>
      <c r="O87" s="33">
        <f>N87*C87</f>
        <v/>
      </c>
      <c r="P87" s="7" t="n"/>
      <c r="Q87" s="7" t="n"/>
      <c r="R87" s="7" t="n"/>
      <c r="S87" s="33">
        <f>O87*L87</f>
        <v/>
      </c>
      <c r="Y87" s="33">
        <f>Q87*K87*R87</f>
        <v/>
      </c>
      <c r="Z87" s="33">
        <f>Y87*O87</f>
        <v/>
      </c>
      <c r="AA87" s="81">
        <f>C87*H87</f>
        <v/>
      </c>
      <c r="AB87" s="81">
        <f>(P87-1)*O87*K87</f>
        <v/>
      </c>
    </row>
    <row r="88">
      <c r="A88" s="7" t="n"/>
      <c r="B88" s="7" t="n"/>
      <c r="C88" s="8" t="n"/>
      <c r="D88" s="33">
        <f>C88/$U$3</f>
        <v/>
      </c>
      <c r="E88" s="7" t="n"/>
      <c r="F88" s="7" t="n"/>
      <c r="G88" s="7" t="n"/>
      <c r="H88" s="7" t="n"/>
      <c r="I88" s="91" t="n"/>
      <c r="J88" s="7" t="n"/>
      <c r="K88" s="33">
        <f>SUM(E88:I88)</f>
        <v/>
      </c>
      <c r="L88" s="33">
        <f>K88*D88</f>
        <v/>
      </c>
      <c r="M88" s="33">
        <f>K88*C88</f>
        <v/>
      </c>
      <c r="N88" s="7" t="n"/>
      <c r="O88" s="33">
        <f>N88*C88</f>
        <v/>
      </c>
      <c r="P88" s="7" t="n"/>
      <c r="Q88" s="7" t="n"/>
      <c r="R88" s="7" t="n"/>
      <c r="S88" s="33">
        <f>O88*L88</f>
        <v/>
      </c>
      <c r="Y88" s="33">
        <f>Q88*K88*R88</f>
        <v/>
      </c>
      <c r="Z88" s="33">
        <f>Y88*O88</f>
        <v/>
      </c>
      <c r="AA88" s="81">
        <f>C88*H88</f>
        <v/>
      </c>
      <c r="AB88" s="81">
        <f>(P88-1)*O88*K88</f>
        <v/>
      </c>
    </row>
    <row r="89">
      <c r="A89" s="7" t="n"/>
      <c r="B89" s="7" t="n"/>
      <c r="C89" s="8" t="n"/>
      <c r="D89" s="33">
        <f>C89/$U$3</f>
        <v/>
      </c>
      <c r="E89" s="7" t="n"/>
      <c r="F89" s="7" t="n"/>
      <c r="G89" s="7" t="n"/>
      <c r="H89" s="7" t="n"/>
      <c r="I89" s="91" t="n"/>
      <c r="J89" s="7" t="n"/>
      <c r="K89" s="33">
        <f>SUM(E89:I89)</f>
        <v/>
      </c>
      <c r="L89" s="33">
        <f>K89*D89</f>
        <v/>
      </c>
      <c r="M89" s="33">
        <f>K89*C89</f>
        <v/>
      </c>
      <c r="N89" s="7" t="n"/>
      <c r="O89" s="33">
        <f>N89*C89</f>
        <v/>
      </c>
      <c r="P89" s="7" t="n"/>
      <c r="Q89" s="7" t="n"/>
      <c r="R89" s="7" t="n"/>
      <c r="S89" s="33">
        <f>O89*L89</f>
        <v/>
      </c>
      <c r="Y89" s="33">
        <f>Q89*K89*R89</f>
        <v/>
      </c>
      <c r="Z89" s="33">
        <f>Y89*O89</f>
        <v/>
      </c>
      <c r="AA89" s="81">
        <f>C89*H89</f>
        <v/>
      </c>
      <c r="AB89" s="81">
        <f>(P89-1)*O89*K89</f>
        <v/>
      </c>
    </row>
    <row r="90">
      <c r="A90" s="7" t="n"/>
      <c r="B90" s="7" t="n"/>
      <c r="C90" s="8" t="n"/>
      <c r="D90" s="33">
        <f>C90/$U$3</f>
        <v/>
      </c>
      <c r="E90" s="7" t="n"/>
      <c r="F90" s="7" t="n"/>
      <c r="G90" s="7" t="n"/>
      <c r="H90" s="7" t="n"/>
      <c r="I90" s="91" t="n"/>
      <c r="J90" s="7" t="n"/>
      <c r="K90" s="33">
        <f>SUM(E90:I90)</f>
        <v/>
      </c>
      <c r="L90" s="33">
        <f>K90*D90</f>
        <v/>
      </c>
      <c r="M90" s="33">
        <f>K90*C90</f>
        <v/>
      </c>
      <c r="N90" s="7" t="n"/>
      <c r="O90" s="33">
        <f>N90*C90</f>
        <v/>
      </c>
      <c r="P90" s="7" t="n"/>
      <c r="Q90" s="7" t="n"/>
      <c r="R90" s="7" t="n"/>
      <c r="S90" s="33">
        <f>O90*L90</f>
        <v/>
      </c>
      <c r="Y90" s="33">
        <f>Q90*K90*R90</f>
        <v/>
      </c>
      <c r="Z90" s="33">
        <f>Y90*O90</f>
        <v/>
      </c>
      <c r="AA90" s="81">
        <f>C90*H90</f>
        <v/>
      </c>
      <c r="AB90" s="81">
        <f>(P90-1)*O90*K90</f>
        <v/>
      </c>
    </row>
    <row r="91">
      <c r="A91" s="7" t="n"/>
      <c r="B91" s="7" t="n"/>
      <c r="C91" s="8" t="n"/>
      <c r="D91" s="33">
        <f>C91/$U$3</f>
        <v/>
      </c>
      <c r="E91" s="7" t="n"/>
      <c r="F91" s="7" t="n"/>
      <c r="G91" s="7" t="n"/>
      <c r="H91" s="7" t="n"/>
      <c r="I91" s="91" t="n"/>
      <c r="J91" s="7" t="n"/>
      <c r="K91" s="33">
        <f>SUM(E91:I91)</f>
        <v/>
      </c>
      <c r="L91" s="33">
        <f>K91*D91</f>
        <v/>
      </c>
      <c r="M91" s="33">
        <f>K91*C91</f>
        <v/>
      </c>
      <c r="N91" s="7" t="n"/>
      <c r="O91" s="33">
        <f>N91*C91</f>
        <v/>
      </c>
      <c r="P91" s="7" t="n"/>
      <c r="Q91" s="7" t="n"/>
      <c r="R91" s="7" t="n"/>
      <c r="S91" s="33">
        <f>O91*L91</f>
        <v/>
      </c>
      <c r="Y91" s="33">
        <f>Q91*K91*R91</f>
        <v/>
      </c>
      <c r="Z91" s="33">
        <f>Y91*O91</f>
        <v/>
      </c>
      <c r="AA91" s="81">
        <f>C91*H91</f>
        <v/>
      </c>
      <c r="AB91" s="81">
        <f>(P91-1)*O91*K91</f>
        <v/>
      </c>
    </row>
    <row r="92">
      <c r="A92" s="7" t="n"/>
      <c r="B92" s="7" t="n"/>
      <c r="C92" s="8" t="n"/>
      <c r="D92" s="33">
        <f>C92/$U$3</f>
        <v/>
      </c>
      <c r="E92" s="7" t="n"/>
      <c r="F92" s="7" t="n"/>
      <c r="G92" s="7" t="n"/>
      <c r="H92" s="7" t="n"/>
      <c r="I92" s="91" t="n"/>
      <c r="J92" s="7" t="n"/>
      <c r="K92" s="33">
        <f>SUM(E92:I92)</f>
        <v/>
      </c>
      <c r="L92" s="33">
        <f>K92*D92</f>
        <v/>
      </c>
      <c r="M92" s="33">
        <f>K92*C92</f>
        <v/>
      </c>
      <c r="N92" s="7" t="n"/>
      <c r="O92" s="33">
        <f>N92*C92</f>
        <v/>
      </c>
      <c r="P92" s="7" t="n"/>
      <c r="Q92" s="7" t="n"/>
      <c r="R92" s="7" t="n"/>
      <c r="S92" s="33">
        <f>O92*L92</f>
        <v/>
      </c>
      <c r="Y92" s="33">
        <f>Q92*K92*R92</f>
        <v/>
      </c>
      <c r="Z92" s="33">
        <f>Y92*O92</f>
        <v/>
      </c>
      <c r="AA92" s="81">
        <f>C92*H92</f>
        <v/>
      </c>
      <c r="AB92" s="81">
        <f>(P92-1)*O92*K92</f>
        <v/>
      </c>
    </row>
    <row r="93">
      <c r="A93" s="7" t="n"/>
      <c r="B93" s="7" t="n"/>
      <c r="C93" s="8" t="n"/>
      <c r="D93" s="33">
        <f>C93/$U$3</f>
        <v/>
      </c>
      <c r="E93" s="7" t="n"/>
      <c r="F93" s="7" t="n"/>
      <c r="G93" s="7" t="n"/>
      <c r="H93" s="7" t="n"/>
      <c r="I93" s="91" t="n"/>
      <c r="J93" s="7" t="n"/>
      <c r="K93" s="33">
        <f>SUM(E93:I93)</f>
        <v/>
      </c>
      <c r="L93" s="33">
        <f>K93*D93</f>
        <v/>
      </c>
      <c r="M93" s="33">
        <f>K93*C93</f>
        <v/>
      </c>
      <c r="N93" s="7" t="n"/>
      <c r="O93" s="33">
        <f>N93*C93</f>
        <v/>
      </c>
      <c r="P93" s="7" t="n"/>
      <c r="Q93" s="7" t="n"/>
      <c r="R93" s="7" t="n"/>
      <c r="S93" s="33">
        <f>O93*L93</f>
        <v/>
      </c>
      <c r="Y93" s="33">
        <f>Q93*K93*R93</f>
        <v/>
      </c>
      <c r="Z93" s="33">
        <f>Y93*O93</f>
        <v/>
      </c>
      <c r="AA93" s="81">
        <f>C93*H93</f>
        <v/>
      </c>
      <c r="AB93" s="81">
        <f>(P93-1)*O93*K93</f>
        <v/>
      </c>
    </row>
    <row r="94">
      <c r="A94" s="7" t="n"/>
      <c r="B94" s="7" t="n"/>
      <c r="C94" s="8" t="n"/>
      <c r="D94" s="33">
        <f>C94/$U$3</f>
        <v/>
      </c>
      <c r="E94" s="7" t="n"/>
      <c r="F94" s="7" t="n"/>
      <c r="G94" s="7" t="n"/>
      <c r="H94" s="7" t="n"/>
      <c r="I94" s="91" t="n"/>
      <c r="J94" s="7" t="n"/>
      <c r="K94" s="33">
        <f>SUM(E94:I94)</f>
        <v/>
      </c>
      <c r="L94" s="33">
        <f>K94*D94</f>
        <v/>
      </c>
      <c r="M94" s="33">
        <f>K94*C94</f>
        <v/>
      </c>
      <c r="N94" s="7" t="n"/>
      <c r="O94" s="33">
        <f>N94*C94</f>
        <v/>
      </c>
      <c r="P94" s="7" t="n"/>
      <c r="Q94" s="7" t="n"/>
      <c r="R94" s="7" t="n"/>
      <c r="S94" s="33">
        <f>O94*L94</f>
        <v/>
      </c>
      <c r="Y94" s="33">
        <f>Q94*K94*R94</f>
        <v/>
      </c>
      <c r="Z94" s="33">
        <f>Y94*O94</f>
        <v/>
      </c>
      <c r="AA94" s="81">
        <f>C94*H94</f>
        <v/>
      </c>
      <c r="AB94" s="81">
        <f>(P94-1)*O94*K94</f>
        <v/>
      </c>
    </row>
    <row r="95">
      <c r="A95" s="7" t="n"/>
      <c r="B95" s="7" t="n"/>
      <c r="C95" s="8" t="n"/>
      <c r="D95" s="33">
        <f>C95/$U$3</f>
        <v/>
      </c>
      <c r="E95" s="7" t="n"/>
      <c r="F95" s="7" t="n"/>
      <c r="G95" s="7" t="n"/>
      <c r="H95" s="7" t="n"/>
      <c r="I95" s="91" t="n"/>
      <c r="J95" s="7" t="n"/>
      <c r="K95" s="33">
        <f>SUM(E95:I95)</f>
        <v/>
      </c>
      <c r="L95" s="33">
        <f>K95*D95</f>
        <v/>
      </c>
      <c r="M95" s="33">
        <f>K95*C95</f>
        <v/>
      </c>
      <c r="N95" s="7" t="n"/>
      <c r="O95" s="33">
        <f>N95*C95</f>
        <v/>
      </c>
      <c r="P95" s="7" t="n"/>
      <c r="Q95" s="7" t="n"/>
      <c r="R95" s="7" t="n"/>
      <c r="S95" s="33">
        <f>O95*L95</f>
        <v/>
      </c>
      <c r="Y95" s="33">
        <f>Q95*K95*R95</f>
        <v/>
      </c>
      <c r="Z95" s="33">
        <f>Y95*O95</f>
        <v/>
      </c>
      <c r="AA95" s="81">
        <f>C95*H95</f>
        <v/>
      </c>
      <c r="AB95" s="81">
        <f>(P95-1)*O95*K95</f>
        <v/>
      </c>
    </row>
    <row r="96">
      <c r="A96" s="7" t="n"/>
      <c r="B96" s="7" t="n"/>
      <c r="C96" s="8" t="n"/>
      <c r="D96" s="33">
        <f>C96/$U$3</f>
        <v/>
      </c>
      <c r="E96" s="7" t="n"/>
      <c r="F96" s="7" t="n"/>
      <c r="G96" s="7" t="n"/>
      <c r="H96" s="7" t="n"/>
      <c r="I96" s="91" t="n"/>
      <c r="J96" s="7" t="n"/>
      <c r="K96" s="33">
        <f>SUM(E96:I96)</f>
        <v/>
      </c>
      <c r="L96" s="33">
        <f>K96*D96</f>
        <v/>
      </c>
      <c r="M96" s="33">
        <f>K96*C96</f>
        <v/>
      </c>
      <c r="N96" s="7" t="n"/>
      <c r="O96" s="33">
        <f>N96*C96</f>
        <v/>
      </c>
      <c r="P96" s="7" t="n"/>
      <c r="Q96" s="7" t="n"/>
      <c r="R96" s="7" t="n"/>
      <c r="S96" s="33">
        <f>O96*L96</f>
        <v/>
      </c>
      <c r="Y96" s="33">
        <f>Q96*K96*R96</f>
        <v/>
      </c>
      <c r="Z96" s="33">
        <f>Y96*O96</f>
        <v/>
      </c>
      <c r="AA96" s="81">
        <f>C96*H96</f>
        <v/>
      </c>
      <c r="AB96" s="81">
        <f>(P96-1)*O96*K96</f>
        <v/>
      </c>
    </row>
    <row r="97">
      <c r="A97" s="7" t="n"/>
      <c r="B97" s="7" t="n"/>
      <c r="C97" s="8" t="n"/>
      <c r="D97" s="33">
        <f>C97/$U$3</f>
        <v/>
      </c>
      <c r="E97" s="7" t="n"/>
      <c r="F97" s="7" t="n"/>
      <c r="G97" s="7" t="n"/>
      <c r="H97" s="7" t="n"/>
      <c r="I97" s="91" t="n"/>
      <c r="J97" s="7" t="n"/>
      <c r="K97" s="33">
        <f>SUM(E97:I97)</f>
        <v/>
      </c>
      <c r="L97" s="33">
        <f>K97*D97</f>
        <v/>
      </c>
      <c r="M97" s="33">
        <f>K97*C97</f>
        <v/>
      </c>
      <c r="N97" s="7" t="n"/>
      <c r="O97" s="33">
        <f>N97*C97</f>
        <v/>
      </c>
      <c r="P97" s="7" t="n"/>
      <c r="Q97" s="7" t="n"/>
      <c r="R97" s="7" t="n"/>
      <c r="S97" s="33">
        <f>O97*L97</f>
        <v/>
      </c>
      <c r="Y97" s="33">
        <f>Q97*K97*R97</f>
        <v/>
      </c>
      <c r="Z97" s="33">
        <f>Y97*O97</f>
        <v/>
      </c>
      <c r="AA97" s="81">
        <f>C97*H97</f>
        <v/>
      </c>
      <c r="AB97" s="81">
        <f>(P97-1)*O97*K97</f>
        <v/>
      </c>
    </row>
    <row r="98">
      <c r="A98" s="7" t="n"/>
      <c r="B98" s="7" t="n"/>
      <c r="C98" s="8" t="n"/>
      <c r="D98" s="33">
        <f>C98/$U$3</f>
        <v/>
      </c>
      <c r="E98" s="7" t="n"/>
      <c r="F98" s="7" t="n"/>
      <c r="G98" s="7" t="n"/>
      <c r="H98" s="7" t="n"/>
      <c r="I98" s="91" t="n"/>
      <c r="J98" s="7" t="n"/>
      <c r="K98" s="33">
        <f>SUM(E98:I98)</f>
        <v/>
      </c>
      <c r="L98" s="33">
        <f>K98*D98</f>
        <v/>
      </c>
      <c r="M98" s="33">
        <f>K98*C98</f>
        <v/>
      </c>
      <c r="N98" s="7" t="n"/>
      <c r="O98" s="33">
        <f>N98*C98</f>
        <v/>
      </c>
      <c r="P98" s="7" t="n"/>
      <c r="Q98" s="7" t="n"/>
      <c r="R98" s="7" t="n"/>
      <c r="S98" s="33">
        <f>O98*L98</f>
        <v/>
      </c>
      <c r="Y98" s="33">
        <f>Q98*K98*R98</f>
        <v/>
      </c>
      <c r="Z98" s="33">
        <f>Y98*O98</f>
        <v/>
      </c>
      <c r="AA98" s="81">
        <f>C98*H98</f>
        <v/>
      </c>
      <c r="AB98" s="81">
        <f>(P98-1)*O98*K98</f>
        <v/>
      </c>
    </row>
    <row r="99">
      <c r="A99" s="7" t="n"/>
      <c r="B99" s="7" t="n"/>
      <c r="C99" s="8" t="n"/>
      <c r="D99" s="33">
        <f>C99/$U$3</f>
        <v/>
      </c>
      <c r="E99" s="7" t="n"/>
      <c r="F99" s="7" t="n"/>
      <c r="G99" s="7" t="n"/>
      <c r="H99" s="7" t="n"/>
      <c r="I99" s="91" t="n"/>
      <c r="J99" s="7" t="n"/>
      <c r="K99" s="33">
        <f>SUM(E99:I99)</f>
        <v/>
      </c>
      <c r="L99" s="33">
        <f>K99*D99</f>
        <v/>
      </c>
      <c r="M99" s="33">
        <f>K99*C99</f>
        <v/>
      </c>
      <c r="N99" s="7" t="n"/>
      <c r="O99" s="33">
        <f>N99*C99</f>
        <v/>
      </c>
      <c r="P99" s="7" t="n"/>
      <c r="Q99" s="7" t="n"/>
      <c r="R99" s="7" t="n"/>
      <c r="S99" s="33">
        <f>O99*L99</f>
        <v/>
      </c>
      <c r="Y99" s="33">
        <f>Q99*K99*R99</f>
        <v/>
      </c>
      <c r="Z99" s="33">
        <f>Y99*O99</f>
        <v/>
      </c>
      <c r="AA99" s="81">
        <f>C99*H99</f>
        <v/>
      </c>
      <c r="AB99" s="81">
        <f>(P99-1)*O99*K99</f>
        <v/>
      </c>
    </row>
    <row r="100">
      <c r="A100" s="7" t="n"/>
      <c r="B100" s="7" t="n"/>
      <c r="C100" s="8" t="n"/>
      <c r="D100" s="33">
        <f>C100/$U$3</f>
        <v/>
      </c>
      <c r="E100" s="7" t="n"/>
      <c r="F100" s="7" t="n"/>
      <c r="G100" s="7" t="n"/>
      <c r="H100" s="7" t="n"/>
      <c r="I100" s="91" t="n"/>
      <c r="J100" s="7" t="n"/>
      <c r="K100" s="33">
        <f>SUM(E100:I100)</f>
        <v/>
      </c>
      <c r="L100" s="33">
        <f>K100*D100</f>
        <v/>
      </c>
      <c r="M100" s="33">
        <f>K100*C100</f>
        <v/>
      </c>
      <c r="N100" s="7" t="n"/>
      <c r="O100" s="33">
        <f>N100*C100</f>
        <v/>
      </c>
      <c r="P100" s="7" t="n"/>
      <c r="Q100" s="7" t="n"/>
      <c r="R100" s="7" t="n"/>
      <c r="S100" s="33">
        <f>O100*L100</f>
        <v/>
      </c>
      <c r="Y100" s="33">
        <f>Q100*K100*R100</f>
        <v/>
      </c>
      <c r="Z100" s="33">
        <f>Y100*O100</f>
        <v/>
      </c>
      <c r="AA100" s="81">
        <f>C100*H100</f>
        <v/>
      </c>
      <c r="AB100" s="81">
        <f>(P100-1)*O100*K100</f>
        <v/>
      </c>
    </row>
    <row r="101">
      <c r="A101" s="7" t="n"/>
      <c r="B101" s="7" t="n"/>
      <c r="C101" s="8" t="n"/>
      <c r="D101" s="33">
        <f>C101/$U$3</f>
        <v/>
      </c>
      <c r="E101" s="7" t="n"/>
      <c r="F101" s="7" t="n"/>
      <c r="G101" s="7" t="n"/>
      <c r="H101" s="7" t="n"/>
      <c r="I101" s="91" t="n"/>
      <c r="J101" s="7" t="n"/>
      <c r="K101" s="33">
        <f>SUM(E101:I101)</f>
        <v/>
      </c>
      <c r="L101" s="33">
        <f>K101*D101</f>
        <v/>
      </c>
      <c r="M101" s="33">
        <f>K101*C101</f>
        <v/>
      </c>
      <c r="N101" s="7" t="n"/>
      <c r="O101" s="33">
        <f>N101*C101</f>
        <v/>
      </c>
      <c r="P101" s="7" t="n"/>
      <c r="Q101" s="7" t="n"/>
      <c r="R101" s="7" t="n"/>
      <c r="S101" s="33">
        <f>O101*L101</f>
        <v/>
      </c>
      <c r="Y101" s="33">
        <f>Q101*K101*R101</f>
        <v/>
      </c>
      <c r="Z101" s="33">
        <f>Y101*O101</f>
        <v/>
      </c>
      <c r="AA101" s="81">
        <f>C101*H101</f>
        <v/>
      </c>
      <c r="AB101" s="81">
        <f>(P101-1)*O101*K101</f>
        <v/>
      </c>
    </row>
    <row r="102">
      <c r="A102" s="7" t="n"/>
      <c r="B102" s="7" t="n"/>
      <c r="C102" s="8" t="n"/>
      <c r="D102" s="33">
        <f>C102/$U$3</f>
        <v/>
      </c>
      <c r="E102" s="7" t="n"/>
      <c r="F102" s="7" t="n"/>
      <c r="G102" s="7" t="n"/>
      <c r="H102" s="7" t="n"/>
      <c r="I102" s="91" t="n"/>
      <c r="J102" s="7" t="n"/>
      <c r="K102" s="33">
        <f>SUM(E102:I102)</f>
        <v/>
      </c>
      <c r="L102" s="33">
        <f>K102*D102</f>
        <v/>
      </c>
      <c r="M102" s="33">
        <f>K102*C102</f>
        <v/>
      </c>
      <c r="N102" s="7" t="n"/>
      <c r="O102" s="33">
        <f>N102*C102</f>
        <v/>
      </c>
      <c r="P102" s="7" t="n"/>
      <c r="Q102" s="7" t="n"/>
      <c r="R102" s="7" t="n"/>
      <c r="S102" s="33">
        <f>O102*L102</f>
        <v/>
      </c>
      <c r="Y102" s="33">
        <f>Q102*K102*R102</f>
        <v/>
      </c>
      <c r="Z102" s="33">
        <f>Y102*O102</f>
        <v/>
      </c>
      <c r="AA102" s="81">
        <f>C102*H102</f>
        <v/>
      </c>
      <c r="AB102" s="81">
        <f>(P102-1)*O102*K102</f>
        <v/>
      </c>
    </row>
    <row r="103">
      <c r="A103" s="7" t="n"/>
      <c r="B103" s="7" t="n"/>
      <c r="C103" s="8" t="n"/>
      <c r="D103" s="33">
        <f>C103/$U$3</f>
        <v/>
      </c>
      <c r="E103" s="7" t="n"/>
      <c r="F103" s="7" t="n"/>
      <c r="G103" s="7" t="n"/>
      <c r="H103" s="7" t="n"/>
      <c r="I103" s="91" t="n"/>
      <c r="J103" s="7" t="n"/>
      <c r="K103" s="33">
        <f>SUM(E103:I103)</f>
        <v/>
      </c>
      <c r="L103" s="33">
        <f>K103*D103</f>
        <v/>
      </c>
      <c r="M103" s="33">
        <f>K103*C103</f>
        <v/>
      </c>
      <c r="N103" s="7" t="n"/>
      <c r="O103" s="33">
        <f>N103*C103</f>
        <v/>
      </c>
      <c r="P103" s="7" t="n"/>
      <c r="Q103" s="7" t="n"/>
      <c r="R103" s="7" t="n"/>
      <c r="S103" s="33">
        <f>O103*L103</f>
        <v/>
      </c>
      <c r="Y103" s="33">
        <f>Q103*K103*R103</f>
        <v/>
      </c>
      <c r="Z103" s="33">
        <f>Y103*O103</f>
        <v/>
      </c>
      <c r="AA103" s="81">
        <f>C103*H103</f>
        <v/>
      </c>
      <c r="AB103" s="81">
        <f>(P103-1)*O103*K103</f>
        <v/>
      </c>
    </row>
    <row r="104">
      <c r="A104" s="7" t="n"/>
      <c r="B104" s="7" t="n"/>
      <c r="C104" s="8" t="n"/>
      <c r="D104" s="33">
        <f>C104/$U$3</f>
        <v/>
      </c>
      <c r="E104" s="7" t="n"/>
      <c r="F104" s="7" t="n"/>
      <c r="G104" s="7" t="n"/>
      <c r="H104" s="7" t="n"/>
      <c r="I104" s="91" t="n"/>
      <c r="J104" s="7" t="n"/>
      <c r="K104" s="33">
        <f>SUM(E104:I104)</f>
        <v/>
      </c>
      <c r="L104" s="33">
        <f>K104*D104</f>
        <v/>
      </c>
      <c r="M104" s="33">
        <f>K104*C104</f>
        <v/>
      </c>
      <c r="N104" s="7" t="n"/>
      <c r="O104" s="33">
        <f>N104*C104</f>
        <v/>
      </c>
      <c r="P104" s="7" t="n"/>
      <c r="Q104" s="7" t="n"/>
      <c r="R104" s="7" t="n"/>
      <c r="S104" s="33">
        <f>O104*L104</f>
        <v/>
      </c>
      <c r="Y104" s="33">
        <f>Q104*K104*R104</f>
        <v/>
      </c>
      <c r="Z104" s="33">
        <f>Y104*O104</f>
        <v/>
      </c>
      <c r="AA104" s="81">
        <f>C104*H104</f>
        <v/>
      </c>
      <c r="AB104" s="81">
        <f>(P104-1)*O104*K104</f>
        <v/>
      </c>
    </row>
    <row r="105">
      <c r="A105" s="7" t="n"/>
      <c r="B105" s="7" t="n"/>
      <c r="C105" s="8" t="n"/>
      <c r="D105" s="33">
        <f>C105/$U$3</f>
        <v/>
      </c>
      <c r="E105" s="7" t="n"/>
      <c r="F105" s="7" t="n"/>
      <c r="G105" s="7" t="n"/>
      <c r="H105" s="7" t="n"/>
      <c r="I105" s="91" t="n"/>
      <c r="J105" s="7" t="n"/>
      <c r="K105" s="33">
        <f>SUM(E105:I105)</f>
        <v/>
      </c>
      <c r="L105" s="33">
        <f>K105*D105</f>
        <v/>
      </c>
      <c r="M105" s="33">
        <f>K105*C105</f>
        <v/>
      </c>
      <c r="N105" s="7" t="n"/>
      <c r="O105" s="33">
        <f>N105*C105</f>
        <v/>
      </c>
      <c r="P105" s="7" t="n"/>
      <c r="Q105" s="7" t="n"/>
      <c r="R105" s="7" t="n"/>
      <c r="S105" s="33">
        <f>O105*L105</f>
        <v/>
      </c>
      <c r="Y105" s="33">
        <f>Q105*K105*R105</f>
        <v/>
      </c>
      <c r="Z105" s="33">
        <f>Y105*O105</f>
        <v/>
      </c>
      <c r="AA105" s="81">
        <f>C105*H105</f>
        <v/>
      </c>
      <c r="AB105" s="81">
        <f>(P105-1)*O105*K105</f>
        <v/>
      </c>
    </row>
    <row r="106">
      <c r="A106" s="7" t="n"/>
      <c r="B106" s="7" t="n"/>
      <c r="C106" s="8" t="n"/>
      <c r="D106" s="33">
        <f>C106/$U$3</f>
        <v/>
      </c>
      <c r="E106" s="7" t="n"/>
      <c r="F106" s="7" t="n"/>
      <c r="G106" s="7" t="n"/>
      <c r="H106" s="7" t="n"/>
      <c r="I106" s="91" t="n"/>
      <c r="J106" s="7" t="n"/>
      <c r="K106" s="33">
        <f>SUM(E106:I106)</f>
        <v/>
      </c>
      <c r="L106" s="33">
        <f>K106*D106</f>
        <v/>
      </c>
      <c r="M106" s="33">
        <f>K106*C106</f>
        <v/>
      </c>
      <c r="N106" s="7" t="n"/>
      <c r="O106" s="33">
        <f>N106*C106</f>
        <v/>
      </c>
      <c r="P106" s="7" t="n"/>
      <c r="Q106" s="7" t="n"/>
      <c r="R106" s="7" t="n"/>
      <c r="S106" s="33">
        <f>O106*L106</f>
        <v/>
      </c>
      <c r="Y106" s="33">
        <f>Q106*K106*R106</f>
        <v/>
      </c>
      <c r="Z106" s="33">
        <f>Y106*O106</f>
        <v/>
      </c>
      <c r="AA106" s="81">
        <f>C106*H106</f>
        <v/>
      </c>
      <c r="AB106" s="81">
        <f>(P106-1)*O106*K106</f>
        <v/>
      </c>
    </row>
    <row r="107">
      <c r="A107" s="7" t="n"/>
      <c r="B107" s="7" t="n"/>
      <c r="C107" s="8" t="n"/>
      <c r="D107" s="33">
        <f>C107/$U$3</f>
        <v/>
      </c>
      <c r="E107" s="7" t="n"/>
      <c r="F107" s="7" t="n"/>
      <c r="G107" s="7" t="n"/>
      <c r="H107" s="7" t="n"/>
      <c r="I107" s="91" t="n"/>
      <c r="J107" s="7" t="n"/>
      <c r="K107" s="33">
        <f>SUM(E107:I107)</f>
        <v/>
      </c>
      <c r="L107" s="33">
        <f>K107*D107</f>
        <v/>
      </c>
      <c r="M107" s="33">
        <f>K107*C107</f>
        <v/>
      </c>
      <c r="N107" s="7" t="n"/>
      <c r="O107" s="33">
        <f>N107*C107</f>
        <v/>
      </c>
      <c r="P107" s="7" t="n"/>
      <c r="Q107" s="7" t="n"/>
      <c r="R107" s="7" t="n"/>
      <c r="S107" s="33">
        <f>O107*L107</f>
        <v/>
      </c>
      <c r="Y107" s="33">
        <f>Q107*K107*R107</f>
        <v/>
      </c>
      <c r="Z107" s="33">
        <f>Y107*O107</f>
        <v/>
      </c>
      <c r="AA107" s="81">
        <f>C107*H107</f>
        <v/>
      </c>
      <c r="AB107" s="81">
        <f>(P107-1)*O107*K107</f>
        <v/>
      </c>
    </row>
    <row r="108">
      <c r="A108" s="7" t="n"/>
      <c r="B108" s="7" t="n"/>
      <c r="C108" s="8" t="n"/>
      <c r="D108" s="33">
        <f>C108/$U$3</f>
        <v/>
      </c>
      <c r="E108" s="7" t="n"/>
      <c r="F108" s="7" t="n"/>
      <c r="G108" s="7" t="n"/>
      <c r="H108" s="7" t="n"/>
      <c r="I108" s="91" t="n"/>
      <c r="J108" s="7" t="n"/>
      <c r="K108" s="33">
        <f>SUM(E108:I108)</f>
        <v/>
      </c>
      <c r="L108" s="33">
        <f>K108*D108</f>
        <v/>
      </c>
      <c r="M108" s="33">
        <f>K108*C108</f>
        <v/>
      </c>
      <c r="N108" s="7" t="n"/>
      <c r="O108" s="33">
        <f>N108*C108</f>
        <v/>
      </c>
      <c r="P108" s="7" t="n"/>
      <c r="Q108" s="7" t="n"/>
      <c r="R108" s="7" t="n"/>
      <c r="S108" s="33">
        <f>O108*L108</f>
        <v/>
      </c>
      <c r="Y108" s="33">
        <f>Q108*K108*R108</f>
        <v/>
      </c>
      <c r="Z108" s="33">
        <f>Y108*O108</f>
        <v/>
      </c>
      <c r="AA108" s="81">
        <f>C108*H108</f>
        <v/>
      </c>
      <c r="AB108" s="81">
        <f>(P108-1)*O108*K108</f>
        <v/>
      </c>
    </row>
    <row r="109">
      <c r="A109" s="7" t="n"/>
      <c r="B109" s="7" t="n"/>
      <c r="C109" s="8" t="n"/>
      <c r="D109" s="33">
        <f>C109/$U$3</f>
        <v/>
      </c>
      <c r="E109" s="7" t="n"/>
      <c r="F109" s="7" t="n"/>
      <c r="G109" s="7" t="n"/>
      <c r="H109" s="7" t="n"/>
      <c r="I109" s="91" t="n"/>
      <c r="J109" s="7" t="n"/>
      <c r="K109" s="33">
        <f>SUM(E109:I109)</f>
        <v/>
      </c>
      <c r="L109" s="33">
        <f>K109*D109</f>
        <v/>
      </c>
      <c r="M109" s="33">
        <f>K109*C109</f>
        <v/>
      </c>
      <c r="N109" s="7" t="n"/>
      <c r="O109" s="33">
        <f>N109*C109</f>
        <v/>
      </c>
      <c r="P109" s="7" t="n"/>
      <c r="Q109" s="7" t="n"/>
      <c r="R109" s="7" t="n"/>
      <c r="S109" s="33">
        <f>O109*L109</f>
        <v/>
      </c>
      <c r="Y109" s="33">
        <f>Q109*K109*R109</f>
        <v/>
      </c>
      <c r="Z109" s="33">
        <f>Y109*O109</f>
        <v/>
      </c>
      <c r="AA109" s="81">
        <f>C109*H109</f>
        <v/>
      </c>
      <c r="AB109" s="81">
        <f>(P109-1)*O109*K109</f>
        <v/>
      </c>
    </row>
    <row r="110">
      <c r="A110" s="7" t="n"/>
      <c r="B110" s="7" t="n"/>
      <c r="C110" s="8" t="n"/>
      <c r="D110" s="33">
        <f>C110/$U$3</f>
        <v/>
      </c>
      <c r="E110" s="7" t="n"/>
      <c r="F110" s="7" t="n"/>
      <c r="G110" s="7" t="n"/>
      <c r="H110" s="7" t="n"/>
      <c r="I110" s="91" t="n"/>
      <c r="J110" s="7" t="n"/>
      <c r="K110" s="33">
        <f>SUM(E110:I110)</f>
        <v/>
      </c>
      <c r="L110" s="33">
        <f>K110*D110</f>
        <v/>
      </c>
      <c r="M110" s="33">
        <f>K110*C110</f>
        <v/>
      </c>
      <c r="N110" s="7" t="n"/>
      <c r="O110" s="33">
        <f>N110*C110</f>
        <v/>
      </c>
      <c r="P110" s="7" t="n"/>
      <c r="Q110" s="7" t="n"/>
      <c r="R110" s="7" t="n"/>
      <c r="S110" s="33">
        <f>O110*L110</f>
        <v/>
      </c>
      <c r="Y110" s="33">
        <f>Q110*K110*R110</f>
        <v/>
      </c>
      <c r="Z110" s="33">
        <f>Y110*O110</f>
        <v/>
      </c>
      <c r="AA110" s="81">
        <f>C110*H110</f>
        <v/>
      </c>
      <c r="AB110" s="81">
        <f>(P110-1)*O110*K110</f>
        <v/>
      </c>
    </row>
    <row r="111">
      <c r="A111" s="7" t="n"/>
      <c r="B111" s="7" t="n"/>
      <c r="C111" s="8" t="n"/>
      <c r="D111" s="33">
        <f>C111/$U$3</f>
        <v/>
      </c>
      <c r="E111" s="7" t="n"/>
      <c r="F111" s="7" t="n"/>
      <c r="G111" s="7" t="n"/>
      <c r="H111" s="7" t="n"/>
      <c r="I111" s="91" t="n"/>
      <c r="J111" s="7" t="n"/>
      <c r="K111" s="33">
        <f>SUM(E111:I111)</f>
        <v/>
      </c>
      <c r="L111" s="33">
        <f>K111*D111</f>
        <v/>
      </c>
      <c r="M111" s="33">
        <f>K111*C111</f>
        <v/>
      </c>
      <c r="N111" s="7" t="n"/>
      <c r="O111" s="33">
        <f>N111*C111</f>
        <v/>
      </c>
      <c r="P111" s="7" t="n"/>
      <c r="Q111" s="7" t="n"/>
      <c r="R111" s="7" t="n"/>
      <c r="S111" s="33">
        <f>O111*L111</f>
        <v/>
      </c>
      <c r="Y111" s="33">
        <f>Q111*K111*R111</f>
        <v/>
      </c>
      <c r="Z111" s="33">
        <f>Y111*O111</f>
        <v/>
      </c>
      <c r="AA111" s="81">
        <f>C111*H111</f>
        <v/>
      </c>
      <c r="AB111" s="81">
        <f>(P111-1)*O111*K111</f>
        <v/>
      </c>
    </row>
    <row r="112">
      <c r="A112" s="7" t="n"/>
      <c r="B112" s="7" t="n"/>
      <c r="C112" s="8" t="n"/>
      <c r="D112" s="33">
        <f>C112/$U$3</f>
        <v/>
      </c>
      <c r="E112" s="7" t="n"/>
      <c r="F112" s="7" t="n"/>
      <c r="G112" s="7" t="n"/>
      <c r="H112" s="7" t="n"/>
      <c r="I112" s="91" t="n"/>
      <c r="J112" s="7" t="n"/>
      <c r="K112" s="33">
        <f>SUM(E112:I112)</f>
        <v/>
      </c>
      <c r="L112" s="33">
        <f>K112*D112</f>
        <v/>
      </c>
      <c r="M112" s="33">
        <f>K112*C112</f>
        <v/>
      </c>
      <c r="N112" s="7" t="n"/>
      <c r="O112" s="33">
        <f>N112*C112</f>
        <v/>
      </c>
      <c r="P112" s="7" t="n"/>
      <c r="Q112" s="7" t="n"/>
      <c r="R112" s="7" t="n"/>
      <c r="S112" s="33">
        <f>O112*L112</f>
        <v/>
      </c>
      <c r="Y112" s="33">
        <f>Q112*K112*R112</f>
        <v/>
      </c>
      <c r="Z112" s="33">
        <f>Y112*O112</f>
        <v/>
      </c>
      <c r="AA112" s="81">
        <f>C112*H112</f>
        <v/>
      </c>
      <c r="AB112" s="81">
        <f>(P112-1)*O112*K112</f>
        <v/>
      </c>
    </row>
    <row r="113">
      <c r="A113" s="7" t="n"/>
      <c r="B113" s="7" t="n"/>
      <c r="C113" s="8" t="n"/>
      <c r="D113" s="33">
        <f>C113/$U$3</f>
        <v/>
      </c>
      <c r="E113" s="7" t="n"/>
      <c r="F113" s="7" t="n"/>
      <c r="G113" s="7" t="n"/>
      <c r="H113" s="7" t="n"/>
      <c r="I113" s="91" t="n"/>
      <c r="J113" s="7" t="n"/>
      <c r="K113" s="33">
        <f>SUM(E113:I113)</f>
        <v/>
      </c>
      <c r="L113" s="33">
        <f>K113*D113</f>
        <v/>
      </c>
      <c r="M113" s="33">
        <f>K113*C113</f>
        <v/>
      </c>
      <c r="N113" s="7" t="n"/>
      <c r="O113" s="33">
        <f>N113*C113</f>
        <v/>
      </c>
      <c r="P113" s="7" t="n"/>
      <c r="Q113" s="7" t="n"/>
      <c r="R113" s="7" t="n"/>
      <c r="S113" s="33">
        <f>O113*L113</f>
        <v/>
      </c>
      <c r="Y113" s="33">
        <f>Q113*K113*R113</f>
        <v/>
      </c>
      <c r="Z113" s="33">
        <f>Y113*O113</f>
        <v/>
      </c>
      <c r="AA113" s="81">
        <f>C113*H113</f>
        <v/>
      </c>
      <c r="AB113" s="81">
        <f>(P113-1)*O113*K113</f>
        <v/>
      </c>
    </row>
    <row r="114">
      <c r="A114" s="7" t="n"/>
      <c r="B114" s="7" t="n"/>
      <c r="C114" s="8" t="n"/>
      <c r="D114" s="33">
        <f>C114/$U$3</f>
        <v/>
      </c>
      <c r="E114" s="7" t="n"/>
      <c r="F114" s="7" t="n"/>
      <c r="G114" s="7" t="n"/>
      <c r="H114" s="7" t="n"/>
      <c r="I114" s="91" t="n"/>
      <c r="J114" s="7" t="n"/>
      <c r="K114" s="33">
        <f>SUM(E114:I114)</f>
        <v/>
      </c>
      <c r="L114" s="33">
        <f>K114*D114</f>
        <v/>
      </c>
      <c r="M114" s="33">
        <f>K114*C114</f>
        <v/>
      </c>
      <c r="N114" s="7" t="n"/>
      <c r="O114" s="33">
        <f>N114*C114</f>
        <v/>
      </c>
      <c r="P114" s="7" t="n"/>
      <c r="Q114" s="7" t="n"/>
      <c r="R114" s="7" t="n"/>
      <c r="S114" s="33">
        <f>O114*L114</f>
        <v/>
      </c>
      <c r="Y114" s="33">
        <f>Q114*K114*R114</f>
        <v/>
      </c>
      <c r="Z114" s="33">
        <f>Y114*O114</f>
        <v/>
      </c>
      <c r="AA114" s="81">
        <f>C114*H114</f>
        <v/>
      </c>
      <c r="AB114" s="81">
        <f>(P114-1)*O114*K114</f>
        <v/>
      </c>
    </row>
    <row r="115">
      <c r="A115" s="7" t="n"/>
      <c r="B115" s="7" t="n"/>
      <c r="C115" s="8" t="n"/>
      <c r="D115" s="33">
        <f>C115/$U$3</f>
        <v/>
      </c>
      <c r="E115" s="7" t="n"/>
      <c r="F115" s="7" t="n"/>
      <c r="G115" s="7" t="n"/>
      <c r="H115" s="7" t="n"/>
      <c r="I115" s="91" t="n"/>
      <c r="J115" s="7" t="n"/>
      <c r="K115" s="33">
        <f>SUM(E115:I115)</f>
        <v/>
      </c>
      <c r="L115" s="33">
        <f>K115*D115</f>
        <v/>
      </c>
      <c r="M115" s="33">
        <f>K115*C115</f>
        <v/>
      </c>
      <c r="N115" s="7" t="n"/>
      <c r="O115" s="33">
        <f>N115*C115</f>
        <v/>
      </c>
      <c r="P115" s="7" t="n"/>
      <c r="Q115" s="7" t="n"/>
      <c r="R115" s="7" t="n"/>
      <c r="S115" s="33">
        <f>O115*L115</f>
        <v/>
      </c>
      <c r="Y115" s="33">
        <f>0.25*H115</f>
        <v/>
      </c>
      <c r="Z115" s="33">
        <f>Y115*O115</f>
        <v/>
      </c>
      <c r="AA115" s="81">
        <f>C115*H115</f>
        <v/>
      </c>
      <c r="AB115" s="81">
        <f>(P115-1)*O115*K115</f>
        <v/>
      </c>
    </row>
    <row r="116">
      <c r="A116" s="7" t="n"/>
      <c r="B116" s="7" t="n"/>
      <c r="C116" s="8" t="n"/>
      <c r="D116" s="33">
        <f>C116/$U$3</f>
        <v/>
      </c>
      <c r="E116" s="7" t="n"/>
      <c r="F116" s="7" t="n"/>
      <c r="G116" s="7" t="n"/>
      <c r="H116" s="7" t="n"/>
      <c r="I116" s="91" t="n"/>
      <c r="J116" s="7" t="n"/>
      <c r="K116" s="33">
        <f>SUM(E116:I116)</f>
        <v/>
      </c>
      <c r="L116" s="33">
        <f>K116*D116</f>
        <v/>
      </c>
      <c r="M116" s="33">
        <f>K116*C116</f>
        <v/>
      </c>
      <c r="N116" s="7" t="n"/>
      <c r="O116" s="33">
        <f>N116*C116</f>
        <v/>
      </c>
      <c r="P116" s="7" t="n"/>
      <c r="Q116" s="7" t="n"/>
      <c r="R116" s="7" t="n"/>
      <c r="S116" s="33">
        <f>O116*L116</f>
        <v/>
      </c>
      <c r="Y116" s="33">
        <f>0.25*H116</f>
        <v/>
      </c>
      <c r="Z116" s="33">
        <f>Y116*O116</f>
        <v/>
      </c>
      <c r="AA116" s="81">
        <f>C116*H116</f>
        <v/>
      </c>
      <c r="AB116" s="81">
        <f>(P116-1)*O116*K116</f>
        <v/>
      </c>
    </row>
    <row r="117">
      <c r="A117" s="7" t="n"/>
      <c r="B117" s="7" t="n"/>
      <c r="C117" s="8" t="n"/>
      <c r="D117" s="33">
        <f>C117/$U$3</f>
        <v/>
      </c>
      <c r="E117" s="7" t="n"/>
      <c r="F117" s="7" t="n"/>
      <c r="G117" s="7" t="n"/>
      <c r="H117" s="7" t="n"/>
      <c r="I117" s="91" t="n"/>
      <c r="J117" s="7" t="n"/>
      <c r="K117" s="33">
        <f>SUM(E117:I117)</f>
        <v/>
      </c>
      <c r="L117" s="33">
        <f>K117*D117</f>
        <v/>
      </c>
      <c r="M117" s="33">
        <f>K117*C117</f>
        <v/>
      </c>
      <c r="N117" s="7" t="n"/>
      <c r="O117" s="33">
        <f>N117*C117</f>
        <v/>
      </c>
      <c r="P117" s="7" t="n"/>
      <c r="Q117" s="7" t="n"/>
      <c r="R117" s="7" t="n"/>
      <c r="S117" s="33">
        <f>O117*L117</f>
        <v/>
      </c>
      <c r="Y117" s="33">
        <f>0.25*H117</f>
        <v/>
      </c>
      <c r="Z117" s="33">
        <f>Y117*O117</f>
        <v/>
      </c>
      <c r="AA117" s="81">
        <f>C117*H117</f>
        <v/>
      </c>
      <c r="AB117" s="81">
        <f>(P117-1)*O117*K117</f>
        <v/>
      </c>
    </row>
    <row r="118">
      <c r="A118" s="7" t="n"/>
      <c r="B118" s="7" t="n"/>
      <c r="C118" s="8" t="n"/>
      <c r="D118" s="33">
        <f>C118/$U$3</f>
        <v/>
      </c>
      <c r="E118" s="7" t="n"/>
      <c r="F118" s="7" t="n"/>
      <c r="G118" s="7" t="n"/>
      <c r="H118" s="7" t="n"/>
      <c r="I118" s="91" t="n"/>
      <c r="J118" s="7" t="n"/>
      <c r="K118" s="33">
        <f>SUM(E118:I118)</f>
        <v/>
      </c>
      <c r="L118" s="33">
        <f>K118*D118</f>
        <v/>
      </c>
      <c r="M118" s="33">
        <f>K118*C118</f>
        <v/>
      </c>
      <c r="N118" s="7" t="n"/>
      <c r="O118" s="33">
        <f>N118*C118</f>
        <v/>
      </c>
      <c r="P118" s="7" t="n"/>
      <c r="Q118" s="7" t="n"/>
      <c r="R118" s="7" t="n"/>
      <c r="S118" s="33">
        <f>O118*L118</f>
        <v/>
      </c>
      <c r="Y118" s="33">
        <f>0.25*H118</f>
        <v/>
      </c>
      <c r="Z118" s="33">
        <f>Y118*O118</f>
        <v/>
      </c>
      <c r="AA118" s="81">
        <f>C118*H118</f>
        <v/>
      </c>
      <c r="AB118" s="81">
        <f>(P118-1)*O118*K118</f>
        <v/>
      </c>
    </row>
    <row r="119">
      <c r="A119" s="7" t="n"/>
      <c r="B119" s="7" t="n"/>
      <c r="C119" s="8" t="n"/>
      <c r="D119" s="33">
        <f>C119/$U$3</f>
        <v/>
      </c>
      <c r="E119" s="7" t="n"/>
      <c r="F119" s="7" t="n"/>
      <c r="G119" s="7" t="n"/>
      <c r="H119" s="7" t="n"/>
      <c r="I119" s="91" t="n"/>
      <c r="J119" s="7" t="n"/>
      <c r="K119" s="33">
        <f>SUM(E119:I119)</f>
        <v/>
      </c>
      <c r="L119" s="33">
        <f>K119*D119</f>
        <v/>
      </c>
      <c r="M119" s="33">
        <f>K119*C119</f>
        <v/>
      </c>
      <c r="N119" s="7" t="n"/>
      <c r="O119" s="33">
        <f>N119*C119</f>
        <v/>
      </c>
      <c r="P119" s="7" t="n"/>
      <c r="Q119" s="7" t="n"/>
      <c r="R119" s="7" t="n"/>
      <c r="S119" s="33">
        <f>O119*L119</f>
        <v/>
      </c>
      <c r="Y119" s="33">
        <f>0.25*H119</f>
        <v/>
      </c>
      <c r="Z119" s="33">
        <f>Y119*O119</f>
        <v/>
      </c>
      <c r="AA119" s="81">
        <f>C119*H119</f>
        <v/>
      </c>
      <c r="AB119" s="81">
        <f>(P119-1)*O119*K119</f>
        <v/>
      </c>
    </row>
    <row r="120">
      <c r="A120" s="7" t="n"/>
      <c r="B120" s="7" t="n"/>
      <c r="C120" s="8" t="n"/>
      <c r="D120" s="33">
        <f>C120/$U$3</f>
        <v/>
      </c>
      <c r="E120" s="7" t="n"/>
      <c r="F120" s="7" t="n"/>
      <c r="G120" s="7" t="n"/>
      <c r="H120" s="7" t="n"/>
      <c r="I120" s="91" t="n"/>
      <c r="J120" s="7" t="n"/>
      <c r="K120" s="33">
        <f>SUM(E120:I120)</f>
        <v/>
      </c>
      <c r="L120" s="33">
        <f>K120*D120</f>
        <v/>
      </c>
      <c r="M120" s="33">
        <f>K120*C120</f>
        <v/>
      </c>
      <c r="N120" s="7" t="n"/>
      <c r="O120" s="33">
        <f>N120*C120</f>
        <v/>
      </c>
      <c r="P120" s="7" t="n"/>
      <c r="Q120" s="7" t="n"/>
      <c r="R120" s="7" t="n"/>
      <c r="S120" s="33">
        <f>O120*L120</f>
        <v/>
      </c>
      <c r="Y120" s="33">
        <f>0.25*H120</f>
        <v/>
      </c>
      <c r="Z120" s="33">
        <f>Y120*O120</f>
        <v/>
      </c>
      <c r="AA120" s="81">
        <f>C120*H120</f>
        <v/>
      </c>
      <c r="AB120" s="81">
        <f>(P120-1)*O120*K120</f>
        <v/>
      </c>
    </row>
    <row r="121">
      <c r="A121" s="7" t="n"/>
      <c r="B121" s="7" t="n"/>
      <c r="C121" s="8" t="n"/>
      <c r="D121" s="33">
        <f>C121/$U$3</f>
        <v/>
      </c>
      <c r="E121" s="7" t="n"/>
      <c r="F121" s="7" t="n"/>
      <c r="G121" s="7" t="n"/>
      <c r="H121" s="7" t="n"/>
      <c r="I121" s="91" t="n"/>
      <c r="J121" s="7" t="n"/>
      <c r="K121" s="33">
        <f>SUM(E121:I121)</f>
        <v/>
      </c>
      <c r="L121" s="33">
        <f>K121*D121</f>
        <v/>
      </c>
      <c r="M121" s="33">
        <f>K121*C121</f>
        <v/>
      </c>
      <c r="N121" s="7" t="n"/>
      <c r="O121" s="33">
        <f>N121*C121</f>
        <v/>
      </c>
      <c r="P121" s="7" t="n"/>
      <c r="Q121" s="7" t="n"/>
      <c r="R121" s="7" t="n"/>
      <c r="S121" s="33">
        <f>O121*L121</f>
        <v/>
      </c>
      <c r="Y121" s="33">
        <f>0.25*H121</f>
        <v/>
      </c>
      <c r="Z121" s="33">
        <f>Y121*O121</f>
        <v/>
      </c>
      <c r="AA121" s="81">
        <f>C121*H121</f>
        <v/>
      </c>
      <c r="AB121" s="81">
        <f>(P121-1)*O121*K121</f>
        <v/>
      </c>
    </row>
    <row r="122">
      <c r="A122" s="7" t="n"/>
      <c r="B122" s="7" t="n"/>
      <c r="C122" s="8" t="n"/>
      <c r="D122" s="33">
        <f>C122/$U$3</f>
        <v/>
      </c>
      <c r="E122" s="7" t="n"/>
      <c r="F122" s="7" t="n"/>
      <c r="G122" s="7" t="n"/>
      <c r="H122" s="7" t="n"/>
      <c r="I122" s="91" t="n"/>
      <c r="J122" s="7" t="n"/>
      <c r="K122" s="33">
        <f>SUM(E122:I122)</f>
        <v/>
      </c>
      <c r="L122" s="33">
        <f>K122*D122</f>
        <v/>
      </c>
      <c r="M122" s="33">
        <f>K122*C122</f>
        <v/>
      </c>
      <c r="N122" s="7" t="n"/>
      <c r="O122" s="33">
        <f>N122*C122</f>
        <v/>
      </c>
      <c r="P122" s="7" t="n"/>
      <c r="Q122" s="7" t="n"/>
      <c r="R122" s="7" t="n"/>
      <c r="S122" s="33">
        <f>O122*L122</f>
        <v/>
      </c>
      <c r="Y122" s="33">
        <f>0.25*H122</f>
        <v/>
      </c>
      <c r="Z122" s="33">
        <f>Y122*O122</f>
        <v/>
      </c>
      <c r="AA122" s="81">
        <f>C122*H122</f>
        <v/>
      </c>
      <c r="AB122" s="81">
        <f>(P122-1)*O122*K122</f>
        <v/>
      </c>
    </row>
    <row r="123">
      <c r="A123" s="7" t="n"/>
      <c r="B123" s="7" t="n"/>
      <c r="C123" s="8" t="n"/>
      <c r="D123" s="33">
        <f>C123/$U$3</f>
        <v/>
      </c>
      <c r="E123" s="7" t="n"/>
      <c r="F123" s="7" t="n"/>
      <c r="G123" s="7" t="n"/>
      <c r="H123" s="7" t="n"/>
      <c r="I123" s="91" t="n"/>
      <c r="J123" s="7" t="n"/>
      <c r="K123" s="33">
        <f>SUM(E123:I123)</f>
        <v/>
      </c>
      <c r="L123" s="33">
        <f>K123*D123</f>
        <v/>
      </c>
      <c r="M123" s="33">
        <f>K123*C123</f>
        <v/>
      </c>
      <c r="N123" s="7" t="n"/>
      <c r="O123" s="33">
        <f>N123*C123</f>
        <v/>
      </c>
      <c r="P123" s="7" t="n"/>
      <c r="Q123" s="7" t="n"/>
      <c r="R123" s="7" t="n"/>
      <c r="S123" s="33">
        <f>O123*L123</f>
        <v/>
      </c>
      <c r="Y123" s="33">
        <f>0.25*H123</f>
        <v/>
      </c>
      <c r="Z123" s="33">
        <f>Y123*O123</f>
        <v/>
      </c>
      <c r="AA123" s="81">
        <f>C123*H123</f>
        <v/>
      </c>
      <c r="AB123" s="81">
        <f>(P123-1)*O123*K123</f>
        <v/>
      </c>
    </row>
    <row r="124">
      <c r="A124" s="7" t="n"/>
      <c r="B124" s="7" t="n"/>
      <c r="C124" s="8" t="n"/>
      <c r="D124" s="33">
        <f>C124/$U$3</f>
        <v/>
      </c>
      <c r="E124" s="7" t="n"/>
      <c r="F124" s="7" t="n"/>
      <c r="G124" s="7" t="n"/>
      <c r="H124" s="7" t="n"/>
      <c r="I124" s="91" t="n"/>
      <c r="J124" s="7" t="n"/>
      <c r="K124" s="33">
        <f>SUM(E124:I124)</f>
        <v/>
      </c>
      <c r="L124" s="33">
        <f>K124*D124</f>
        <v/>
      </c>
      <c r="M124" s="33">
        <f>K124*C124</f>
        <v/>
      </c>
      <c r="N124" s="7" t="n"/>
      <c r="O124" s="33">
        <f>N124*C124</f>
        <v/>
      </c>
      <c r="P124" s="7" t="n"/>
      <c r="Q124" s="7" t="n"/>
      <c r="R124" s="7" t="n"/>
      <c r="S124" s="33">
        <f>O124*L124</f>
        <v/>
      </c>
      <c r="Y124" s="33">
        <f>0.25*H124</f>
        <v/>
      </c>
      <c r="Z124" s="33">
        <f>Y124*O124</f>
        <v/>
      </c>
      <c r="AA124" s="81">
        <f>C124*H124</f>
        <v/>
      </c>
      <c r="AB124" s="81">
        <f>(P124-1)*O124*K124</f>
        <v/>
      </c>
    </row>
    <row r="125">
      <c r="A125" s="7" t="n"/>
      <c r="B125" s="7" t="n"/>
      <c r="C125" s="8" t="n"/>
      <c r="D125" s="33">
        <f>C125/$U$3</f>
        <v/>
      </c>
      <c r="E125" s="7" t="n"/>
      <c r="F125" s="7" t="n"/>
      <c r="G125" s="7" t="n"/>
      <c r="H125" s="7" t="n"/>
      <c r="I125" s="91" t="n"/>
      <c r="J125" s="7" t="n"/>
      <c r="K125" s="33">
        <f>SUM(E125:I125)</f>
        <v/>
      </c>
      <c r="L125" s="33">
        <f>K125*D125</f>
        <v/>
      </c>
      <c r="M125" s="33">
        <f>K125*C125</f>
        <v/>
      </c>
      <c r="N125" s="7" t="n"/>
      <c r="O125" s="33">
        <f>N125*C125</f>
        <v/>
      </c>
      <c r="P125" s="7" t="n"/>
      <c r="Q125" s="7" t="n"/>
      <c r="R125" s="7" t="n"/>
      <c r="S125" s="33">
        <f>O125*L125</f>
        <v/>
      </c>
      <c r="Y125" s="33">
        <f>0.25*H125</f>
        <v/>
      </c>
      <c r="Z125" s="33">
        <f>Y125*O125</f>
        <v/>
      </c>
      <c r="AA125" s="81">
        <f>C125*H125</f>
        <v/>
      </c>
      <c r="AB125" s="81">
        <f>(P125-1)*O125*K125</f>
        <v/>
      </c>
    </row>
    <row r="126">
      <c r="A126" s="7" t="n"/>
      <c r="B126" s="7" t="n"/>
      <c r="C126" s="8" t="n"/>
      <c r="D126" s="33">
        <f>C126/$U$3</f>
        <v/>
      </c>
      <c r="E126" s="7" t="n"/>
      <c r="F126" s="7" t="n"/>
      <c r="G126" s="7" t="n"/>
      <c r="H126" s="7" t="n"/>
      <c r="I126" s="91" t="n"/>
      <c r="J126" s="7" t="n"/>
      <c r="K126" s="33">
        <f>SUM(E126:I126)</f>
        <v/>
      </c>
      <c r="L126" s="33">
        <f>K126*D126</f>
        <v/>
      </c>
      <c r="M126" s="33">
        <f>K126*C126</f>
        <v/>
      </c>
      <c r="N126" s="7" t="n"/>
      <c r="O126" s="33">
        <f>N126*C126</f>
        <v/>
      </c>
      <c r="P126" s="7" t="n"/>
      <c r="Q126" s="7" t="n"/>
      <c r="R126" s="7" t="n"/>
      <c r="S126" s="33">
        <f>O126*L126</f>
        <v/>
      </c>
      <c r="Y126" s="33">
        <f>0.25*H126</f>
        <v/>
      </c>
      <c r="Z126" s="33">
        <f>Y126*O126</f>
        <v/>
      </c>
      <c r="AA126" s="81">
        <f>C126*H126</f>
        <v/>
      </c>
      <c r="AB126" s="81">
        <f>(P126-1)*O126*K126</f>
        <v/>
      </c>
    </row>
    <row r="127">
      <c r="A127" s="7" t="n"/>
      <c r="B127" s="7" t="n"/>
      <c r="C127" s="8" t="n"/>
      <c r="D127" s="33">
        <f>C127/$U$3</f>
        <v/>
      </c>
      <c r="E127" s="7" t="n"/>
      <c r="F127" s="7" t="n"/>
      <c r="G127" s="7" t="n"/>
      <c r="H127" s="7" t="n"/>
      <c r="I127" s="91" t="n"/>
      <c r="J127" s="7" t="n"/>
      <c r="K127" s="33">
        <f>SUM(E127:I127)</f>
        <v/>
      </c>
      <c r="L127" s="33">
        <f>K127*D127</f>
        <v/>
      </c>
      <c r="M127" s="33">
        <f>K127*C127</f>
        <v/>
      </c>
      <c r="N127" s="7" t="n"/>
      <c r="O127" s="33">
        <f>N127*C127</f>
        <v/>
      </c>
      <c r="P127" s="7" t="n"/>
      <c r="Q127" s="7" t="n"/>
      <c r="R127" s="7" t="n"/>
      <c r="S127" s="33">
        <f>O127*L127</f>
        <v/>
      </c>
      <c r="Y127" s="33">
        <f>0.25*H127</f>
        <v/>
      </c>
      <c r="Z127" s="33">
        <f>Y127*O127</f>
        <v/>
      </c>
      <c r="AA127" s="81">
        <f>C127*H127</f>
        <v/>
      </c>
      <c r="AB127" s="81">
        <f>(P127-1)*O127*K127</f>
        <v/>
      </c>
    </row>
    <row r="128">
      <c r="A128" s="7" t="n"/>
      <c r="B128" s="7" t="n"/>
      <c r="C128" s="8" t="n"/>
      <c r="D128" s="33">
        <f>C128/$U$3</f>
        <v/>
      </c>
      <c r="E128" s="7" t="n"/>
      <c r="F128" s="7" t="n"/>
      <c r="G128" s="7" t="n"/>
      <c r="H128" s="7" t="n"/>
      <c r="I128" s="91" t="n"/>
      <c r="J128" s="7" t="n"/>
      <c r="K128" s="33">
        <f>SUM(E128:I128)</f>
        <v/>
      </c>
      <c r="L128" s="33">
        <f>K128*D128</f>
        <v/>
      </c>
      <c r="M128" s="33">
        <f>K128*C128</f>
        <v/>
      </c>
      <c r="N128" s="7" t="n"/>
      <c r="O128" s="33">
        <f>N128*C128</f>
        <v/>
      </c>
      <c r="P128" s="7" t="n"/>
      <c r="Q128" s="7" t="n"/>
      <c r="R128" s="7" t="n"/>
      <c r="S128" s="33">
        <f>O128*L128</f>
        <v/>
      </c>
      <c r="Y128" s="33">
        <f>0.25*H128</f>
        <v/>
      </c>
      <c r="Z128" s="33">
        <f>Y128*O128</f>
        <v/>
      </c>
      <c r="AA128" s="81">
        <f>C128*H128</f>
        <v/>
      </c>
      <c r="AB128" s="81">
        <f>(P128-1)*O128*K128</f>
        <v/>
      </c>
    </row>
    <row r="129">
      <c r="A129" s="7" t="n"/>
      <c r="B129" s="7" t="n"/>
      <c r="C129" s="8" t="n"/>
      <c r="D129" s="33">
        <f>C129/$U$3</f>
        <v/>
      </c>
      <c r="E129" s="7" t="n"/>
      <c r="F129" s="7" t="n"/>
      <c r="G129" s="7" t="n"/>
      <c r="H129" s="7" t="n"/>
      <c r="I129" s="91" t="n"/>
      <c r="J129" s="7" t="n"/>
      <c r="K129" s="33">
        <f>SUM(E129:I129)</f>
        <v/>
      </c>
      <c r="L129" s="33">
        <f>K129*D129</f>
        <v/>
      </c>
      <c r="M129" s="33">
        <f>K129*C129</f>
        <v/>
      </c>
      <c r="N129" s="7" t="n"/>
      <c r="O129" s="33">
        <f>N129*C129</f>
        <v/>
      </c>
      <c r="P129" s="7" t="n"/>
      <c r="Q129" s="7" t="n"/>
      <c r="R129" s="7" t="n"/>
      <c r="S129" s="33">
        <f>O129*L129</f>
        <v/>
      </c>
      <c r="Y129" s="33">
        <f>0.25*H129</f>
        <v/>
      </c>
      <c r="Z129" s="33">
        <f>Y129*O129</f>
        <v/>
      </c>
      <c r="AA129" s="81">
        <f>C129*H129</f>
        <v/>
      </c>
      <c r="AB129" s="81">
        <f>(P129-1)*O129*K129</f>
        <v/>
      </c>
    </row>
    <row r="130">
      <c r="A130" s="7" t="n"/>
      <c r="B130" s="7" t="n"/>
      <c r="C130" s="8" t="n"/>
      <c r="D130" s="33">
        <f>C130/$U$3</f>
        <v/>
      </c>
      <c r="E130" s="7" t="n"/>
      <c r="F130" s="7" t="n"/>
      <c r="G130" s="7" t="n"/>
      <c r="H130" s="7" t="n"/>
      <c r="I130" s="91" t="n"/>
      <c r="J130" s="7" t="n"/>
      <c r="K130" s="33">
        <f>SUM(E130:I130)</f>
        <v/>
      </c>
      <c r="L130" s="33">
        <f>K130*D130</f>
        <v/>
      </c>
      <c r="M130" s="33">
        <f>K130*C130</f>
        <v/>
      </c>
      <c r="N130" s="7" t="n"/>
      <c r="O130" s="33">
        <f>N130*C130</f>
        <v/>
      </c>
      <c r="P130" s="7" t="n"/>
      <c r="Q130" s="7" t="n"/>
      <c r="R130" s="7" t="n"/>
      <c r="S130" s="33">
        <f>O130*L130</f>
        <v/>
      </c>
      <c r="Y130" s="33">
        <f>0.25*H130</f>
        <v/>
      </c>
      <c r="Z130" s="33">
        <f>Y130*O130</f>
        <v/>
      </c>
      <c r="AA130" s="81">
        <f>C130*H130</f>
        <v/>
      </c>
      <c r="AB130" s="81">
        <f>(P130-1)*O130*K130</f>
        <v/>
      </c>
    </row>
    <row r="131">
      <c r="A131" s="7" t="n"/>
      <c r="B131" s="7" t="n"/>
      <c r="C131" s="8" t="n"/>
      <c r="D131" s="33">
        <f>C131/$U$3</f>
        <v/>
      </c>
      <c r="E131" s="7" t="n"/>
      <c r="F131" s="7" t="n"/>
      <c r="G131" s="7" t="n"/>
      <c r="H131" s="7" t="n"/>
      <c r="I131" s="91" t="n"/>
      <c r="J131" s="7" t="n"/>
      <c r="K131" s="33">
        <f>SUM(E131:I131)</f>
        <v/>
      </c>
      <c r="L131" s="33">
        <f>K131*D131</f>
        <v/>
      </c>
      <c r="M131" s="33">
        <f>K131*C131</f>
        <v/>
      </c>
      <c r="N131" s="7" t="n"/>
      <c r="O131" s="33">
        <f>N131*C131</f>
        <v/>
      </c>
      <c r="P131" s="7" t="n"/>
      <c r="Q131" s="7" t="n"/>
      <c r="R131" s="7" t="n"/>
      <c r="S131" s="33">
        <f>O131*L131</f>
        <v/>
      </c>
      <c r="Y131" s="33">
        <f>0.25*H131</f>
        <v/>
      </c>
      <c r="Z131" s="33">
        <f>Y131*O131</f>
        <v/>
      </c>
      <c r="AA131" s="81">
        <f>C131*H131</f>
        <v/>
      </c>
      <c r="AB131" s="81">
        <f>(P131-1)*O131*K131</f>
        <v/>
      </c>
    </row>
    <row r="132">
      <c r="A132" s="7" t="n"/>
      <c r="B132" s="7" t="n"/>
      <c r="C132" s="8" t="n"/>
      <c r="D132" s="33">
        <f>C132/$U$3</f>
        <v/>
      </c>
      <c r="E132" s="7" t="n"/>
      <c r="F132" s="7" t="n"/>
      <c r="G132" s="7" t="n"/>
      <c r="H132" s="7" t="n"/>
      <c r="I132" s="91" t="n"/>
      <c r="J132" s="7" t="n"/>
      <c r="K132" s="33">
        <f>SUM(E132:I132)</f>
        <v/>
      </c>
      <c r="L132" s="33">
        <f>K132*D132</f>
        <v/>
      </c>
      <c r="M132" s="33">
        <f>K132*C132</f>
        <v/>
      </c>
      <c r="N132" s="7" t="n"/>
      <c r="O132" s="33">
        <f>N132*C132</f>
        <v/>
      </c>
      <c r="P132" s="7" t="n"/>
      <c r="Q132" s="7" t="n"/>
      <c r="R132" s="7" t="n"/>
      <c r="S132" s="33">
        <f>O132*L132</f>
        <v/>
      </c>
      <c r="Y132" s="33">
        <f>0.25*H132</f>
        <v/>
      </c>
      <c r="Z132" s="33">
        <f>Y132*O132</f>
        <v/>
      </c>
      <c r="AA132" s="81">
        <f>C132*H132</f>
        <v/>
      </c>
      <c r="AB132" s="81">
        <f>(P132-1)*O132*K132</f>
        <v/>
      </c>
    </row>
    <row r="133">
      <c r="A133" s="7" t="n"/>
      <c r="B133" s="7" t="n"/>
      <c r="C133" s="8" t="n"/>
      <c r="D133" s="33">
        <f>C133/$U$3</f>
        <v/>
      </c>
      <c r="E133" s="7" t="n"/>
      <c r="F133" s="7" t="n"/>
      <c r="G133" s="7" t="n"/>
      <c r="H133" s="7" t="n"/>
      <c r="I133" s="91" t="n"/>
      <c r="J133" s="7" t="n"/>
      <c r="K133" s="33">
        <f>SUM(E133:I133)</f>
        <v/>
      </c>
      <c r="L133" s="33">
        <f>K133*D133</f>
        <v/>
      </c>
      <c r="M133" s="33">
        <f>K133*C133</f>
        <v/>
      </c>
      <c r="N133" s="7" t="n"/>
      <c r="O133" s="33">
        <f>N133*C133</f>
        <v/>
      </c>
      <c r="P133" s="7" t="n"/>
      <c r="Q133" s="7" t="n"/>
      <c r="R133" s="7" t="n"/>
      <c r="S133" s="33">
        <f>O133*L133</f>
        <v/>
      </c>
      <c r="Y133" s="33">
        <f>0.25*H133</f>
        <v/>
      </c>
      <c r="Z133" s="33">
        <f>Y133*O133</f>
        <v/>
      </c>
      <c r="AA133" s="81">
        <f>C133*H133</f>
        <v/>
      </c>
      <c r="AB133" s="81">
        <f>(P133-1)*O133*K133</f>
        <v/>
      </c>
    </row>
    <row r="134">
      <c r="A134" s="7" t="n"/>
      <c r="B134" s="7" t="n"/>
      <c r="C134" s="8" t="n"/>
      <c r="D134" s="33">
        <f>C134/$U$3</f>
        <v/>
      </c>
      <c r="E134" s="7" t="n"/>
      <c r="F134" s="7" t="n"/>
      <c r="G134" s="7" t="n"/>
      <c r="H134" s="7" t="n"/>
      <c r="I134" s="91" t="n"/>
      <c r="J134" s="7" t="n"/>
      <c r="K134" s="33">
        <f>SUM(E134:I134)</f>
        <v/>
      </c>
      <c r="L134" s="33">
        <f>K134*D134</f>
        <v/>
      </c>
      <c r="M134" s="33">
        <f>K134*C134</f>
        <v/>
      </c>
      <c r="N134" s="7" t="n"/>
      <c r="O134" s="33">
        <f>N134*C134</f>
        <v/>
      </c>
      <c r="P134" s="7" t="n"/>
      <c r="Q134" s="7" t="n"/>
      <c r="R134" s="7" t="n"/>
      <c r="S134" s="33">
        <f>O134*L134</f>
        <v/>
      </c>
      <c r="Y134" s="33">
        <f>0.25*H134</f>
        <v/>
      </c>
      <c r="Z134" s="33">
        <f>Y134*O134</f>
        <v/>
      </c>
      <c r="AA134" s="81">
        <f>C134*H134</f>
        <v/>
      </c>
      <c r="AB134" s="81">
        <f>(P134-1)*O134*K134</f>
        <v/>
      </c>
    </row>
    <row r="135">
      <c r="A135" s="7" t="n"/>
      <c r="B135" s="7" t="n"/>
      <c r="C135" s="8" t="n"/>
      <c r="D135" s="33">
        <f>C135/$U$3</f>
        <v/>
      </c>
      <c r="E135" s="7" t="n"/>
      <c r="F135" s="7" t="n"/>
      <c r="G135" s="7" t="n"/>
      <c r="H135" s="7" t="n"/>
      <c r="I135" s="91" t="n"/>
      <c r="J135" s="7" t="n"/>
      <c r="K135" s="33">
        <f>SUM(E135:I135)</f>
        <v/>
      </c>
      <c r="L135" s="33">
        <f>K135*D135</f>
        <v/>
      </c>
      <c r="M135" s="33">
        <f>K135*C135</f>
        <v/>
      </c>
      <c r="N135" s="7" t="n"/>
      <c r="O135" s="33">
        <f>N135*C135</f>
        <v/>
      </c>
      <c r="P135" s="7" t="n"/>
      <c r="Q135" s="7" t="n"/>
      <c r="R135" s="7" t="n"/>
      <c r="S135" s="33">
        <f>O135*L135</f>
        <v/>
      </c>
      <c r="Y135" s="33">
        <f>0.25*H135</f>
        <v/>
      </c>
      <c r="Z135" s="33">
        <f>Y135*O135</f>
        <v/>
      </c>
      <c r="AA135" s="81">
        <f>C135*H135</f>
        <v/>
      </c>
      <c r="AB135" s="81">
        <f>(P135-1)*O135*K135</f>
        <v/>
      </c>
    </row>
    <row r="136">
      <c r="A136" s="7" t="n"/>
      <c r="B136" s="7" t="n"/>
      <c r="C136" s="8" t="n"/>
      <c r="D136" s="33">
        <f>C136/$U$3</f>
        <v/>
      </c>
      <c r="E136" s="7" t="n"/>
      <c r="F136" s="7" t="n"/>
      <c r="G136" s="7" t="n"/>
      <c r="H136" s="7" t="n"/>
      <c r="I136" s="91" t="n"/>
      <c r="J136" s="7" t="n"/>
      <c r="K136" s="33">
        <f>SUM(E136:I136)</f>
        <v/>
      </c>
      <c r="L136" s="33">
        <f>K136*D136</f>
        <v/>
      </c>
      <c r="M136" s="33">
        <f>K136*C136</f>
        <v/>
      </c>
      <c r="N136" s="7" t="n"/>
      <c r="O136" s="33">
        <f>N136*C136</f>
        <v/>
      </c>
      <c r="P136" s="7" t="n"/>
      <c r="Q136" s="7" t="n"/>
      <c r="R136" s="7" t="n"/>
      <c r="S136" s="33">
        <f>O136*L136</f>
        <v/>
      </c>
      <c r="Y136" s="33">
        <f>0.25*H136</f>
        <v/>
      </c>
      <c r="Z136" s="33">
        <f>Y136*O136</f>
        <v/>
      </c>
      <c r="AA136" s="81">
        <f>C136*H136</f>
        <v/>
      </c>
      <c r="AB136" s="81">
        <f>(P136-1)*O136*K136</f>
        <v/>
      </c>
    </row>
    <row r="137">
      <c r="A137" s="7" t="n"/>
      <c r="B137" s="7" t="n"/>
      <c r="C137" s="8" t="n"/>
      <c r="D137" s="33">
        <f>C137/$U$3</f>
        <v/>
      </c>
      <c r="E137" s="7" t="n"/>
      <c r="F137" s="7" t="n"/>
      <c r="G137" s="7" t="n"/>
      <c r="H137" s="7" t="n"/>
      <c r="I137" s="91" t="n"/>
      <c r="J137" s="7" t="n"/>
      <c r="K137" s="33">
        <f>SUM(E137:I137)</f>
        <v/>
      </c>
      <c r="L137" s="33">
        <f>K137*D137</f>
        <v/>
      </c>
      <c r="M137" s="33">
        <f>K137*C137</f>
        <v/>
      </c>
      <c r="N137" s="7" t="n"/>
      <c r="O137" s="33">
        <f>N137*C137</f>
        <v/>
      </c>
      <c r="P137" s="7" t="n"/>
      <c r="Q137" s="7" t="n"/>
      <c r="R137" s="7" t="n"/>
      <c r="S137" s="33">
        <f>O137*L137</f>
        <v/>
      </c>
      <c r="Y137" s="33">
        <f>0.25*H137</f>
        <v/>
      </c>
      <c r="Z137" s="33">
        <f>Y137*O137</f>
        <v/>
      </c>
      <c r="AA137" s="81">
        <f>C137*H137</f>
        <v/>
      </c>
      <c r="AB137" s="81">
        <f>(P137-1)*O137*K137</f>
        <v/>
      </c>
    </row>
    <row r="138">
      <c r="A138" s="7" t="n"/>
      <c r="B138" s="7" t="n"/>
      <c r="C138" s="8" t="n"/>
      <c r="D138" s="33">
        <f>C138/$U$3</f>
        <v/>
      </c>
      <c r="E138" s="7" t="n"/>
      <c r="F138" s="7" t="n"/>
      <c r="G138" s="7" t="n"/>
      <c r="H138" s="7" t="n"/>
      <c r="I138" s="91" t="n"/>
      <c r="J138" s="7" t="n"/>
      <c r="K138" s="33">
        <f>SUM(E138:I138)</f>
        <v/>
      </c>
      <c r="L138" s="33">
        <f>K138*D138</f>
        <v/>
      </c>
      <c r="M138" s="33">
        <f>K138*C138</f>
        <v/>
      </c>
      <c r="N138" s="7" t="n"/>
      <c r="O138" s="33">
        <f>N138*C138</f>
        <v/>
      </c>
      <c r="P138" s="7" t="n"/>
      <c r="Q138" s="7" t="n"/>
      <c r="R138" s="7" t="n"/>
      <c r="S138" s="33">
        <f>O138*L138</f>
        <v/>
      </c>
      <c r="Y138" s="33">
        <f>0.25*H138</f>
        <v/>
      </c>
      <c r="Z138" s="33">
        <f>Y138*O138</f>
        <v/>
      </c>
      <c r="AA138" s="81">
        <f>C138*H138</f>
        <v/>
      </c>
      <c r="AB138" s="81">
        <f>(P138-1)*O138*K138</f>
        <v/>
      </c>
    </row>
    <row r="139">
      <c r="A139" s="7" t="n"/>
      <c r="B139" s="7" t="n"/>
      <c r="C139" s="8" t="n"/>
      <c r="D139" s="33">
        <f>C139/$U$3</f>
        <v/>
      </c>
      <c r="E139" s="7" t="n"/>
      <c r="F139" s="7" t="n"/>
      <c r="G139" s="7" t="n"/>
      <c r="H139" s="7" t="n"/>
      <c r="I139" s="91" t="n"/>
      <c r="J139" s="7" t="n"/>
      <c r="K139" s="33">
        <f>SUM(E139:I139)</f>
        <v/>
      </c>
      <c r="L139" s="33">
        <f>K139*D139</f>
        <v/>
      </c>
      <c r="M139" s="33">
        <f>K139*C139</f>
        <v/>
      </c>
      <c r="N139" s="7" t="n"/>
      <c r="O139" s="33">
        <f>N139*C139</f>
        <v/>
      </c>
      <c r="P139" s="7" t="n"/>
      <c r="Q139" s="7" t="n"/>
      <c r="R139" s="7" t="n"/>
      <c r="S139" s="33">
        <f>O139*L139</f>
        <v/>
      </c>
      <c r="Y139" s="33">
        <f>0.25*H139</f>
        <v/>
      </c>
      <c r="Z139" s="33">
        <f>Y139*O139</f>
        <v/>
      </c>
      <c r="AA139" s="81">
        <f>C139*H139</f>
        <v/>
      </c>
      <c r="AB139" s="81">
        <f>(P139-1)*O139*K139</f>
        <v/>
      </c>
    </row>
    <row r="140">
      <c r="A140" s="7" t="n"/>
      <c r="B140" s="7" t="n"/>
      <c r="C140" s="8" t="n"/>
      <c r="D140" s="33">
        <f>C140/$U$3</f>
        <v/>
      </c>
      <c r="E140" s="7" t="n"/>
      <c r="F140" s="7" t="n"/>
      <c r="G140" s="7" t="n"/>
      <c r="H140" s="7" t="n"/>
      <c r="I140" s="91" t="n"/>
      <c r="J140" s="7" t="n"/>
      <c r="K140" s="33">
        <f>SUM(E140:I140)</f>
        <v/>
      </c>
      <c r="L140" s="33">
        <f>K140*D140</f>
        <v/>
      </c>
      <c r="M140" s="33">
        <f>K140*C140</f>
        <v/>
      </c>
      <c r="N140" s="7" t="n"/>
      <c r="O140" s="33">
        <f>N140*C140</f>
        <v/>
      </c>
      <c r="P140" s="7" t="n"/>
      <c r="Q140" s="7" t="n"/>
      <c r="R140" s="7" t="n"/>
      <c r="S140" s="33">
        <f>O140*L140</f>
        <v/>
      </c>
      <c r="Y140" s="33">
        <f>0.25*H140</f>
        <v/>
      </c>
      <c r="Z140" s="33">
        <f>Y140*O140</f>
        <v/>
      </c>
      <c r="AA140" s="81">
        <f>C140*H140</f>
        <v/>
      </c>
      <c r="AB140" s="81">
        <f>(P140-1)*O140*K140</f>
        <v/>
      </c>
    </row>
    <row r="141">
      <c r="A141" s="7" t="n"/>
      <c r="B141" s="7" t="n"/>
      <c r="C141" s="8" t="n"/>
      <c r="D141" s="33">
        <f>C141/$U$3</f>
        <v/>
      </c>
      <c r="E141" s="7" t="n"/>
      <c r="F141" s="7" t="n"/>
      <c r="G141" s="7" t="n"/>
      <c r="H141" s="7" t="n"/>
      <c r="I141" s="91" t="n"/>
      <c r="J141" s="7" t="n"/>
      <c r="K141" s="33">
        <f>SUM(E141:I141)</f>
        <v/>
      </c>
      <c r="L141" s="33">
        <f>K141*D141</f>
        <v/>
      </c>
      <c r="M141" s="33">
        <f>K141*C141</f>
        <v/>
      </c>
      <c r="N141" s="7" t="n"/>
      <c r="O141" s="33">
        <f>N141*C141</f>
        <v/>
      </c>
      <c r="P141" s="7" t="n"/>
      <c r="Q141" s="7" t="n"/>
      <c r="R141" s="7" t="n"/>
      <c r="S141" s="33">
        <f>O141*L141</f>
        <v/>
      </c>
      <c r="Y141" s="33">
        <f>0.25*H141</f>
        <v/>
      </c>
      <c r="Z141" s="33">
        <f>Y141*O141</f>
        <v/>
      </c>
      <c r="AA141" s="81">
        <f>C141*H141</f>
        <v/>
      </c>
      <c r="AB141" s="81">
        <f>(P141-1)*O141*K141</f>
        <v/>
      </c>
    </row>
    <row r="142">
      <c r="A142" s="7" t="n"/>
      <c r="B142" s="7" t="n"/>
      <c r="C142" s="8" t="n"/>
      <c r="D142" s="33">
        <f>C142/$U$3</f>
        <v/>
      </c>
      <c r="E142" s="7" t="n"/>
      <c r="F142" s="7" t="n"/>
      <c r="G142" s="7" t="n"/>
      <c r="H142" s="7" t="n"/>
      <c r="I142" s="91" t="n"/>
      <c r="J142" s="7" t="n"/>
      <c r="K142" s="33">
        <f>SUM(E142:I142)</f>
        <v/>
      </c>
      <c r="L142" s="33">
        <f>K142*D142</f>
        <v/>
      </c>
      <c r="M142" s="33">
        <f>K142*C142</f>
        <v/>
      </c>
      <c r="N142" s="7" t="n"/>
      <c r="O142" s="33">
        <f>N142*C142</f>
        <v/>
      </c>
      <c r="P142" s="7" t="n"/>
      <c r="Q142" s="7" t="n"/>
      <c r="R142" s="7" t="n"/>
      <c r="S142" s="33">
        <f>O142*L142</f>
        <v/>
      </c>
      <c r="Y142" s="33">
        <f>0.25*H142</f>
        <v/>
      </c>
      <c r="Z142" s="33">
        <f>Y142*O142</f>
        <v/>
      </c>
      <c r="AA142" s="81">
        <f>C142*H142</f>
        <v/>
      </c>
      <c r="AB142" s="81">
        <f>(P142-1)*O142*K142</f>
        <v/>
      </c>
    </row>
    <row r="143">
      <c r="A143" s="7" t="n"/>
      <c r="B143" s="7" t="n"/>
      <c r="C143" s="8" t="n"/>
      <c r="D143" s="33">
        <f>C143/$U$3</f>
        <v/>
      </c>
      <c r="E143" s="7" t="n"/>
      <c r="F143" s="7" t="n"/>
      <c r="G143" s="7" t="n"/>
      <c r="H143" s="7" t="n"/>
      <c r="I143" s="91" t="n"/>
      <c r="J143" s="7" t="n"/>
      <c r="K143" s="33">
        <f>SUM(E143:I143)</f>
        <v/>
      </c>
      <c r="L143" s="33">
        <f>K143*D143</f>
        <v/>
      </c>
      <c r="M143" s="33">
        <f>K143*C143</f>
        <v/>
      </c>
      <c r="N143" s="7" t="n"/>
      <c r="O143" s="33">
        <f>N143*C143</f>
        <v/>
      </c>
      <c r="P143" s="7" t="n"/>
      <c r="Q143" s="7" t="n"/>
      <c r="R143" s="7" t="n"/>
      <c r="S143" s="33">
        <f>O143*L143</f>
        <v/>
      </c>
      <c r="Y143" s="33">
        <f>0.25*H143</f>
        <v/>
      </c>
      <c r="Z143" s="33">
        <f>Y143*O143</f>
        <v/>
      </c>
      <c r="AA143" s="81">
        <f>C143*H143</f>
        <v/>
      </c>
      <c r="AB143" s="81">
        <f>(P143-1)*O143*K143</f>
        <v/>
      </c>
    </row>
    <row r="144">
      <c r="A144" s="7" t="n"/>
      <c r="B144" s="7" t="n"/>
      <c r="C144" s="8" t="n"/>
      <c r="D144" s="33">
        <f>C144/$U$3</f>
        <v/>
      </c>
      <c r="E144" s="7" t="n"/>
      <c r="F144" s="7" t="n"/>
      <c r="G144" s="7" t="n"/>
      <c r="H144" s="7" t="n"/>
      <c r="I144" s="91" t="n"/>
      <c r="J144" s="7" t="n"/>
      <c r="K144" s="33">
        <f>SUM(E144:I144)</f>
        <v/>
      </c>
      <c r="L144" s="33">
        <f>K144*D144</f>
        <v/>
      </c>
      <c r="M144" s="33">
        <f>K144*C144</f>
        <v/>
      </c>
      <c r="N144" s="7" t="n"/>
      <c r="O144" s="33">
        <f>N144*C144</f>
        <v/>
      </c>
      <c r="P144" s="7" t="n"/>
      <c r="Q144" s="7" t="n"/>
      <c r="R144" s="7" t="n"/>
      <c r="S144" s="33">
        <f>O144*L144</f>
        <v/>
      </c>
      <c r="Y144" s="33">
        <f>0.25*H144</f>
        <v/>
      </c>
      <c r="Z144" s="33">
        <f>Y144*O144</f>
        <v/>
      </c>
      <c r="AA144" s="81">
        <f>C144*H144</f>
        <v/>
      </c>
      <c r="AB144" s="81">
        <f>(P144-1)*O144*K144</f>
        <v/>
      </c>
    </row>
    <row r="145">
      <c r="A145" s="7" t="n"/>
      <c r="B145" s="7" t="n"/>
      <c r="C145" s="8" t="n"/>
      <c r="D145" s="33">
        <f>C145/$U$3</f>
        <v/>
      </c>
      <c r="E145" s="7" t="n"/>
      <c r="F145" s="7" t="n"/>
      <c r="G145" s="7" t="n"/>
      <c r="H145" s="7" t="n"/>
      <c r="I145" s="91" t="n"/>
      <c r="J145" s="7" t="n"/>
      <c r="K145" s="33">
        <f>SUM(E145:I145)</f>
        <v/>
      </c>
      <c r="L145" s="33">
        <f>K145*D145</f>
        <v/>
      </c>
      <c r="M145" s="33">
        <f>K145*C145</f>
        <v/>
      </c>
      <c r="N145" s="7" t="n"/>
      <c r="O145" s="33">
        <f>N145*C145</f>
        <v/>
      </c>
      <c r="P145" s="7" t="n"/>
      <c r="Q145" s="7" t="n"/>
      <c r="R145" s="7" t="n"/>
      <c r="S145" s="33">
        <f>O145*L145</f>
        <v/>
      </c>
      <c r="Y145" s="33">
        <f>0.25*H145</f>
        <v/>
      </c>
      <c r="Z145" s="33">
        <f>Y145*O145</f>
        <v/>
      </c>
      <c r="AA145" s="81">
        <f>C145*H145</f>
        <v/>
      </c>
      <c r="AB145" s="81">
        <f>(P145-1)*O145*K145</f>
        <v/>
      </c>
    </row>
    <row r="146">
      <c r="A146" s="7" t="n"/>
      <c r="B146" s="7" t="n"/>
      <c r="C146" s="8" t="n"/>
      <c r="D146" s="33">
        <f>C146/$U$3</f>
        <v/>
      </c>
      <c r="E146" s="7" t="n"/>
      <c r="F146" s="7" t="n"/>
      <c r="G146" s="7" t="n"/>
      <c r="H146" s="7" t="n"/>
      <c r="I146" s="91" t="n"/>
      <c r="J146" s="7" t="n"/>
      <c r="K146" s="33">
        <f>SUM(E146:I146)</f>
        <v/>
      </c>
      <c r="L146" s="33">
        <f>K146*D146</f>
        <v/>
      </c>
      <c r="M146" s="33">
        <f>K146*C146</f>
        <v/>
      </c>
      <c r="N146" s="7" t="n"/>
      <c r="O146" s="33">
        <f>N146*C146</f>
        <v/>
      </c>
      <c r="P146" s="7" t="n"/>
      <c r="Q146" s="7" t="n"/>
      <c r="R146" s="7" t="n"/>
      <c r="S146" s="33">
        <f>O146*L146</f>
        <v/>
      </c>
      <c r="Y146" s="33">
        <f>0.25*H146</f>
        <v/>
      </c>
      <c r="Z146" s="33">
        <f>Y146*O146</f>
        <v/>
      </c>
      <c r="AA146" s="81">
        <f>C146*H146</f>
        <v/>
      </c>
      <c r="AB146" s="81">
        <f>(P146-1)*O146*K146</f>
        <v/>
      </c>
    </row>
    <row r="147">
      <c r="A147" s="7" t="n"/>
      <c r="B147" s="7" t="n"/>
      <c r="C147" s="8" t="n"/>
      <c r="D147" s="33">
        <f>C147/$U$3</f>
        <v/>
      </c>
      <c r="E147" s="7" t="n"/>
      <c r="F147" s="7" t="n"/>
      <c r="G147" s="7" t="n"/>
      <c r="H147" s="7" t="n"/>
      <c r="I147" s="91" t="n"/>
      <c r="J147" s="7" t="n"/>
      <c r="K147" s="33">
        <f>SUM(E147:I147)</f>
        <v/>
      </c>
      <c r="L147" s="33">
        <f>K147*D147</f>
        <v/>
      </c>
      <c r="M147" s="33">
        <f>K147*C147</f>
        <v/>
      </c>
      <c r="N147" s="7" t="n"/>
      <c r="O147" s="33">
        <f>N147*C147</f>
        <v/>
      </c>
      <c r="P147" s="7" t="n"/>
      <c r="Q147" s="7" t="n"/>
      <c r="R147" s="7" t="n"/>
      <c r="S147" s="33">
        <f>O147*L147</f>
        <v/>
      </c>
      <c r="Y147" s="33">
        <f>0.25*H147</f>
        <v/>
      </c>
      <c r="Z147" s="33">
        <f>Y147*O147</f>
        <v/>
      </c>
      <c r="AA147" s="81">
        <f>C147*H147</f>
        <v/>
      </c>
      <c r="AB147" s="81">
        <f>(P147-1)*O147*K147</f>
        <v/>
      </c>
    </row>
    <row r="148">
      <c r="A148" s="7" t="n"/>
      <c r="B148" s="7" t="n"/>
      <c r="C148" s="8" t="n"/>
      <c r="D148" s="33">
        <f>C148/$U$3</f>
        <v/>
      </c>
      <c r="E148" s="7" t="n"/>
      <c r="F148" s="7" t="n"/>
      <c r="G148" s="7" t="n"/>
      <c r="H148" s="7" t="n"/>
      <c r="I148" s="91" t="n"/>
      <c r="J148" s="7" t="n"/>
      <c r="K148" s="33">
        <f>SUM(E148:I148)</f>
        <v/>
      </c>
      <c r="L148" s="33">
        <f>K148*D148</f>
        <v/>
      </c>
      <c r="M148" s="33">
        <f>K148*C148</f>
        <v/>
      </c>
      <c r="N148" s="7" t="n"/>
      <c r="O148" s="33">
        <f>N148*C148</f>
        <v/>
      </c>
      <c r="P148" s="7" t="n"/>
      <c r="Q148" s="7" t="n"/>
      <c r="R148" s="7" t="n"/>
      <c r="S148" s="33">
        <f>O148*L148</f>
        <v/>
      </c>
      <c r="Y148" s="33">
        <f>0.25*H148</f>
        <v/>
      </c>
      <c r="Z148" s="33">
        <f>Y148*O148</f>
        <v/>
      </c>
      <c r="AA148" s="81">
        <f>C148*H148</f>
        <v/>
      </c>
      <c r="AB148" s="81">
        <f>(P148-1)*O148*K148</f>
        <v/>
      </c>
    </row>
    <row r="149">
      <c r="A149" s="7" t="n"/>
      <c r="B149" s="7" t="n"/>
      <c r="C149" s="8" t="n"/>
      <c r="D149" s="33">
        <f>C149/$U$3</f>
        <v/>
      </c>
      <c r="E149" s="7" t="n"/>
      <c r="F149" s="7" t="n"/>
      <c r="G149" s="7" t="n"/>
      <c r="H149" s="7" t="n"/>
      <c r="I149" s="91" t="n"/>
      <c r="J149" s="7" t="n"/>
      <c r="K149" s="33">
        <f>SUM(E149:I149)</f>
        <v/>
      </c>
      <c r="L149" s="33">
        <f>K149*D149</f>
        <v/>
      </c>
      <c r="M149" s="33">
        <f>K149*C149</f>
        <v/>
      </c>
      <c r="N149" s="7" t="n"/>
      <c r="O149" s="33">
        <f>N149*C149</f>
        <v/>
      </c>
      <c r="P149" s="7" t="n"/>
      <c r="Q149" s="7" t="n"/>
      <c r="R149" s="7" t="n"/>
      <c r="S149" s="33">
        <f>O149*L149</f>
        <v/>
      </c>
      <c r="Y149" s="33">
        <f>0.25*H149</f>
        <v/>
      </c>
      <c r="Z149" s="33">
        <f>Y149*O149</f>
        <v/>
      </c>
      <c r="AA149" s="81">
        <f>C149*H149</f>
        <v/>
      </c>
      <c r="AB149" s="81">
        <f>(P149-1)*O149*K149</f>
        <v/>
      </c>
    </row>
    <row r="150">
      <c r="A150" s="7" t="n"/>
      <c r="B150" s="7" t="n"/>
      <c r="C150" s="8" t="n"/>
      <c r="D150" s="33">
        <f>C150/$U$3</f>
        <v/>
      </c>
      <c r="E150" s="7" t="n"/>
      <c r="F150" s="7" t="n"/>
      <c r="G150" s="7" t="n"/>
      <c r="H150" s="7" t="n"/>
      <c r="I150" s="91" t="n"/>
      <c r="J150" s="7" t="n"/>
      <c r="K150" s="33">
        <f>SUM(E150:I150)</f>
        <v/>
      </c>
      <c r="L150" s="33">
        <f>K150*D150</f>
        <v/>
      </c>
      <c r="M150" s="33">
        <f>K150*C150</f>
        <v/>
      </c>
      <c r="N150" s="7" t="n"/>
      <c r="O150" s="33">
        <f>N150*C150</f>
        <v/>
      </c>
      <c r="P150" s="7" t="n"/>
      <c r="Q150" s="7" t="n"/>
      <c r="R150" s="7" t="n"/>
      <c r="S150" s="33">
        <f>O150*L150</f>
        <v/>
      </c>
      <c r="Y150" s="33">
        <f>0.25*H150</f>
        <v/>
      </c>
      <c r="Z150" s="33">
        <f>Y150*O150</f>
        <v/>
      </c>
      <c r="AA150" s="81">
        <f>C150*H150</f>
        <v/>
      </c>
      <c r="AB150" s="81">
        <f>(P150-1)*O150*K150</f>
        <v/>
      </c>
    </row>
    <row r="151">
      <c r="A151" s="7" t="n"/>
      <c r="B151" s="7" t="n"/>
      <c r="C151" s="8" t="n"/>
      <c r="D151" s="33">
        <f>C151/$U$3</f>
        <v/>
      </c>
      <c r="E151" s="7" t="n"/>
      <c r="F151" s="7" t="n"/>
      <c r="G151" s="7" t="n"/>
      <c r="H151" s="7" t="n"/>
      <c r="I151" s="91" t="n"/>
      <c r="J151" s="7" t="n"/>
      <c r="K151" s="33">
        <f>SUM(E151:I151)</f>
        <v/>
      </c>
      <c r="L151" s="33">
        <f>K151*D151</f>
        <v/>
      </c>
      <c r="M151" s="33">
        <f>K151*C151</f>
        <v/>
      </c>
      <c r="N151" s="7" t="n"/>
      <c r="O151" s="33">
        <f>N151*C151</f>
        <v/>
      </c>
      <c r="P151" s="7" t="n"/>
      <c r="Q151" s="7" t="n"/>
      <c r="R151" s="7" t="n"/>
      <c r="S151" s="33">
        <f>O151*L151</f>
        <v/>
      </c>
      <c r="Y151" s="33">
        <f>0.25*H151</f>
        <v/>
      </c>
      <c r="Z151" s="33">
        <f>Y151*O151</f>
        <v/>
      </c>
      <c r="AA151" s="81">
        <f>C151*H151</f>
        <v/>
      </c>
      <c r="AB151" s="81">
        <f>(P151-1)*O151*K151</f>
        <v/>
      </c>
    </row>
    <row r="152">
      <c r="A152" s="7" t="n"/>
      <c r="B152" s="7" t="n"/>
      <c r="C152" s="8" t="n"/>
      <c r="D152" s="33">
        <f>C152/$U$3</f>
        <v/>
      </c>
      <c r="E152" s="7" t="n"/>
      <c r="F152" s="7" t="n"/>
      <c r="G152" s="7" t="n"/>
      <c r="H152" s="7" t="n"/>
      <c r="I152" s="91" t="n"/>
      <c r="J152" s="7" t="n"/>
      <c r="K152" s="33">
        <f>SUM(E152:I152)</f>
        <v/>
      </c>
      <c r="L152" s="33">
        <f>K152*D152</f>
        <v/>
      </c>
      <c r="M152" s="33">
        <f>K152*C152</f>
        <v/>
      </c>
      <c r="N152" s="7" t="n"/>
      <c r="O152" s="33">
        <f>N152*C152</f>
        <v/>
      </c>
      <c r="P152" s="7" t="n"/>
      <c r="Q152" s="7" t="n"/>
      <c r="R152" s="7" t="n"/>
      <c r="S152" s="33">
        <f>O152*L152</f>
        <v/>
      </c>
      <c r="Y152" s="33">
        <f>0.25*H152</f>
        <v/>
      </c>
      <c r="Z152" s="33">
        <f>Y152*O152</f>
        <v/>
      </c>
      <c r="AA152" s="81">
        <f>C152*H152</f>
        <v/>
      </c>
      <c r="AB152" s="81">
        <f>(P152-1)*O152*K152</f>
        <v/>
      </c>
    </row>
    <row r="153">
      <c r="A153" s="7" t="n"/>
      <c r="B153" s="7" t="n"/>
      <c r="C153" s="8" t="n"/>
      <c r="D153" s="33">
        <f>C153/$U$3</f>
        <v/>
      </c>
      <c r="E153" s="7" t="n"/>
      <c r="F153" s="7" t="n"/>
      <c r="G153" s="7" t="n"/>
      <c r="H153" s="7" t="n"/>
      <c r="I153" s="91" t="n"/>
      <c r="J153" s="7" t="n"/>
      <c r="K153" s="33">
        <f>SUM(E153:I153)</f>
        <v/>
      </c>
      <c r="L153" s="33">
        <f>K153*D153</f>
        <v/>
      </c>
      <c r="M153" s="33">
        <f>K153*C153</f>
        <v/>
      </c>
      <c r="N153" s="7" t="n"/>
      <c r="O153" s="33">
        <f>N153*C153</f>
        <v/>
      </c>
      <c r="P153" s="7" t="n"/>
      <c r="Q153" s="7" t="n"/>
      <c r="R153" s="7" t="n"/>
      <c r="S153" s="33">
        <f>O153*L153</f>
        <v/>
      </c>
      <c r="Y153" s="33">
        <f>0.25*H153</f>
        <v/>
      </c>
      <c r="Z153" s="33">
        <f>Y153*O153</f>
        <v/>
      </c>
      <c r="AA153" s="81">
        <f>C153*H153</f>
        <v/>
      </c>
      <c r="AB153" s="81">
        <f>(P153-1)*O153*K153</f>
        <v/>
      </c>
    </row>
    <row r="154">
      <c r="A154" s="7" t="n"/>
      <c r="B154" s="7" t="n"/>
      <c r="C154" s="8" t="n"/>
      <c r="D154" s="33">
        <f>C154/$U$3</f>
        <v/>
      </c>
      <c r="E154" s="7" t="n"/>
      <c r="F154" s="7" t="n"/>
      <c r="G154" s="7" t="n"/>
      <c r="H154" s="7" t="n"/>
      <c r="I154" s="91" t="n"/>
      <c r="J154" s="7" t="n"/>
      <c r="K154" s="33">
        <f>SUM(E154:I154)</f>
        <v/>
      </c>
      <c r="L154" s="33">
        <f>K154*D154</f>
        <v/>
      </c>
      <c r="M154" s="33">
        <f>K154*C154</f>
        <v/>
      </c>
      <c r="N154" s="7" t="n"/>
      <c r="O154" s="33">
        <f>N154*C154</f>
        <v/>
      </c>
      <c r="P154" s="7" t="n"/>
      <c r="Q154" s="7" t="n"/>
      <c r="R154" s="7" t="n"/>
      <c r="S154" s="33">
        <f>O154*L154</f>
        <v/>
      </c>
      <c r="Y154" s="33">
        <f>0.25*H154</f>
        <v/>
      </c>
      <c r="Z154" s="33">
        <f>Y154*O154</f>
        <v/>
      </c>
      <c r="AA154" s="81">
        <f>C154*H154</f>
        <v/>
      </c>
      <c r="AB154" s="81">
        <f>(P154-1)*O154*K154</f>
        <v/>
      </c>
    </row>
    <row r="155">
      <c r="A155" s="7" t="n"/>
      <c r="B155" s="7" t="n"/>
      <c r="C155" s="8" t="n"/>
      <c r="D155" s="33">
        <f>C155/$U$3</f>
        <v/>
      </c>
      <c r="E155" s="7" t="n"/>
      <c r="F155" s="7" t="n"/>
      <c r="G155" s="7" t="n"/>
      <c r="H155" s="7" t="n"/>
      <c r="I155" s="91" t="n"/>
      <c r="J155" s="7" t="n"/>
      <c r="K155" s="33">
        <f>SUM(E155:I155)</f>
        <v/>
      </c>
      <c r="L155" s="33">
        <f>K155*D155</f>
        <v/>
      </c>
      <c r="M155" s="33">
        <f>K155*C155</f>
        <v/>
      </c>
      <c r="N155" s="7" t="n"/>
      <c r="O155" s="33">
        <f>N155*C155</f>
        <v/>
      </c>
      <c r="P155" s="7" t="n"/>
      <c r="Q155" s="7" t="n"/>
      <c r="R155" s="7" t="n"/>
      <c r="S155" s="33">
        <f>O155*L155</f>
        <v/>
      </c>
      <c r="Y155" s="33">
        <f>0.25*H155</f>
        <v/>
      </c>
      <c r="Z155" s="33">
        <f>Y155*O155</f>
        <v/>
      </c>
      <c r="AA155" s="81">
        <f>C155*H155</f>
        <v/>
      </c>
      <c r="AB155" s="81">
        <f>(P155-1)*O155*K155</f>
        <v/>
      </c>
    </row>
    <row r="156">
      <c r="A156" s="7" t="n"/>
      <c r="B156" s="7" t="n"/>
      <c r="C156" s="8" t="n"/>
      <c r="D156" s="33">
        <f>C156/$U$3</f>
        <v/>
      </c>
      <c r="E156" s="7" t="n"/>
      <c r="F156" s="7" t="n"/>
      <c r="G156" s="7" t="n"/>
      <c r="H156" s="7" t="n"/>
      <c r="I156" s="91" t="n"/>
      <c r="J156" s="7" t="n"/>
      <c r="K156" s="33">
        <f>SUM(E156:I156)</f>
        <v/>
      </c>
      <c r="L156" s="33">
        <f>K156*D156</f>
        <v/>
      </c>
      <c r="M156" s="33">
        <f>K156*C156</f>
        <v/>
      </c>
      <c r="N156" s="7" t="n"/>
      <c r="O156" s="33">
        <f>N156*C156</f>
        <v/>
      </c>
      <c r="P156" s="7" t="n"/>
      <c r="Q156" s="7" t="n"/>
      <c r="R156" s="7" t="n"/>
      <c r="S156" s="33">
        <f>O156*L156</f>
        <v/>
      </c>
      <c r="Y156" s="33">
        <f>0.25*H156</f>
        <v/>
      </c>
      <c r="Z156" s="33">
        <f>Y156*O156</f>
        <v/>
      </c>
      <c r="AA156" s="81">
        <f>C156*H156</f>
        <v/>
      </c>
      <c r="AB156" s="81">
        <f>(P156-1)*O156*K156</f>
        <v/>
      </c>
    </row>
    <row r="157">
      <c r="A157" s="7" t="n"/>
      <c r="B157" s="7" t="n"/>
      <c r="C157" s="8" t="n"/>
      <c r="D157" s="33">
        <f>C157/$U$3</f>
        <v/>
      </c>
      <c r="E157" s="7" t="n"/>
      <c r="F157" s="7" t="n"/>
      <c r="G157" s="7" t="n"/>
      <c r="H157" s="7" t="n"/>
      <c r="I157" s="91" t="n"/>
      <c r="J157" s="7" t="n"/>
      <c r="K157" s="33">
        <f>SUM(E157:I157)</f>
        <v/>
      </c>
      <c r="L157" s="33">
        <f>K157*D157</f>
        <v/>
      </c>
      <c r="M157" s="33">
        <f>K157*C157</f>
        <v/>
      </c>
      <c r="N157" s="7" t="n"/>
      <c r="O157" s="33">
        <f>N157*C157</f>
        <v/>
      </c>
      <c r="P157" s="7" t="n"/>
      <c r="Q157" s="7" t="n"/>
      <c r="R157" s="7" t="n"/>
      <c r="S157" s="33">
        <f>O157*L157</f>
        <v/>
      </c>
      <c r="Y157" s="33">
        <f>0.25*H157</f>
        <v/>
      </c>
      <c r="Z157" s="33">
        <f>Y157*O157</f>
        <v/>
      </c>
      <c r="AA157" s="81">
        <f>C157*H157</f>
        <v/>
      </c>
      <c r="AB157" s="81">
        <f>(P157-1)*O157*K157</f>
        <v/>
      </c>
    </row>
    <row r="158">
      <c r="A158" s="7" t="n"/>
      <c r="B158" s="7" t="n"/>
      <c r="C158" s="8" t="n"/>
      <c r="D158" s="33">
        <f>C158/$U$3</f>
        <v/>
      </c>
      <c r="E158" s="7" t="n"/>
      <c r="F158" s="7" t="n"/>
      <c r="G158" s="7" t="n"/>
      <c r="H158" s="7" t="n"/>
      <c r="I158" s="91" t="n"/>
      <c r="J158" s="7" t="n"/>
      <c r="K158" s="33">
        <f>SUM(E158:I158)</f>
        <v/>
      </c>
      <c r="L158" s="33">
        <f>K158*D158</f>
        <v/>
      </c>
      <c r="M158" s="33">
        <f>K158*C158</f>
        <v/>
      </c>
      <c r="N158" s="7" t="n"/>
      <c r="O158" s="33">
        <f>N158*C158</f>
        <v/>
      </c>
      <c r="P158" s="7" t="n"/>
      <c r="Q158" s="7" t="n"/>
      <c r="R158" s="7" t="n"/>
      <c r="S158" s="33">
        <f>O158*L158</f>
        <v/>
      </c>
      <c r="Y158" s="33">
        <f>0.25*H158</f>
        <v/>
      </c>
      <c r="Z158" s="33">
        <f>Y158*O158</f>
        <v/>
      </c>
      <c r="AA158" s="81">
        <f>C158*H158</f>
        <v/>
      </c>
      <c r="AB158" s="81">
        <f>(P158-1)*O158*K158</f>
        <v/>
      </c>
    </row>
    <row r="159">
      <c r="A159" s="7" t="n"/>
      <c r="B159" s="7" t="n"/>
      <c r="C159" s="8" t="n"/>
      <c r="D159" s="33">
        <f>C159/$U$3</f>
        <v/>
      </c>
      <c r="E159" s="7" t="n"/>
      <c r="F159" s="7" t="n"/>
      <c r="G159" s="7" t="n"/>
      <c r="H159" s="7" t="n"/>
      <c r="I159" s="91" t="n"/>
      <c r="J159" s="7" t="n"/>
      <c r="K159" s="33">
        <f>SUM(E159:I159)</f>
        <v/>
      </c>
      <c r="L159" s="33">
        <f>K159*D159</f>
        <v/>
      </c>
      <c r="M159" s="33">
        <f>K159*C159</f>
        <v/>
      </c>
      <c r="N159" s="7" t="n"/>
      <c r="O159" s="33">
        <f>N159*C159</f>
        <v/>
      </c>
      <c r="P159" s="7" t="n"/>
      <c r="Q159" s="7" t="n"/>
      <c r="R159" s="7" t="n"/>
      <c r="S159" s="33">
        <f>O159*L159</f>
        <v/>
      </c>
      <c r="Y159" s="33">
        <f>0.25*H159</f>
        <v/>
      </c>
      <c r="Z159" s="33">
        <f>Y159*O159</f>
        <v/>
      </c>
      <c r="AA159" s="81">
        <f>C159*H159</f>
        <v/>
      </c>
      <c r="AB159" s="81">
        <f>(P159-1)*O159*K159</f>
        <v/>
      </c>
    </row>
    <row r="160">
      <c r="A160" s="7" t="n"/>
      <c r="B160" s="7" t="n"/>
      <c r="C160" s="8" t="n"/>
      <c r="D160" s="33">
        <f>C160/$U$3</f>
        <v/>
      </c>
      <c r="E160" s="7" t="n"/>
      <c r="F160" s="7" t="n"/>
      <c r="G160" s="7" t="n"/>
      <c r="H160" s="7" t="n"/>
      <c r="I160" s="91" t="n"/>
      <c r="J160" s="7" t="n"/>
      <c r="K160" s="33">
        <f>SUM(E160:I160)</f>
        <v/>
      </c>
      <c r="L160" s="33">
        <f>K160*D160</f>
        <v/>
      </c>
      <c r="M160" s="33">
        <f>K160*C160</f>
        <v/>
      </c>
      <c r="N160" s="7" t="n"/>
      <c r="O160" s="33">
        <f>N160*C160</f>
        <v/>
      </c>
      <c r="P160" s="7" t="n"/>
      <c r="Q160" s="7" t="n"/>
      <c r="R160" s="7" t="n"/>
      <c r="S160" s="33">
        <f>O160*L160</f>
        <v/>
      </c>
      <c r="Y160" s="33">
        <f>0.25*H160</f>
        <v/>
      </c>
      <c r="Z160" s="33">
        <f>Y160*O160</f>
        <v/>
      </c>
      <c r="AA160" s="81">
        <f>C160*H160</f>
        <v/>
      </c>
      <c r="AB160" s="81">
        <f>(P160-1)*O160*K160</f>
        <v/>
      </c>
    </row>
    <row r="161">
      <c r="A161" s="7" t="n"/>
      <c r="B161" s="7" t="n"/>
      <c r="C161" s="8" t="n"/>
      <c r="D161" s="33">
        <f>C161/$U$3</f>
        <v/>
      </c>
      <c r="E161" s="7" t="n"/>
      <c r="F161" s="7" t="n"/>
      <c r="G161" s="7" t="n"/>
      <c r="H161" s="7" t="n"/>
      <c r="I161" s="91" t="n"/>
      <c r="J161" s="7" t="n"/>
      <c r="K161" s="33">
        <f>SUM(E161:I161)</f>
        <v/>
      </c>
      <c r="L161" s="33">
        <f>K161*D161</f>
        <v/>
      </c>
      <c r="M161" s="33">
        <f>K161*C161</f>
        <v/>
      </c>
      <c r="N161" s="7" t="n"/>
      <c r="O161" s="33">
        <f>N161*C161</f>
        <v/>
      </c>
      <c r="P161" s="7" t="n"/>
      <c r="Q161" s="7" t="n"/>
      <c r="R161" s="7" t="n"/>
      <c r="S161" s="33">
        <f>O161*L161</f>
        <v/>
      </c>
      <c r="Y161" s="33">
        <f>0.25*H161</f>
        <v/>
      </c>
      <c r="Z161" s="33">
        <f>Y161*O161</f>
        <v/>
      </c>
      <c r="AA161" s="81">
        <f>C161*H161</f>
        <v/>
      </c>
      <c r="AB161" s="81">
        <f>(P161-1)*O161*K161</f>
        <v/>
      </c>
    </row>
    <row r="162">
      <c r="A162" s="7" t="n"/>
      <c r="B162" s="7" t="n"/>
      <c r="C162" s="8" t="n"/>
      <c r="D162" s="33">
        <f>C162/$U$3</f>
        <v/>
      </c>
      <c r="E162" s="7" t="n"/>
      <c r="F162" s="7" t="n"/>
      <c r="G162" s="7" t="n"/>
      <c r="H162" s="7" t="n"/>
      <c r="I162" s="91" t="n"/>
      <c r="J162" s="7" t="n"/>
      <c r="K162" s="33">
        <f>SUM(E162:I162)</f>
        <v/>
      </c>
      <c r="L162" s="33">
        <f>K162*D162</f>
        <v/>
      </c>
      <c r="M162" s="33">
        <f>K162*C162</f>
        <v/>
      </c>
      <c r="N162" s="7" t="n"/>
      <c r="O162" s="33">
        <f>N162*C162</f>
        <v/>
      </c>
      <c r="P162" s="7" t="n"/>
      <c r="Q162" s="7" t="n"/>
      <c r="R162" s="7" t="n"/>
      <c r="S162" s="33">
        <f>O162*L162</f>
        <v/>
      </c>
      <c r="Y162" s="33">
        <f>0.25*H162</f>
        <v/>
      </c>
      <c r="Z162" s="33">
        <f>Y162*O162</f>
        <v/>
      </c>
      <c r="AA162" s="81">
        <f>C162*H162</f>
        <v/>
      </c>
      <c r="AB162" s="81">
        <f>(P162-1)*O162*K162</f>
        <v/>
      </c>
    </row>
    <row r="163">
      <c r="A163" s="7" t="n"/>
      <c r="B163" s="7" t="n"/>
      <c r="C163" s="8" t="n"/>
      <c r="D163" s="33">
        <f>C163/$U$3</f>
        <v/>
      </c>
      <c r="E163" s="7" t="n"/>
      <c r="F163" s="7" t="n"/>
      <c r="G163" s="7" t="n"/>
      <c r="H163" s="7" t="n"/>
      <c r="I163" s="91" t="n"/>
      <c r="J163" s="7" t="n"/>
      <c r="K163" s="33">
        <f>SUM(E163:I163)</f>
        <v/>
      </c>
      <c r="L163" s="33">
        <f>K163*D163</f>
        <v/>
      </c>
      <c r="M163" s="33">
        <f>K163*C163</f>
        <v/>
      </c>
      <c r="N163" s="7" t="n"/>
      <c r="O163" s="33">
        <f>N163*C163</f>
        <v/>
      </c>
      <c r="P163" s="7" t="n"/>
      <c r="Q163" s="7" t="n"/>
      <c r="R163" s="7" t="n"/>
      <c r="S163" s="33">
        <f>O163*L163</f>
        <v/>
      </c>
      <c r="Y163" s="33">
        <f>0.25*H163</f>
        <v/>
      </c>
      <c r="Z163" s="33">
        <f>Y163*O163</f>
        <v/>
      </c>
      <c r="AA163" s="81">
        <f>C163*H163</f>
        <v/>
      </c>
      <c r="AB163" s="81">
        <f>(P163-1)*O163*K163</f>
        <v/>
      </c>
    </row>
    <row r="164">
      <c r="A164" s="7" t="n"/>
      <c r="B164" s="7" t="n"/>
      <c r="C164" s="8" t="n"/>
      <c r="D164" s="33">
        <f>C164/$U$3</f>
        <v/>
      </c>
      <c r="E164" s="7" t="n"/>
      <c r="F164" s="7" t="n"/>
      <c r="G164" s="7" t="n"/>
      <c r="H164" s="7" t="n"/>
      <c r="I164" s="91" t="n"/>
      <c r="J164" s="7" t="n"/>
      <c r="K164" s="33">
        <f>SUM(E164:I164)</f>
        <v/>
      </c>
      <c r="L164" s="33">
        <f>K164*D164</f>
        <v/>
      </c>
      <c r="M164" s="33">
        <f>K164*C164</f>
        <v/>
      </c>
      <c r="N164" s="7" t="n"/>
      <c r="O164" s="33">
        <f>N164*C164</f>
        <v/>
      </c>
      <c r="P164" s="7" t="n"/>
      <c r="Q164" s="7" t="n"/>
      <c r="R164" s="7" t="n"/>
      <c r="S164" s="33">
        <f>O164*L164</f>
        <v/>
      </c>
      <c r="Y164" s="33">
        <f>0.25*H164</f>
        <v/>
      </c>
      <c r="Z164" s="33">
        <f>Y164*O164</f>
        <v/>
      </c>
      <c r="AA164" s="81">
        <f>C164*H164</f>
        <v/>
      </c>
      <c r="AB164" s="81">
        <f>(P164-1)*O164*K164</f>
        <v/>
      </c>
    </row>
    <row r="165">
      <c r="A165" s="7" t="n"/>
      <c r="B165" s="7" t="n"/>
      <c r="C165" s="8" t="n"/>
      <c r="D165" s="33">
        <f>C165/$U$3</f>
        <v/>
      </c>
      <c r="E165" s="7" t="n"/>
      <c r="F165" s="7" t="n"/>
      <c r="G165" s="7" t="n"/>
      <c r="H165" s="7" t="n"/>
      <c r="I165" s="91" t="n"/>
      <c r="J165" s="7" t="n"/>
      <c r="K165" s="33">
        <f>SUM(E165:I165)</f>
        <v/>
      </c>
      <c r="L165" s="33">
        <f>K165*D165</f>
        <v/>
      </c>
      <c r="M165" s="33">
        <f>K165*C165</f>
        <v/>
      </c>
      <c r="N165" s="7" t="n"/>
      <c r="O165" s="33">
        <f>N165*C165</f>
        <v/>
      </c>
      <c r="P165" s="7" t="n"/>
      <c r="Q165" s="7" t="n"/>
      <c r="R165" s="7" t="n"/>
      <c r="S165" s="33">
        <f>O165*L165</f>
        <v/>
      </c>
      <c r="Y165" s="33">
        <f>0.25*H165</f>
        <v/>
      </c>
      <c r="Z165" s="33">
        <f>Y165*O165</f>
        <v/>
      </c>
      <c r="AA165" s="81">
        <f>C165*H165</f>
        <v/>
      </c>
      <c r="AB165" s="81">
        <f>(P165-1)*O165*K165</f>
        <v/>
      </c>
    </row>
    <row r="166">
      <c r="A166" s="7" t="n"/>
      <c r="B166" s="7" t="n"/>
      <c r="C166" s="8" t="n"/>
      <c r="D166" s="33">
        <f>C166/$U$3</f>
        <v/>
      </c>
      <c r="E166" s="7" t="n"/>
      <c r="F166" s="7" t="n"/>
      <c r="G166" s="7" t="n"/>
      <c r="H166" s="7" t="n"/>
      <c r="I166" s="91" t="n"/>
      <c r="J166" s="7" t="n"/>
      <c r="K166" s="33">
        <f>SUM(E166:I166)</f>
        <v/>
      </c>
      <c r="L166" s="33">
        <f>K166*D166</f>
        <v/>
      </c>
      <c r="M166" s="33">
        <f>K166*C166</f>
        <v/>
      </c>
      <c r="N166" s="7" t="n"/>
      <c r="O166" s="33">
        <f>N166*C166</f>
        <v/>
      </c>
      <c r="P166" s="7" t="n"/>
      <c r="Q166" s="7" t="n"/>
      <c r="R166" s="7" t="n"/>
      <c r="S166" s="33">
        <f>O166*L166</f>
        <v/>
      </c>
      <c r="Y166" s="33">
        <f>0.25*H166</f>
        <v/>
      </c>
      <c r="Z166" s="33">
        <f>Y166*O166</f>
        <v/>
      </c>
      <c r="AA166" s="81">
        <f>C166*H166</f>
        <v/>
      </c>
      <c r="AB166" s="81">
        <f>(P166-1)*O166*K166</f>
        <v/>
      </c>
    </row>
    <row r="167">
      <c r="A167" s="7" t="n"/>
      <c r="B167" s="7" t="n"/>
      <c r="C167" s="8" t="n"/>
      <c r="D167" s="33">
        <f>C167/$U$3</f>
        <v/>
      </c>
      <c r="E167" s="7" t="n"/>
      <c r="F167" s="7" t="n"/>
      <c r="G167" s="7" t="n"/>
      <c r="H167" s="7" t="n"/>
      <c r="I167" s="91" t="n"/>
      <c r="J167" s="7" t="n"/>
      <c r="K167" s="33">
        <f>SUM(E167:I167)</f>
        <v/>
      </c>
      <c r="L167" s="33">
        <f>K167*D167</f>
        <v/>
      </c>
      <c r="M167" s="33">
        <f>K167*C167</f>
        <v/>
      </c>
      <c r="N167" s="7" t="n"/>
      <c r="O167" s="33">
        <f>N167*C167</f>
        <v/>
      </c>
      <c r="P167" s="7" t="n"/>
      <c r="Q167" s="7" t="n"/>
      <c r="R167" s="7" t="n"/>
      <c r="S167" s="33">
        <f>O167*L167</f>
        <v/>
      </c>
      <c r="Y167" s="33">
        <f>0.25*H167</f>
        <v/>
      </c>
      <c r="Z167" s="33">
        <f>Y167*O167</f>
        <v/>
      </c>
      <c r="AA167" s="81">
        <f>C167*H167</f>
        <v/>
      </c>
      <c r="AB167" s="81">
        <f>(P167-1)*O167*K167</f>
        <v/>
      </c>
    </row>
    <row r="168">
      <c r="A168" s="7" t="n"/>
      <c r="B168" s="7" t="n"/>
      <c r="C168" s="8" t="n"/>
      <c r="D168" s="33">
        <f>C168/$U$3</f>
        <v/>
      </c>
      <c r="E168" s="7" t="n"/>
      <c r="F168" s="7" t="n"/>
      <c r="G168" s="7" t="n"/>
      <c r="H168" s="7" t="n"/>
      <c r="I168" s="91" t="n"/>
      <c r="J168" s="7" t="n"/>
      <c r="K168" s="33">
        <f>SUM(E168:I168)</f>
        <v/>
      </c>
      <c r="L168" s="33">
        <f>K168*D168</f>
        <v/>
      </c>
      <c r="M168" s="33">
        <f>K168*C168</f>
        <v/>
      </c>
      <c r="N168" s="7" t="n"/>
      <c r="O168" s="33">
        <f>N168*C168</f>
        <v/>
      </c>
      <c r="P168" s="7" t="n"/>
      <c r="Q168" s="7" t="n"/>
      <c r="R168" s="7" t="n"/>
      <c r="S168" s="33">
        <f>O168*L168</f>
        <v/>
      </c>
      <c r="Y168" s="33">
        <f>0.25*H168</f>
        <v/>
      </c>
      <c r="Z168" s="33">
        <f>Y168*O168</f>
        <v/>
      </c>
      <c r="AA168" s="81">
        <f>C168*H168</f>
        <v/>
      </c>
      <c r="AB168" s="81">
        <f>(P168-1)*O168*K168</f>
        <v/>
      </c>
    </row>
    <row r="169">
      <c r="A169" s="7" t="n"/>
      <c r="B169" s="7" t="n"/>
      <c r="C169" s="8" t="n"/>
      <c r="D169" s="33">
        <f>C169/$U$3</f>
        <v/>
      </c>
      <c r="E169" s="7" t="n"/>
      <c r="F169" s="7" t="n"/>
      <c r="G169" s="7" t="n"/>
      <c r="H169" s="7" t="n"/>
      <c r="I169" s="91" t="n"/>
      <c r="J169" s="7" t="n"/>
      <c r="K169" s="33">
        <f>SUM(E169:I169)</f>
        <v/>
      </c>
      <c r="L169" s="33">
        <f>K169*D169</f>
        <v/>
      </c>
      <c r="M169" s="33">
        <f>K169*C169</f>
        <v/>
      </c>
      <c r="N169" s="7" t="n"/>
      <c r="O169" s="33">
        <f>N169*C169</f>
        <v/>
      </c>
      <c r="P169" s="7" t="n"/>
      <c r="Q169" s="7" t="n"/>
      <c r="R169" s="7" t="n"/>
      <c r="S169" s="33">
        <f>O169*L169</f>
        <v/>
      </c>
      <c r="Y169" s="33">
        <f>0.25*H169</f>
        <v/>
      </c>
      <c r="Z169" s="33">
        <f>Y169*O169</f>
        <v/>
      </c>
      <c r="AA169" s="81">
        <f>C169*H169</f>
        <v/>
      </c>
      <c r="AB169" s="81">
        <f>(P169-1)*O169*K169</f>
        <v/>
      </c>
    </row>
    <row r="170">
      <c r="A170" s="7" t="n"/>
      <c r="B170" s="7" t="n"/>
      <c r="C170" s="8" t="n"/>
      <c r="D170" s="33">
        <f>C170/$U$3</f>
        <v/>
      </c>
      <c r="E170" s="7" t="n"/>
      <c r="F170" s="7" t="n"/>
      <c r="G170" s="7" t="n"/>
      <c r="H170" s="7" t="n"/>
      <c r="I170" s="91" t="n"/>
      <c r="J170" s="7" t="n"/>
      <c r="K170" s="33">
        <f>SUM(E170:I170)</f>
        <v/>
      </c>
      <c r="L170" s="33">
        <f>K170*D170</f>
        <v/>
      </c>
      <c r="M170" s="33">
        <f>K170*C170</f>
        <v/>
      </c>
      <c r="N170" s="7" t="n"/>
      <c r="O170" s="33">
        <f>N170*C170</f>
        <v/>
      </c>
      <c r="P170" s="7" t="n"/>
      <c r="Q170" s="7" t="n"/>
      <c r="R170" s="7" t="n"/>
      <c r="S170" s="33">
        <f>O170*L170</f>
        <v/>
      </c>
      <c r="Y170" s="33">
        <f>0.25*H170</f>
        <v/>
      </c>
      <c r="Z170" s="33">
        <f>Y170*O170</f>
        <v/>
      </c>
      <c r="AA170" s="81">
        <f>C170*H170</f>
        <v/>
      </c>
      <c r="AB170" s="81">
        <f>(P170-1)*O170*K170</f>
        <v/>
      </c>
    </row>
    <row r="171">
      <c r="A171" s="7" t="n"/>
      <c r="B171" s="7" t="n"/>
      <c r="C171" s="8" t="n"/>
      <c r="D171" s="33">
        <f>C171/$U$3</f>
        <v/>
      </c>
      <c r="E171" s="7" t="n"/>
      <c r="F171" s="7" t="n"/>
      <c r="G171" s="7" t="n"/>
      <c r="H171" s="7" t="n"/>
      <c r="I171" s="91" t="n"/>
      <c r="J171" s="7" t="n"/>
      <c r="K171" s="33">
        <f>SUM(E171:I171)</f>
        <v/>
      </c>
      <c r="L171" s="33">
        <f>K171*D171</f>
        <v/>
      </c>
      <c r="M171" s="33">
        <f>K171*C171</f>
        <v/>
      </c>
      <c r="N171" s="7" t="n"/>
      <c r="O171" s="33">
        <f>N171*C171</f>
        <v/>
      </c>
      <c r="P171" s="7" t="n"/>
      <c r="Q171" s="7" t="n"/>
      <c r="R171" s="7" t="n"/>
      <c r="S171" s="33">
        <f>O171*L171</f>
        <v/>
      </c>
      <c r="Y171" s="33">
        <f>0.25*H171</f>
        <v/>
      </c>
      <c r="Z171" s="33">
        <f>Y171*O171</f>
        <v/>
      </c>
      <c r="AA171" s="81">
        <f>C171*H171</f>
        <v/>
      </c>
      <c r="AB171" s="81">
        <f>(P171-1)*O171*K171</f>
        <v/>
      </c>
    </row>
    <row r="172">
      <c r="A172" s="7" t="n"/>
      <c r="B172" s="7" t="n"/>
      <c r="C172" s="8" t="n"/>
      <c r="D172" s="33">
        <f>C172/$U$3</f>
        <v/>
      </c>
      <c r="E172" s="7" t="n"/>
      <c r="F172" s="7" t="n"/>
      <c r="G172" s="7" t="n"/>
      <c r="H172" s="7" t="n"/>
      <c r="I172" s="91" t="n"/>
      <c r="J172" s="7" t="n"/>
      <c r="K172" s="33">
        <f>SUM(E172:I172)</f>
        <v/>
      </c>
      <c r="L172" s="33">
        <f>K172*D172</f>
        <v/>
      </c>
      <c r="M172" s="33">
        <f>K172*C172</f>
        <v/>
      </c>
      <c r="N172" s="7" t="n"/>
      <c r="O172" s="33">
        <f>N172*C172</f>
        <v/>
      </c>
      <c r="P172" s="7" t="n"/>
      <c r="Q172" s="7" t="n"/>
      <c r="R172" s="7" t="n"/>
      <c r="S172" s="33">
        <f>O172*L172</f>
        <v/>
      </c>
      <c r="Y172" s="33">
        <f>0.25*H172</f>
        <v/>
      </c>
      <c r="Z172" s="33">
        <f>Y172*O172</f>
        <v/>
      </c>
      <c r="AA172" s="81">
        <f>C172*H172</f>
        <v/>
      </c>
      <c r="AB172" s="81">
        <f>(P172-1)*O172*K172</f>
        <v/>
      </c>
    </row>
    <row r="173">
      <c r="A173" s="7" t="n"/>
      <c r="B173" s="7" t="n"/>
      <c r="C173" s="8" t="n"/>
      <c r="D173" s="33">
        <f>C173/$U$3</f>
        <v/>
      </c>
      <c r="E173" s="7" t="n"/>
      <c r="F173" s="7" t="n"/>
      <c r="G173" s="7" t="n"/>
      <c r="H173" s="7" t="n"/>
      <c r="I173" s="91" t="n"/>
      <c r="J173" s="7" t="n"/>
      <c r="K173" s="33">
        <f>SUM(E173:I173)</f>
        <v/>
      </c>
      <c r="L173" s="33">
        <f>K173*D173</f>
        <v/>
      </c>
      <c r="M173" s="33">
        <f>K173*C173</f>
        <v/>
      </c>
      <c r="N173" s="7" t="n"/>
      <c r="O173" s="33">
        <f>N173*C173</f>
        <v/>
      </c>
      <c r="P173" s="7" t="n"/>
      <c r="Q173" s="7" t="n"/>
      <c r="R173" s="7" t="n"/>
      <c r="S173" s="33">
        <f>O173*L173</f>
        <v/>
      </c>
      <c r="Y173" s="33">
        <f>0.25*H173</f>
        <v/>
      </c>
      <c r="Z173" s="33">
        <f>Y173*O173</f>
        <v/>
      </c>
      <c r="AA173" s="81">
        <f>C173*H173</f>
        <v/>
      </c>
      <c r="AB173" s="81">
        <f>(P173-1)*O173*K173</f>
        <v/>
      </c>
    </row>
    <row r="174">
      <c r="A174" s="7" t="n"/>
      <c r="B174" s="7" t="n"/>
      <c r="C174" s="8" t="n"/>
      <c r="D174" s="33">
        <f>C174/$U$3</f>
        <v/>
      </c>
      <c r="E174" s="7" t="n"/>
      <c r="F174" s="7" t="n"/>
      <c r="G174" s="7" t="n"/>
      <c r="H174" s="7" t="n"/>
      <c r="I174" s="91" t="n"/>
      <c r="J174" s="7" t="n"/>
      <c r="K174" s="33">
        <f>SUM(E174:I174)</f>
        <v/>
      </c>
      <c r="L174" s="33">
        <f>K174*D174</f>
        <v/>
      </c>
      <c r="M174" s="33">
        <f>K174*C174</f>
        <v/>
      </c>
      <c r="N174" s="7" t="n"/>
      <c r="O174" s="33">
        <f>N174*C174</f>
        <v/>
      </c>
      <c r="P174" s="7" t="n"/>
      <c r="Q174" s="7" t="n"/>
      <c r="R174" s="7" t="n"/>
      <c r="S174" s="33">
        <f>O174*L174</f>
        <v/>
      </c>
      <c r="Y174" s="33">
        <f>0.25*H174</f>
        <v/>
      </c>
      <c r="Z174" s="33">
        <f>Y174*O174</f>
        <v/>
      </c>
      <c r="AA174" s="81">
        <f>C174*H174</f>
        <v/>
      </c>
      <c r="AB174" s="81">
        <f>(P174-1)*O174*K174</f>
        <v/>
      </c>
    </row>
    <row r="175">
      <c r="A175" s="7" t="n"/>
      <c r="B175" s="7" t="n"/>
      <c r="C175" s="8" t="n"/>
      <c r="D175" s="33">
        <f>C175/$U$3</f>
        <v/>
      </c>
      <c r="E175" s="7" t="n"/>
      <c r="F175" s="7" t="n"/>
      <c r="G175" s="7" t="n"/>
      <c r="H175" s="7" t="n"/>
      <c r="I175" s="91" t="n"/>
      <c r="J175" s="7" t="n"/>
      <c r="K175" s="33">
        <f>SUM(E175:I175)</f>
        <v/>
      </c>
      <c r="L175" s="33">
        <f>K175*D175</f>
        <v/>
      </c>
      <c r="M175" s="33">
        <f>K175*C175</f>
        <v/>
      </c>
      <c r="N175" s="7" t="n"/>
      <c r="O175" s="33">
        <f>N175*C175</f>
        <v/>
      </c>
      <c r="P175" s="7" t="n"/>
      <c r="Q175" s="7" t="n"/>
      <c r="R175" s="7" t="n"/>
      <c r="S175" s="33">
        <f>O175*L175</f>
        <v/>
      </c>
      <c r="Y175" s="33">
        <f>0.25*H175</f>
        <v/>
      </c>
      <c r="Z175" s="33">
        <f>Y175*O175</f>
        <v/>
      </c>
      <c r="AA175" s="81">
        <f>C175*H175</f>
        <v/>
      </c>
      <c r="AB175" s="81">
        <f>(P175-1)*O175*K175</f>
        <v/>
      </c>
    </row>
    <row r="176">
      <c r="A176" s="7" t="n"/>
      <c r="B176" s="7" t="n"/>
      <c r="C176" s="8" t="n"/>
      <c r="D176" s="33">
        <f>C176/$U$3</f>
        <v/>
      </c>
      <c r="E176" s="7" t="n"/>
      <c r="F176" s="7" t="n"/>
      <c r="G176" s="7" t="n"/>
      <c r="H176" s="7" t="n"/>
      <c r="I176" s="91" t="n"/>
      <c r="J176" s="7" t="n"/>
      <c r="K176" s="33">
        <f>SUM(E176:I176)</f>
        <v/>
      </c>
      <c r="L176" s="33">
        <f>K176*D176</f>
        <v/>
      </c>
      <c r="M176" s="33">
        <f>K176*C176</f>
        <v/>
      </c>
      <c r="N176" s="7" t="n"/>
      <c r="O176" s="33">
        <f>N176*C176</f>
        <v/>
      </c>
      <c r="P176" s="7" t="n"/>
      <c r="Q176" s="7" t="n"/>
      <c r="R176" s="7" t="n"/>
      <c r="S176" s="33">
        <f>O176*L176</f>
        <v/>
      </c>
      <c r="Y176" s="33">
        <f>0.25*H176</f>
        <v/>
      </c>
      <c r="Z176" s="33">
        <f>Y176*O176</f>
        <v/>
      </c>
      <c r="AA176" s="81">
        <f>C176*H176</f>
        <v/>
      </c>
      <c r="AB176" s="81">
        <f>(P176-1)*O176*K176</f>
        <v/>
      </c>
    </row>
    <row r="177">
      <c r="A177" s="7" t="n"/>
      <c r="B177" s="7" t="n"/>
      <c r="C177" s="8" t="n"/>
      <c r="D177" s="33">
        <f>C177/$U$3</f>
        <v/>
      </c>
      <c r="E177" s="7" t="n"/>
      <c r="F177" s="7" t="n"/>
      <c r="G177" s="7" t="n"/>
      <c r="H177" s="7" t="n"/>
      <c r="I177" s="91" t="n"/>
      <c r="J177" s="7" t="n"/>
      <c r="K177" s="33">
        <f>SUM(E177:I177)</f>
        <v/>
      </c>
      <c r="L177" s="33">
        <f>K177*D177</f>
        <v/>
      </c>
      <c r="M177" s="33">
        <f>K177*C177</f>
        <v/>
      </c>
      <c r="N177" s="7" t="n"/>
      <c r="O177" s="33">
        <f>N177*C177</f>
        <v/>
      </c>
      <c r="P177" s="7" t="n"/>
      <c r="Q177" s="7" t="n"/>
      <c r="R177" s="7" t="n"/>
      <c r="S177" s="33">
        <f>O177*L177</f>
        <v/>
      </c>
      <c r="Y177" s="33">
        <f>0.25*H177</f>
        <v/>
      </c>
      <c r="Z177" s="33">
        <f>Y177*O177</f>
        <v/>
      </c>
      <c r="AA177" s="81">
        <f>C177*H177</f>
        <v/>
      </c>
      <c r="AB177" s="81">
        <f>(P177-1)*O177*K177</f>
        <v/>
      </c>
    </row>
    <row r="178">
      <c r="A178" s="7" t="n"/>
      <c r="B178" s="7" t="n"/>
      <c r="C178" s="8" t="n"/>
      <c r="D178" s="33">
        <f>C178/$U$3</f>
        <v/>
      </c>
      <c r="E178" s="7" t="n"/>
      <c r="F178" s="7" t="n"/>
      <c r="G178" s="7" t="n"/>
      <c r="H178" s="7" t="n"/>
      <c r="I178" s="91" t="n"/>
      <c r="J178" s="7" t="n"/>
      <c r="K178" s="33">
        <f>SUM(E178:I178)</f>
        <v/>
      </c>
      <c r="L178" s="33">
        <f>K178*D178</f>
        <v/>
      </c>
      <c r="M178" s="33">
        <f>K178*C178</f>
        <v/>
      </c>
      <c r="N178" s="7" t="n"/>
      <c r="O178" s="33">
        <f>N178*C178</f>
        <v/>
      </c>
      <c r="P178" s="7" t="n"/>
      <c r="Q178" s="7" t="n"/>
      <c r="R178" s="7" t="n"/>
      <c r="S178" s="33">
        <f>O178*L178</f>
        <v/>
      </c>
      <c r="Y178" s="33">
        <f>0.25*H178</f>
        <v/>
      </c>
      <c r="Z178" s="33">
        <f>Y178*O178</f>
        <v/>
      </c>
      <c r="AA178" s="81">
        <f>C178*H178</f>
        <v/>
      </c>
      <c r="AB178" s="81">
        <f>(P178-1)*O178*K178</f>
        <v/>
      </c>
    </row>
    <row r="179">
      <c r="A179" s="7" t="n"/>
      <c r="B179" s="7" t="n"/>
      <c r="C179" s="8" t="n"/>
      <c r="D179" s="33">
        <f>C179/$U$3</f>
        <v/>
      </c>
      <c r="E179" s="7" t="n"/>
      <c r="F179" s="7" t="n"/>
      <c r="G179" s="7" t="n"/>
      <c r="H179" s="7" t="n"/>
      <c r="I179" s="91" t="n"/>
      <c r="J179" s="7" t="n"/>
      <c r="K179" s="33">
        <f>SUM(E179:I179)</f>
        <v/>
      </c>
      <c r="L179" s="33">
        <f>K179*D179</f>
        <v/>
      </c>
      <c r="M179" s="33">
        <f>K179*C179</f>
        <v/>
      </c>
      <c r="N179" s="7" t="n"/>
      <c r="O179" s="33">
        <f>N179*C179</f>
        <v/>
      </c>
      <c r="P179" s="7" t="n"/>
      <c r="Q179" s="7" t="n"/>
      <c r="R179" s="7" t="n"/>
      <c r="S179" s="33">
        <f>O179*L179</f>
        <v/>
      </c>
      <c r="Y179" s="33">
        <f>0.25*H179</f>
        <v/>
      </c>
      <c r="Z179" s="33">
        <f>Y179*O179</f>
        <v/>
      </c>
      <c r="AA179" s="81">
        <f>C179*H179</f>
        <v/>
      </c>
      <c r="AB179" s="81">
        <f>(P179-1)*O179*K179</f>
        <v/>
      </c>
    </row>
    <row r="180">
      <c r="A180" s="7" t="n"/>
      <c r="B180" s="7" t="n"/>
      <c r="C180" s="8" t="n"/>
      <c r="D180" s="33">
        <f>C180/$U$3</f>
        <v/>
      </c>
      <c r="E180" s="7" t="n"/>
      <c r="F180" s="7" t="n"/>
      <c r="G180" s="7" t="n"/>
      <c r="H180" s="7" t="n"/>
      <c r="I180" s="91" t="n"/>
      <c r="J180" s="7" t="n"/>
      <c r="K180" s="33">
        <f>SUM(E180:I180)</f>
        <v/>
      </c>
      <c r="L180" s="33">
        <f>K180*D180</f>
        <v/>
      </c>
      <c r="M180" s="33">
        <f>K180*C180</f>
        <v/>
      </c>
      <c r="N180" s="7" t="n"/>
      <c r="O180" s="33">
        <f>N180*C180</f>
        <v/>
      </c>
      <c r="P180" s="7" t="n"/>
      <c r="Q180" s="7" t="n"/>
      <c r="R180" s="7" t="n"/>
      <c r="S180" s="33">
        <f>O180*L180</f>
        <v/>
      </c>
      <c r="Y180" s="33">
        <f>0.25*H180</f>
        <v/>
      </c>
      <c r="Z180" s="33">
        <f>Y180*O180</f>
        <v/>
      </c>
      <c r="AA180" s="81">
        <f>C180*H180</f>
        <v/>
      </c>
      <c r="AB180" s="81">
        <f>(P180-1)*O180*K180</f>
        <v/>
      </c>
    </row>
    <row r="181">
      <c r="A181" s="7" t="n"/>
      <c r="B181" s="7" t="n"/>
      <c r="C181" s="8" t="n"/>
      <c r="D181" s="33">
        <f>C181/$U$3</f>
        <v/>
      </c>
      <c r="E181" s="7" t="n"/>
      <c r="F181" s="7" t="n"/>
      <c r="G181" s="7" t="n"/>
      <c r="H181" s="7" t="n"/>
      <c r="I181" s="91" t="n"/>
      <c r="J181" s="7" t="n"/>
      <c r="K181" s="33">
        <f>SUM(E181:I181)</f>
        <v/>
      </c>
      <c r="L181" s="33">
        <f>K181*D181</f>
        <v/>
      </c>
      <c r="M181" s="33">
        <f>K181*C181</f>
        <v/>
      </c>
      <c r="N181" s="7" t="n"/>
      <c r="O181" s="33">
        <f>N181*C181</f>
        <v/>
      </c>
      <c r="P181" s="7" t="n"/>
      <c r="Q181" s="7" t="n"/>
      <c r="R181" s="7" t="n"/>
      <c r="S181" s="33">
        <f>O181*L181</f>
        <v/>
      </c>
      <c r="Y181" s="33">
        <f>0.25*H181</f>
        <v/>
      </c>
      <c r="Z181" s="33">
        <f>Y181*O181</f>
        <v/>
      </c>
      <c r="AA181" s="81">
        <f>C181*H181</f>
        <v/>
      </c>
      <c r="AB181" s="81">
        <f>(P181-1)*O181*K181</f>
        <v/>
      </c>
    </row>
    <row r="182">
      <c r="A182" s="7" t="n"/>
      <c r="B182" s="7" t="n"/>
      <c r="C182" s="8" t="n"/>
      <c r="D182" s="33">
        <f>C182/$U$3</f>
        <v/>
      </c>
      <c r="E182" s="7" t="n"/>
      <c r="F182" s="7" t="n"/>
      <c r="G182" s="7" t="n"/>
      <c r="H182" s="7" t="n"/>
      <c r="I182" s="91" t="n"/>
      <c r="J182" s="7" t="n"/>
      <c r="K182" s="33">
        <f>SUM(E182:I182)</f>
        <v/>
      </c>
      <c r="L182" s="33">
        <f>K182*D182</f>
        <v/>
      </c>
      <c r="M182" s="33">
        <f>K182*C182</f>
        <v/>
      </c>
      <c r="N182" s="7" t="n"/>
      <c r="O182" s="33">
        <f>N182*C182</f>
        <v/>
      </c>
      <c r="P182" s="7" t="n"/>
      <c r="Q182" s="7" t="n"/>
      <c r="R182" s="7" t="n"/>
      <c r="S182" s="33">
        <f>O182*L182</f>
        <v/>
      </c>
      <c r="Y182" s="33">
        <f>0.25*H182</f>
        <v/>
      </c>
      <c r="Z182" s="33">
        <f>Y182*O182</f>
        <v/>
      </c>
      <c r="AA182" s="81">
        <f>C182*H182</f>
        <v/>
      </c>
      <c r="AB182" s="81">
        <f>(P182-1)*O182*K182</f>
        <v/>
      </c>
    </row>
    <row r="183">
      <c r="A183" s="7" t="n"/>
      <c r="B183" s="7" t="n"/>
      <c r="C183" s="8" t="n"/>
      <c r="D183" s="33">
        <f>C183/$U$3</f>
        <v/>
      </c>
      <c r="E183" s="7" t="n"/>
      <c r="F183" s="7" t="n"/>
      <c r="G183" s="7" t="n"/>
      <c r="H183" s="7" t="n"/>
      <c r="I183" s="91" t="n"/>
      <c r="J183" s="7" t="n"/>
      <c r="K183" s="33">
        <f>SUM(E183:I183)</f>
        <v/>
      </c>
      <c r="L183" s="33">
        <f>K183*D183</f>
        <v/>
      </c>
      <c r="M183" s="33">
        <f>K183*C183</f>
        <v/>
      </c>
      <c r="N183" s="7" t="n"/>
      <c r="O183" s="33">
        <f>N183*C183</f>
        <v/>
      </c>
      <c r="P183" s="7" t="n"/>
      <c r="Q183" s="7" t="n"/>
      <c r="R183" s="7" t="n"/>
      <c r="S183" s="33">
        <f>O183*L183</f>
        <v/>
      </c>
      <c r="Y183" s="33">
        <f>0.25*H183</f>
        <v/>
      </c>
      <c r="Z183" s="33">
        <f>Y183*O183</f>
        <v/>
      </c>
      <c r="AA183" s="81">
        <f>C183*H183</f>
        <v/>
      </c>
      <c r="AB183" s="81">
        <f>(P183-1)*O183*K183</f>
        <v/>
      </c>
    </row>
    <row r="184">
      <c r="A184" s="7" t="n"/>
      <c r="B184" s="7" t="n"/>
      <c r="C184" s="8" t="n"/>
      <c r="D184" s="33">
        <f>C184/$U$3</f>
        <v/>
      </c>
      <c r="E184" s="7" t="n"/>
      <c r="F184" s="7" t="n"/>
      <c r="G184" s="7" t="n"/>
      <c r="H184" s="7" t="n"/>
      <c r="I184" s="91" t="n"/>
      <c r="J184" s="7" t="n"/>
      <c r="K184" s="33">
        <f>SUM(E184:I184)</f>
        <v/>
      </c>
      <c r="L184" s="33">
        <f>K184*D184</f>
        <v/>
      </c>
      <c r="M184" s="33">
        <f>K184*C184</f>
        <v/>
      </c>
      <c r="N184" s="7" t="n"/>
      <c r="O184" s="33">
        <f>N184*C184</f>
        <v/>
      </c>
      <c r="P184" s="7" t="n"/>
      <c r="Q184" s="7" t="n"/>
      <c r="R184" s="7" t="n"/>
      <c r="S184" s="33">
        <f>O184*L184</f>
        <v/>
      </c>
      <c r="Y184" s="33">
        <f>0.25*H184</f>
        <v/>
      </c>
      <c r="Z184" s="33">
        <f>Y184*O184</f>
        <v/>
      </c>
      <c r="AA184" s="81">
        <f>C184*H184</f>
        <v/>
      </c>
      <c r="AB184" s="81">
        <f>(P184-1)*O184*K184</f>
        <v/>
      </c>
    </row>
    <row r="185">
      <c r="A185" s="7" t="n"/>
      <c r="B185" s="7" t="n"/>
      <c r="C185" s="8" t="n"/>
      <c r="D185" s="33">
        <f>C185/$U$3</f>
        <v/>
      </c>
      <c r="E185" s="7" t="n"/>
      <c r="F185" s="7" t="n"/>
      <c r="G185" s="7" t="n"/>
      <c r="H185" s="7" t="n"/>
      <c r="I185" s="91" t="n"/>
      <c r="J185" s="7" t="n"/>
      <c r="K185" s="33">
        <f>SUM(E185:I185)</f>
        <v/>
      </c>
      <c r="L185" s="33">
        <f>K185*D185</f>
        <v/>
      </c>
      <c r="M185" s="33">
        <f>K185*C185</f>
        <v/>
      </c>
      <c r="N185" s="7" t="n"/>
      <c r="O185" s="33">
        <f>N185*C185</f>
        <v/>
      </c>
      <c r="P185" s="7" t="n"/>
      <c r="Q185" s="7" t="n"/>
      <c r="R185" s="7" t="n"/>
      <c r="S185" s="33">
        <f>O185*L185</f>
        <v/>
      </c>
      <c r="Y185" s="33">
        <f>0.25*H185</f>
        <v/>
      </c>
      <c r="Z185" s="33">
        <f>Y185*O185</f>
        <v/>
      </c>
      <c r="AA185" s="81">
        <f>C185*H185</f>
        <v/>
      </c>
      <c r="AB185" s="81">
        <f>(P185-1)*O185*K185</f>
        <v/>
      </c>
    </row>
    <row r="186">
      <c r="A186" s="7" t="n"/>
      <c r="B186" s="7" t="n"/>
      <c r="C186" s="8" t="n"/>
      <c r="D186" s="33">
        <f>C186/$U$3</f>
        <v/>
      </c>
      <c r="E186" s="7" t="n"/>
      <c r="F186" s="7" t="n"/>
      <c r="G186" s="7" t="n"/>
      <c r="H186" s="7" t="n"/>
      <c r="I186" s="91" t="n"/>
      <c r="J186" s="7" t="n"/>
      <c r="K186" s="33">
        <f>SUM(E186:I186)</f>
        <v/>
      </c>
      <c r="L186" s="33">
        <f>K186*D186</f>
        <v/>
      </c>
      <c r="M186" s="33">
        <f>K186*C186</f>
        <v/>
      </c>
      <c r="N186" s="7" t="n"/>
      <c r="O186" s="33">
        <f>N186*C186</f>
        <v/>
      </c>
      <c r="P186" s="7" t="n"/>
      <c r="Q186" s="7" t="n"/>
      <c r="R186" s="7" t="n"/>
      <c r="S186" s="33">
        <f>O186*L186</f>
        <v/>
      </c>
      <c r="Y186" s="33">
        <f>0.25*H186</f>
        <v/>
      </c>
      <c r="Z186" s="33">
        <f>Y186*O186</f>
        <v/>
      </c>
      <c r="AA186" s="81">
        <f>C186*H186</f>
        <v/>
      </c>
      <c r="AB186" s="81">
        <f>(P186-1)*O186*K186</f>
        <v/>
      </c>
    </row>
    <row r="187">
      <c r="A187" s="7" t="n"/>
      <c r="B187" s="7" t="n"/>
      <c r="C187" s="8" t="n"/>
      <c r="D187" s="33">
        <f>C187/$U$3</f>
        <v/>
      </c>
      <c r="E187" s="7" t="n"/>
      <c r="F187" s="7" t="n"/>
      <c r="G187" s="7" t="n"/>
      <c r="H187" s="7" t="n"/>
      <c r="I187" s="91" t="n"/>
      <c r="J187" s="7" t="n"/>
      <c r="K187" s="33">
        <f>SUM(E187:I187)</f>
        <v/>
      </c>
      <c r="L187" s="33">
        <f>K187*D187</f>
        <v/>
      </c>
      <c r="M187" s="33">
        <f>K187*C187</f>
        <v/>
      </c>
      <c r="N187" s="7" t="n"/>
      <c r="O187" s="33">
        <f>N187*C187</f>
        <v/>
      </c>
      <c r="P187" s="7" t="n"/>
      <c r="Q187" s="7" t="n"/>
      <c r="R187" s="7" t="n"/>
      <c r="S187" s="33">
        <f>O187*L187</f>
        <v/>
      </c>
      <c r="Y187" s="33">
        <f>0.25*H187</f>
        <v/>
      </c>
      <c r="Z187" s="33">
        <f>Y187*O187</f>
        <v/>
      </c>
      <c r="AA187" s="81">
        <f>C187*H187</f>
        <v/>
      </c>
      <c r="AB187" s="81">
        <f>(P187-1)*O187*K187</f>
        <v/>
      </c>
    </row>
    <row r="188">
      <c r="A188" s="7" t="n"/>
      <c r="B188" s="7" t="n"/>
      <c r="C188" s="8" t="n"/>
      <c r="D188" s="33">
        <f>C188/$U$3</f>
        <v/>
      </c>
      <c r="E188" s="7" t="n"/>
      <c r="F188" s="7" t="n"/>
      <c r="G188" s="7" t="n"/>
      <c r="H188" s="7" t="n"/>
      <c r="I188" s="91" t="n"/>
      <c r="J188" s="7" t="n"/>
      <c r="K188" s="33">
        <f>SUM(E188:I188)</f>
        <v/>
      </c>
      <c r="L188" s="33">
        <f>K188*D188</f>
        <v/>
      </c>
      <c r="M188" s="33">
        <f>K188*C188</f>
        <v/>
      </c>
      <c r="N188" s="7" t="n"/>
      <c r="O188" s="33">
        <f>N188*C188</f>
        <v/>
      </c>
      <c r="P188" s="7" t="n"/>
      <c r="Q188" s="7" t="n"/>
      <c r="R188" s="7" t="n"/>
      <c r="S188" s="33">
        <f>O188*L188</f>
        <v/>
      </c>
      <c r="Y188" s="33">
        <f>0.25*H188</f>
        <v/>
      </c>
      <c r="Z188" s="33">
        <f>Y188*O188</f>
        <v/>
      </c>
      <c r="AA188" s="81">
        <f>C188*H188</f>
        <v/>
      </c>
      <c r="AB188" s="81">
        <f>(P188-1)*O188*K188</f>
        <v/>
      </c>
    </row>
    <row r="189">
      <c r="A189" s="7" t="n"/>
      <c r="B189" s="7" t="n"/>
      <c r="C189" s="8" t="n"/>
      <c r="D189" s="33">
        <f>C189/$U$3</f>
        <v/>
      </c>
      <c r="E189" s="7" t="n"/>
      <c r="F189" s="7" t="n"/>
      <c r="G189" s="7" t="n"/>
      <c r="H189" s="7" t="n"/>
      <c r="I189" s="91" t="n"/>
      <c r="J189" s="7" t="n"/>
      <c r="K189" s="33">
        <f>SUM(E189:I189)</f>
        <v/>
      </c>
      <c r="L189" s="33">
        <f>K189*D189</f>
        <v/>
      </c>
      <c r="M189" s="33">
        <f>K189*C189</f>
        <v/>
      </c>
      <c r="N189" s="7" t="n"/>
      <c r="O189" s="33">
        <f>N189*C189</f>
        <v/>
      </c>
      <c r="P189" s="7" t="n"/>
      <c r="Q189" s="7" t="n"/>
      <c r="R189" s="7" t="n"/>
      <c r="S189" s="33">
        <f>O189*L189</f>
        <v/>
      </c>
      <c r="Y189" s="33">
        <f>0.25*H189</f>
        <v/>
      </c>
      <c r="Z189" s="33">
        <f>Y189*O189</f>
        <v/>
      </c>
      <c r="AA189" s="81">
        <f>C189*H189</f>
        <v/>
      </c>
      <c r="AB189" s="81">
        <f>(P189-1)*O189*K189</f>
        <v/>
      </c>
    </row>
    <row r="190">
      <c r="A190" s="7" t="n"/>
      <c r="B190" s="7" t="n"/>
      <c r="C190" s="8" t="n"/>
      <c r="D190" s="33">
        <f>C190/$U$3</f>
        <v/>
      </c>
      <c r="E190" s="7" t="n"/>
      <c r="F190" s="7" t="n"/>
      <c r="G190" s="7" t="n"/>
      <c r="H190" s="7" t="n"/>
      <c r="I190" s="91" t="n"/>
      <c r="J190" s="7" t="n"/>
      <c r="K190" s="33">
        <f>SUM(E190:I190)</f>
        <v/>
      </c>
      <c r="L190" s="33">
        <f>K190*D190</f>
        <v/>
      </c>
      <c r="M190" s="33">
        <f>K190*C190</f>
        <v/>
      </c>
      <c r="N190" s="7" t="n"/>
      <c r="O190" s="33">
        <f>N190*C190</f>
        <v/>
      </c>
      <c r="P190" s="7" t="n"/>
      <c r="Q190" s="7" t="n"/>
      <c r="R190" s="7" t="n"/>
      <c r="S190" s="33">
        <f>O190*L190</f>
        <v/>
      </c>
      <c r="Y190" s="33">
        <f>0.25*H190</f>
        <v/>
      </c>
      <c r="Z190" s="33">
        <f>Y190*O190</f>
        <v/>
      </c>
      <c r="AA190" s="81">
        <f>C190*H190</f>
        <v/>
      </c>
      <c r="AB190" s="81">
        <f>(P190-1)*O190*K190</f>
        <v/>
      </c>
    </row>
    <row r="191">
      <c r="A191" s="7" t="n"/>
      <c r="B191" s="7" t="n"/>
      <c r="C191" s="8" t="n"/>
      <c r="D191" s="33">
        <f>C191/$U$3</f>
        <v/>
      </c>
      <c r="E191" s="7" t="n"/>
      <c r="F191" s="7" t="n"/>
      <c r="G191" s="7" t="n"/>
      <c r="H191" s="7" t="n"/>
      <c r="I191" s="91" t="n"/>
      <c r="J191" s="7" t="n"/>
      <c r="K191" s="33">
        <f>SUM(E191:I191)</f>
        <v/>
      </c>
      <c r="L191" s="33">
        <f>K191*D191</f>
        <v/>
      </c>
      <c r="M191" s="33">
        <f>K191*C191</f>
        <v/>
      </c>
      <c r="N191" s="7" t="n"/>
      <c r="O191" s="33">
        <f>N191*C191</f>
        <v/>
      </c>
      <c r="P191" s="7" t="n"/>
      <c r="Q191" s="7" t="n"/>
      <c r="R191" s="7" t="n"/>
      <c r="S191" s="33">
        <f>O191*L191</f>
        <v/>
      </c>
      <c r="Y191" s="33">
        <f>0.25*H191</f>
        <v/>
      </c>
      <c r="Z191" s="33">
        <f>Y191*O191</f>
        <v/>
      </c>
      <c r="AA191" s="81">
        <f>C191*H191</f>
        <v/>
      </c>
      <c r="AB191" s="81">
        <f>(P191-1)*O191*K191</f>
        <v/>
      </c>
    </row>
    <row r="192">
      <c r="A192" s="7" t="n"/>
      <c r="B192" s="7" t="n"/>
      <c r="C192" s="8" t="n"/>
      <c r="D192" s="33">
        <f>C192/$U$3</f>
        <v/>
      </c>
      <c r="E192" s="7" t="n"/>
      <c r="F192" s="7" t="n"/>
      <c r="G192" s="7" t="n"/>
      <c r="H192" s="7" t="n"/>
      <c r="I192" s="91" t="n"/>
      <c r="J192" s="7" t="n"/>
      <c r="K192" s="33">
        <f>SUM(E192:I192)</f>
        <v/>
      </c>
      <c r="L192" s="33">
        <f>K192*D192</f>
        <v/>
      </c>
      <c r="M192" s="33">
        <f>K192*C192</f>
        <v/>
      </c>
      <c r="N192" s="7" t="n"/>
      <c r="O192" s="33">
        <f>N192*C192</f>
        <v/>
      </c>
      <c r="P192" s="7" t="n"/>
      <c r="Q192" s="7" t="n"/>
      <c r="R192" s="7" t="n"/>
      <c r="S192" s="33">
        <f>O192*L192</f>
        <v/>
      </c>
      <c r="Y192" s="33">
        <f>0.25*H192</f>
        <v/>
      </c>
      <c r="Z192" s="33">
        <f>Y192*O192</f>
        <v/>
      </c>
      <c r="AA192" s="81">
        <f>C192*H192</f>
        <v/>
      </c>
      <c r="AB192" s="81">
        <f>(P192-1)*O192*K192</f>
        <v/>
      </c>
    </row>
    <row r="193">
      <c r="A193" s="7" t="n"/>
      <c r="B193" s="7" t="n"/>
      <c r="C193" s="8" t="n"/>
      <c r="D193" s="33">
        <f>C193/$U$3</f>
        <v/>
      </c>
      <c r="E193" s="7" t="n"/>
      <c r="F193" s="7" t="n"/>
      <c r="G193" s="7" t="n"/>
      <c r="H193" s="7" t="n"/>
      <c r="I193" s="91" t="n"/>
      <c r="J193" s="7" t="n"/>
      <c r="K193" s="33">
        <f>SUM(E193:I193)</f>
        <v/>
      </c>
      <c r="L193" s="33">
        <f>K193*D193</f>
        <v/>
      </c>
      <c r="M193" s="33">
        <f>K193*C193</f>
        <v/>
      </c>
      <c r="N193" s="7" t="n"/>
      <c r="O193" s="33">
        <f>N193*C193</f>
        <v/>
      </c>
      <c r="P193" s="7" t="n"/>
      <c r="Q193" s="7" t="n"/>
      <c r="R193" s="7" t="n"/>
      <c r="S193" s="33">
        <f>O193*L193</f>
        <v/>
      </c>
      <c r="Y193" s="33">
        <f>0.25*H193</f>
        <v/>
      </c>
      <c r="Z193" s="33">
        <f>Y193*O193</f>
        <v/>
      </c>
      <c r="AA193" s="81">
        <f>C193*H193</f>
        <v/>
      </c>
      <c r="AB193" s="81">
        <f>(P193-1)*O193*K193</f>
        <v/>
      </c>
    </row>
    <row r="194">
      <c r="A194" s="7" t="n"/>
      <c r="B194" s="7" t="n"/>
      <c r="C194" s="8" t="n"/>
      <c r="D194" s="33">
        <f>C194/$U$3</f>
        <v/>
      </c>
      <c r="E194" s="7" t="n"/>
      <c r="F194" s="7" t="n"/>
      <c r="G194" s="7" t="n"/>
      <c r="H194" s="7" t="n"/>
      <c r="I194" s="91" t="n"/>
      <c r="J194" s="7" t="n"/>
      <c r="K194" s="33">
        <f>SUM(E194:I194)</f>
        <v/>
      </c>
      <c r="L194" s="33">
        <f>K194*D194</f>
        <v/>
      </c>
      <c r="M194" s="33">
        <f>K194*C194</f>
        <v/>
      </c>
      <c r="N194" s="7" t="n"/>
      <c r="O194" s="33">
        <f>N194*C194</f>
        <v/>
      </c>
      <c r="P194" s="7" t="n"/>
      <c r="Q194" s="7" t="n"/>
      <c r="R194" s="7" t="n"/>
      <c r="S194" s="33">
        <f>O194*L194</f>
        <v/>
      </c>
      <c r="Y194" s="33">
        <f>0.25*H194</f>
        <v/>
      </c>
      <c r="Z194" s="33">
        <f>Y194*O194</f>
        <v/>
      </c>
      <c r="AA194" s="81">
        <f>C194*H194</f>
        <v/>
      </c>
      <c r="AB194" s="81">
        <f>(P194-1)*O194*K194</f>
        <v/>
      </c>
    </row>
    <row r="195">
      <c r="A195" s="7" t="n"/>
      <c r="B195" s="7" t="n"/>
      <c r="C195" s="8" t="n"/>
      <c r="D195" s="33">
        <f>C195/$U$3</f>
        <v/>
      </c>
      <c r="E195" s="7" t="n"/>
      <c r="F195" s="7" t="n"/>
      <c r="G195" s="7" t="n"/>
      <c r="H195" s="7" t="n"/>
      <c r="I195" s="91" t="n"/>
      <c r="J195" s="7" t="n"/>
      <c r="K195" s="33">
        <f>SUM(E195:I195)</f>
        <v/>
      </c>
      <c r="L195" s="33">
        <f>K195*D195</f>
        <v/>
      </c>
      <c r="M195" s="33">
        <f>K195*C195</f>
        <v/>
      </c>
      <c r="N195" s="7" t="n"/>
      <c r="O195" s="33">
        <f>N195*C195</f>
        <v/>
      </c>
      <c r="P195" s="7" t="n"/>
      <c r="Q195" s="7" t="n"/>
      <c r="R195" s="7" t="n"/>
      <c r="S195" s="33">
        <f>O195*L195</f>
        <v/>
      </c>
      <c r="Y195" s="33">
        <f>0.25*H195</f>
        <v/>
      </c>
      <c r="Z195" s="33">
        <f>Y195*O195</f>
        <v/>
      </c>
      <c r="AA195" s="81">
        <f>C195*H195</f>
        <v/>
      </c>
      <c r="AB195" s="81">
        <f>(P195-1)*O195*K195</f>
        <v/>
      </c>
    </row>
    <row r="196">
      <c r="A196" s="7" t="n"/>
      <c r="B196" s="7" t="n"/>
      <c r="C196" s="8" t="n"/>
      <c r="D196" s="33">
        <f>C196/$U$3</f>
        <v/>
      </c>
      <c r="E196" s="7" t="n"/>
      <c r="F196" s="7" t="n"/>
      <c r="G196" s="7" t="n"/>
      <c r="H196" s="7" t="n"/>
      <c r="I196" s="91" t="n"/>
      <c r="J196" s="7" t="n"/>
      <c r="K196" s="33">
        <f>SUM(E196:I196)</f>
        <v/>
      </c>
      <c r="L196" s="33">
        <f>K196*D196</f>
        <v/>
      </c>
      <c r="M196" s="33">
        <f>K196*C196</f>
        <v/>
      </c>
      <c r="N196" s="7" t="n"/>
      <c r="O196" s="33">
        <f>N196*C196</f>
        <v/>
      </c>
      <c r="P196" s="7" t="n"/>
      <c r="Q196" s="7" t="n"/>
      <c r="R196" s="7" t="n"/>
      <c r="S196" s="33">
        <f>O196*L196</f>
        <v/>
      </c>
      <c r="Y196" s="33">
        <f>0.25*H196</f>
        <v/>
      </c>
      <c r="Z196" s="33">
        <f>Y196*O196</f>
        <v/>
      </c>
      <c r="AA196" s="81">
        <f>C196*H196</f>
        <v/>
      </c>
      <c r="AB196" s="81">
        <f>(P196-1)*O196*K196</f>
        <v/>
      </c>
    </row>
    <row r="197">
      <c r="A197" s="7" t="n"/>
      <c r="B197" s="7" t="n"/>
      <c r="C197" s="8" t="n"/>
      <c r="D197" s="33">
        <f>C197/$U$3</f>
        <v/>
      </c>
      <c r="E197" s="7" t="n"/>
      <c r="F197" s="7" t="n"/>
      <c r="G197" s="7" t="n"/>
      <c r="H197" s="7" t="n"/>
      <c r="I197" s="91" t="n"/>
      <c r="J197" s="7" t="n"/>
      <c r="K197" s="33">
        <f>SUM(E197:I197)</f>
        <v/>
      </c>
      <c r="L197" s="33">
        <f>K197*D197</f>
        <v/>
      </c>
      <c r="M197" s="33">
        <f>K197*C197</f>
        <v/>
      </c>
      <c r="N197" s="7" t="n"/>
      <c r="O197" s="33">
        <f>N197*C197</f>
        <v/>
      </c>
      <c r="P197" s="7" t="n"/>
      <c r="Q197" s="7" t="n"/>
      <c r="R197" s="7" t="n"/>
      <c r="S197" s="33">
        <f>O197*L197</f>
        <v/>
      </c>
      <c r="Y197" s="33">
        <f>0.25*H197</f>
        <v/>
      </c>
      <c r="Z197" s="33">
        <f>Y197*O197</f>
        <v/>
      </c>
      <c r="AA197" s="81">
        <f>C197*H197</f>
        <v/>
      </c>
      <c r="AB197" s="81">
        <f>(P197-1)*O197*K197</f>
        <v/>
      </c>
    </row>
    <row r="198">
      <c r="A198" s="7" t="n"/>
      <c r="B198" s="7" t="n"/>
      <c r="C198" s="8" t="n"/>
      <c r="D198" s="33">
        <f>C198/$U$3</f>
        <v/>
      </c>
      <c r="E198" s="7" t="n"/>
      <c r="F198" s="7" t="n"/>
      <c r="G198" s="7" t="n"/>
      <c r="H198" s="7" t="n"/>
      <c r="I198" s="91" t="n"/>
      <c r="J198" s="7" t="n"/>
      <c r="K198" s="33">
        <f>SUM(E198:I198)</f>
        <v/>
      </c>
      <c r="L198" s="33">
        <f>K198*D198</f>
        <v/>
      </c>
      <c r="M198" s="33">
        <f>K198*C198</f>
        <v/>
      </c>
      <c r="N198" s="7" t="n"/>
      <c r="O198" s="33">
        <f>N198*C198</f>
        <v/>
      </c>
      <c r="P198" s="7" t="n"/>
      <c r="Q198" s="7" t="n"/>
      <c r="R198" s="7" t="n"/>
      <c r="S198" s="33">
        <f>O198*L198</f>
        <v/>
      </c>
      <c r="Y198" s="33">
        <f>0.25*H198</f>
        <v/>
      </c>
      <c r="Z198" s="33">
        <f>Y198*O198</f>
        <v/>
      </c>
      <c r="AA198" s="81">
        <f>C198*H198</f>
        <v/>
      </c>
      <c r="AB198" s="81">
        <f>(P198-1)*O198*K198</f>
        <v/>
      </c>
    </row>
    <row r="199">
      <c r="A199" s="7" t="n"/>
      <c r="B199" s="7" t="n"/>
      <c r="C199" s="8" t="n"/>
      <c r="D199" s="33">
        <f>C199/$U$3</f>
        <v/>
      </c>
      <c r="E199" s="7" t="n"/>
      <c r="F199" s="7" t="n"/>
      <c r="G199" s="7" t="n"/>
      <c r="H199" s="7" t="n"/>
      <c r="I199" s="91" t="n"/>
      <c r="J199" s="7" t="n"/>
      <c r="K199" s="33">
        <f>SUM(E199:I199)</f>
        <v/>
      </c>
      <c r="L199" s="33">
        <f>K199*D199</f>
        <v/>
      </c>
      <c r="M199" s="33">
        <f>K199*C199</f>
        <v/>
      </c>
      <c r="N199" s="7" t="n"/>
      <c r="O199" s="33">
        <f>N199*C199</f>
        <v/>
      </c>
      <c r="P199" s="7" t="n"/>
      <c r="Q199" s="7" t="n"/>
      <c r="R199" s="7" t="n"/>
      <c r="S199" s="33">
        <f>O199*L199</f>
        <v/>
      </c>
      <c r="Y199" s="33">
        <f>0.25*H199</f>
        <v/>
      </c>
      <c r="Z199" s="33">
        <f>Y199*O199</f>
        <v/>
      </c>
      <c r="AA199" s="81">
        <f>C199*H199</f>
        <v/>
      </c>
      <c r="AB199" s="81">
        <f>(P199-1)*O199*K199</f>
        <v/>
      </c>
    </row>
    <row r="200">
      <c r="A200" s="7" t="n"/>
      <c r="B200" s="7" t="n"/>
      <c r="C200" s="8" t="n"/>
      <c r="D200" s="33">
        <f>C200/$U$3</f>
        <v/>
      </c>
      <c r="E200" s="7" t="n"/>
      <c r="F200" s="7" t="n"/>
      <c r="G200" s="7" t="n"/>
      <c r="H200" s="7" t="n"/>
      <c r="I200" s="91" t="n"/>
      <c r="J200" s="7" t="n"/>
      <c r="K200" s="33">
        <f>SUM(E200:I200)</f>
        <v/>
      </c>
      <c r="L200" s="33">
        <f>K200*D200</f>
        <v/>
      </c>
      <c r="M200" s="33">
        <f>K200*C200</f>
        <v/>
      </c>
      <c r="N200" s="7" t="n"/>
      <c r="O200" s="33">
        <f>N200*C200</f>
        <v/>
      </c>
      <c r="P200" s="7" t="n"/>
      <c r="Q200" s="7" t="n"/>
      <c r="R200" s="7" t="n"/>
      <c r="S200" s="33">
        <f>O200*L200</f>
        <v/>
      </c>
      <c r="Y200" s="33">
        <f>0.25*H200</f>
        <v/>
      </c>
      <c r="Z200" s="33">
        <f>Y200*O200</f>
        <v/>
      </c>
      <c r="AA200" s="81">
        <f>C200*H200</f>
        <v/>
      </c>
      <c r="AB200" s="81">
        <f>(P200-1)*O200*K200</f>
        <v/>
      </c>
    </row>
    <row r="201">
      <c r="A201" s="7" t="n"/>
      <c r="B201" s="7" t="n"/>
      <c r="C201" s="8" t="n"/>
      <c r="D201" s="33">
        <f>C201/$U$3</f>
        <v/>
      </c>
      <c r="E201" s="7" t="n"/>
      <c r="F201" s="7" t="n"/>
      <c r="G201" s="7" t="n"/>
      <c r="H201" s="7" t="n"/>
      <c r="I201" s="91" t="n"/>
      <c r="J201" s="7" t="n"/>
      <c r="K201" s="33">
        <f>SUM(E201:I201)</f>
        <v/>
      </c>
      <c r="L201" s="33">
        <f>K201*D201</f>
        <v/>
      </c>
      <c r="M201" s="33">
        <f>K201*C201</f>
        <v/>
      </c>
      <c r="N201" s="7" t="n"/>
      <c r="O201" s="33">
        <f>N201*C201</f>
        <v/>
      </c>
      <c r="P201" s="7" t="n"/>
      <c r="Q201" s="7" t="n"/>
      <c r="R201" s="7" t="n"/>
      <c r="S201" s="33">
        <f>O201*L201</f>
        <v/>
      </c>
      <c r="Y201" s="33">
        <f>0.25*H201</f>
        <v/>
      </c>
      <c r="Z201" s="33">
        <f>Y201*O201</f>
        <v/>
      </c>
      <c r="AA201" s="81">
        <f>C201*H201</f>
        <v/>
      </c>
      <c r="AB201" s="81">
        <f>(P201-1)*O201*K201</f>
        <v/>
      </c>
    </row>
    <row r="202">
      <c r="A202" s="7" t="n"/>
      <c r="B202" s="7" t="n"/>
      <c r="C202" s="8" t="n"/>
      <c r="D202" s="33">
        <f>C202/$U$3</f>
        <v/>
      </c>
      <c r="E202" s="7" t="n"/>
      <c r="F202" s="7" t="n"/>
      <c r="G202" s="7" t="n"/>
      <c r="H202" s="7" t="n"/>
      <c r="I202" s="91" t="n"/>
      <c r="J202" s="7" t="n"/>
      <c r="K202" s="33">
        <f>SUM(E202:I202)</f>
        <v/>
      </c>
      <c r="L202" s="33">
        <f>K202*D202</f>
        <v/>
      </c>
      <c r="M202" s="33">
        <f>K202*C202</f>
        <v/>
      </c>
      <c r="N202" s="7" t="n"/>
      <c r="O202" s="33">
        <f>N202*C202</f>
        <v/>
      </c>
      <c r="P202" s="7" t="n"/>
      <c r="Q202" s="7" t="n"/>
      <c r="R202" s="7" t="n"/>
      <c r="S202" s="33">
        <f>O202*L202</f>
        <v/>
      </c>
      <c r="Y202" s="33">
        <f>0.25*H202</f>
        <v/>
      </c>
      <c r="Z202" s="33">
        <f>Y202*O202</f>
        <v/>
      </c>
      <c r="AA202" s="81">
        <f>C202*H202</f>
        <v/>
      </c>
      <c r="AB202" s="81">
        <f>(P202-1)*O202*K202</f>
        <v/>
      </c>
    </row>
    <row r="203">
      <c r="A203" s="7" t="n"/>
      <c r="B203" s="7" t="n"/>
      <c r="C203" s="8" t="n"/>
      <c r="D203" s="33">
        <f>C203/$U$3</f>
        <v/>
      </c>
      <c r="E203" s="7" t="n"/>
      <c r="F203" s="7" t="n"/>
      <c r="G203" s="7" t="n"/>
      <c r="H203" s="7" t="n"/>
      <c r="I203" s="91" t="n"/>
      <c r="J203" s="7" t="n"/>
      <c r="K203" s="33">
        <f>SUM(E203:I203)</f>
        <v/>
      </c>
      <c r="L203" s="33">
        <f>K203*D203</f>
        <v/>
      </c>
      <c r="M203" s="33">
        <f>K203*C203</f>
        <v/>
      </c>
      <c r="N203" s="7" t="n"/>
      <c r="O203" s="33">
        <f>N203*C203</f>
        <v/>
      </c>
      <c r="P203" s="7" t="n"/>
      <c r="Q203" s="7" t="n"/>
      <c r="R203" s="7" t="n"/>
      <c r="S203" s="33">
        <f>O203*L203</f>
        <v/>
      </c>
      <c r="Y203" s="33">
        <f>0.25*H203</f>
        <v/>
      </c>
      <c r="Z203" s="33">
        <f>Y203*O203</f>
        <v/>
      </c>
      <c r="AA203" s="81">
        <f>C203*H203</f>
        <v/>
      </c>
      <c r="AB203" s="81">
        <f>(P203-1)*O203*K203</f>
        <v/>
      </c>
    </row>
    <row r="204">
      <c r="A204" s="7" t="n"/>
      <c r="B204" s="7" t="n"/>
      <c r="C204" s="8" t="n"/>
      <c r="D204" s="33">
        <f>C204/$U$3</f>
        <v/>
      </c>
      <c r="E204" s="7" t="n"/>
      <c r="F204" s="7" t="n"/>
      <c r="G204" s="7" t="n"/>
      <c r="H204" s="7" t="n"/>
      <c r="I204" s="91" t="n"/>
      <c r="J204" s="7" t="n"/>
      <c r="K204" s="33">
        <f>SUM(E204:I204)</f>
        <v/>
      </c>
      <c r="L204" s="33">
        <f>K204*D204</f>
        <v/>
      </c>
      <c r="M204" s="33">
        <f>K204*C204</f>
        <v/>
      </c>
      <c r="N204" s="7" t="n"/>
      <c r="O204" s="33">
        <f>N204*C204</f>
        <v/>
      </c>
      <c r="P204" s="7" t="n"/>
      <c r="Q204" s="7" t="n"/>
      <c r="R204" s="7" t="n"/>
      <c r="S204" s="33">
        <f>O204*L204</f>
        <v/>
      </c>
      <c r="Y204" s="33">
        <f>0.25*H204</f>
        <v/>
      </c>
      <c r="Z204" s="33">
        <f>Y204*O204</f>
        <v/>
      </c>
      <c r="AA204" s="81">
        <f>C204*H204</f>
        <v/>
      </c>
      <c r="AB204" s="81">
        <f>(P204-1)*O204*K204</f>
        <v/>
      </c>
    </row>
    <row r="205">
      <c r="A205" s="7" t="n"/>
      <c r="B205" s="7" t="n"/>
      <c r="C205" s="8" t="n"/>
      <c r="D205" s="33">
        <f>C205/$U$3</f>
        <v/>
      </c>
      <c r="E205" s="7" t="n"/>
      <c r="F205" s="7" t="n"/>
      <c r="G205" s="7" t="n"/>
      <c r="H205" s="7" t="n"/>
      <c r="I205" s="91" t="n"/>
      <c r="J205" s="7" t="n"/>
      <c r="K205" s="33">
        <f>SUM(E205:I205)</f>
        <v/>
      </c>
      <c r="L205" s="33">
        <f>K205*D205</f>
        <v/>
      </c>
      <c r="M205" s="33">
        <f>K205*C205</f>
        <v/>
      </c>
      <c r="N205" s="7" t="n"/>
      <c r="O205" s="33">
        <f>N205*C205</f>
        <v/>
      </c>
      <c r="P205" s="7" t="n"/>
      <c r="Q205" s="7" t="n"/>
      <c r="R205" s="7" t="n"/>
      <c r="S205" s="33">
        <f>O205*L205</f>
        <v/>
      </c>
      <c r="Y205" s="33">
        <f>0.25*H205</f>
        <v/>
      </c>
      <c r="Z205" s="33">
        <f>Y205*O205</f>
        <v/>
      </c>
      <c r="AA205" s="81">
        <f>C205*H205</f>
        <v/>
      </c>
      <c r="AB205" s="81">
        <f>(P205-1)*O205*K205</f>
        <v/>
      </c>
    </row>
    <row r="206">
      <c r="A206" s="7" t="n"/>
      <c r="B206" s="7" t="n"/>
      <c r="C206" s="8" t="n"/>
      <c r="D206" s="33">
        <f>C206/$U$3</f>
        <v/>
      </c>
      <c r="E206" s="7" t="n"/>
      <c r="F206" s="7" t="n"/>
      <c r="G206" s="7" t="n"/>
      <c r="H206" s="7" t="n"/>
      <c r="I206" s="91" t="n"/>
      <c r="J206" s="7" t="n"/>
      <c r="K206" s="33">
        <f>SUM(E206:I206)</f>
        <v/>
      </c>
      <c r="L206" s="33">
        <f>K206*D206</f>
        <v/>
      </c>
      <c r="M206" s="33">
        <f>K206*C206</f>
        <v/>
      </c>
      <c r="N206" s="7" t="n"/>
      <c r="O206" s="33">
        <f>N206*C206</f>
        <v/>
      </c>
      <c r="P206" s="7" t="n"/>
      <c r="Q206" s="7" t="n"/>
      <c r="R206" s="7" t="n"/>
      <c r="S206" s="33">
        <f>O206*L206</f>
        <v/>
      </c>
      <c r="Y206" s="33">
        <f>0.25*H206</f>
        <v/>
      </c>
      <c r="Z206" s="33">
        <f>Y206*O206</f>
        <v/>
      </c>
      <c r="AA206" s="81">
        <f>C206*H206</f>
        <v/>
      </c>
      <c r="AB206" s="81">
        <f>(P206-1)*O206*K206</f>
        <v/>
      </c>
    </row>
    <row r="207">
      <c r="A207" s="7" t="n"/>
      <c r="B207" s="7" t="n"/>
      <c r="C207" s="8" t="n"/>
      <c r="D207" s="33">
        <f>C207/$U$3</f>
        <v/>
      </c>
      <c r="E207" s="7" t="n"/>
      <c r="F207" s="7" t="n"/>
      <c r="G207" s="7" t="n"/>
      <c r="H207" s="7" t="n"/>
      <c r="I207" s="91" t="n"/>
      <c r="J207" s="7" t="n"/>
      <c r="K207" s="33">
        <f>SUM(E207:I207)</f>
        <v/>
      </c>
      <c r="L207" s="33">
        <f>K207*D207</f>
        <v/>
      </c>
      <c r="M207" s="33">
        <f>K207*C207</f>
        <v/>
      </c>
      <c r="N207" s="7" t="n"/>
      <c r="O207" s="33">
        <f>N207*C207</f>
        <v/>
      </c>
      <c r="P207" s="7" t="n"/>
      <c r="Q207" s="7" t="n"/>
      <c r="R207" s="7" t="n"/>
      <c r="S207" s="33">
        <f>O207*L207</f>
        <v/>
      </c>
      <c r="Y207" s="33">
        <f>0.25*H207</f>
        <v/>
      </c>
      <c r="Z207" s="33">
        <f>Y207*O207</f>
        <v/>
      </c>
      <c r="AA207" s="81">
        <f>C207*H207</f>
        <v/>
      </c>
      <c r="AB207" s="81">
        <f>(P207-1)*O207*K207</f>
        <v/>
      </c>
    </row>
    <row r="208">
      <c r="A208" s="7" t="n"/>
      <c r="B208" s="7" t="n"/>
      <c r="C208" s="8" t="n"/>
      <c r="D208" s="33">
        <f>C208/$U$3</f>
        <v/>
      </c>
      <c r="E208" s="7" t="n"/>
      <c r="F208" s="7" t="n"/>
      <c r="G208" s="7" t="n"/>
      <c r="H208" s="7" t="n"/>
      <c r="I208" s="91" t="n"/>
      <c r="J208" s="7" t="n"/>
      <c r="K208" s="33">
        <f>SUM(E208:I208)</f>
        <v/>
      </c>
      <c r="L208" s="33">
        <f>K208*D208</f>
        <v/>
      </c>
      <c r="M208" s="33">
        <f>K208*C208</f>
        <v/>
      </c>
      <c r="N208" s="7" t="n"/>
      <c r="O208" s="33">
        <f>N208*C208</f>
        <v/>
      </c>
      <c r="P208" s="7" t="n"/>
      <c r="Q208" s="7" t="n"/>
      <c r="R208" s="7" t="n"/>
      <c r="S208" s="33">
        <f>O208*L208</f>
        <v/>
      </c>
      <c r="Y208" s="33">
        <f>0.25*H208</f>
        <v/>
      </c>
      <c r="Z208" s="33">
        <f>Y208*O208</f>
        <v/>
      </c>
      <c r="AA208" s="81">
        <f>C208*H208</f>
        <v/>
      </c>
      <c r="AB208" s="81">
        <f>(P208-1)*O208*K208</f>
        <v/>
      </c>
    </row>
    <row r="209">
      <c r="A209" s="7" t="n"/>
      <c r="B209" s="7" t="n"/>
      <c r="C209" s="8" t="n"/>
      <c r="D209" s="33">
        <f>C209/$U$3</f>
        <v/>
      </c>
      <c r="E209" s="7" t="n"/>
      <c r="F209" s="7" t="n"/>
      <c r="G209" s="7" t="n"/>
      <c r="H209" s="7" t="n"/>
      <c r="I209" s="91" t="n"/>
      <c r="J209" s="7" t="n"/>
      <c r="K209" s="33">
        <f>SUM(E209:I209)</f>
        <v/>
      </c>
      <c r="L209" s="33">
        <f>K209*D209</f>
        <v/>
      </c>
      <c r="M209" s="33">
        <f>K209*C209</f>
        <v/>
      </c>
      <c r="N209" s="7" t="n"/>
      <c r="O209" s="33">
        <f>N209*C209</f>
        <v/>
      </c>
      <c r="P209" s="7" t="n"/>
      <c r="Q209" s="7" t="n"/>
      <c r="R209" s="7" t="n"/>
      <c r="S209" s="33">
        <f>O209*L209</f>
        <v/>
      </c>
      <c r="Y209" s="33">
        <f>0.25*H209</f>
        <v/>
      </c>
      <c r="Z209" s="33">
        <f>Y209*O209</f>
        <v/>
      </c>
      <c r="AA209" s="81">
        <f>C209*H209</f>
        <v/>
      </c>
      <c r="AB209" s="81">
        <f>(P209-1)*O209*K209</f>
        <v/>
      </c>
    </row>
    <row r="210">
      <c r="A210" s="7" t="n"/>
      <c r="B210" s="7" t="n"/>
      <c r="C210" s="8" t="n"/>
      <c r="D210" s="33">
        <f>C210/$U$3</f>
        <v/>
      </c>
      <c r="E210" s="7" t="n"/>
      <c r="F210" s="7" t="n"/>
      <c r="G210" s="7" t="n"/>
      <c r="H210" s="7" t="n"/>
      <c r="I210" s="91" t="n"/>
      <c r="J210" s="7" t="n"/>
      <c r="K210" s="33">
        <f>SUM(E210:I210)</f>
        <v/>
      </c>
      <c r="L210" s="33">
        <f>K210*D210</f>
        <v/>
      </c>
      <c r="M210" s="33">
        <f>K210*C210</f>
        <v/>
      </c>
      <c r="N210" s="7" t="n"/>
      <c r="O210" s="33">
        <f>N210*C210</f>
        <v/>
      </c>
      <c r="P210" s="7" t="n"/>
      <c r="Q210" s="7" t="n"/>
      <c r="R210" s="7" t="n"/>
      <c r="S210" s="33">
        <f>O210*L210</f>
        <v/>
      </c>
      <c r="Y210" s="33">
        <f>0.25*H210</f>
        <v/>
      </c>
      <c r="Z210" s="33">
        <f>Y210*O210</f>
        <v/>
      </c>
      <c r="AA210" s="81">
        <f>C210*H210</f>
        <v/>
      </c>
      <c r="AB210" s="81">
        <f>(P210-1)*O210*K210</f>
        <v/>
      </c>
    </row>
    <row r="211">
      <c r="A211" s="7" t="n"/>
      <c r="B211" s="7" t="n"/>
      <c r="C211" s="8" t="n"/>
      <c r="D211" s="33">
        <f>C211/$U$3</f>
        <v/>
      </c>
      <c r="E211" s="7" t="n"/>
      <c r="F211" s="7" t="n"/>
      <c r="G211" s="7" t="n"/>
      <c r="H211" s="7" t="n"/>
      <c r="I211" s="91" t="n"/>
      <c r="J211" s="7" t="n"/>
      <c r="K211" s="33">
        <f>SUM(E211:I211)</f>
        <v/>
      </c>
      <c r="L211" s="33">
        <f>K211*D211</f>
        <v/>
      </c>
      <c r="M211" s="33">
        <f>K211*C211</f>
        <v/>
      </c>
      <c r="N211" s="7" t="n"/>
      <c r="O211" s="33">
        <f>N211*C211</f>
        <v/>
      </c>
      <c r="P211" s="7" t="n"/>
      <c r="Q211" s="7" t="n"/>
      <c r="R211" s="7" t="n"/>
      <c r="S211" s="33">
        <f>O211*L211</f>
        <v/>
      </c>
      <c r="Y211" s="33">
        <f>0.25*H211</f>
        <v/>
      </c>
      <c r="Z211" s="33">
        <f>Y211*O211</f>
        <v/>
      </c>
      <c r="AA211" s="81">
        <f>C211*H211</f>
        <v/>
      </c>
      <c r="AB211" s="81">
        <f>(P211-1)*O211*K211</f>
        <v/>
      </c>
    </row>
    <row r="212">
      <c r="A212" s="7" t="n"/>
      <c r="B212" s="7" t="n"/>
      <c r="C212" s="8" t="n"/>
      <c r="D212" s="33">
        <f>C212/$U$3</f>
        <v/>
      </c>
      <c r="E212" s="7" t="n"/>
      <c r="F212" s="7" t="n"/>
      <c r="G212" s="7" t="n"/>
      <c r="H212" s="7" t="n"/>
      <c r="I212" s="91" t="n"/>
      <c r="J212" s="7" t="n"/>
      <c r="K212" s="33">
        <f>SUM(E212:I212)</f>
        <v/>
      </c>
      <c r="L212" s="33">
        <f>K212*D212</f>
        <v/>
      </c>
      <c r="M212" s="33">
        <f>K212*C212</f>
        <v/>
      </c>
      <c r="N212" s="7" t="n"/>
      <c r="O212" s="33">
        <f>N212*C212</f>
        <v/>
      </c>
      <c r="P212" s="7" t="n"/>
      <c r="Q212" s="7" t="n"/>
      <c r="R212" s="7" t="n"/>
      <c r="S212" s="33">
        <f>O212*L212</f>
        <v/>
      </c>
      <c r="Y212" s="33">
        <f>0.25*H212</f>
        <v/>
      </c>
      <c r="Z212" s="33">
        <f>Y212*O212</f>
        <v/>
      </c>
      <c r="AA212" s="81">
        <f>C212*H212</f>
        <v/>
      </c>
      <c r="AB212" s="81">
        <f>(P212-1)*O212*K212</f>
        <v/>
      </c>
    </row>
    <row r="213">
      <c r="A213" s="7" t="n"/>
      <c r="B213" s="7" t="n"/>
      <c r="C213" s="8" t="n"/>
      <c r="D213" s="33">
        <f>C213/$U$3</f>
        <v/>
      </c>
      <c r="E213" s="7" t="n"/>
      <c r="F213" s="7" t="n"/>
      <c r="G213" s="7" t="n"/>
      <c r="H213" s="7" t="n"/>
      <c r="I213" s="91" t="n"/>
      <c r="J213" s="7" t="n"/>
      <c r="K213" s="33">
        <f>SUM(E213:I213)</f>
        <v/>
      </c>
      <c r="L213" s="33">
        <f>K213*D213</f>
        <v/>
      </c>
      <c r="M213" s="33">
        <f>K213*C213</f>
        <v/>
      </c>
      <c r="N213" s="7" t="n"/>
      <c r="O213" s="33">
        <f>N213*C213</f>
        <v/>
      </c>
      <c r="P213" s="7" t="n"/>
      <c r="Q213" s="7" t="n"/>
      <c r="R213" s="7" t="n"/>
      <c r="S213" s="33">
        <f>O213*L213</f>
        <v/>
      </c>
      <c r="Y213" s="33">
        <f>0.25*H213</f>
        <v/>
      </c>
      <c r="Z213" s="33">
        <f>Y213*O213</f>
        <v/>
      </c>
      <c r="AA213" s="81">
        <f>C213*H213</f>
        <v/>
      </c>
      <c r="AB213" s="81">
        <f>(P213-1)*O213*K213</f>
        <v/>
      </c>
    </row>
    <row r="214">
      <c r="A214" s="7" t="n"/>
      <c r="B214" s="7" t="n"/>
      <c r="C214" s="8" t="n"/>
      <c r="D214" s="33">
        <f>C214/$U$3</f>
        <v/>
      </c>
      <c r="E214" s="7" t="n"/>
      <c r="F214" s="7" t="n"/>
      <c r="G214" s="7" t="n"/>
      <c r="H214" s="7" t="n"/>
      <c r="I214" s="91" t="n"/>
      <c r="J214" s="7" t="n"/>
      <c r="K214" s="33">
        <f>SUM(E214:I214)</f>
        <v/>
      </c>
      <c r="L214" s="33">
        <f>K214*D214</f>
        <v/>
      </c>
      <c r="M214" s="33">
        <f>K214*C214</f>
        <v/>
      </c>
      <c r="N214" s="7" t="n"/>
      <c r="O214" s="33">
        <f>N214*C214</f>
        <v/>
      </c>
      <c r="P214" s="7" t="n"/>
      <c r="Q214" s="7" t="n"/>
      <c r="R214" s="7" t="n"/>
      <c r="S214" s="33">
        <f>O214*L214</f>
        <v/>
      </c>
      <c r="Y214" s="33">
        <f>0.25*H214</f>
        <v/>
      </c>
      <c r="Z214" s="33">
        <f>Y214*O214</f>
        <v/>
      </c>
      <c r="AA214" s="81">
        <f>C214*H214</f>
        <v/>
      </c>
      <c r="AB214" s="81">
        <f>(P214-1)*O214*K214</f>
        <v/>
      </c>
    </row>
    <row r="215">
      <c r="A215" s="7" t="n"/>
      <c r="B215" s="7" t="n"/>
      <c r="C215" s="8" t="n"/>
      <c r="D215" s="33">
        <f>C215/$U$3</f>
        <v/>
      </c>
      <c r="E215" s="7" t="n"/>
      <c r="F215" s="7" t="n"/>
      <c r="G215" s="7" t="n"/>
      <c r="H215" s="7" t="n"/>
      <c r="I215" s="91" t="n"/>
      <c r="J215" s="7" t="n"/>
      <c r="K215" s="33">
        <f>SUM(E215:I215)</f>
        <v/>
      </c>
      <c r="L215" s="33">
        <f>K215*D215</f>
        <v/>
      </c>
      <c r="M215" s="33">
        <f>K215*C215</f>
        <v/>
      </c>
      <c r="N215" s="7" t="n"/>
      <c r="O215" s="33">
        <f>N215*C215</f>
        <v/>
      </c>
      <c r="P215" s="7" t="n"/>
      <c r="Q215" s="7" t="n"/>
      <c r="R215" s="7" t="n"/>
      <c r="S215" s="33">
        <f>O215*L215</f>
        <v/>
      </c>
      <c r="Y215" s="33">
        <f>0.25*H215</f>
        <v/>
      </c>
      <c r="Z215" s="33">
        <f>Y215*O215</f>
        <v/>
      </c>
      <c r="AA215" s="81">
        <f>C215*H215</f>
        <v/>
      </c>
      <c r="AB215" s="81">
        <f>(P215-1)*O215*K215</f>
        <v/>
      </c>
    </row>
    <row r="216">
      <c r="A216" s="7" t="n"/>
      <c r="B216" s="7" t="n"/>
      <c r="C216" s="8" t="n"/>
      <c r="D216" s="33">
        <f>C216/$U$3</f>
        <v/>
      </c>
      <c r="E216" s="7" t="n"/>
      <c r="F216" s="7" t="n"/>
      <c r="G216" s="7" t="n"/>
      <c r="H216" s="7" t="n"/>
      <c r="I216" s="91" t="n"/>
      <c r="J216" s="7" t="n"/>
      <c r="K216" s="33">
        <f>SUM(E216:I216)</f>
        <v/>
      </c>
      <c r="L216" s="33">
        <f>K216*D216</f>
        <v/>
      </c>
      <c r="M216" s="33">
        <f>K216*C216</f>
        <v/>
      </c>
      <c r="N216" s="7" t="n"/>
      <c r="O216" s="33">
        <f>N216*C216</f>
        <v/>
      </c>
      <c r="P216" s="7" t="n"/>
      <c r="Q216" s="7" t="n"/>
      <c r="R216" s="7" t="n"/>
      <c r="S216" s="33">
        <f>O216*L216</f>
        <v/>
      </c>
      <c r="Y216" s="33">
        <f>0.25*H216</f>
        <v/>
      </c>
      <c r="Z216" s="33">
        <f>Y216*O216</f>
        <v/>
      </c>
      <c r="AA216" s="81">
        <f>C216*H216</f>
        <v/>
      </c>
      <c r="AB216" s="81">
        <f>(P216-1)*O216*K216</f>
        <v/>
      </c>
    </row>
    <row r="217">
      <c r="A217" s="7" t="n"/>
      <c r="B217" s="7" t="n"/>
      <c r="C217" s="8" t="n"/>
      <c r="D217" s="33">
        <f>C217/$U$3</f>
        <v/>
      </c>
      <c r="E217" s="7" t="n"/>
      <c r="F217" s="7" t="n"/>
      <c r="G217" s="7" t="n"/>
      <c r="H217" s="7" t="n"/>
      <c r="I217" s="91" t="n"/>
      <c r="J217" s="7" t="n"/>
      <c r="K217" s="33">
        <f>SUM(E217:I217)</f>
        <v/>
      </c>
      <c r="L217" s="33">
        <f>K217*D217</f>
        <v/>
      </c>
      <c r="M217" s="33">
        <f>K217*C217</f>
        <v/>
      </c>
      <c r="N217" s="7" t="n"/>
      <c r="O217" s="33">
        <f>N217*C217</f>
        <v/>
      </c>
      <c r="P217" s="7" t="n"/>
      <c r="Q217" s="7" t="n"/>
      <c r="R217" s="7" t="n"/>
      <c r="S217" s="33">
        <f>O217*L217</f>
        <v/>
      </c>
      <c r="Y217" s="33">
        <f>0.25*H217</f>
        <v/>
      </c>
      <c r="Z217" s="33">
        <f>Y217*O217</f>
        <v/>
      </c>
      <c r="AA217" s="81">
        <f>C217*H217</f>
        <v/>
      </c>
      <c r="AB217" s="81">
        <f>(P217-1)*O217*K217</f>
        <v/>
      </c>
    </row>
    <row r="218">
      <c r="A218" s="7" t="n"/>
      <c r="B218" s="7" t="n"/>
      <c r="C218" s="8" t="n"/>
      <c r="D218" s="33">
        <f>C218/$U$3</f>
        <v/>
      </c>
      <c r="E218" s="7" t="n"/>
      <c r="F218" s="7" t="n"/>
      <c r="G218" s="7" t="n"/>
      <c r="H218" s="7" t="n"/>
      <c r="I218" s="91" t="n"/>
      <c r="J218" s="7" t="n"/>
      <c r="K218" s="33">
        <f>SUM(E218:I218)</f>
        <v/>
      </c>
      <c r="L218" s="33">
        <f>K218*D218</f>
        <v/>
      </c>
      <c r="M218" s="33">
        <f>K218*C218</f>
        <v/>
      </c>
      <c r="N218" s="7" t="n"/>
      <c r="O218" s="33">
        <f>N218*C218</f>
        <v/>
      </c>
      <c r="P218" s="7" t="n"/>
      <c r="Q218" s="7" t="n"/>
      <c r="R218" s="7" t="n"/>
      <c r="S218" s="33">
        <f>O218*L218</f>
        <v/>
      </c>
      <c r="Y218" s="33">
        <f>0.25*H218</f>
        <v/>
      </c>
      <c r="Z218" s="33">
        <f>Y218*O218</f>
        <v/>
      </c>
      <c r="AA218" s="81">
        <f>C218*H218</f>
        <v/>
      </c>
      <c r="AB218" s="81">
        <f>(P218-1)*O218*K218</f>
        <v/>
      </c>
    </row>
    <row r="219">
      <c r="A219" s="7" t="n"/>
      <c r="B219" s="7" t="n"/>
      <c r="C219" s="8" t="n"/>
      <c r="D219" s="33">
        <f>C219/$U$3</f>
        <v/>
      </c>
      <c r="E219" s="7" t="n"/>
      <c r="F219" s="7" t="n"/>
      <c r="G219" s="7" t="n"/>
      <c r="H219" s="7" t="n"/>
      <c r="I219" s="91" t="n"/>
      <c r="J219" s="7" t="n"/>
      <c r="K219" s="33">
        <f>SUM(E219:I219)</f>
        <v/>
      </c>
      <c r="L219" s="33">
        <f>K219*D219</f>
        <v/>
      </c>
      <c r="M219" s="33">
        <f>K219*C219</f>
        <v/>
      </c>
      <c r="N219" s="7" t="n"/>
      <c r="O219" s="33">
        <f>N219*C219</f>
        <v/>
      </c>
      <c r="P219" s="7" t="n"/>
      <c r="Q219" s="7" t="n"/>
      <c r="R219" s="7" t="n"/>
      <c r="S219" s="33">
        <f>O219*L219</f>
        <v/>
      </c>
      <c r="Y219" s="33">
        <f>0.25*H219</f>
        <v/>
      </c>
      <c r="Z219" s="33">
        <f>Y219*O219</f>
        <v/>
      </c>
      <c r="AA219" s="81">
        <f>C219*H219</f>
        <v/>
      </c>
      <c r="AB219" s="81">
        <f>(P219-1)*O219*K219</f>
        <v/>
      </c>
    </row>
    <row r="220">
      <c r="A220" s="7" t="n"/>
      <c r="B220" s="7" t="n"/>
      <c r="C220" s="8" t="n"/>
      <c r="D220" s="33">
        <f>C220/$U$3</f>
        <v/>
      </c>
      <c r="E220" s="7" t="n"/>
      <c r="F220" s="7" t="n"/>
      <c r="G220" s="7" t="n"/>
      <c r="H220" s="7" t="n"/>
      <c r="I220" s="91" t="n"/>
      <c r="J220" s="7" t="n"/>
      <c r="K220" s="33">
        <f>SUM(E220:I220)</f>
        <v/>
      </c>
      <c r="L220" s="33">
        <f>K220*D220</f>
        <v/>
      </c>
      <c r="M220" s="33">
        <f>K220*C220</f>
        <v/>
      </c>
      <c r="N220" s="7" t="n"/>
      <c r="O220" s="33">
        <f>N220*C220</f>
        <v/>
      </c>
      <c r="P220" s="7" t="n"/>
      <c r="Q220" s="7" t="n"/>
      <c r="R220" s="7" t="n"/>
      <c r="S220" s="33">
        <f>O220*L220</f>
        <v/>
      </c>
      <c r="Y220" s="33">
        <f>0.25*H220</f>
        <v/>
      </c>
      <c r="Z220" s="33">
        <f>Y220*O220</f>
        <v/>
      </c>
      <c r="AA220" s="81">
        <f>C220*H220</f>
        <v/>
      </c>
      <c r="AB220" s="81">
        <f>(P220-1)*O220*K220</f>
        <v/>
      </c>
    </row>
    <row r="221">
      <c r="A221" s="7" t="n"/>
      <c r="B221" s="7" t="n"/>
      <c r="C221" s="8" t="n"/>
      <c r="D221" s="33">
        <f>C221/$U$3</f>
        <v/>
      </c>
      <c r="E221" s="7" t="n"/>
      <c r="F221" s="7" t="n"/>
      <c r="G221" s="7" t="n"/>
      <c r="H221" s="7" t="n"/>
      <c r="I221" s="91" t="n"/>
      <c r="J221" s="7" t="n"/>
      <c r="K221" s="33">
        <f>SUM(E221:I221)</f>
        <v/>
      </c>
      <c r="L221" s="33">
        <f>K221*D221</f>
        <v/>
      </c>
      <c r="M221" s="33">
        <f>K221*C221</f>
        <v/>
      </c>
      <c r="N221" s="7" t="n"/>
      <c r="O221" s="33">
        <f>N221*C221</f>
        <v/>
      </c>
      <c r="P221" s="7" t="n"/>
      <c r="Q221" s="7" t="n"/>
      <c r="R221" s="7" t="n"/>
      <c r="S221" s="33">
        <f>O221*L221</f>
        <v/>
      </c>
      <c r="Y221" s="33">
        <f>0.25*H221</f>
        <v/>
      </c>
      <c r="Z221" s="33">
        <f>Y221*O221</f>
        <v/>
      </c>
      <c r="AA221" s="81">
        <f>C221*H221</f>
        <v/>
      </c>
      <c r="AB221" s="81">
        <f>(P221-1)*O221*K221</f>
        <v/>
      </c>
    </row>
    <row r="222">
      <c r="A222" s="7" t="n"/>
      <c r="B222" s="7" t="n"/>
      <c r="C222" s="8" t="n"/>
      <c r="D222" s="33">
        <f>C222/$U$3</f>
        <v/>
      </c>
      <c r="E222" s="7" t="n"/>
      <c r="F222" s="7" t="n"/>
      <c r="G222" s="7" t="n"/>
      <c r="H222" s="7" t="n"/>
      <c r="I222" s="91" t="n"/>
      <c r="J222" s="7" t="n"/>
      <c r="K222" s="33">
        <f>SUM(E222:I222)</f>
        <v/>
      </c>
      <c r="L222" s="33">
        <f>K222*D222</f>
        <v/>
      </c>
      <c r="M222" s="33">
        <f>K222*C222</f>
        <v/>
      </c>
      <c r="N222" s="7" t="n"/>
      <c r="O222" s="33">
        <f>N222*C222</f>
        <v/>
      </c>
      <c r="P222" s="7" t="n"/>
      <c r="Q222" s="7" t="n"/>
      <c r="R222" s="7" t="n"/>
      <c r="S222" s="33">
        <f>O222*L222</f>
        <v/>
      </c>
      <c r="Y222" s="33">
        <f>0.25*H222</f>
        <v/>
      </c>
      <c r="Z222" s="33">
        <f>Y222*O222</f>
        <v/>
      </c>
      <c r="AA222" s="81">
        <f>C222*H222</f>
        <v/>
      </c>
      <c r="AB222" s="81">
        <f>(P222-1)*O222*K222</f>
        <v/>
      </c>
    </row>
    <row r="223">
      <c r="A223" s="7" t="n"/>
      <c r="B223" s="7" t="n"/>
      <c r="C223" s="8" t="n"/>
      <c r="D223" s="33">
        <f>C223/$U$3</f>
        <v/>
      </c>
      <c r="E223" s="7" t="n"/>
      <c r="F223" s="7" t="n"/>
      <c r="G223" s="7" t="n"/>
      <c r="H223" s="7" t="n"/>
      <c r="I223" s="91" t="n"/>
      <c r="J223" s="7" t="n"/>
      <c r="K223" s="33">
        <f>SUM(E223:I223)</f>
        <v/>
      </c>
      <c r="L223" s="33">
        <f>K223*D223</f>
        <v/>
      </c>
      <c r="M223" s="33">
        <f>K223*C223</f>
        <v/>
      </c>
      <c r="N223" s="7" t="n"/>
      <c r="O223" s="33">
        <f>N223*C223</f>
        <v/>
      </c>
      <c r="P223" s="7" t="n"/>
      <c r="Q223" s="7" t="n"/>
      <c r="R223" s="7" t="n"/>
      <c r="S223" s="33">
        <f>O223*L223</f>
        <v/>
      </c>
      <c r="Y223" s="33">
        <f>0.25*H223</f>
        <v/>
      </c>
      <c r="Z223" s="33">
        <f>Y223*O223</f>
        <v/>
      </c>
      <c r="AA223" s="81">
        <f>C223*H223</f>
        <v/>
      </c>
      <c r="AB223" s="81">
        <f>(P223-1)*O223*K223</f>
        <v/>
      </c>
    </row>
    <row r="224">
      <c r="A224" s="7" t="n"/>
      <c r="B224" s="7" t="n"/>
      <c r="C224" s="8" t="n"/>
      <c r="D224" s="33">
        <f>C224/$U$3</f>
        <v/>
      </c>
      <c r="E224" s="7" t="n"/>
      <c r="F224" s="7" t="n"/>
      <c r="G224" s="7" t="n"/>
      <c r="H224" s="7" t="n"/>
      <c r="I224" s="91" t="n"/>
      <c r="J224" s="7" t="n"/>
      <c r="K224" s="33">
        <f>SUM(E224:I224)</f>
        <v/>
      </c>
      <c r="L224" s="33">
        <f>K224*D224</f>
        <v/>
      </c>
      <c r="M224" s="33">
        <f>K224*C224</f>
        <v/>
      </c>
      <c r="N224" s="7" t="n"/>
      <c r="O224" s="33">
        <f>N224*C224</f>
        <v/>
      </c>
      <c r="P224" s="7" t="n"/>
      <c r="Q224" s="7" t="n"/>
      <c r="R224" s="7" t="n"/>
      <c r="S224" s="33">
        <f>O224*L224</f>
        <v/>
      </c>
      <c r="Y224" s="33">
        <f>0.25*H224</f>
        <v/>
      </c>
      <c r="Z224" s="33">
        <f>Y224*O224</f>
        <v/>
      </c>
      <c r="AA224" s="81">
        <f>C224*H224</f>
        <v/>
      </c>
      <c r="AB224" s="81">
        <f>(P224-1)*O224*K224</f>
        <v/>
      </c>
    </row>
    <row r="225">
      <c r="A225" s="7" t="n"/>
      <c r="B225" s="7" t="n"/>
      <c r="C225" s="8" t="n"/>
      <c r="D225" s="33">
        <f>C225/$U$3</f>
        <v/>
      </c>
      <c r="E225" s="7" t="n"/>
      <c r="F225" s="7" t="n"/>
      <c r="G225" s="7" t="n"/>
      <c r="H225" s="7" t="n"/>
      <c r="I225" s="91" t="n"/>
      <c r="J225" s="7" t="n"/>
      <c r="K225" s="33">
        <f>SUM(E225:I225)</f>
        <v/>
      </c>
      <c r="L225" s="33">
        <f>K225*D225</f>
        <v/>
      </c>
      <c r="M225" s="33">
        <f>K225*C225</f>
        <v/>
      </c>
      <c r="N225" s="7" t="n"/>
      <c r="O225" s="33">
        <f>N225*C225</f>
        <v/>
      </c>
      <c r="P225" s="7" t="n"/>
      <c r="Q225" s="7" t="n"/>
      <c r="R225" s="7" t="n"/>
      <c r="S225" s="33">
        <f>O225*L225</f>
        <v/>
      </c>
      <c r="Y225" s="33">
        <f>0.25*H225</f>
        <v/>
      </c>
      <c r="Z225" s="33">
        <f>Y225*O225</f>
        <v/>
      </c>
      <c r="AA225" s="81">
        <f>C225*H225</f>
        <v/>
      </c>
      <c r="AB225" s="81">
        <f>(P225-1)*O225*K225</f>
        <v/>
      </c>
    </row>
    <row r="226">
      <c r="A226" s="7" t="n"/>
      <c r="B226" s="7" t="n"/>
      <c r="C226" s="8" t="n"/>
      <c r="D226" s="33">
        <f>C226/$U$3</f>
        <v/>
      </c>
      <c r="E226" s="7" t="n"/>
      <c r="F226" s="7" t="n"/>
      <c r="G226" s="7" t="n"/>
      <c r="H226" s="7" t="n"/>
      <c r="I226" s="91" t="n"/>
      <c r="J226" s="7" t="n"/>
      <c r="K226" s="33">
        <f>SUM(E226:I226)</f>
        <v/>
      </c>
      <c r="L226" s="33">
        <f>K226*D226</f>
        <v/>
      </c>
      <c r="M226" s="33">
        <f>K226*C226</f>
        <v/>
      </c>
      <c r="N226" s="7" t="n"/>
      <c r="O226" s="33">
        <f>N226*C226</f>
        <v/>
      </c>
      <c r="P226" s="7" t="n"/>
      <c r="Q226" s="7" t="n"/>
      <c r="R226" s="7" t="n"/>
      <c r="S226" s="33">
        <f>O226*L226</f>
        <v/>
      </c>
      <c r="Y226" s="33">
        <f>0.25*H226</f>
        <v/>
      </c>
      <c r="Z226" s="33">
        <f>Y226*O226</f>
        <v/>
      </c>
      <c r="AA226" s="81">
        <f>C226*H226</f>
        <v/>
      </c>
      <c r="AB226" s="81">
        <f>(P226-1)*O226*K226</f>
        <v/>
      </c>
    </row>
    <row r="227">
      <c r="A227" s="7" t="n"/>
      <c r="B227" s="7" t="n"/>
      <c r="C227" s="8" t="n"/>
      <c r="D227" s="33">
        <f>C227/$U$3</f>
        <v/>
      </c>
      <c r="E227" s="7" t="n"/>
      <c r="F227" s="7" t="n"/>
      <c r="G227" s="7" t="n"/>
      <c r="H227" s="7" t="n"/>
      <c r="I227" s="91" t="n"/>
      <c r="J227" s="7" t="n"/>
      <c r="K227" s="33">
        <f>SUM(E227:I227)</f>
        <v/>
      </c>
      <c r="L227" s="33">
        <f>K227*D227</f>
        <v/>
      </c>
      <c r="M227" s="33">
        <f>K227*C227</f>
        <v/>
      </c>
      <c r="N227" s="7" t="n"/>
      <c r="O227" s="33">
        <f>N227*C227</f>
        <v/>
      </c>
      <c r="P227" s="7" t="n"/>
      <c r="Q227" s="7" t="n"/>
      <c r="R227" s="7" t="n"/>
      <c r="S227" s="33">
        <f>O227*L227</f>
        <v/>
      </c>
      <c r="Y227" s="33">
        <f>0.25*H227</f>
        <v/>
      </c>
      <c r="Z227" s="33">
        <f>Y227*O227</f>
        <v/>
      </c>
      <c r="AA227" s="81">
        <f>C227*H227</f>
        <v/>
      </c>
      <c r="AB227" s="81">
        <f>(P227-1)*O227*K227</f>
        <v/>
      </c>
    </row>
    <row r="228">
      <c r="A228" s="7" t="n"/>
      <c r="B228" s="7" t="n"/>
      <c r="C228" s="8" t="n"/>
      <c r="D228" s="33">
        <f>C228/$U$3</f>
        <v/>
      </c>
      <c r="E228" s="7" t="n"/>
      <c r="F228" s="7" t="n"/>
      <c r="G228" s="7" t="n"/>
      <c r="H228" s="7" t="n"/>
      <c r="I228" s="91" t="n"/>
      <c r="J228" s="7" t="n"/>
      <c r="K228" s="33">
        <f>SUM(E228:I228)</f>
        <v/>
      </c>
      <c r="L228" s="33">
        <f>K228*D228</f>
        <v/>
      </c>
      <c r="M228" s="33">
        <f>K228*C228</f>
        <v/>
      </c>
      <c r="N228" s="7" t="n"/>
      <c r="O228" s="33">
        <f>N228*C228</f>
        <v/>
      </c>
      <c r="P228" s="7" t="n"/>
      <c r="Q228" s="7" t="n"/>
      <c r="R228" s="7" t="n"/>
      <c r="S228" s="33">
        <f>O228*L228</f>
        <v/>
      </c>
      <c r="Y228" s="33">
        <f>0.25*H228</f>
        <v/>
      </c>
      <c r="Z228" s="33">
        <f>Y228*O228</f>
        <v/>
      </c>
      <c r="AA228" s="81">
        <f>C228*H228</f>
        <v/>
      </c>
      <c r="AB228" s="81">
        <f>(P228-1)*O228*K228</f>
        <v/>
      </c>
    </row>
    <row r="229">
      <c r="A229" s="7" t="n"/>
      <c r="B229" s="7" t="n"/>
      <c r="C229" s="8" t="n"/>
      <c r="D229" s="33">
        <f>C229/$U$3</f>
        <v/>
      </c>
      <c r="E229" s="7" t="n"/>
      <c r="F229" s="7" t="n"/>
      <c r="G229" s="7" t="n"/>
      <c r="H229" s="7" t="n"/>
      <c r="I229" s="91" t="n"/>
      <c r="J229" s="7" t="n"/>
      <c r="K229" s="33">
        <f>SUM(E229:I229)</f>
        <v/>
      </c>
      <c r="L229" s="33">
        <f>K229*D229</f>
        <v/>
      </c>
      <c r="M229" s="33">
        <f>K229*C229</f>
        <v/>
      </c>
      <c r="N229" s="7" t="n"/>
      <c r="O229" s="33">
        <f>N229*C229</f>
        <v/>
      </c>
      <c r="P229" s="7" t="n"/>
      <c r="Q229" s="7" t="n"/>
      <c r="R229" s="7" t="n"/>
      <c r="S229" s="33">
        <f>O229*L229</f>
        <v/>
      </c>
      <c r="Y229" s="33">
        <f>0.25*H229</f>
        <v/>
      </c>
      <c r="Z229" s="33">
        <f>Y229*O229</f>
        <v/>
      </c>
      <c r="AA229" s="81">
        <f>C229*H229</f>
        <v/>
      </c>
      <c r="AB229" s="81">
        <f>(P229-1)*O229*K229</f>
        <v/>
      </c>
    </row>
    <row r="230">
      <c r="A230" s="7" t="n"/>
      <c r="B230" s="7" t="n"/>
      <c r="C230" s="8" t="n"/>
      <c r="D230" s="33">
        <f>C230/$U$3</f>
        <v/>
      </c>
      <c r="E230" s="7" t="n"/>
      <c r="F230" s="7" t="n"/>
      <c r="G230" s="7" t="n"/>
      <c r="H230" s="7" t="n"/>
      <c r="I230" s="91" t="n"/>
      <c r="J230" s="7" t="n"/>
      <c r="K230" s="33">
        <f>SUM(E230:I230)</f>
        <v/>
      </c>
      <c r="L230" s="33">
        <f>K230*D230</f>
        <v/>
      </c>
      <c r="M230" s="33">
        <f>K230*C230</f>
        <v/>
      </c>
      <c r="N230" s="7" t="n"/>
      <c r="O230" s="33">
        <f>N230*C230</f>
        <v/>
      </c>
      <c r="P230" s="7" t="n"/>
      <c r="Q230" s="7" t="n"/>
      <c r="R230" s="7" t="n"/>
      <c r="S230" s="33">
        <f>O230*L230</f>
        <v/>
      </c>
      <c r="Y230" s="33">
        <f>0.25*H230</f>
        <v/>
      </c>
      <c r="Z230" s="33">
        <f>Y230*O230</f>
        <v/>
      </c>
      <c r="AA230" s="81">
        <f>C230*H230</f>
        <v/>
      </c>
      <c r="AB230" s="81">
        <f>(P230-1)*O230*K230</f>
        <v/>
      </c>
    </row>
    <row r="231">
      <c r="A231" s="7" t="n"/>
      <c r="B231" s="7" t="n"/>
      <c r="C231" s="8" t="n"/>
      <c r="D231" s="33">
        <f>C231/$U$3</f>
        <v/>
      </c>
      <c r="E231" s="7" t="n"/>
      <c r="F231" s="7" t="n"/>
      <c r="G231" s="7" t="n"/>
      <c r="H231" s="7" t="n"/>
      <c r="I231" s="91" t="n"/>
      <c r="J231" s="7" t="n"/>
      <c r="K231" s="33">
        <f>SUM(E231:I231)</f>
        <v/>
      </c>
      <c r="L231" s="33">
        <f>K231*D231</f>
        <v/>
      </c>
      <c r="M231" s="33">
        <f>K231*C231</f>
        <v/>
      </c>
      <c r="N231" s="7" t="n"/>
      <c r="O231" s="33">
        <f>N231*C231</f>
        <v/>
      </c>
      <c r="P231" s="7" t="n"/>
      <c r="Q231" s="7" t="n"/>
      <c r="R231" s="7" t="n"/>
      <c r="S231" s="33">
        <f>O231*L231</f>
        <v/>
      </c>
      <c r="Y231" s="33">
        <f>0.25*H231</f>
        <v/>
      </c>
      <c r="Z231" s="33">
        <f>Y231*O231</f>
        <v/>
      </c>
      <c r="AA231" s="81">
        <f>C231*H231</f>
        <v/>
      </c>
      <c r="AB231" s="81">
        <f>(P231-1)*O231*K231</f>
        <v/>
      </c>
    </row>
    <row r="232">
      <c r="A232" s="7" t="n"/>
      <c r="B232" s="7" t="n"/>
      <c r="C232" s="8" t="n"/>
      <c r="D232" s="33">
        <f>C232/$U$3</f>
        <v/>
      </c>
      <c r="E232" s="7" t="n"/>
      <c r="F232" s="7" t="n"/>
      <c r="G232" s="7" t="n"/>
      <c r="H232" s="7" t="n"/>
      <c r="I232" s="91" t="n"/>
      <c r="J232" s="7" t="n"/>
      <c r="K232" s="33">
        <f>SUM(E232:I232)</f>
        <v/>
      </c>
      <c r="L232" s="33">
        <f>K232*D232</f>
        <v/>
      </c>
      <c r="M232" s="33">
        <f>K232*C232</f>
        <v/>
      </c>
      <c r="N232" s="7" t="n"/>
      <c r="O232" s="33">
        <f>N232*C232</f>
        <v/>
      </c>
      <c r="P232" s="7" t="n"/>
      <c r="Q232" s="7" t="n"/>
      <c r="R232" s="7" t="n"/>
      <c r="S232" s="33">
        <f>O232*L232</f>
        <v/>
      </c>
      <c r="Y232" s="33">
        <f>0.25*H232</f>
        <v/>
      </c>
      <c r="Z232" s="33">
        <f>Y232*O232</f>
        <v/>
      </c>
      <c r="AA232" s="81">
        <f>C232*H232</f>
        <v/>
      </c>
      <c r="AB232" s="81">
        <f>(P232-1)*O232*K232</f>
        <v/>
      </c>
    </row>
    <row r="233">
      <c r="A233" s="7" t="n"/>
      <c r="B233" s="7" t="n"/>
      <c r="C233" s="8" t="n"/>
      <c r="D233" s="33">
        <f>C233/$U$3</f>
        <v/>
      </c>
      <c r="E233" s="7" t="n"/>
      <c r="F233" s="7" t="n"/>
      <c r="G233" s="7" t="n"/>
      <c r="H233" s="7" t="n"/>
      <c r="I233" s="91" t="n"/>
      <c r="J233" s="7" t="n"/>
      <c r="K233" s="33">
        <f>SUM(E233:I233)</f>
        <v/>
      </c>
      <c r="L233" s="33">
        <f>K233*D233</f>
        <v/>
      </c>
      <c r="M233" s="33">
        <f>K233*C233</f>
        <v/>
      </c>
      <c r="N233" s="7" t="n"/>
      <c r="O233" s="33">
        <f>N233*C233</f>
        <v/>
      </c>
      <c r="P233" s="7" t="n"/>
      <c r="Q233" s="7" t="n"/>
      <c r="R233" s="7" t="n"/>
      <c r="S233" s="33">
        <f>O233*L233</f>
        <v/>
      </c>
      <c r="Y233" s="33">
        <f>0.25*H233</f>
        <v/>
      </c>
      <c r="Z233" s="33">
        <f>Y233*O233</f>
        <v/>
      </c>
      <c r="AA233" s="81">
        <f>C233*H233</f>
        <v/>
      </c>
      <c r="AB233" s="81">
        <f>(P233-1)*O233*K233</f>
        <v/>
      </c>
    </row>
    <row r="234">
      <c r="A234" s="7" t="n"/>
      <c r="B234" s="7" t="n"/>
      <c r="C234" s="8" t="n"/>
      <c r="D234" s="33">
        <f>C234/$U$3</f>
        <v/>
      </c>
      <c r="E234" s="7" t="n"/>
      <c r="F234" s="7" t="n"/>
      <c r="G234" s="7" t="n"/>
      <c r="H234" s="7" t="n"/>
      <c r="I234" s="91" t="n"/>
      <c r="J234" s="7" t="n"/>
      <c r="K234" s="33">
        <f>SUM(E234:I234)</f>
        <v/>
      </c>
      <c r="L234" s="33">
        <f>K234*D234</f>
        <v/>
      </c>
      <c r="M234" s="33">
        <f>K234*C234</f>
        <v/>
      </c>
      <c r="N234" s="7" t="n"/>
      <c r="O234" s="33">
        <f>N234*C234</f>
        <v/>
      </c>
      <c r="P234" s="7" t="n"/>
      <c r="Q234" s="7" t="n"/>
      <c r="R234" s="7" t="n"/>
      <c r="S234" s="33">
        <f>O234*L234</f>
        <v/>
      </c>
      <c r="Y234" s="33">
        <f>0.25*H234</f>
        <v/>
      </c>
      <c r="Z234" s="33">
        <f>Y234*O234</f>
        <v/>
      </c>
      <c r="AA234" s="81">
        <f>C234*H234</f>
        <v/>
      </c>
      <c r="AB234" s="81">
        <f>(P234-1)*O234*K234</f>
        <v/>
      </c>
    </row>
    <row r="235">
      <c r="A235" s="7" t="n"/>
      <c r="B235" s="7" t="n"/>
      <c r="C235" s="8" t="n"/>
      <c r="D235" s="33">
        <f>C235/$U$3</f>
        <v/>
      </c>
      <c r="E235" s="7" t="n"/>
      <c r="F235" s="7" t="n"/>
      <c r="G235" s="7" t="n"/>
      <c r="H235" s="7" t="n"/>
      <c r="I235" s="91" t="n"/>
      <c r="J235" s="7" t="n"/>
      <c r="K235" s="33">
        <f>SUM(E235:I235)</f>
        <v/>
      </c>
      <c r="L235" s="33">
        <f>K235*D235</f>
        <v/>
      </c>
      <c r="M235" s="33">
        <f>K235*C235</f>
        <v/>
      </c>
      <c r="N235" s="7" t="n"/>
      <c r="O235" s="33">
        <f>N235*C235</f>
        <v/>
      </c>
      <c r="P235" s="7" t="n"/>
      <c r="Q235" s="7" t="n"/>
      <c r="R235" s="7" t="n"/>
      <c r="S235" s="33">
        <f>O235*L235</f>
        <v/>
      </c>
      <c r="Y235" s="33">
        <f>0.25*H235</f>
        <v/>
      </c>
      <c r="Z235" s="33">
        <f>Y235*O235</f>
        <v/>
      </c>
      <c r="AA235" s="81">
        <f>C235*H235</f>
        <v/>
      </c>
      <c r="AB235" s="81">
        <f>(P235-1)*O235*K235</f>
        <v/>
      </c>
    </row>
    <row r="236">
      <c r="A236" s="7" t="n"/>
      <c r="B236" s="7" t="n"/>
      <c r="C236" s="8" t="n"/>
      <c r="D236" s="33">
        <f>C236/$U$3</f>
        <v/>
      </c>
      <c r="E236" s="7" t="n"/>
      <c r="F236" s="7" t="n"/>
      <c r="G236" s="7" t="n"/>
      <c r="H236" s="7" t="n"/>
      <c r="I236" s="91" t="n"/>
      <c r="J236" s="7" t="n"/>
      <c r="K236" s="33">
        <f>SUM(E236:I236)</f>
        <v/>
      </c>
      <c r="L236" s="33">
        <f>K236*D236</f>
        <v/>
      </c>
      <c r="M236" s="33">
        <f>K236*C236</f>
        <v/>
      </c>
      <c r="N236" s="7" t="n"/>
      <c r="O236" s="33">
        <f>N236*C236</f>
        <v/>
      </c>
      <c r="P236" s="7" t="n"/>
      <c r="Q236" s="7" t="n"/>
      <c r="R236" s="7" t="n"/>
      <c r="S236" s="33">
        <f>O236*L236</f>
        <v/>
      </c>
      <c r="Y236" s="33">
        <f>0.25*H236</f>
        <v/>
      </c>
      <c r="Z236" s="33">
        <f>Y236*O236</f>
        <v/>
      </c>
      <c r="AA236" s="81">
        <f>C236*H236</f>
        <v/>
      </c>
      <c r="AB236" s="81">
        <f>(P236-1)*O236*K236</f>
        <v/>
      </c>
    </row>
    <row r="237">
      <c r="A237" s="7" t="n"/>
      <c r="B237" s="7" t="n"/>
      <c r="C237" s="8" t="n"/>
      <c r="D237" s="33">
        <f>C237/$U$3</f>
        <v/>
      </c>
      <c r="E237" s="7" t="n"/>
      <c r="F237" s="7" t="n"/>
      <c r="G237" s="7" t="n"/>
      <c r="H237" s="7" t="n"/>
      <c r="I237" s="91" t="n"/>
      <c r="J237" s="7" t="n"/>
      <c r="K237" s="33">
        <f>SUM(E237:I237)</f>
        <v/>
      </c>
      <c r="L237" s="33">
        <f>K237*D237</f>
        <v/>
      </c>
      <c r="M237" s="33">
        <f>K237*C237</f>
        <v/>
      </c>
      <c r="N237" s="7" t="n"/>
      <c r="O237" s="33">
        <f>N237*C237</f>
        <v/>
      </c>
      <c r="P237" s="7" t="n"/>
      <c r="Q237" s="7" t="n"/>
      <c r="R237" s="7" t="n"/>
      <c r="S237" s="33">
        <f>O237*L237</f>
        <v/>
      </c>
      <c r="Y237" s="33">
        <f>0.25*H237</f>
        <v/>
      </c>
      <c r="Z237" s="33">
        <f>Y237*O237</f>
        <v/>
      </c>
      <c r="AA237" s="81">
        <f>C237*H237</f>
        <v/>
      </c>
      <c r="AB237" s="81">
        <f>(P237-1)*O237*K237</f>
        <v/>
      </c>
    </row>
    <row r="238">
      <c r="A238" s="7" t="n"/>
      <c r="B238" s="7" t="n"/>
      <c r="C238" s="8" t="n"/>
      <c r="D238" s="33">
        <f>C238/$U$3</f>
        <v/>
      </c>
      <c r="E238" s="7" t="n"/>
      <c r="F238" s="7" t="n"/>
      <c r="G238" s="7" t="n"/>
      <c r="H238" s="7" t="n"/>
      <c r="I238" s="91" t="n"/>
      <c r="J238" s="7" t="n"/>
      <c r="K238" s="33">
        <f>SUM(E238:I238)</f>
        <v/>
      </c>
      <c r="L238" s="33">
        <f>K238*D238</f>
        <v/>
      </c>
      <c r="M238" s="33">
        <f>K238*C238</f>
        <v/>
      </c>
      <c r="N238" s="7" t="n"/>
      <c r="O238" s="33">
        <f>N238*C238</f>
        <v/>
      </c>
      <c r="P238" s="7" t="n"/>
      <c r="Q238" s="7" t="n"/>
      <c r="R238" s="7" t="n"/>
      <c r="S238" s="33">
        <f>O238*L238</f>
        <v/>
      </c>
      <c r="Y238" s="33">
        <f>0.25*H238</f>
        <v/>
      </c>
      <c r="Z238" s="33">
        <f>Y238*O238</f>
        <v/>
      </c>
      <c r="AA238" s="81">
        <f>C238*H238</f>
        <v/>
      </c>
      <c r="AB238" s="81">
        <f>(P238-1)*O238*K238</f>
        <v/>
      </c>
    </row>
    <row r="239">
      <c r="A239" s="7" t="n"/>
      <c r="B239" s="7" t="n"/>
      <c r="C239" s="8" t="n"/>
      <c r="D239" s="33">
        <f>C239/$U$3</f>
        <v/>
      </c>
      <c r="E239" s="7" t="n"/>
      <c r="F239" s="7" t="n"/>
      <c r="G239" s="7" t="n"/>
      <c r="H239" s="7" t="n"/>
      <c r="I239" s="91" t="n"/>
      <c r="J239" s="7" t="n"/>
      <c r="K239" s="33">
        <f>SUM(E239:I239)</f>
        <v/>
      </c>
      <c r="L239" s="33">
        <f>K239*D239</f>
        <v/>
      </c>
      <c r="M239" s="33">
        <f>K239*C239</f>
        <v/>
      </c>
      <c r="N239" s="7" t="n"/>
      <c r="O239" s="33">
        <f>N239*C239</f>
        <v/>
      </c>
      <c r="P239" s="7" t="n"/>
      <c r="Q239" s="7" t="n"/>
      <c r="R239" s="7" t="n"/>
      <c r="S239" s="33">
        <f>O239*L239</f>
        <v/>
      </c>
      <c r="Y239" s="33">
        <f>0.25*H239</f>
        <v/>
      </c>
      <c r="Z239" s="33">
        <f>Y239*O239</f>
        <v/>
      </c>
      <c r="AA239" s="81">
        <f>C239*H239</f>
        <v/>
      </c>
      <c r="AB239" s="81">
        <f>(P239-1)*O239*K239</f>
        <v/>
      </c>
    </row>
    <row r="240">
      <c r="A240" s="7" t="n"/>
      <c r="B240" s="7" t="n"/>
      <c r="C240" s="8" t="n"/>
      <c r="D240" s="33">
        <f>C240/$U$3</f>
        <v/>
      </c>
      <c r="E240" s="7" t="n"/>
      <c r="F240" s="7" t="n"/>
      <c r="G240" s="7" t="n"/>
      <c r="H240" s="7" t="n"/>
      <c r="I240" s="91" t="n"/>
      <c r="J240" s="7" t="n"/>
      <c r="K240" s="33">
        <f>SUM(E240:I240)</f>
        <v/>
      </c>
      <c r="L240" s="33">
        <f>K240*D240</f>
        <v/>
      </c>
      <c r="M240" s="33">
        <f>K240*C240</f>
        <v/>
      </c>
      <c r="N240" s="7" t="n"/>
      <c r="O240" s="33">
        <f>N240*C240</f>
        <v/>
      </c>
      <c r="P240" s="7" t="n"/>
      <c r="Q240" s="7" t="n"/>
      <c r="R240" s="7" t="n"/>
      <c r="S240" s="33">
        <f>O240*L240</f>
        <v/>
      </c>
      <c r="Y240" s="33">
        <f>0.25*H240</f>
        <v/>
      </c>
      <c r="Z240" s="33">
        <f>Y240*O240</f>
        <v/>
      </c>
      <c r="AA240" s="81">
        <f>C240*H240</f>
        <v/>
      </c>
      <c r="AB240" s="81">
        <f>(P240-1)*O240*K240</f>
        <v/>
      </c>
    </row>
    <row r="241">
      <c r="A241" s="7" t="n"/>
      <c r="B241" s="7" t="n"/>
      <c r="C241" s="8" t="n"/>
      <c r="D241" s="33">
        <f>C241/$U$3</f>
        <v/>
      </c>
      <c r="E241" s="7" t="n"/>
      <c r="F241" s="7" t="n"/>
      <c r="G241" s="7" t="n"/>
      <c r="H241" s="7" t="n"/>
      <c r="I241" s="91" t="n"/>
      <c r="J241" s="7" t="n"/>
      <c r="K241" s="33">
        <f>SUM(E241:I241)</f>
        <v/>
      </c>
      <c r="L241" s="33">
        <f>K241*D241</f>
        <v/>
      </c>
      <c r="M241" s="33">
        <f>K241*C241</f>
        <v/>
      </c>
      <c r="N241" s="7" t="n"/>
      <c r="O241" s="33">
        <f>N241*C241</f>
        <v/>
      </c>
      <c r="P241" s="7" t="n"/>
      <c r="Q241" s="7" t="n"/>
      <c r="R241" s="7" t="n"/>
      <c r="S241" s="33">
        <f>O241*L241</f>
        <v/>
      </c>
      <c r="Y241" s="33">
        <f>0.25*H241</f>
        <v/>
      </c>
      <c r="Z241" s="33">
        <f>Y241*O241</f>
        <v/>
      </c>
      <c r="AA241" s="81">
        <f>C241*H241</f>
        <v/>
      </c>
      <c r="AB241" s="81">
        <f>(P241-1)*O241*K241</f>
        <v/>
      </c>
    </row>
    <row r="242">
      <c r="A242" s="7" t="n"/>
      <c r="B242" s="7" t="n"/>
      <c r="C242" s="8" t="n"/>
      <c r="D242" s="33">
        <f>C242/$U$3</f>
        <v/>
      </c>
      <c r="E242" s="7" t="n"/>
      <c r="F242" s="7" t="n"/>
      <c r="G242" s="7" t="n"/>
      <c r="H242" s="7" t="n"/>
      <c r="I242" s="91" t="n"/>
      <c r="J242" s="7" t="n"/>
      <c r="K242" s="33">
        <f>SUM(E242:I242)</f>
        <v/>
      </c>
      <c r="L242" s="33">
        <f>K242*D242</f>
        <v/>
      </c>
      <c r="M242" s="33">
        <f>K242*C242</f>
        <v/>
      </c>
      <c r="N242" s="7" t="n"/>
      <c r="O242" s="33">
        <f>N242*C242</f>
        <v/>
      </c>
      <c r="P242" s="7" t="n"/>
      <c r="Q242" s="7" t="n"/>
      <c r="R242" s="7" t="n"/>
      <c r="S242" s="33">
        <f>O242*L242</f>
        <v/>
      </c>
      <c r="Y242" s="33">
        <f>0.25*H242</f>
        <v/>
      </c>
      <c r="Z242" s="33">
        <f>Y242*O242</f>
        <v/>
      </c>
      <c r="AA242" s="81">
        <f>C242*H242</f>
        <v/>
      </c>
      <c r="AB242" s="81">
        <f>(P242-1)*O242*K242</f>
        <v/>
      </c>
    </row>
    <row r="243">
      <c r="A243" s="7" t="n"/>
      <c r="B243" s="7" t="n"/>
      <c r="C243" s="8" t="n"/>
      <c r="D243" s="33">
        <f>C243/$U$3</f>
        <v/>
      </c>
      <c r="E243" s="7" t="n"/>
      <c r="F243" s="7" t="n"/>
      <c r="G243" s="7" t="n"/>
      <c r="H243" s="7" t="n"/>
      <c r="I243" s="91" t="n"/>
      <c r="J243" s="7" t="n"/>
      <c r="K243" s="33">
        <f>SUM(E243:I243)</f>
        <v/>
      </c>
      <c r="L243" s="33">
        <f>K243*D243</f>
        <v/>
      </c>
      <c r="M243" s="33">
        <f>K243*C243</f>
        <v/>
      </c>
      <c r="N243" s="7" t="n"/>
      <c r="O243" s="33">
        <f>N243*C243</f>
        <v/>
      </c>
      <c r="P243" s="7" t="n"/>
      <c r="Q243" s="7" t="n"/>
      <c r="R243" s="7" t="n"/>
      <c r="S243" s="33">
        <f>O243*L243</f>
        <v/>
      </c>
      <c r="Y243" s="33">
        <f>0.25*H243</f>
        <v/>
      </c>
      <c r="Z243" s="33">
        <f>Y243*O243</f>
        <v/>
      </c>
      <c r="AA243" s="81">
        <f>C243*H243</f>
        <v/>
      </c>
      <c r="AB243" s="81">
        <f>(P243-1)*O243*K243</f>
        <v/>
      </c>
    </row>
    <row r="244">
      <c r="A244" s="7" t="n"/>
      <c r="B244" s="7" t="n"/>
      <c r="C244" s="8" t="n"/>
      <c r="D244" s="33">
        <f>C244/$U$3</f>
        <v/>
      </c>
      <c r="E244" s="7" t="n"/>
      <c r="F244" s="7" t="n"/>
      <c r="G244" s="7" t="n"/>
      <c r="H244" s="7" t="n"/>
      <c r="I244" s="91" t="n"/>
      <c r="J244" s="7" t="n"/>
      <c r="K244" s="33">
        <f>SUM(E244:I244)</f>
        <v/>
      </c>
      <c r="L244" s="33">
        <f>K244*D244</f>
        <v/>
      </c>
      <c r="M244" s="33">
        <f>K244*C244</f>
        <v/>
      </c>
      <c r="N244" s="7" t="n"/>
      <c r="O244" s="33">
        <f>N244*C244</f>
        <v/>
      </c>
      <c r="P244" s="7" t="n"/>
      <c r="Q244" s="7" t="n"/>
      <c r="R244" s="7" t="n"/>
      <c r="S244" s="33">
        <f>O244*L244</f>
        <v/>
      </c>
      <c r="Y244" s="33">
        <f>0.25*H244</f>
        <v/>
      </c>
      <c r="Z244" s="33">
        <f>Y244*O244</f>
        <v/>
      </c>
      <c r="AA244" s="81">
        <f>C244*H244</f>
        <v/>
      </c>
      <c r="AB244" s="81">
        <f>(P244-1)*O244*K244</f>
        <v/>
      </c>
    </row>
    <row r="245">
      <c r="A245" s="7" t="n"/>
      <c r="B245" s="7" t="n"/>
      <c r="C245" s="8" t="n"/>
      <c r="D245" s="33">
        <f>C245/$U$3</f>
        <v/>
      </c>
      <c r="E245" s="7" t="n"/>
      <c r="F245" s="7" t="n"/>
      <c r="G245" s="7" t="n"/>
      <c r="H245" s="7" t="n"/>
      <c r="I245" s="91" t="n"/>
      <c r="J245" s="7" t="n"/>
      <c r="K245" s="33">
        <f>SUM(E245:I245)</f>
        <v/>
      </c>
      <c r="L245" s="33">
        <f>K245*D245</f>
        <v/>
      </c>
      <c r="M245" s="33">
        <f>K245*C245</f>
        <v/>
      </c>
      <c r="N245" s="7" t="n"/>
      <c r="O245" s="33">
        <f>N245*C245</f>
        <v/>
      </c>
      <c r="P245" s="7" t="n"/>
      <c r="Q245" s="7" t="n"/>
      <c r="R245" s="7" t="n"/>
      <c r="S245" s="33">
        <f>O245*L245</f>
        <v/>
      </c>
      <c r="Y245" s="33">
        <f>0.25*H245</f>
        <v/>
      </c>
      <c r="Z245" s="33">
        <f>Y245*O245</f>
        <v/>
      </c>
      <c r="AA245" s="81">
        <f>C245*H245</f>
        <v/>
      </c>
      <c r="AB245" s="81">
        <f>(P245-1)*O245*K245</f>
        <v/>
      </c>
    </row>
    <row r="246">
      <c r="A246" s="7" t="n"/>
      <c r="B246" s="7" t="n"/>
      <c r="C246" s="8" t="n"/>
      <c r="D246" s="33">
        <f>C246/$U$3</f>
        <v/>
      </c>
      <c r="E246" s="7" t="n"/>
      <c r="F246" s="7" t="n"/>
      <c r="G246" s="7" t="n"/>
      <c r="H246" s="7" t="n"/>
      <c r="I246" s="91" t="n"/>
      <c r="J246" s="7" t="n"/>
      <c r="K246" s="33">
        <f>SUM(E246:I246)</f>
        <v/>
      </c>
      <c r="L246" s="33">
        <f>K246*D246</f>
        <v/>
      </c>
      <c r="M246" s="33">
        <f>K246*C246</f>
        <v/>
      </c>
      <c r="N246" s="7" t="n"/>
      <c r="O246" s="33">
        <f>N246*C246</f>
        <v/>
      </c>
      <c r="P246" s="7" t="n"/>
      <c r="Q246" s="7" t="n"/>
      <c r="R246" s="7" t="n"/>
      <c r="S246" s="33">
        <f>O246*L246</f>
        <v/>
      </c>
      <c r="Y246" s="33">
        <f>0.25*H246</f>
        <v/>
      </c>
      <c r="Z246" s="33">
        <f>Y246*O246</f>
        <v/>
      </c>
      <c r="AA246" s="81">
        <f>C246*H246</f>
        <v/>
      </c>
      <c r="AB246" s="81">
        <f>(P246-1)*O246*K246</f>
        <v/>
      </c>
    </row>
    <row r="247">
      <c r="A247" s="7" t="n"/>
      <c r="B247" s="7" t="n"/>
      <c r="C247" s="8" t="n"/>
      <c r="D247" s="33">
        <f>C247/$U$3</f>
        <v/>
      </c>
      <c r="E247" s="7" t="n"/>
      <c r="F247" s="7" t="n"/>
      <c r="G247" s="7" t="n"/>
      <c r="H247" s="7" t="n"/>
      <c r="I247" s="91" t="n"/>
      <c r="J247" s="7" t="n"/>
      <c r="K247" s="33">
        <f>SUM(E247:I247)</f>
        <v/>
      </c>
      <c r="L247" s="33">
        <f>K247*D247</f>
        <v/>
      </c>
      <c r="M247" s="33">
        <f>K247*C247</f>
        <v/>
      </c>
      <c r="N247" s="7" t="n"/>
      <c r="O247" s="33">
        <f>N247*C247</f>
        <v/>
      </c>
      <c r="P247" s="7" t="n"/>
      <c r="Q247" s="7" t="n"/>
      <c r="R247" s="7" t="n"/>
      <c r="S247" s="33">
        <f>O247*L247</f>
        <v/>
      </c>
      <c r="Y247" s="33">
        <f>0.25*H247</f>
        <v/>
      </c>
      <c r="Z247" s="33">
        <f>Y247*O247</f>
        <v/>
      </c>
      <c r="AA247" s="81">
        <f>C247*H247</f>
        <v/>
      </c>
      <c r="AB247" s="81">
        <f>(P247-1)*O247*K247</f>
        <v/>
      </c>
    </row>
    <row r="248">
      <c r="A248" s="7" t="n"/>
      <c r="B248" s="7" t="n"/>
      <c r="C248" s="8" t="n"/>
      <c r="D248" s="33">
        <f>C248/$U$3</f>
        <v/>
      </c>
      <c r="E248" s="7" t="n"/>
      <c r="F248" s="7" t="n"/>
      <c r="G248" s="7" t="n"/>
      <c r="H248" s="7" t="n"/>
      <c r="I248" s="91" t="n"/>
      <c r="J248" s="7" t="n"/>
      <c r="K248" s="33">
        <f>SUM(E248:I248)</f>
        <v/>
      </c>
      <c r="L248" s="33">
        <f>K248*D248</f>
        <v/>
      </c>
      <c r="M248" s="33">
        <f>K248*C248</f>
        <v/>
      </c>
      <c r="N248" s="7" t="n"/>
      <c r="O248" s="33">
        <f>N248*C248</f>
        <v/>
      </c>
      <c r="P248" s="7" t="n"/>
      <c r="Q248" s="7" t="n"/>
      <c r="R248" s="7" t="n"/>
      <c r="S248" s="33">
        <f>O248*L248</f>
        <v/>
      </c>
      <c r="Y248" s="33">
        <f>0.25*H248</f>
        <v/>
      </c>
      <c r="Z248" s="33">
        <f>Y248*O248</f>
        <v/>
      </c>
      <c r="AA248" s="81">
        <f>C248*H248</f>
        <v/>
      </c>
      <c r="AB248" s="81">
        <f>(P248-1)*O248*K248</f>
        <v/>
      </c>
    </row>
    <row r="249">
      <c r="A249" s="7" t="n"/>
      <c r="B249" s="7" t="n"/>
      <c r="C249" s="8" t="n"/>
      <c r="D249" s="33">
        <f>C249/$U$3</f>
        <v/>
      </c>
      <c r="E249" s="7" t="n"/>
      <c r="F249" s="7" t="n"/>
      <c r="G249" s="7" t="n"/>
      <c r="H249" s="7" t="n"/>
      <c r="I249" s="91" t="n"/>
      <c r="J249" s="7" t="n"/>
      <c r="K249" s="33">
        <f>SUM(E249:I249)</f>
        <v/>
      </c>
      <c r="L249" s="33">
        <f>K249*D249</f>
        <v/>
      </c>
      <c r="M249" s="33">
        <f>K249*C249</f>
        <v/>
      </c>
      <c r="N249" s="7" t="n"/>
      <c r="O249" s="33">
        <f>N249*C249</f>
        <v/>
      </c>
      <c r="P249" s="7" t="n"/>
      <c r="Q249" s="7" t="n"/>
      <c r="R249" s="7" t="n"/>
      <c r="S249" s="33">
        <f>O249*L249</f>
        <v/>
      </c>
      <c r="Y249" s="33">
        <f>0.25*H249</f>
        <v/>
      </c>
      <c r="Z249" s="33">
        <f>Y249*O249</f>
        <v/>
      </c>
      <c r="AA249" s="81">
        <f>C249*H249</f>
        <v/>
      </c>
      <c r="AB249" s="81">
        <f>(P249-1)*O249*K249</f>
        <v/>
      </c>
    </row>
    <row r="250">
      <c r="A250" s="7" t="n"/>
      <c r="B250" s="7" t="n"/>
      <c r="C250" s="8" t="n"/>
      <c r="D250" s="33">
        <f>C250/$U$3</f>
        <v/>
      </c>
      <c r="E250" s="7" t="n"/>
      <c r="F250" s="7" t="n"/>
      <c r="G250" s="7" t="n"/>
      <c r="H250" s="7" t="n"/>
      <c r="I250" s="91" t="n"/>
      <c r="J250" s="7" t="n"/>
      <c r="K250" s="33">
        <f>SUM(E250:I250)</f>
        <v/>
      </c>
      <c r="L250" s="33">
        <f>K250*D250</f>
        <v/>
      </c>
      <c r="M250" s="33">
        <f>K250*C250</f>
        <v/>
      </c>
      <c r="N250" s="7" t="n"/>
      <c r="O250" s="33">
        <f>N250*C250</f>
        <v/>
      </c>
      <c r="P250" s="7" t="n"/>
      <c r="Q250" s="7" t="n"/>
      <c r="R250" s="7" t="n"/>
      <c r="S250" s="33">
        <f>O250*L250</f>
        <v/>
      </c>
      <c r="Y250" s="33">
        <f>0.25*H250</f>
        <v/>
      </c>
      <c r="Z250" s="33">
        <f>Y250*O250</f>
        <v/>
      </c>
      <c r="AA250" s="81">
        <f>C250*H250</f>
        <v/>
      </c>
      <c r="AB250" s="81">
        <f>(P250-1)*O250*K250</f>
        <v/>
      </c>
    </row>
    <row r="251">
      <c r="A251" s="7" t="n"/>
      <c r="B251" s="7" t="n"/>
      <c r="C251" s="8" t="n"/>
      <c r="D251" s="33">
        <f>C251/$U$3</f>
        <v/>
      </c>
      <c r="E251" s="7" t="n"/>
      <c r="F251" s="7" t="n"/>
      <c r="G251" s="7" t="n"/>
      <c r="H251" s="7" t="n"/>
      <c r="I251" s="91" t="n"/>
      <c r="J251" s="7" t="n"/>
      <c r="K251" s="33">
        <f>SUM(E251:I251)</f>
        <v/>
      </c>
      <c r="L251" s="33">
        <f>K251*D251</f>
        <v/>
      </c>
      <c r="M251" s="33">
        <f>K251*C251</f>
        <v/>
      </c>
      <c r="N251" s="7" t="n"/>
      <c r="O251" s="33">
        <f>N251*C251</f>
        <v/>
      </c>
      <c r="P251" s="7" t="n"/>
      <c r="Q251" s="7" t="n"/>
      <c r="R251" s="7" t="n"/>
      <c r="S251" s="33">
        <f>O251*L251</f>
        <v/>
      </c>
      <c r="Y251" s="33">
        <f>0.25*H251</f>
        <v/>
      </c>
      <c r="Z251" s="33">
        <f>Y251*O251</f>
        <v/>
      </c>
      <c r="AA251" s="81">
        <f>C251*H251</f>
        <v/>
      </c>
      <c r="AB251" s="81">
        <f>(P251-1)*O251*K251</f>
        <v/>
      </c>
    </row>
    <row r="252">
      <c r="A252" s="7" t="n"/>
      <c r="B252" s="7" t="n"/>
      <c r="C252" s="8" t="n"/>
      <c r="D252" s="33">
        <f>C252/$U$3</f>
        <v/>
      </c>
      <c r="E252" s="7" t="n"/>
      <c r="F252" s="7" t="n"/>
      <c r="G252" s="7" t="n"/>
      <c r="H252" s="7" t="n"/>
      <c r="I252" s="91" t="n"/>
      <c r="J252" s="7" t="n"/>
      <c r="K252" s="33">
        <f>SUM(E252:I252)</f>
        <v/>
      </c>
      <c r="L252" s="33">
        <f>K252*D252</f>
        <v/>
      </c>
      <c r="M252" s="33">
        <f>K252*C252</f>
        <v/>
      </c>
      <c r="N252" s="7" t="n"/>
      <c r="O252" s="33">
        <f>N252*C252</f>
        <v/>
      </c>
      <c r="P252" s="7" t="n"/>
      <c r="Q252" s="7" t="n"/>
      <c r="R252" s="7" t="n"/>
      <c r="S252" s="33">
        <f>O252*L252</f>
        <v/>
      </c>
      <c r="Y252" s="33">
        <f>0.25*H252</f>
        <v/>
      </c>
      <c r="Z252" s="33">
        <f>Y252*O252</f>
        <v/>
      </c>
      <c r="AA252" s="81">
        <f>C252*H252</f>
        <v/>
      </c>
      <c r="AB252" s="81">
        <f>(P252-1)*O252*K252</f>
        <v/>
      </c>
    </row>
    <row r="253">
      <c r="A253" s="7" t="n"/>
      <c r="B253" s="7" t="n"/>
      <c r="C253" s="8" t="n"/>
      <c r="D253" s="33">
        <f>C253/$U$3</f>
        <v/>
      </c>
      <c r="E253" s="7" t="n"/>
      <c r="F253" s="7" t="n"/>
      <c r="G253" s="7" t="n"/>
      <c r="H253" s="7" t="n"/>
      <c r="I253" s="91" t="n"/>
      <c r="J253" s="7" t="n"/>
      <c r="K253" s="33">
        <f>SUM(E253:I253)</f>
        <v/>
      </c>
      <c r="L253" s="33">
        <f>K253*D253</f>
        <v/>
      </c>
      <c r="M253" s="33">
        <f>K253*C253</f>
        <v/>
      </c>
      <c r="N253" s="7" t="n"/>
      <c r="O253" s="33">
        <f>N253*C253</f>
        <v/>
      </c>
      <c r="P253" s="7" t="n"/>
      <c r="Q253" s="7" t="n"/>
      <c r="R253" s="7" t="n"/>
      <c r="S253" s="33">
        <f>O253*L253</f>
        <v/>
      </c>
      <c r="Y253" s="33">
        <f>0.25*H253</f>
        <v/>
      </c>
      <c r="Z253" s="33">
        <f>Y253*O253</f>
        <v/>
      </c>
      <c r="AA253" s="81">
        <f>C253*H253</f>
        <v/>
      </c>
      <c r="AB253" s="81">
        <f>(P253-1)*O253*K253</f>
        <v/>
      </c>
    </row>
    <row r="254">
      <c r="A254" s="7" t="n"/>
      <c r="B254" s="7" t="n"/>
      <c r="C254" s="8" t="n"/>
      <c r="D254" s="33">
        <f>C254/$U$3</f>
        <v/>
      </c>
      <c r="E254" s="7" t="n"/>
      <c r="F254" s="7" t="n"/>
      <c r="G254" s="7" t="n"/>
      <c r="H254" s="7" t="n"/>
      <c r="I254" s="91" t="n"/>
      <c r="J254" s="7" t="n"/>
      <c r="K254" s="33">
        <f>SUM(E254:I254)</f>
        <v/>
      </c>
      <c r="L254" s="33">
        <f>K254*D254</f>
        <v/>
      </c>
      <c r="M254" s="33">
        <f>K254*C254</f>
        <v/>
      </c>
      <c r="N254" s="7" t="n"/>
      <c r="O254" s="33">
        <f>N254*C254</f>
        <v/>
      </c>
      <c r="P254" s="7" t="n"/>
      <c r="Q254" s="7" t="n"/>
      <c r="R254" s="7" t="n"/>
      <c r="S254" s="33">
        <f>O254*L254</f>
        <v/>
      </c>
      <c r="Y254" s="33">
        <f>0.25*H254</f>
        <v/>
      </c>
      <c r="Z254" s="33">
        <f>Y254*O254</f>
        <v/>
      </c>
      <c r="AA254" s="81">
        <f>C254*H254</f>
        <v/>
      </c>
      <c r="AB254" s="81">
        <f>(P254-1)*O254*K254</f>
        <v/>
      </c>
    </row>
    <row r="255">
      <c r="A255" s="7" t="n"/>
      <c r="B255" s="7" t="n"/>
      <c r="C255" s="8" t="n"/>
      <c r="D255" s="33">
        <f>C255/$U$3</f>
        <v/>
      </c>
      <c r="E255" s="7" t="n"/>
      <c r="F255" s="7" t="n"/>
      <c r="G255" s="7" t="n"/>
      <c r="H255" s="7" t="n"/>
      <c r="I255" s="91" t="n"/>
      <c r="J255" s="7" t="n"/>
      <c r="K255" s="33">
        <f>SUM(E255:I255)</f>
        <v/>
      </c>
      <c r="L255" s="33">
        <f>K255*D255</f>
        <v/>
      </c>
      <c r="M255" s="33">
        <f>K255*C255</f>
        <v/>
      </c>
      <c r="N255" s="7" t="n"/>
      <c r="O255" s="33">
        <f>N255*C255</f>
        <v/>
      </c>
      <c r="P255" s="7" t="n"/>
      <c r="Q255" s="7" t="n"/>
      <c r="R255" s="7" t="n"/>
      <c r="S255" s="33">
        <f>O255*L255</f>
        <v/>
      </c>
      <c r="Y255" s="33">
        <f>0.25*H255</f>
        <v/>
      </c>
      <c r="Z255" s="33">
        <f>Y255*O255</f>
        <v/>
      </c>
      <c r="AA255" s="81">
        <f>C255*H255</f>
        <v/>
      </c>
      <c r="AB255" s="81">
        <f>(P255-1)*O255*K255</f>
        <v/>
      </c>
    </row>
    <row r="256">
      <c r="A256" s="7" t="n"/>
      <c r="B256" s="7" t="n"/>
      <c r="C256" s="8" t="n"/>
      <c r="D256" s="33">
        <f>C256/$U$3</f>
        <v/>
      </c>
      <c r="E256" s="7" t="n"/>
      <c r="F256" s="7" t="n"/>
      <c r="G256" s="7" t="n"/>
      <c r="H256" s="7" t="n"/>
      <c r="I256" s="91" t="n"/>
      <c r="J256" s="7" t="n"/>
      <c r="K256" s="33">
        <f>SUM(E256:I256)</f>
        <v/>
      </c>
      <c r="L256" s="33">
        <f>K256*D256</f>
        <v/>
      </c>
      <c r="M256" s="33">
        <f>K256*C256</f>
        <v/>
      </c>
      <c r="N256" s="7" t="n"/>
      <c r="O256" s="33">
        <f>N256*C256</f>
        <v/>
      </c>
      <c r="P256" s="7" t="n"/>
      <c r="Q256" s="7" t="n"/>
      <c r="R256" s="7" t="n"/>
      <c r="S256" s="33">
        <f>O256*L256</f>
        <v/>
      </c>
      <c r="Y256" s="33">
        <f>0.25*H256</f>
        <v/>
      </c>
      <c r="Z256" s="33">
        <f>Y256*O256</f>
        <v/>
      </c>
      <c r="AA256" s="81">
        <f>C256*H256</f>
        <v/>
      </c>
      <c r="AB256" s="81">
        <f>(P256-1)*O256*K256</f>
        <v/>
      </c>
    </row>
    <row r="257">
      <c r="A257" s="7" t="n"/>
      <c r="B257" s="7" t="n"/>
      <c r="C257" s="8" t="n"/>
      <c r="D257" s="33">
        <f>C257/$U$3</f>
        <v/>
      </c>
      <c r="E257" s="7" t="n"/>
      <c r="F257" s="7" t="n"/>
      <c r="G257" s="7" t="n"/>
      <c r="H257" s="7" t="n"/>
      <c r="I257" s="91" t="n"/>
      <c r="J257" s="7" t="n"/>
      <c r="K257" s="33">
        <f>SUM(E257:I257)</f>
        <v/>
      </c>
      <c r="L257" s="33">
        <f>K257*D257</f>
        <v/>
      </c>
      <c r="M257" s="33">
        <f>K257*C257</f>
        <v/>
      </c>
      <c r="N257" s="7" t="n"/>
      <c r="O257" s="33">
        <f>N257*C257</f>
        <v/>
      </c>
      <c r="P257" s="7" t="n"/>
      <c r="Q257" s="7" t="n"/>
      <c r="R257" s="7" t="n"/>
      <c r="S257" s="33">
        <f>O257*L257</f>
        <v/>
      </c>
      <c r="Y257" s="33">
        <f>0.25*H257</f>
        <v/>
      </c>
      <c r="Z257" s="33">
        <f>Y257*O257</f>
        <v/>
      </c>
      <c r="AA257" s="81">
        <f>C257*H257</f>
        <v/>
      </c>
      <c r="AB257" s="81">
        <f>(P257-1)*O257*K257</f>
        <v/>
      </c>
    </row>
    <row r="258">
      <c r="A258" s="7" t="n"/>
      <c r="B258" s="7" t="n"/>
      <c r="C258" s="8" t="n"/>
      <c r="D258" s="33">
        <f>C258/$U$3</f>
        <v/>
      </c>
      <c r="E258" s="7" t="n"/>
      <c r="F258" s="7" t="n"/>
      <c r="G258" s="7" t="n"/>
      <c r="H258" s="7" t="n"/>
      <c r="I258" s="91" t="n"/>
      <c r="J258" s="7" t="n"/>
      <c r="K258" s="33">
        <f>SUM(E258:I258)</f>
        <v/>
      </c>
      <c r="L258" s="33">
        <f>K258*D258</f>
        <v/>
      </c>
      <c r="M258" s="33">
        <f>K258*C258</f>
        <v/>
      </c>
      <c r="N258" s="7" t="n"/>
      <c r="O258" s="33">
        <f>N258*C258</f>
        <v/>
      </c>
      <c r="P258" s="7" t="n"/>
      <c r="Q258" s="7" t="n"/>
      <c r="R258" s="7" t="n"/>
      <c r="S258" s="33">
        <f>O258*L258</f>
        <v/>
      </c>
      <c r="Y258" s="33">
        <f>0.25*H258</f>
        <v/>
      </c>
      <c r="Z258" s="33">
        <f>Y258*O258</f>
        <v/>
      </c>
      <c r="AA258" s="81">
        <f>C258*H258</f>
        <v/>
      </c>
      <c r="AB258" s="81">
        <f>(P258-1)*O258*K258</f>
        <v/>
      </c>
    </row>
    <row r="259">
      <c r="A259" s="7" t="n"/>
      <c r="B259" s="7" t="n"/>
      <c r="C259" s="8" t="n"/>
      <c r="D259" s="33">
        <f>C259/$U$3</f>
        <v/>
      </c>
      <c r="E259" s="7" t="n"/>
      <c r="F259" s="7" t="n"/>
      <c r="G259" s="7" t="n"/>
      <c r="H259" s="7" t="n"/>
      <c r="I259" s="91" t="n"/>
      <c r="J259" s="7" t="n"/>
      <c r="K259" s="33">
        <f>SUM(E259:I259)</f>
        <v/>
      </c>
      <c r="L259" s="33">
        <f>K259*D259</f>
        <v/>
      </c>
      <c r="M259" s="33">
        <f>K259*C259</f>
        <v/>
      </c>
      <c r="N259" s="7" t="n"/>
      <c r="O259" s="33">
        <f>N259*C259</f>
        <v/>
      </c>
      <c r="P259" s="7" t="n"/>
      <c r="Q259" s="7" t="n"/>
      <c r="R259" s="7" t="n"/>
      <c r="S259" s="33">
        <f>O259*L259</f>
        <v/>
      </c>
      <c r="Y259" s="33">
        <f>0.25*H259</f>
        <v/>
      </c>
      <c r="Z259" s="33">
        <f>Y259*O259</f>
        <v/>
      </c>
      <c r="AA259" s="81">
        <f>C259*H259</f>
        <v/>
      </c>
      <c r="AB259" s="81">
        <f>(P259-1)*O259*K259</f>
        <v/>
      </c>
    </row>
    <row r="260">
      <c r="A260" s="7" t="n"/>
      <c r="B260" s="7" t="n"/>
      <c r="C260" s="8" t="n"/>
      <c r="D260" s="33">
        <f>C260/$U$3</f>
        <v/>
      </c>
      <c r="E260" s="7" t="n"/>
      <c r="F260" s="7" t="n"/>
      <c r="G260" s="7" t="n"/>
      <c r="H260" s="7" t="n"/>
      <c r="I260" s="91" t="n"/>
      <c r="J260" s="7" t="n"/>
      <c r="K260" s="33">
        <f>SUM(E260:I260)</f>
        <v/>
      </c>
      <c r="L260" s="33">
        <f>K260*D260</f>
        <v/>
      </c>
      <c r="M260" s="33">
        <f>K260*C260</f>
        <v/>
      </c>
      <c r="N260" s="7" t="n"/>
      <c r="O260" s="33">
        <f>N260*C260</f>
        <v/>
      </c>
      <c r="P260" s="7" t="n"/>
      <c r="Q260" s="7" t="n"/>
      <c r="R260" s="7" t="n"/>
      <c r="S260" s="33">
        <f>O260*L260</f>
        <v/>
      </c>
      <c r="Y260" s="33">
        <f>0.25*H260</f>
        <v/>
      </c>
      <c r="Z260" s="33">
        <f>Y260*O260</f>
        <v/>
      </c>
      <c r="AA260" s="81">
        <f>C260*H260</f>
        <v/>
      </c>
      <c r="AB260" s="81">
        <f>(P260-1)*O260*K260</f>
        <v/>
      </c>
    </row>
    <row r="261">
      <c r="A261" s="7" t="n"/>
      <c r="B261" s="7" t="n"/>
      <c r="C261" s="8" t="n"/>
      <c r="D261" s="33">
        <f>C261/$U$3</f>
        <v/>
      </c>
      <c r="E261" s="7" t="n"/>
      <c r="F261" s="7" t="n"/>
      <c r="G261" s="7" t="n"/>
      <c r="H261" s="7" t="n"/>
      <c r="I261" s="91" t="n"/>
      <c r="J261" s="7" t="n"/>
      <c r="K261" s="33">
        <f>SUM(E261:I261)</f>
        <v/>
      </c>
      <c r="L261" s="33">
        <f>K261*D261</f>
        <v/>
      </c>
      <c r="M261" s="33">
        <f>K261*C261</f>
        <v/>
      </c>
      <c r="N261" s="7" t="n"/>
      <c r="O261" s="33">
        <f>N261*C261</f>
        <v/>
      </c>
      <c r="P261" s="7" t="n"/>
      <c r="Q261" s="7" t="n"/>
      <c r="R261" s="7" t="n"/>
      <c r="S261" s="33">
        <f>O261*L261</f>
        <v/>
      </c>
      <c r="Y261" s="33">
        <f>0.25*H261</f>
        <v/>
      </c>
      <c r="Z261" s="33">
        <f>Y261*O261</f>
        <v/>
      </c>
      <c r="AA261" s="81">
        <f>C261*H261</f>
        <v/>
      </c>
      <c r="AB261" s="81">
        <f>(P261-1)*O261*K261</f>
        <v/>
      </c>
    </row>
    <row r="262">
      <c r="A262" s="7" t="n"/>
      <c r="B262" s="7" t="n"/>
      <c r="C262" s="8" t="n"/>
      <c r="D262" s="33">
        <f>C262/$U$3</f>
        <v/>
      </c>
      <c r="E262" s="7" t="n"/>
      <c r="F262" s="7" t="n"/>
      <c r="G262" s="7" t="n"/>
      <c r="H262" s="7" t="n"/>
      <c r="I262" s="91" t="n"/>
      <c r="J262" s="7" t="n"/>
      <c r="K262" s="33">
        <f>SUM(E262:I262)</f>
        <v/>
      </c>
      <c r="L262" s="33">
        <f>K262*D262</f>
        <v/>
      </c>
      <c r="M262" s="33">
        <f>K262*C262</f>
        <v/>
      </c>
      <c r="N262" s="7" t="n"/>
      <c r="O262" s="33">
        <f>N262*C262</f>
        <v/>
      </c>
      <c r="P262" s="7" t="n"/>
      <c r="Q262" s="7" t="n"/>
      <c r="R262" s="7" t="n"/>
      <c r="S262" s="33">
        <f>O262*L262</f>
        <v/>
      </c>
      <c r="Y262" s="33">
        <f>0.25*H262</f>
        <v/>
      </c>
      <c r="Z262" s="33">
        <f>Y262*O262</f>
        <v/>
      </c>
      <c r="AA262" s="81">
        <f>C262*H262</f>
        <v/>
      </c>
      <c r="AB262" s="81">
        <f>(P262-1)*O262*K262</f>
        <v/>
      </c>
    </row>
    <row r="263">
      <c r="A263" s="7" t="n"/>
      <c r="B263" s="7" t="n"/>
      <c r="C263" s="8" t="n"/>
      <c r="D263" s="33">
        <f>C263/$U$3</f>
        <v/>
      </c>
      <c r="E263" s="7" t="n"/>
      <c r="F263" s="7" t="n"/>
      <c r="G263" s="7" t="n"/>
      <c r="H263" s="7" t="n"/>
      <c r="I263" s="91" t="n"/>
      <c r="J263" s="7" t="n"/>
      <c r="K263" s="33">
        <f>SUM(E263:I263)</f>
        <v/>
      </c>
      <c r="L263" s="33">
        <f>K263*D263</f>
        <v/>
      </c>
      <c r="M263" s="33">
        <f>K263*C263</f>
        <v/>
      </c>
      <c r="N263" s="7" t="n"/>
      <c r="O263" s="33">
        <f>N263*C263</f>
        <v/>
      </c>
      <c r="P263" s="7" t="n"/>
      <c r="Q263" s="7" t="n"/>
      <c r="R263" s="7" t="n"/>
      <c r="S263" s="33">
        <f>O263*L263</f>
        <v/>
      </c>
      <c r="Y263" s="33">
        <f>0.25*H263</f>
        <v/>
      </c>
      <c r="Z263" s="33">
        <f>Y263*O263</f>
        <v/>
      </c>
      <c r="AA263" s="81">
        <f>C263*H263</f>
        <v/>
      </c>
      <c r="AB263" s="81">
        <f>(P263-1)*O263*K263</f>
        <v/>
      </c>
    </row>
    <row r="264">
      <c r="A264" s="7" t="n"/>
      <c r="B264" s="7" t="n"/>
      <c r="C264" s="8" t="n"/>
      <c r="D264" s="33">
        <f>C264/$U$3</f>
        <v/>
      </c>
      <c r="E264" s="7" t="n"/>
      <c r="F264" s="7" t="n"/>
      <c r="G264" s="7" t="n"/>
      <c r="H264" s="7" t="n"/>
      <c r="I264" s="91" t="n"/>
      <c r="J264" s="7" t="n"/>
      <c r="K264" s="33">
        <f>SUM(E264:I264)</f>
        <v/>
      </c>
      <c r="L264" s="33">
        <f>K264*D264</f>
        <v/>
      </c>
      <c r="M264" s="33">
        <f>K264*C264</f>
        <v/>
      </c>
      <c r="N264" s="7" t="n"/>
      <c r="O264" s="33">
        <f>N264*C264</f>
        <v/>
      </c>
      <c r="P264" s="7" t="n"/>
      <c r="Q264" s="7" t="n"/>
      <c r="R264" s="7" t="n"/>
      <c r="S264" s="33">
        <f>O264*L264</f>
        <v/>
      </c>
      <c r="Y264" s="33">
        <f>0.25*H264</f>
        <v/>
      </c>
      <c r="Z264" s="33">
        <f>Y264*O264</f>
        <v/>
      </c>
      <c r="AA264" s="81">
        <f>C264*H264</f>
        <v/>
      </c>
      <c r="AB264" s="81">
        <f>(P264-1)*O264*K264</f>
        <v/>
      </c>
    </row>
    <row r="265">
      <c r="A265" s="7" t="n"/>
      <c r="B265" s="7" t="n"/>
      <c r="C265" s="8" t="n"/>
      <c r="D265" s="33">
        <f>C265/$U$3</f>
        <v/>
      </c>
      <c r="E265" s="7" t="n"/>
      <c r="F265" s="7" t="n"/>
      <c r="G265" s="7" t="n"/>
      <c r="H265" s="7" t="n"/>
      <c r="I265" s="91" t="n"/>
      <c r="J265" s="7" t="n"/>
      <c r="K265" s="33">
        <f>SUM(E265:I265)</f>
        <v/>
      </c>
      <c r="L265" s="33">
        <f>K265*D265</f>
        <v/>
      </c>
      <c r="M265" s="33">
        <f>K265*C265</f>
        <v/>
      </c>
      <c r="N265" s="7" t="n"/>
      <c r="O265" s="33">
        <f>N265*C265</f>
        <v/>
      </c>
      <c r="P265" s="7" t="n"/>
      <c r="Q265" s="7" t="n"/>
      <c r="R265" s="7" t="n"/>
      <c r="S265" s="33">
        <f>O265*L265</f>
        <v/>
      </c>
      <c r="Y265" s="33">
        <f>0.25*H265</f>
        <v/>
      </c>
      <c r="Z265" s="33">
        <f>Y265*O265</f>
        <v/>
      </c>
      <c r="AA265" s="81">
        <f>C265*H265</f>
        <v/>
      </c>
      <c r="AB265" s="81">
        <f>(P265-1)*O265*K265</f>
        <v/>
      </c>
    </row>
    <row r="266">
      <c r="A266" s="7" t="n"/>
      <c r="B266" s="7" t="n"/>
      <c r="C266" s="8" t="n"/>
      <c r="D266" s="33">
        <f>C266/$U$3</f>
        <v/>
      </c>
      <c r="E266" s="7" t="n"/>
      <c r="F266" s="7" t="n"/>
      <c r="G266" s="7" t="n"/>
      <c r="H266" s="7" t="n"/>
      <c r="I266" s="91" t="n"/>
      <c r="J266" s="7" t="n"/>
      <c r="K266" s="33">
        <f>SUM(E266:I266)</f>
        <v/>
      </c>
      <c r="L266" s="33">
        <f>K266*D266</f>
        <v/>
      </c>
      <c r="M266" s="33">
        <f>K266*C266</f>
        <v/>
      </c>
      <c r="N266" s="7" t="n"/>
      <c r="O266" s="33">
        <f>N266*C266</f>
        <v/>
      </c>
      <c r="P266" s="7" t="n"/>
      <c r="Q266" s="7" t="n"/>
      <c r="R266" s="7" t="n"/>
      <c r="S266" s="33">
        <f>O266*L266</f>
        <v/>
      </c>
      <c r="Y266" s="33">
        <f>0.25*H266</f>
        <v/>
      </c>
      <c r="Z266" s="33">
        <f>Y266*O266</f>
        <v/>
      </c>
      <c r="AA266" s="81">
        <f>C266*H266</f>
        <v/>
      </c>
      <c r="AB266" s="81">
        <f>(P266-1)*O266*K266</f>
        <v/>
      </c>
    </row>
    <row r="267">
      <c r="A267" s="7" t="n"/>
      <c r="B267" s="7" t="n"/>
      <c r="C267" s="8" t="n"/>
      <c r="D267" s="33">
        <f>C267/$U$3</f>
        <v/>
      </c>
      <c r="E267" s="7" t="n"/>
      <c r="F267" s="7" t="n"/>
      <c r="G267" s="7" t="n"/>
      <c r="H267" s="7" t="n"/>
      <c r="I267" s="91" t="n"/>
      <c r="J267" s="7" t="n"/>
      <c r="K267" s="33">
        <f>SUM(E267:I267)</f>
        <v/>
      </c>
      <c r="L267" s="33">
        <f>K267*D267</f>
        <v/>
      </c>
      <c r="M267" s="33">
        <f>K267*C267</f>
        <v/>
      </c>
      <c r="N267" s="7" t="n"/>
      <c r="O267" s="33">
        <f>N267*C267</f>
        <v/>
      </c>
      <c r="P267" s="7" t="n"/>
      <c r="Q267" s="7" t="n"/>
      <c r="R267" s="7" t="n"/>
      <c r="S267" s="33">
        <f>O267*L267</f>
        <v/>
      </c>
      <c r="Y267" s="33">
        <f>0.25*H267</f>
        <v/>
      </c>
      <c r="Z267" s="33">
        <f>Y267*O267</f>
        <v/>
      </c>
      <c r="AA267" s="81">
        <f>C267*H267</f>
        <v/>
      </c>
      <c r="AB267" s="81">
        <f>(P267-1)*O267*K267</f>
        <v/>
      </c>
    </row>
    <row r="268">
      <c r="A268" s="7" t="n"/>
      <c r="B268" s="7" t="n"/>
      <c r="C268" s="8" t="n"/>
      <c r="D268" s="33">
        <f>C268/$U$3</f>
        <v/>
      </c>
      <c r="E268" s="7" t="n"/>
      <c r="F268" s="7" t="n"/>
      <c r="G268" s="7" t="n"/>
      <c r="H268" s="7" t="n"/>
      <c r="I268" s="91" t="n"/>
      <c r="J268" s="7" t="n"/>
      <c r="K268" s="33">
        <f>SUM(E268:I268)</f>
        <v/>
      </c>
      <c r="L268" s="33">
        <f>K268*D268</f>
        <v/>
      </c>
      <c r="M268" s="33">
        <f>K268*C268</f>
        <v/>
      </c>
      <c r="N268" s="7" t="n"/>
      <c r="O268" s="33">
        <f>N268*C268</f>
        <v/>
      </c>
      <c r="P268" s="7" t="n"/>
      <c r="Q268" s="7" t="n"/>
      <c r="R268" s="7" t="n"/>
      <c r="S268" s="33">
        <f>O268*L268</f>
        <v/>
      </c>
      <c r="Y268" s="33">
        <f>0.25*H268</f>
        <v/>
      </c>
      <c r="Z268" s="33">
        <f>Y268*O268</f>
        <v/>
      </c>
      <c r="AA268" s="81">
        <f>C268*H268</f>
        <v/>
      </c>
      <c r="AB268" s="81">
        <f>(P268-1)*O268*K268</f>
        <v/>
      </c>
    </row>
    <row r="269">
      <c r="A269" s="7" t="n"/>
      <c r="B269" s="7" t="n"/>
      <c r="C269" s="8" t="n"/>
      <c r="D269" s="33">
        <f>C269/$U$3</f>
        <v/>
      </c>
      <c r="E269" s="7" t="n"/>
      <c r="F269" s="7" t="n"/>
      <c r="G269" s="7" t="n"/>
      <c r="H269" s="7" t="n"/>
      <c r="I269" s="91" t="n"/>
      <c r="J269" s="7" t="n"/>
      <c r="K269" s="33">
        <f>SUM(E269:I269)</f>
        <v/>
      </c>
      <c r="L269" s="33">
        <f>K269*D269</f>
        <v/>
      </c>
      <c r="M269" s="33">
        <f>K269*C269</f>
        <v/>
      </c>
      <c r="N269" s="7" t="n"/>
      <c r="O269" s="33">
        <f>N269*C269</f>
        <v/>
      </c>
      <c r="P269" s="7" t="n"/>
      <c r="Q269" s="7" t="n"/>
      <c r="R269" s="7" t="n"/>
      <c r="S269" s="33">
        <f>O269*L269</f>
        <v/>
      </c>
      <c r="Y269" s="33">
        <f>0.25*H269</f>
        <v/>
      </c>
      <c r="Z269" s="33">
        <f>Y269*O269</f>
        <v/>
      </c>
      <c r="AA269" s="81">
        <f>C269*H269</f>
        <v/>
      </c>
      <c r="AB269" s="81">
        <f>(P269-1)*O269*K269</f>
        <v/>
      </c>
    </row>
    <row r="270">
      <c r="A270" s="7" t="n"/>
      <c r="B270" s="7" t="n"/>
      <c r="C270" s="8" t="n"/>
      <c r="D270" s="33">
        <f>C270/$U$3</f>
        <v/>
      </c>
      <c r="E270" s="7" t="n"/>
      <c r="F270" s="7" t="n"/>
      <c r="G270" s="7" t="n"/>
      <c r="H270" s="7" t="n"/>
      <c r="I270" s="91" t="n"/>
      <c r="J270" s="7" t="n"/>
      <c r="K270" s="33">
        <f>SUM(E270:I270)</f>
        <v/>
      </c>
      <c r="L270" s="33">
        <f>K270*D270</f>
        <v/>
      </c>
      <c r="M270" s="33">
        <f>K270*C270</f>
        <v/>
      </c>
      <c r="N270" s="7" t="n"/>
      <c r="O270" s="33">
        <f>N270*C270</f>
        <v/>
      </c>
      <c r="P270" s="7" t="n"/>
      <c r="Q270" s="7" t="n"/>
      <c r="R270" s="7" t="n"/>
      <c r="S270" s="33">
        <f>O270*L270</f>
        <v/>
      </c>
      <c r="Y270" s="33">
        <f>0.25*H270</f>
        <v/>
      </c>
      <c r="Z270" s="33">
        <f>Y270*O270</f>
        <v/>
      </c>
      <c r="AA270" s="81">
        <f>C270*H270</f>
        <v/>
      </c>
      <c r="AB270" s="81">
        <f>(P270-1)*O270*K270</f>
        <v/>
      </c>
    </row>
    <row r="271">
      <c r="A271" s="7" t="n"/>
      <c r="B271" s="7" t="n"/>
      <c r="C271" s="8" t="n"/>
      <c r="D271" s="33">
        <f>C271/$U$3</f>
        <v/>
      </c>
      <c r="E271" s="7" t="n"/>
      <c r="F271" s="7" t="n"/>
      <c r="G271" s="7" t="n"/>
      <c r="H271" s="7" t="n"/>
      <c r="I271" s="91" t="n"/>
      <c r="J271" s="7" t="n"/>
      <c r="K271" s="33">
        <f>SUM(E271:I271)</f>
        <v/>
      </c>
      <c r="L271" s="33">
        <f>K271*D271</f>
        <v/>
      </c>
      <c r="M271" s="33">
        <f>K271*C271</f>
        <v/>
      </c>
      <c r="N271" s="7" t="n"/>
      <c r="O271" s="33">
        <f>N271*C271</f>
        <v/>
      </c>
      <c r="P271" s="7" t="n"/>
      <c r="Q271" s="7" t="n"/>
      <c r="R271" s="7" t="n"/>
      <c r="S271" s="33">
        <f>O271*L271</f>
        <v/>
      </c>
      <c r="Y271" s="33">
        <f>0.25*H271</f>
        <v/>
      </c>
      <c r="Z271" s="33">
        <f>Y271*O271</f>
        <v/>
      </c>
      <c r="AA271" s="81">
        <f>C271*H271</f>
        <v/>
      </c>
      <c r="AB271" s="81">
        <f>(P271-1)*O271*K271</f>
        <v/>
      </c>
    </row>
    <row r="272">
      <c r="A272" s="7" t="n"/>
      <c r="B272" s="7" t="n"/>
      <c r="C272" s="8" t="n"/>
      <c r="D272" s="33">
        <f>C272/$U$3</f>
        <v/>
      </c>
      <c r="E272" s="7" t="n"/>
      <c r="F272" s="7" t="n"/>
      <c r="G272" s="7" t="n"/>
      <c r="H272" s="7" t="n"/>
      <c r="I272" s="91" t="n"/>
      <c r="J272" s="7" t="n"/>
      <c r="K272" s="33">
        <f>SUM(E272:I272)</f>
        <v/>
      </c>
      <c r="L272" s="33">
        <f>K272*D272</f>
        <v/>
      </c>
      <c r="M272" s="33">
        <f>K272*C272</f>
        <v/>
      </c>
      <c r="N272" s="7" t="n"/>
      <c r="O272" s="33">
        <f>N272*C272</f>
        <v/>
      </c>
      <c r="P272" s="7" t="n"/>
      <c r="Q272" s="7" t="n"/>
      <c r="R272" s="7" t="n"/>
      <c r="S272" s="33">
        <f>O272*L272</f>
        <v/>
      </c>
      <c r="Y272" s="33">
        <f>0.25*H272</f>
        <v/>
      </c>
      <c r="Z272" s="33">
        <f>Y272*O272</f>
        <v/>
      </c>
      <c r="AA272" s="81">
        <f>C272*H272</f>
        <v/>
      </c>
      <c r="AB272" s="81">
        <f>(P272-1)*O272*K272</f>
        <v/>
      </c>
    </row>
    <row r="273">
      <c r="A273" s="7" t="n"/>
      <c r="B273" s="7" t="n"/>
      <c r="C273" s="8" t="n"/>
      <c r="D273" s="33">
        <f>C273/$U$3</f>
        <v/>
      </c>
      <c r="E273" s="7" t="n"/>
      <c r="F273" s="7" t="n"/>
      <c r="G273" s="7" t="n"/>
      <c r="H273" s="7" t="n"/>
      <c r="I273" s="91" t="n"/>
      <c r="J273" s="7" t="n"/>
      <c r="K273" s="33">
        <f>SUM(E273:I273)</f>
        <v/>
      </c>
      <c r="L273" s="33">
        <f>K273*D273</f>
        <v/>
      </c>
      <c r="M273" s="33">
        <f>K273*C273</f>
        <v/>
      </c>
      <c r="N273" s="7" t="n"/>
      <c r="O273" s="33">
        <f>N273*C273</f>
        <v/>
      </c>
      <c r="P273" s="7" t="n"/>
      <c r="Q273" s="7" t="n"/>
      <c r="R273" s="7" t="n"/>
      <c r="S273" s="33">
        <f>O273*L273</f>
        <v/>
      </c>
      <c r="Y273" s="33">
        <f>0.25*H273</f>
        <v/>
      </c>
      <c r="Z273" s="33">
        <f>Y273*O273</f>
        <v/>
      </c>
      <c r="AA273" s="81">
        <f>C273*H273</f>
        <v/>
      </c>
      <c r="AB273" s="81">
        <f>(P273-1)*O273*K273</f>
        <v/>
      </c>
    </row>
    <row r="274">
      <c r="A274" s="7" t="n"/>
      <c r="B274" s="7" t="n"/>
      <c r="C274" s="8" t="n"/>
      <c r="D274" s="33">
        <f>C274/$U$3</f>
        <v/>
      </c>
      <c r="E274" s="7" t="n"/>
      <c r="F274" s="7" t="n"/>
      <c r="G274" s="7" t="n"/>
      <c r="H274" s="7" t="n"/>
      <c r="I274" s="91" t="n"/>
      <c r="J274" s="7" t="n"/>
      <c r="K274" s="33">
        <f>SUM(E274:I274)</f>
        <v/>
      </c>
      <c r="L274" s="33">
        <f>K274*D274</f>
        <v/>
      </c>
      <c r="M274" s="33">
        <f>K274*C274</f>
        <v/>
      </c>
      <c r="N274" s="7" t="n"/>
      <c r="O274" s="33">
        <f>N274*C274</f>
        <v/>
      </c>
      <c r="P274" s="7" t="n"/>
      <c r="Q274" s="7" t="n"/>
      <c r="R274" s="7" t="n"/>
      <c r="S274" s="33">
        <f>O274*L274</f>
        <v/>
      </c>
      <c r="Y274" s="33">
        <f>0.25*H274</f>
        <v/>
      </c>
      <c r="Z274" s="33">
        <f>Y274*O274</f>
        <v/>
      </c>
      <c r="AA274" s="81">
        <f>C274*H274</f>
        <v/>
      </c>
      <c r="AB274" s="81">
        <f>(P274-1)*O274*K274</f>
        <v/>
      </c>
    </row>
    <row r="275">
      <c r="A275" s="7" t="n"/>
      <c r="B275" s="7" t="n"/>
      <c r="C275" s="8" t="n"/>
      <c r="D275" s="33">
        <f>C275/$U$3</f>
        <v/>
      </c>
      <c r="E275" s="7" t="n"/>
      <c r="F275" s="7" t="n"/>
      <c r="G275" s="7" t="n"/>
      <c r="H275" s="7" t="n"/>
      <c r="I275" s="91" t="n"/>
      <c r="J275" s="7" t="n"/>
      <c r="K275" s="33">
        <f>SUM(E275:I275)</f>
        <v/>
      </c>
      <c r="L275" s="33">
        <f>K275*D275</f>
        <v/>
      </c>
      <c r="M275" s="33">
        <f>K275*C275</f>
        <v/>
      </c>
      <c r="N275" s="7" t="n"/>
      <c r="O275" s="33">
        <f>N275*C275</f>
        <v/>
      </c>
      <c r="P275" s="7" t="n"/>
      <c r="Q275" s="7" t="n"/>
      <c r="R275" s="7" t="n"/>
      <c r="S275" s="33">
        <f>O275*L275</f>
        <v/>
      </c>
      <c r="Y275" s="33">
        <f>0.25*H275</f>
        <v/>
      </c>
      <c r="Z275" s="33">
        <f>Y275*O275</f>
        <v/>
      </c>
      <c r="AA275" s="81">
        <f>C275*H275</f>
        <v/>
      </c>
      <c r="AB275" s="81">
        <f>(P275-1)*O275*K275</f>
        <v/>
      </c>
    </row>
    <row r="276">
      <c r="A276" s="7" t="n"/>
      <c r="B276" s="7" t="n"/>
      <c r="C276" s="8" t="n"/>
      <c r="D276" s="33">
        <f>C276/$U$3</f>
        <v/>
      </c>
      <c r="E276" s="7" t="n"/>
      <c r="F276" s="7" t="n"/>
      <c r="G276" s="7" t="n"/>
      <c r="H276" s="7" t="n"/>
      <c r="I276" s="91" t="n"/>
      <c r="J276" s="7" t="n"/>
      <c r="K276" s="33">
        <f>SUM(E276:I276)</f>
        <v/>
      </c>
      <c r="L276" s="33">
        <f>K276*D276</f>
        <v/>
      </c>
      <c r="M276" s="33">
        <f>K276*C276</f>
        <v/>
      </c>
      <c r="N276" s="7" t="n"/>
      <c r="O276" s="33">
        <f>N276*C276</f>
        <v/>
      </c>
      <c r="P276" s="7" t="n"/>
      <c r="Q276" s="7" t="n"/>
      <c r="R276" s="7" t="n"/>
      <c r="S276" s="33">
        <f>O276*L276</f>
        <v/>
      </c>
      <c r="Y276" s="33">
        <f>0.25*H276</f>
        <v/>
      </c>
      <c r="Z276" s="33">
        <f>Y276*O276</f>
        <v/>
      </c>
      <c r="AA276" s="81">
        <f>C276*H276</f>
        <v/>
      </c>
      <c r="AB276" s="81">
        <f>(P276-1)*O276*K276</f>
        <v/>
      </c>
    </row>
    <row r="277">
      <c r="A277" s="7" t="n"/>
      <c r="B277" s="7" t="n"/>
      <c r="C277" s="8" t="n"/>
      <c r="D277" s="33">
        <f>C277/$U$3</f>
        <v/>
      </c>
      <c r="E277" s="7" t="n"/>
      <c r="F277" s="7" t="n"/>
      <c r="G277" s="7" t="n"/>
      <c r="H277" s="7" t="n"/>
      <c r="I277" s="91" t="n"/>
      <c r="J277" s="7" t="n"/>
      <c r="K277" s="33">
        <f>SUM(E277:I277)</f>
        <v/>
      </c>
      <c r="L277" s="33">
        <f>K277*D277</f>
        <v/>
      </c>
      <c r="M277" s="33">
        <f>K277*C277</f>
        <v/>
      </c>
      <c r="N277" s="7" t="n"/>
      <c r="O277" s="33">
        <f>N277*C277</f>
        <v/>
      </c>
      <c r="P277" s="7" t="n"/>
      <c r="Q277" s="7" t="n"/>
      <c r="R277" s="7" t="n"/>
      <c r="S277" s="33">
        <f>O277*L277</f>
        <v/>
      </c>
      <c r="Y277" s="33">
        <f>0.25*H277</f>
        <v/>
      </c>
      <c r="Z277" s="33">
        <f>Y277*O277</f>
        <v/>
      </c>
      <c r="AA277" s="81">
        <f>C277*H277</f>
        <v/>
      </c>
      <c r="AB277" s="81">
        <f>(P277-1)*O277*K277</f>
        <v/>
      </c>
    </row>
    <row r="278">
      <c r="A278" s="7" t="n"/>
      <c r="B278" s="7" t="n"/>
      <c r="C278" s="8" t="n"/>
      <c r="D278" s="33">
        <f>C278/$U$3</f>
        <v/>
      </c>
      <c r="E278" s="7" t="n"/>
      <c r="F278" s="7" t="n"/>
      <c r="G278" s="7" t="n"/>
      <c r="H278" s="7" t="n"/>
      <c r="I278" s="91" t="n"/>
      <c r="J278" s="7" t="n"/>
      <c r="K278" s="33">
        <f>SUM(E278:I278)</f>
        <v/>
      </c>
      <c r="L278" s="33">
        <f>K278*D278</f>
        <v/>
      </c>
      <c r="M278" s="33">
        <f>K278*C278</f>
        <v/>
      </c>
      <c r="N278" s="7" t="n"/>
      <c r="O278" s="33">
        <f>N278*C278</f>
        <v/>
      </c>
      <c r="P278" s="7" t="n"/>
      <c r="Q278" s="7" t="n"/>
      <c r="R278" s="7" t="n"/>
      <c r="S278" s="33">
        <f>O278*L278</f>
        <v/>
      </c>
      <c r="Y278" s="33">
        <f>0.25*H278</f>
        <v/>
      </c>
      <c r="Z278" s="33">
        <f>Y278*O278</f>
        <v/>
      </c>
      <c r="AA278" s="81">
        <f>C278*H278</f>
        <v/>
      </c>
      <c r="AB278" s="81">
        <f>(P278-1)*O278*K278</f>
        <v/>
      </c>
    </row>
    <row r="279">
      <c r="A279" s="7" t="n"/>
      <c r="B279" s="7" t="n"/>
      <c r="C279" s="8" t="n"/>
      <c r="D279" s="33">
        <f>C279/$U$3</f>
        <v/>
      </c>
      <c r="E279" s="7" t="n"/>
      <c r="F279" s="7" t="n"/>
      <c r="G279" s="7" t="n"/>
      <c r="H279" s="7" t="n"/>
      <c r="I279" s="91" t="n"/>
      <c r="J279" s="7" t="n"/>
      <c r="K279" s="33">
        <f>SUM(E279:I279)</f>
        <v/>
      </c>
      <c r="L279" s="33">
        <f>K279*D279</f>
        <v/>
      </c>
      <c r="M279" s="33">
        <f>K279*C279</f>
        <v/>
      </c>
      <c r="N279" s="7" t="n"/>
      <c r="O279" s="33">
        <f>N279*C279</f>
        <v/>
      </c>
      <c r="P279" s="7" t="n"/>
      <c r="Q279" s="7" t="n"/>
      <c r="R279" s="7" t="n"/>
      <c r="S279" s="33">
        <f>O279*L279</f>
        <v/>
      </c>
      <c r="Y279" s="33">
        <f>0.25*H279</f>
        <v/>
      </c>
      <c r="Z279" s="33">
        <f>Y279*O279</f>
        <v/>
      </c>
      <c r="AA279" s="81">
        <f>C279*H279</f>
        <v/>
      </c>
      <c r="AB279" s="81">
        <f>(P279-1)*O279*K279</f>
        <v/>
      </c>
    </row>
    <row r="280">
      <c r="A280" s="7" t="n"/>
      <c r="B280" s="7" t="n"/>
      <c r="C280" s="8" t="n"/>
      <c r="D280" s="33">
        <f>C280/$U$3</f>
        <v/>
      </c>
      <c r="E280" s="7" t="n"/>
      <c r="F280" s="7" t="n"/>
      <c r="G280" s="7" t="n"/>
      <c r="H280" s="7" t="n"/>
      <c r="I280" s="91" t="n"/>
      <c r="J280" s="7" t="n"/>
      <c r="K280" s="33">
        <f>SUM(E280:I280)</f>
        <v/>
      </c>
      <c r="L280" s="33">
        <f>K280*D280</f>
        <v/>
      </c>
      <c r="M280" s="33">
        <f>K280*C280</f>
        <v/>
      </c>
      <c r="N280" s="7" t="n"/>
      <c r="O280" s="33">
        <f>N280*C280</f>
        <v/>
      </c>
      <c r="P280" s="7" t="n"/>
      <c r="Q280" s="7" t="n"/>
      <c r="R280" s="7" t="n"/>
      <c r="S280" s="33">
        <f>O280*L280</f>
        <v/>
      </c>
      <c r="Y280" s="33">
        <f>0.25*H280</f>
        <v/>
      </c>
      <c r="Z280" s="33">
        <f>Y280*O280</f>
        <v/>
      </c>
      <c r="AA280" s="81">
        <f>C280*H280</f>
        <v/>
      </c>
      <c r="AB280" s="81">
        <f>(P280-1)*O280*K280</f>
        <v/>
      </c>
    </row>
    <row r="281">
      <c r="A281" s="7" t="n"/>
      <c r="B281" s="7" t="n"/>
      <c r="C281" s="8" t="n"/>
      <c r="D281" s="33">
        <f>C281/$U$3</f>
        <v/>
      </c>
      <c r="E281" s="7" t="n"/>
      <c r="F281" s="7" t="n"/>
      <c r="G281" s="7" t="n"/>
      <c r="H281" s="7" t="n"/>
      <c r="I281" s="91" t="n"/>
      <c r="J281" s="7" t="n"/>
      <c r="K281" s="33">
        <f>SUM(E281:I281)</f>
        <v/>
      </c>
      <c r="L281" s="33">
        <f>K281*D281</f>
        <v/>
      </c>
      <c r="M281" s="33">
        <f>K281*C281</f>
        <v/>
      </c>
      <c r="N281" s="7" t="n"/>
      <c r="O281" s="33">
        <f>N281*C281</f>
        <v/>
      </c>
      <c r="P281" s="7" t="n"/>
      <c r="Q281" s="7" t="n"/>
      <c r="R281" s="7" t="n"/>
      <c r="S281" s="33">
        <f>O281*L281</f>
        <v/>
      </c>
      <c r="Y281" s="33">
        <f>0.25*H281</f>
        <v/>
      </c>
      <c r="Z281" s="33">
        <f>Y281*O281</f>
        <v/>
      </c>
      <c r="AA281" s="81">
        <f>C281*H281</f>
        <v/>
      </c>
      <c r="AB281" s="81">
        <f>(P281-1)*O281*K281</f>
        <v/>
      </c>
    </row>
    <row r="282">
      <c r="A282" s="7" t="n"/>
      <c r="B282" s="7" t="n"/>
      <c r="C282" s="8" t="n"/>
      <c r="D282" s="33">
        <f>C282/$U$3</f>
        <v/>
      </c>
      <c r="E282" s="7" t="n"/>
      <c r="F282" s="7" t="n"/>
      <c r="G282" s="7" t="n"/>
      <c r="H282" s="7" t="n"/>
      <c r="I282" s="91" t="n"/>
      <c r="J282" s="7" t="n"/>
      <c r="K282" s="33">
        <f>SUM(E282:I282)</f>
        <v/>
      </c>
      <c r="L282" s="33">
        <f>K282*D282</f>
        <v/>
      </c>
      <c r="M282" s="33">
        <f>K282*C282</f>
        <v/>
      </c>
      <c r="N282" s="7" t="n"/>
      <c r="O282" s="33">
        <f>N282*C282</f>
        <v/>
      </c>
      <c r="P282" s="7" t="n"/>
      <c r="Q282" s="7" t="n"/>
      <c r="R282" s="7" t="n"/>
      <c r="S282" s="33">
        <f>O282*L282</f>
        <v/>
      </c>
      <c r="Y282" s="33">
        <f>0.25*H282</f>
        <v/>
      </c>
      <c r="Z282" s="33">
        <f>Y282*O282</f>
        <v/>
      </c>
      <c r="AA282" s="81">
        <f>C282*H282</f>
        <v/>
      </c>
      <c r="AB282" s="81">
        <f>(P282-1)*O282*K282</f>
        <v/>
      </c>
    </row>
    <row r="283">
      <c r="A283" s="7" t="n"/>
      <c r="B283" s="7" t="n"/>
      <c r="C283" s="8" t="n"/>
      <c r="D283" s="33">
        <f>C283/$U$3</f>
        <v/>
      </c>
      <c r="E283" s="7" t="n"/>
      <c r="F283" s="7" t="n"/>
      <c r="G283" s="7" t="n"/>
      <c r="H283" s="7" t="n"/>
      <c r="I283" s="91" t="n"/>
      <c r="J283" s="7" t="n"/>
      <c r="K283" s="33">
        <f>SUM(E283:I283)</f>
        <v/>
      </c>
      <c r="L283" s="33">
        <f>K283*D283</f>
        <v/>
      </c>
      <c r="M283" s="33">
        <f>K283*C283</f>
        <v/>
      </c>
      <c r="N283" s="7" t="n"/>
      <c r="O283" s="33">
        <f>N283*C283</f>
        <v/>
      </c>
      <c r="P283" s="7" t="n"/>
      <c r="Q283" s="7" t="n"/>
      <c r="R283" s="7" t="n"/>
      <c r="S283" s="33">
        <f>O283*L283</f>
        <v/>
      </c>
      <c r="Y283" s="33">
        <f>0.25*H283</f>
        <v/>
      </c>
      <c r="Z283" s="33">
        <f>Y283*O283</f>
        <v/>
      </c>
      <c r="AA283" s="81">
        <f>C283*H283</f>
        <v/>
      </c>
      <c r="AB283" s="81">
        <f>(P283-1)*O283*K283</f>
        <v/>
      </c>
    </row>
    <row r="284">
      <c r="A284" s="7" t="n"/>
      <c r="B284" s="7" t="n"/>
      <c r="C284" s="8" t="n"/>
      <c r="D284" s="33">
        <f>C284/$U$3</f>
        <v/>
      </c>
      <c r="E284" s="7" t="n"/>
      <c r="F284" s="7" t="n"/>
      <c r="G284" s="7" t="n"/>
      <c r="H284" s="7" t="n"/>
      <c r="I284" s="91" t="n"/>
      <c r="J284" s="7" t="n"/>
      <c r="K284" s="33">
        <f>SUM(E284:I284)</f>
        <v/>
      </c>
      <c r="L284" s="33">
        <f>K284*D284</f>
        <v/>
      </c>
      <c r="M284" s="33">
        <f>K284*C284</f>
        <v/>
      </c>
      <c r="N284" s="7" t="n"/>
      <c r="O284" s="33">
        <f>N284*C284</f>
        <v/>
      </c>
      <c r="P284" s="7" t="n"/>
      <c r="Q284" s="7" t="n"/>
      <c r="R284" s="7" t="n"/>
      <c r="S284" s="33">
        <f>O284*L284</f>
        <v/>
      </c>
      <c r="Y284" s="33">
        <f>0.25*H284</f>
        <v/>
      </c>
      <c r="Z284" s="33">
        <f>Y284*O284</f>
        <v/>
      </c>
      <c r="AA284" s="81">
        <f>C284*H284</f>
        <v/>
      </c>
      <c r="AB284" s="81">
        <f>(P284-1)*O284*K284</f>
        <v/>
      </c>
    </row>
    <row r="285">
      <c r="A285" s="7" t="n"/>
      <c r="B285" s="7" t="n"/>
      <c r="C285" s="8" t="n"/>
      <c r="D285" s="33">
        <f>C285/$U$3</f>
        <v/>
      </c>
      <c r="E285" s="7" t="n"/>
      <c r="F285" s="7" t="n"/>
      <c r="G285" s="7" t="n"/>
      <c r="H285" s="7" t="n"/>
      <c r="I285" s="91" t="n"/>
      <c r="J285" s="7" t="n"/>
      <c r="K285" s="33">
        <f>SUM(E285:I285)</f>
        <v/>
      </c>
      <c r="L285" s="33">
        <f>K285*D285</f>
        <v/>
      </c>
      <c r="M285" s="33">
        <f>K285*C285</f>
        <v/>
      </c>
      <c r="N285" s="7" t="n"/>
      <c r="O285" s="33">
        <f>N285*C285</f>
        <v/>
      </c>
      <c r="P285" s="7" t="n"/>
      <c r="Q285" s="7" t="n"/>
      <c r="R285" s="7" t="n"/>
      <c r="S285" s="33">
        <f>O285*L285</f>
        <v/>
      </c>
      <c r="Y285" s="33">
        <f>0.25*H285</f>
        <v/>
      </c>
      <c r="Z285" s="33">
        <f>Y285*O285</f>
        <v/>
      </c>
      <c r="AA285" s="81">
        <f>C285*H285</f>
        <v/>
      </c>
      <c r="AB285" s="81">
        <f>(P285-1)*O285*K285</f>
        <v/>
      </c>
    </row>
    <row r="286">
      <c r="A286" s="7" t="n"/>
      <c r="B286" s="7" t="n"/>
      <c r="C286" s="8" t="n"/>
      <c r="D286" s="33">
        <f>C286/$U$3</f>
        <v/>
      </c>
      <c r="E286" s="7" t="n"/>
      <c r="F286" s="7" t="n"/>
      <c r="G286" s="7" t="n"/>
      <c r="H286" s="7" t="n"/>
      <c r="I286" s="91" t="n"/>
      <c r="J286" s="7" t="n"/>
      <c r="K286" s="33">
        <f>SUM(E286:I286)</f>
        <v/>
      </c>
      <c r="L286" s="33">
        <f>K286*D286</f>
        <v/>
      </c>
      <c r="M286" s="33">
        <f>K286*C286</f>
        <v/>
      </c>
      <c r="N286" s="7" t="n"/>
      <c r="O286" s="33">
        <f>N286*C286</f>
        <v/>
      </c>
      <c r="P286" s="7" t="n"/>
      <c r="Q286" s="7" t="n"/>
      <c r="R286" s="7" t="n"/>
      <c r="S286" s="33">
        <f>O286*L286</f>
        <v/>
      </c>
      <c r="Y286" s="33">
        <f>0.25*H286</f>
        <v/>
      </c>
      <c r="Z286" s="33">
        <f>Y286*O286</f>
        <v/>
      </c>
      <c r="AA286" s="81">
        <f>C286*H286</f>
        <v/>
      </c>
      <c r="AB286" s="81">
        <f>(P286-1)*O286*K286</f>
        <v/>
      </c>
    </row>
    <row r="287">
      <c r="A287" s="7" t="n"/>
      <c r="B287" s="7" t="n"/>
      <c r="C287" s="8" t="n"/>
      <c r="D287" s="33">
        <f>C287/$U$3</f>
        <v/>
      </c>
      <c r="E287" s="7" t="n"/>
      <c r="F287" s="7" t="n"/>
      <c r="G287" s="7" t="n"/>
      <c r="H287" s="7" t="n"/>
      <c r="I287" s="91" t="n"/>
      <c r="J287" s="7" t="n"/>
      <c r="K287" s="33">
        <f>SUM(E287:I287)</f>
        <v/>
      </c>
      <c r="L287" s="33">
        <f>K287*D287</f>
        <v/>
      </c>
      <c r="M287" s="33">
        <f>K287*C287</f>
        <v/>
      </c>
      <c r="N287" s="7" t="n"/>
      <c r="O287" s="33">
        <f>N287*C287</f>
        <v/>
      </c>
      <c r="P287" s="7" t="n"/>
      <c r="Q287" s="7" t="n"/>
      <c r="R287" s="7" t="n"/>
      <c r="S287" s="33">
        <f>O287*L287</f>
        <v/>
      </c>
      <c r="Y287" s="33">
        <f>0.25*H287</f>
        <v/>
      </c>
      <c r="Z287" s="33">
        <f>Y287*O287</f>
        <v/>
      </c>
      <c r="AA287" s="81">
        <f>C287*H287</f>
        <v/>
      </c>
      <c r="AB287" s="81">
        <f>(P287-1)*O287*K287</f>
        <v/>
      </c>
    </row>
    <row r="288">
      <c r="A288" s="7" t="n"/>
      <c r="B288" s="7" t="n"/>
      <c r="C288" s="8" t="n"/>
      <c r="D288" s="33">
        <f>C288/$U$3</f>
        <v/>
      </c>
      <c r="E288" s="7" t="n"/>
      <c r="F288" s="7" t="n"/>
      <c r="G288" s="7" t="n"/>
      <c r="H288" s="7" t="n"/>
      <c r="I288" s="91" t="n"/>
      <c r="J288" s="7" t="n"/>
      <c r="K288" s="33">
        <f>SUM(E288:I288)</f>
        <v/>
      </c>
      <c r="L288" s="33">
        <f>K288*D288</f>
        <v/>
      </c>
      <c r="M288" s="33">
        <f>K288*C288</f>
        <v/>
      </c>
      <c r="N288" s="7" t="n"/>
      <c r="O288" s="33">
        <f>N288*C288</f>
        <v/>
      </c>
      <c r="P288" s="7" t="n"/>
      <c r="Q288" s="7" t="n"/>
      <c r="R288" s="7" t="n"/>
      <c r="S288" s="33">
        <f>O288*L288</f>
        <v/>
      </c>
      <c r="Y288" s="33">
        <f>0.25*H288</f>
        <v/>
      </c>
      <c r="Z288" s="33">
        <f>Y288*O288</f>
        <v/>
      </c>
      <c r="AA288" s="81">
        <f>C288*H288</f>
        <v/>
      </c>
      <c r="AB288" s="81">
        <f>(P288-1)*O288*K288</f>
        <v/>
      </c>
    </row>
    <row r="289">
      <c r="A289" s="7" t="n"/>
      <c r="B289" s="7" t="n"/>
      <c r="C289" s="8" t="n"/>
      <c r="D289" s="33">
        <f>C289/$U$3</f>
        <v/>
      </c>
      <c r="E289" s="7" t="n"/>
      <c r="F289" s="7" t="n"/>
      <c r="G289" s="7" t="n"/>
      <c r="H289" s="7" t="n"/>
      <c r="I289" s="91" t="n"/>
      <c r="J289" s="7" t="n"/>
      <c r="K289" s="33">
        <f>SUM(E289:I289)</f>
        <v/>
      </c>
      <c r="L289" s="33">
        <f>K289*D289</f>
        <v/>
      </c>
      <c r="M289" s="33">
        <f>K289*C289</f>
        <v/>
      </c>
      <c r="N289" s="7" t="n"/>
      <c r="O289" s="33">
        <f>N289*C289</f>
        <v/>
      </c>
      <c r="P289" s="7" t="n"/>
      <c r="Q289" s="7" t="n"/>
      <c r="R289" s="7" t="n"/>
      <c r="S289" s="33">
        <f>O289*L289</f>
        <v/>
      </c>
      <c r="Y289" s="33">
        <f>0.25*H289</f>
        <v/>
      </c>
      <c r="Z289" s="33">
        <f>Y289*O289</f>
        <v/>
      </c>
      <c r="AA289" s="81">
        <f>C289*H289</f>
        <v/>
      </c>
      <c r="AB289" s="81">
        <f>(P289-1)*O289*K289</f>
        <v/>
      </c>
    </row>
    <row r="290">
      <c r="A290" s="7" t="n"/>
      <c r="B290" s="7" t="n"/>
      <c r="C290" s="8" t="n"/>
      <c r="D290" s="33">
        <f>C290/$U$3</f>
        <v/>
      </c>
      <c r="E290" s="7" t="n"/>
      <c r="F290" s="7" t="n"/>
      <c r="G290" s="7" t="n"/>
      <c r="H290" s="7" t="n"/>
      <c r="I290" s="91" t="n"/>
      <c r="J290" s="7" t="n"/>
      <c r="K290" s="33">
        <f>SUM(E290:I290)</f>
        <v/>
      </c>
      <c r="L290" s="33">
        <f>K290*D290</f>
        <v/>
      </c>
      <c r="M290" s="33">
        <f>K290*C290</f>
        <v/>
      </c>
      <c r="N290" s="7" t="n"/>
      <c r="O290" s="33">
        <f>N290*C290</f>
        <v/>
      </c>
      <c r="P290" s="7" t="n"/>
      <c r="Q290" s="7" t="n"/>
      <c r="R290" s="7" t="n"/>
      <c r="S290" s="33">
        <f>O290*L290</f>
        <v/>
      </c>
      <c r="Y290" s="33">
        <f>0.25*H290</f>
        <v/>
      </c>
      <c r="Z290" s="33">
        <f>Y290*O290</f>
        <v/>
      </c>
      <c r="AA290" s="81">
        <f>C290*H290</f>
        <v/>
      </c>
      <c r="AB290" s="81">
        <f>(P290-1)*O290*K290</f>
        <v/>
      </c>
    </row>
    <row r="291">
      <c r="A291" s="7" t="n"/>
      <c r="B291" s="7" t="n"/>
      <c r="C291" s="8" t="n"/>
      <c r="D291" s="33">
        <f>C291/$U$3</f>
        <v/>
      </c>
      <c r="E291" s="7" t="n"/>
      <c r="F291" s="7" t="n"/>
      <c r="G291" s="7" t="n"/>
      <c r="H291" s="7" t="n"/>
      <c r="I291" s="91" t="n"/>
      <c r="J291" s="7" t="n"/>
      <c r="K291" s="33">
        <f>SUM(E291:I291)</f>
        <v/>
      </c>
      <c r="L291" s="33">
        <f>K291*D291</f>
        <v/>
      </c>
      <c r="M291" s="33">
        <f>K291*C291</f>
        <v/>
      </c>
      <c r="N291" s="7" t="n"/>
      <c r="O291" s="33">
        <f>N291*C291</f>
        <v/>
      </c>
      <c r="P291" s="7" t="n"/>
      <c r="Q291" s="7" t="n"/>
      <c r="R291" s="7" t="n"/>
      <c r="S291" s="33">
        <f>O291*L291</f>
        <v/>
      </c>
      <c r="Y291" s="33">
        <f>0.25*H291</f>
        <v/>
      </c>
      <c r="Z291" s="33">
        <f>Y291*O291</f>
        <v/>
      </c>
      <c r="AA291" s="81">
        <f>C291*H291</f>
        <v/>
      </c>
      <c r="AB291" s="81">
        <f>(P291-1)*O291*K291</f>
        <v/>
      </c>
    </row>
    <row r="292">
      <c r="A292" s="7" t="n"/>
      <c r="B292" s="7" t="n"/>
      <c r="C292" s="8" t="n"/>
      <c r="D292" s="33">
        <f>C292/$U$3</f>
        <v/>
      </c>
      <c r="E292" s="7" t="n"/>
      <c r="F292" s="7" t="n"/>
      <c r="G292" s="7" t="n"/>
      <c r="H292" s="7" t="n"/>
      <c r="I292" s="91" t="n"/>
      <c r="J292" s="7" t="n"/>
      <c r="K292" s="33">
        <f>SUM(E292:I292)</f>
        <v/>
      </c>
      <c r="L292" s="33">
        <f>K292*D292</f>
        <v/>
      </c>
      <c r="M292" s="33">
        <f>K292*C292</f>
        <v/>
      </c>
      <c r="N292" s="7" t="n"/>
      <c r="O292" s="33">
        <f>N292*C292</f>
        <v/>
      </c>
      <c r="P292" s="7" t="n"/>
      <c r="Q292" s="7" t="n"/>
      <c r="R292" s="7" t="n"/>
      <c r="S292" s="33">
        <f>O292*L292</f>
        <v/>
      </c>
      <c r="Y292" s="33">
        <f>0.25*H292</f>
        <v/>
      </c>
      <c r="Z292" s="33">
        <f>Y292*O292</f>
        <v/>
      </c>
      <c r="AA292" s="81">
        <f>C292*H292</f>
        <v/>
      </c>
      <c r="AB292" s="81">
        <f>(P292-1)*O292*K292</f>
        <v/>
      </c>
    </row>
    <row r="293">
      <c r="A293" s="7" t="n"/>
      <c r="B293" s="7" t="n"/>
      <c r="C293" s="8" t="n"/>
      <c r="D293" s="33">
        <f>C293/$U$3</f>
        <v/>
      </c>
      <c r="E293" s="7" t="n"/>
      <c r="F293" s="7" t="n"/>
      <c r="G293" s="7" t="n"/>
      <c r="H293" s="7" t="n"/>
      <c r="I293" s="91" t="n"/>
      <c r="J293" s="7" t="n"/>
      <c r="K293" s="33">
        <f>SUM(E293:I293)</f>
        <v/>
      </c>
      <c r="L293" s="33">
        <f>K293*D293</f>
        <v/>
      </c>
      <c r="M293" s="33">
        <f>K293*C293</f>
        <v/>
      </c>
      <c r="N293" s="7" t="n"/>
      <c r="O293" s="33">
        <f>N293*C293</f>
        <v/>
      </c>
      <c r="P293" s="7" t="n"/>
      <c r="Q293" s="7" t="n"/>
      <c r="R293" s="7" t="n"/>
      <c r="S293" s="33">
        <f>O293*L293</f>
        <v/>
      </c>
      <c r="Y293" s="33">
        <f>0.25*H293</f>
        <v/>
      </c>
      <c r="Z293" s="33">
        <f>Y293*O293</f>
        <v/>
      </c>
      <c r="AA293" s="81">
        <f>C293*H293</f>
        <v/>
      </c>
      <c r="AB293" s="81">
        <f>(P293-1)*O293*K293</f>
        <v/>
      </c>
    </row>
    <row r="294">
      <c r="A294" s="7" t="n"/>
      <c r="B294" s="7" t="n"/>
      <c r="C294" s="8" t="n"/>
      <c r="D294" s="33">
        <f>C294/$U$3</f>
        <v/>
      </c>
      <c r="E294" s="7" t="n"/>
      <c r="F294" s="7" t="n"/>
      <c r="G294" s="7" t="n"/>
      <c r="H294" s="7" t="n"/>
      <c r="I294" s="91" t="n"/>
      <c r="J294" s="7" t="n"/>
      <c r="K294" s="33">
        <f>SUM(E294:I294)</f>
        <v/>
      </c>
      <c r="L294" s="33">
        <f>K294*D294</f>
        <v/>
      </c>
      <c r="M294" s="33">
        <f>K294*C294</f>
        <v/>
      </c>
      <c r="N294" s="7" t="n"/>
      <c r="O294" s="33">
        <f>N294*C294</f>
        <v/>
      </c>
      <c r="P294" s="7" t="n"/>
      <c r="Q294" s="7" t="n"/>
      <c r="R294" s="7" t="n"/>
      <c r="S294" s="33">
        <f>O294*L294</f>
        <v/>
      </c>
      <c r="Y294" s="33">
        <f>0.25*H294</f>
        <v/>
      </c>
      <c r="Z294" s="33">
        <f>Y294*O294</f>
        <v/>
      </c>
      <c r="AA294" s="81">
        <f>C294*H294</f>
        <v/>
      </c>
      <c r="AB294" s="81">
        <f>(P294-1)*O294*K294</f>
        <v/>
      </c>
    </row>
    <row r="295">
      <c r="A295" s="7" t="n"/>
      <c r="B295" s="7" t="n"/>
      <c r="C295" s="8" t="n"/>
      <c r="D295" s="33">
        <f>C295/$U$3</f>
        <v/>
      </c>
      <c r="E295" s="7" t="n"/>
      <c r="F295" s="7" t="n"/>
      <c r="G295" s="7" t="n"/>
      <c r="H295" s="7" t="n"/>
      <c r="I295" s="91" t="n"/>
      <c r="J295" s="7" t="n"/>
      <c r="K295" s="33">
        <f>SUM(E295:I295)</f>
        <v/>
      </c>
      <c r="L295" s="33">
        <f>K295*D295</f>
        <v/>
      </c>
      <c r="M295" s="33">
        <f>K295*C295</f>
        <v/>
      </c>
      <c r="N295" s="7" t="n"/>
      <c r="O295" s="33">
        <f>N295*C295</f>
        <v/>
      </c>
      <c r="P295" s="7" t="n"/>
      <c r="Q295" s="7" t="n"/>
      <c r="R295" s="7" t="n"/>
      <c r="S295" s="33">
        <f>O295*L295</f>
        <v/>
      </c>
      <c r="Y295" s="33">
        <f>0.25*H295</f>
        <v/>
      </c>
      <c r="Z295" s="33">
        <f>Y295*O295</f>
        <v/>
      </c>
      <c r="AA295" s="81">
        <f>C295*H295</f>
        <v/>
      </c>
      <c r="AB295" s="81">
        <f>(P295-1)*O295*K295</f>
        <v/>
      </c>
    </row>
    <row r="296">
      <c r="A296" s="7" t="n"/>
      <c r="B296" s="7" t="n"/>
      <c r="C296" s="8" t="n"/>
      <c r="D296" s="33">
        <f>C296/$U$3</f>
        <v/>
      </c>
      <c r="E296" s="7" t="n"/>
      <c r="F296" s="7" t="n"/>
      <c r="G296" s="7" t="n"/>
      <c r="H296" s="7" t="n"/>
      <c r="I296" s="91" t="n"/>
      <c r="J296" s="7" t="n"/>
      <c r="K296" s="33">
        <f>SUM(E296:I296)</f>
        <v/>
      </c>
      <c r="L296" s="33">
        <f>K296*D296</f>
        <v/>
      </c>
      <c r="M296" s="33">
        <f>K296*C296</f>
        <v/>
      </c>
      <c r="N296" s="7" t="n"/>
      <c r="O296" s="33">
        <f>N296*C296</f>
        <v/>
      </c>
      <c r="P296" s="7" t="n"/>
      <c r="Q296" s="7" t="n"/>
      <c r="R296" s="7" t="n"/>
      <c r="S296" s="33">
        <f>O296*L296</f>
        <v/>
      </c>
      <c r="Y296" s="33">
        <f>0.25*H296</f>
        <v/>
      </c>
      <c r="Z296" s="33">
        <f>Y296*O296</f>
        <v/>
      </c>
      <c r="AA296" s="81">
        <f>C296*H296</f>
        <v/>
      </c>
      <c r="AB296" s="81">
        <f>(P296-1)*O296*K296</f>
        <v/>
      </c>
    </row>
    <row r="297">
      <c r="A297" s="7" t="n"/>
      <c r="B297" s="7" t="n"/>
      <c r="C297" s="8" t="n"/>
      <c r="D297" s="33">
        <f>C297/$U$3</f>
        <v/>
      </c>
      <c r="E297" s="7" t="n"/>
      <c r="F297" s="7" t="n"/>
      <c r="G297" s="7" t="n"/>
      <c r="H297" s="7" t="n"/>
      <c r="I297" s="91" t="n"/>
      <c r="J297" s="7" t="n"/>
      <c r="K297" s="33">
        <f>SUM(E297:I297)</f>
        <v/>
      </c>
      <c r="L297" s="33">
        <f>K297*D297</f>
        <v/>
      </c>
      <c r="M297" s="33">
        <f>K297*C297</f>
        <v/>
      </c>
      <c r="N297" s="7" t="n"/>
      <c r="O297" s="33">
        <f>N297*C297</f>
        <v/>
      </c>
      <c r="P297" s="7" t="n"/>
      <c r="Q297" s="7" t="n"/>
      <c r="R297" s="7" t="n"/>
      <c r="S297" s="33">
        <f>O297*L297</f>
        <v/>
      </c>
      <c r="Y297" s="33">
        <f>0.25*H297</f>
        <v/>
      </c>
      <c r="Z297" s="33">
        <f>Y297*O297</f>
        <v/>
      </c>
      <c r="AA297" s="81">
        <f>C297*H297</f>
        <v/>
      </c>
      <c r="AB297" s="81">
        <f>(P297-1)*O297*K297</f>
        <v/>
      </c>
    </row>
    <row r="298">
      <c r="A298" s="7" t="n"/>
      <c r="B298" s="7" t="n"/>
      <c r="C298" s="8" t="n"/>
      <c r="D298" s="33">
        <f>C298/$U$3</f>
        <v/>
      </c>
      <c r="E298" s="7" t="n"/>
      <c r="F298" s="7" t="n"/>
      <c r="G298" s="7" t="n"/>
      <c r="H298" s="7" t="n"/>
      <c r="I298" s="91" t="n"/>
      <c r="J298" s="7" t="n"/>
      <c r="K298" s="33">
        <f>SUM(E298:I298)</f>
        <v/>
      </c>
      <c r="L298" s="33">
        <f>K298*D298</f>
        <v/>
      </c>
      <c r="M298" s="33">
        <f>K298*C298</f>
        <v/>
      </c>
      <c r="N298" s="7" t="n"/>
      <c r="O298" s="33">
        <f>N298*C298</f>
        <v/>
      </c>
      <c r="P298" s="7" t="n"/>
      <c r="Q298" s="7" t="n"/>
      <c r="R298" s="7" t="n"/>
      <c r="S298" s="33">
        <f>O298*L298</f>
        <v/>
      </c>
      <c r="Y298" s="33">
        <f>0.25*H298</f>
        <v/>
      </c>
      <c r="Z298" s="33">
        <f>Y298*O298</f>
        <v/>
      </c>
      <c r="AA298" s="81">
        <f>C298*H298</f>
        <v/>
      </c>
      <c r="AB298" s="81">
        <f>(P298-1)*O298*K298</f>
        <v/>
      </c>
    </row>
    <row r="299">
      <c r="A299" s="7" t="n"/>
      <c r="B299" s="7" t="n"/>
      <c r="C299" s="8" t="n"/>
      <c r="D299" s="33">
        <f>C299/$U$3</f>
        <v/>
      </c>
      <c r="E299" s="7" t="n"/>
      <c r="F299" s="7" t="n"/>
      <c r="G299" s="7" t="n"/>
      <c r="H299" s="7" t="n"/>
      <c r="I299" s="91" t="n"/>
      <c r="J299" s="7" t="n"/>
      <c r="K299" s="33">
        <f>SUM(E299:I299)</f>
        <v/>
      </c>
      <c r="L299" s="33">
        <f>K299*D299</f>
        <v/>
      </c>
      <c r="M299" s="33">
        <f>K299*C299</f>
        <v/>
      </c>
      <c r="N299" s="7" t="n"/>
      <c r="O299" s="33">
        <f>N299*C299</f>
        <v/>
      </c>
      <c r="P299" s="7" t="n"/>
      <c r="Q299" s="7" t="n"/>
      <c r="R299" s="7" t="n"/>
      <c r="S299" s="33">
        <f>O299*L299</f>
        <v/>
      </c>
      <c r="Y299" s="33">
        <f>0.25*H299</f>
        <v/>
      </c>
      <c r="Z299" s="33">
        <f>Y299*O299</f>
        <v/>
      </c>
      <c r="AA299" s="81">
        <f>C299*H299</f>
        <v/>
      </c>
      <c r="AB299" s="81">
        <f>(P299-1)*O299*K299</f>
        <v/>
      </c>
    </row>
    <row r="300">
      <c r="A300" s="7" t="n"/>
      <c r="B300" s="7" t="n"/>
      <c r="C300" s="8" t="n"/>
      <c r="D300" s="33">
        <f>C300/$U$3</f>
        <v/>
      </c>
      <c r="E300" s="7" t="n"/>
      <c r="F300" s="7" t="n"/>
      <c r="G300" s="7" t="n"/>
      <c r="H300" s="7" t="n"/>
      <c r="I300" s="91" t="n"/>
      <c r="J300" s="7" t="n"/>
      <c r="K300" s="33">
        <f>SUM(E300:I300)</f>
        <v/>
      </c>
      <c r="L300" s="33">
        <f>K300*D300</f>
        <v/>
      </c>
      <c r="M300" s="33">
        <f>K300*C300</f>
        <v/>
      </c>
      <c r="N300" s="7" t="n"/>
      <c r="O300" s="33">
        <f>N300*C300</f>
        <v/>
      </c>
      <c r="P300" s="7" t="n"/>
      <c r="Q300" s="7" t="n"/>
      <c r="R300" s="7" t="n"/>
      <c r="S300" s="33">
        <f>O300*L300</f>
        <v/>
      </c>
      <c r="Y300" s="33">
        <f>0.25*H300</f>
        <v/>
      </c>
      <c r="Z300" s="33">
        <f>Y300*O300</f>
        <v/>
      </c>
      <c r="AA300" s="81">
        <f>C300*H300</f>
        <v/>
      </c>
      <c r="AB300" s="81">
        <f>(P300-1)*O300*K300</f>
        <v/>
      </c>
    </row>
    <row r="301">
      <c r="A301" s="7" t="n"/>
      <c r="B301" s="7" t="n"/>
      <c r="C301" s="8" t="n"/>
      <c r="D301" s="33">
        <f>C301/$U$3</f>
        <v/>
      </c>
      <c r="E301" s="7" t="n"/>
      <c r="F301" s="7" t="n"/>
      <c r="G301" s="7" t="n"/>
      <c r="H301" s="7" t="n"/>
      <c r="I301" s="91" t="n"/>
      <c r="J301" s="7" t="n"/>
      <c r="K301" s="33">
        <f>SUM(E301:I301)</f>
        <v/>
      </c>
      <c r="L301" s="33">
        <f>K301*D301</f>
        <v/>
      </c>
      <c r="M301" s="33">
        <f>K301*C301</f>
        <v/>
      </c>
      <c r="N301" s="7" t="n"/>
      <c r="O301" s="33">
        <f>N301*C301</f>
        <v/>
      </c>
      <c r="P301" s="7" t="n"/>
      <c r="Q301" s="7" t="n"/>
      <c r="R301" s="7" t="n"/>
      <c r="S301" s="33">
        <f>O301*L301</f>
        <v/>
      </c>
      <c r="Y301" s="33">
        <f>0.25*H301</f>
        <v/>
      </c>
      <c r="Z301" s="33">
        <f>Y301*O301</f>
        <v/>
      </c>
      <c r="AA301" s="81">
        <f>C301*H301</f>
        <v/>
      </c>
      <c r="AB301" s="81">
        <f>(P301-1)*O301*K301</f>
        <v/>
      </c>
    </row>
    <row r="302">
      <c r="A302" s="7" t="n"/>
      <c r="B302" s="7" t="n"/>
      <c r="C302" s="8" t="n"/>
      <c r="D302" s="33">
        <f>C302/$U$3</f>
        <v/>
      </c>
      <c r="E302" s="7" t="n"/>
      <c r="F302" s="7" t="n"/>
      <c r="G302" s="7" t="n"/>
      <c r="H302" s="7" t="n"/>
      <c r="I302" s="91" t="n"/>
      <c r="J302" s="7" t="n"/>
      <c r="K302" s="33">
        <f>SUM(E302:I302)</f>
        <v/>
      </c>
      <c r="L302" s="33">
        <f>K302*D302</f>
        <v/>
      </c>
      <c r="M302" s="33">
        <f>K302*C302</f>
        <v/>
      </c>
      <c r="N302" s="7" t="n"/>
      <c r="O302" s="33">
        <f>N302*C302</f>
        <v/>
      </c>
      <c r="P302" s="7" t="n"/>
      <c r="Q302" s="7" t="n"/>
      <c r="R302" s="7" t="n"/>
      <c r="S302" s="33">
        <f>O302*L302</f>
        <v/>
      </c>
      <c r="Y302" s="33">
        <f>0.25*H302</f>
        <v/>
      </c>
      <c r="Z302" s="33">
        <f>Y302*O302</f>
        <v/>
      </c>
      <c r="AA302" s="81">
        <f>C302*H302</f>
        <v/>
      </c>
      <c r="AB302" s="81">
        <f>(P302-1)*O302*K302</f>
        <v/>
      </c>
    </row>
    <row r="303">
      <c r="A303" s="7" t="n"/>
      <c r="B303" s="7" t="n"/>
      <c r="C303" s="8" t="n"/>
      <c r="D303" s="33">
        <f>C303/$U$3</f>
        <v/>
      </c>
      <c r="E303" s="7" t="n"/>
      <c r="F303" s="7" t="n"/>
      <c r="G303" s="7" t="n"/>
      <c r="H303" s="7" t="n"/>
      <c r="I303" s="91" t="n"/>
      <c r="J303" s="7" t="n"/>
      <c r="K303" s="33">
        <f>SUM(E303:I303)</f>
        <v/>
      </c>
      <c r="L303" s="33">
        <f>K303*D303</f>
        <v/>
      </c>
      <c r="M303" s="33">
        <f>K303*C303</f>
        <v/>
      </c>
      <c r="N303" s="7" t="n"/>
      <c r="O303" s="33">
        <f>N303*C303</f>
        <v/>
      </c>
      <c r="P303" s="7" t="n"/>
      <c r="Q303" s="7" t="n"/>
      <c r="R303" s="7" t="n"/>
      <c r="S303" s="33">
        <f>O303*L303</f>
        <v/>
      </c>
      <c r="Y303" s="33">
        <f>0.25*H303</f>
        <v/>
      </c>
      <c r="Z303" s="33">
        <f>Y303*O303</f>
        <v/>
      </c>
      <c r="AA303" s="81">
        <f>C303*H303</f>
        <v/>
      </c>
      <c r="AB303" s="81">
        <f>(P303-1)*O303*K303</f>
        <v/>
      </c>
    </row>
    <row r="304">
      <c r="A304" s="7" t="n"/>
      <c r="B304" s="7" t="n"/>
      <c r="C304" s="8" t="n"/>
      <c r="D304" s="33">
        <f>C304/$U$3</f>
        <v/>
      </c>
      <c r="E304" s="7" t="n"/>
      <c r="F304" s="7" t="n"/>
      <c r="G304" s="7" t="n"/>
      <c r="H304" s="7" t="n"/>
      <c r="I304" s="91" t="n"/>
      <c r="J304" s="7" t="n"/>
      <c r="K304" s="33">
        <f>SUM(E304:I304)</f>
        <v/>
      </c>
      <c r="L304" s="33">
        <f>K304*D304</f>
        <v/>
      </c>
      <c r="M304" s="33">
        <f>K304*C304</f>
        <v/>
      </c>
      <c r="N304" s="7" t="n"/>
      <c r="O304" s="33">
        <f>N304*C304</f>
        <v/>
      </c>
      <c r="P304" s="7" t="n"/>
      <c r="Q304" s="7" t="n"/>
      <c r="R304" s="7" t="n"/>
      <c r="S304" s="33">
        <f>O304*L304</f>
        <v/>
      </c>
      <c r="Y304" s="33">
        <f>0.25*H304</f>
        <v/>
      </c>
      <c r="Z304" s="33">
        <f>Y304*O304</f>
        <v/>
      </c>
      <c r="AA304" s="81">
        <f>C304*H304</f>
        <v/>
      </c>
      <c r="AB304" s="81">
        <f>(P304-1)*O304*K304</f>
        <v/>
      </c>
    </row>
    <row r="305">
      <c r="A305" s="7" t="n"/>
      <c r="B305" s="7" t="n"/>
      <c r="C305" s="8" t="n"/>
      <c r="D305" s="33">
        <f>C305/$U$3</f>
        <v/>
      </c>
      <c r="E305" s="7" t="n"/>
      <c r="F305" s="7" t="n"/>
      <c r="G305" s="7" t="n"/>
      <c r="H305" s="7" t="n"/>
      <c r="I305" s="91" t="n"/>
      <c r="J305" s="7" t="n"/>
      <c r="K305" s="33">
        <f>SUM(E305:I305)</f>
        <v/>
      </c>
      <c r="L305" s="33">
        <f>K305*D305</f>
        <v/>
      </c>
      <c r="M305" s="33">
        <f>K305*C305</f>
        <v/>
      </c>
      <c r="N305" s="7" t="n"/>
      <c r="O305" s="33">
        <f>N305*C305</f>
        <v/>
      </c>
      <c r="P305" s="7" t="n"/>
      <c r="Q305" s="7" t="n"/>
      <c r="R305" s="7" t="n"/>
      <c r="S305" s="33">
        <f>O305*L305</f>
        <v/>
      </c>
      <c r="Y305" s="33">
        <f>0.25*H305</f>
        <v/>
      </c>
      <c r="Z305" s="33">
        <f>Y305*O305</f>
        <v/>
      </c>
      <c r="AA305" s="81">
        <f>C305*H305</f>
        <v/>
      </c>
      <c r="AB305" s="81">
        <f>(P305-1)*O305*K305</f>
        <v/>
      </c>
    </row>
    <row r="306">
      <c r="A306" s="7" t="n"/>
      <c r="B306" s="7" t="n"/>
      <c r="C306" s="8" t="n"/>
      <c r="D306" s="33">
        <f>C306/$U$3</f>
        <v/>
      </c>
      <c r="E306" s="7" t="n"/>
      <c r="F306" s="7" t="n"/>
      <c r="G306" s="7" t="n"/>
      <c r="H306" s="7" t="n"/>
      <c r="I306" s="91" t="n"/>
      <c r="J306" s="7" t="n"/>
      <c r="K306" s="33">
        <f>SUM(E306:I306)</f>
        <v/>
      </c>
      <c r="L306" s="33">
        <f>K306*D306</f>
        <v/>
      </c>
      <c r="M306" s="33">
        <f>K306*C306</f>
        <v/>
      </c>
      <c r="N306" s="7" t="n"/>
      <c r="O306" s="33">
        <f>N306*C306</f>
        <v/>
      </c>
      <c r="P306" s="7" t="n"/>
      <c r="Q306" s="7" t="n"/>
      <c r="R306" s="7" t="n"/>
      <c r="S306" s="33">
        <f>O306*L306</f>
        <v/>
      </c>
      <c r="Y306" s="33">
        <f>0.25*H306</f>
        <v/>
      </c>
      <c r="Z306" s="33">
        <f>Y306*O306</f>
        <v/>
      </c>
      <c r="AA306" s="81">
        <f>C306*H306</f>
        <v/>
      </c>
      <c r="AB306" s="81">
        <f>(P306-1)*O306*K306</f>
        <v/>
      </c>
    </row>
    <row r="307">
      <c r="A307" s="7" t="n"/>
      <c r="B307" s="7" t="n"/>
      <c r="C307" s="8" t="n"/>
      <c r="D307" s="33">
        <f>C307/$U$3</f>
        <v/>
      </c>
      <c r="E307" s="7" t="n"/>
      <c r="F307" s="7" t="n"/>
      <c r="G307" s="7" t="n"/>
      <c r="H307" s="7" t="n"/>
      <c r="I307" s="91" t="n"/>
      <c r="J307" s="7" t="n"/>
      <c r="K307" s="33">
        <f>SUM(E307:I307)</f>
        <v/>
      </c>
      <c r="L307" s="33">
        <f>K307*D307</f>
        <v/>
      </c>
      <c r="M307" s="33">
        <f>K307*C307</f>
        <v/>
      </c>
      <c r="N307" s="7" t="n"/>
      <c r="O307" s="33">
        <f>N307*C307</f>
        <v/>
      </c>
      <c r="P307" s="7" t="n"/>
      <c r="Q307" s="7" t="n"/>
      <c r="R307" s="7" t="n"/>
      <c r="S307" s="33">
        <f>O307*L307</f>
        <v/>
      </c>
      <c r="Y307" s="33">
        <f>0.25*H307</f>
        <v/>
      </c>
      <c r="Z307" s="33">
        <f>Y307*O307</f>
        <v/>
      </c>
      <c r="AA307" s="81">
        <f>C307*H307</f>
        <v/>
      </c>
      <c r="AB307" s="81">
        <f>(P307-1)*O307*K307</f>
        <v/>
      </c>
    </row>
    <row r="308">
      <c r="A308" s="7" t="n"/>
      <c r="B308" s="7" t="n"/>
      <c r="C308" s="8" t="n"/>
      <c r="D308" s="33">
        <f>C308/$U$3</f>
        <v/>
      </c>
      <c r="E308" s="7" t="n"/>
      <c r="F308" s="7" t="n"/>
      <c r="G308" s="7" t="n"/>
      <c r="H308" s="7" t="n"/>
      <c r="I308" s="91" t="n"/>
      <c r="J308" s="7" t="n"/>
      <c r="K308" s="33">
        <f>SUM(E308:I308)</f>
        <v/>
      </c>
      <c r="L308" s="33">
        <f>K308*D308</f>
        <v/>
      </c>
      <c r="M308" s="33">
        <f>K308*C308</f>
        <v/>
      </c>
      <c r="N308" s="7" t="n"/>
      <c r="O308" s="33">
        <f>N308*C308</f>
        <v/>
      </c>
      <c r="P308" s="7" t="n"/>
      <c r="Q308" s="7" t="n"/>
      <c r="R308" s="7" t="n"/>
      <c r="S308" s="33">
        <f>O308*L308</f>
        <v/>
      </c>
      <c r="Y308" s="33">
        <f>0.25*H308</f>
        <v/>
      </c>
      <c r="Z308" s="33">
        <f>Y308*O308</f>
        <v/>
      </c>
      <c r="AA308" s="81">
        <f>C308*H308</f>
        <v/>
      </c>
      <c r="AB308" s="81">
        <f>(P308-1)*O308*K308</f>
        <v/>
      </c>
    </row>
    <row r="309">
      <c r="A309" s="7" t="n"/>
      <c r="B309" s="7" t="n"/>
      <c r="C309" s="8" t="n"/>
      <c r="D309" s="33">
        <f>C309/$U$3</f>
        <v/>
      </c>
      <c r="E309" s="7" t="n"/>
      <c r="F309" s="7" t="n"/>
      <c r="G309" s="7" t="n"/>
      <c r="H309" s="7" t="n"/>
      <c r="I309" s="91" t="n"/>
      <c r="J309" s="7" t="n"/>
      <c r="K309" s="33">
        <f>SUM(E309:I309)</f>
        <v/>
      </c>
      <c r="L309" s="33">
        <f>K309*D309</f>
        <v/>
      </c>
      <c r="M309" s="33">
        <f>K309*C309</f>
        <v/>
      </c>
      <c r="N309" s="7" t="n"/>
      <c r="O309" s="33">
        <f>N309*C309</f>
        <v/>
      </c>
      <c r="P309" s="7" t="n"/>
      <c r="Q309" s="7" t="n"/>
      <c r="R309" s="7" t="n"/>
      <c r="S309" s="33">
        <f>O309*L309</f>
        <v/>
      </c>
      <c r="Y309" s="33">
        <f>0.25*H309</f>
        <v/>
      </c>
      <c r="Z309" s="33">
        <f>Y309*O309</f>
        <v/>
      </c>
      <c r="AA309" s="81">
        <f>C309*H309</f>
        <v/>
      </c>
      <c r="AB309" s="81">
        <f>(P309-1)*O309*K309</f>
        <v/>
      </c>
    </row>
    <row r="310">
      <c r="A310" s="7" t="n"/>
      <c r="B310" s="7" t="n"/>
      <c r="C310" s="8" t="n"/>
      <c r="D310" s="33">
        <f>C310/$U$3</f>
        <v/>
      </c>
      <c r="E310" s="7" t="n"/>
      <c r="F310" s="7" t="n"/>
      <c r="G310" s="7" t="n"/>
      <c r="H310" s="7" t="n"/>
      <c r="I310" s="91" t="n"/>
      <c r="J310" s="7" t="n"/>
      <c r="K310" s="33">
        <f>SUM(E310:I310)</f>
        <v/>
      </c>
      <c r="L310" s="33">
        <f>K310*D310</f>
        <v/>
      </c>
      <c r="M310" s="33">
        <f>K310*C310</f>
        <v/>
      </c>
      <c r="N310" s="7" t="n"/>
      <c r="O310" s="33">
        <f>N310*C310</f>
        <v/>
      </c>
      <c r="P310" s="7" t="n"/>
      <c r="Q310" s="7" t="n"/>
      <c r="R310" s="7" t="n"/>
      <c r="S310" s="33">
        <f>O310*L310</f>
        <v/>
      </c>
      <c r="Y310" s="33">
        <f>0.25*H310</f>
        <v/>
      </c>
      <c r="Z310" s="33">
        <f>Y310*O310</f>
        <v/>
      </c>
      <c r="AA310" s="81">
        <f>C310*H310</f>
        <v/>
      </c>
      <c r="AB310" s="81">
        <f>(P310-1)*O310*K310</f>
        <v/>
      </c>
    </row>
    <row r="311">
      <c r="A311" s="7" t="n"/>
      <c r="B311" s="7" t="n"/>
      <c r="C311" s="8" t="n"/>
      <c r="D311" s="33">
        <f>C311/$U$3</f>
        <v/>
      </c>
      <c r="E311" s="7" t="n"/>
      <c r="F311" s="7" t="n"/>
      <c r="G311" s="7" t="n"/>
      <c r="H311" s="7" t="n"/>
      <c r="I311" s="91" t="n"/>
      <c r="J311" s="7" t="n"/>
      <c r="K311" s="33">
        <f>SUM(E311:I311)</f>
        <v/>
      </c>
      <c r="L311" s="33">
        <f>K311*D311</f>
        <v/>
      </c>
      <c r="M311" s="33">
        <f>K311*C311</f>
        <v/>
      </c>
      <c r="N311" s="7" t="n"/>
      <c r="O311" s="33">
        <f>N311*C311</f>
        <v/>
      </c>
      <c r="P311" s="7" t="n"/>
      <c r="Q311" s="7" t="n"/>
      <c r="R311" s="7" t="n"/>
      <c r="S311" s="33">
        <f>O311*L311</f>
        <v/>
      </c>
      <c r="Y311" s="33">
        <f>0.25*H311</f>
        <v/>
      </c>
      <c r="Z311" s="33">
        <f>Y311*O311</f>
        <v/>
      </c>
      <c r="AA311" s="81">
        <f>C311*H311</f>
        <v/>
      </c>
      <c r="AB311" s="81">
        <f>(P311-1)*O311*K311</f>
        <v/>
      </c>
    </row>
    <row r="312">
      <c r="A312" s="7" t="n"/>
      <c r="B312" s="7" t="n"/>
      <c r="C312" s="8" t="n"/>
      <c r="D312" s="33">
        <f>C312/$U$3</f>
        <v/>
      </c>
      <c r="E312" s="7" t="n"/>
      <c r="F312" s="7" t="n"/>
      <c r="G312" s="7" t="n"/>
      <c r="H312" s="7" t="n"/>
      <c r="I312" s="91" t="n"/>
      <c r="J312" s="7" t="n"/>
      <c r="K312" s="33">
        <f>SUM(E312:I312)</f>
        <v/>
      </c>
      <c r="L312" s="33">
        <f>K312*D312</f>
        <v/>
      </c>
      <c r="M312" s="33">
        <f>K312*C312</f>
        <v/>
      </c>
      <c r="N312" s="7" t="n"/>
      <c r="O312" s="33">
        <f>N312*C312</f>
        <v/>
      </c>
      <c r="P312" s="7" t="n"/>
      <c r="Q312" s="7" t="n"/>
      <c r="R312" s="7" t="n"/>
      <c r="S312" s="33">
        <f>O312*L312</f>
        <v/>
      </c>
      <c r="Y312" s="33">
        <f>0.25*H312</f>
        <v/>
      </c>
      <c r="Z312" s="33">
        <f>Y312*O312</f>
        <v/>
      </c>
      <c r="AA312" s="81">
        <f>C312*H312</f>
        <v/>
      </c>
      <c r="AB312" s="81">
        <f>(P312-1)*O312*K312</f>
        <v/>
      </c>
    </row>
    <row r="313">
      <c r="A313" s="7" t="n"/>
      <c r="B313" s="7" t="n"/>
      <c r="C313" s="8" t="n"/>
      <c r="D313" s="33">
        <f>C313/$U$3</f>
        <v/>
      </c>
      <c r="E313" s="7" t="n"/>
      <c r="F313" s="7" t="n"/>
      <c r="G313" s="7" t="n"/>
      <c r="H313" s="7" t="n"/>
      <c r="I313" s="91" t="n"/>
      <c r="J313" s="7" t="n"/>
      <c r="K313" s="33">
        <f>SUM(E313:I313)</f>
        <v/>
      </c>
      <c r="L313" s="33">
        <f>K313*D313</f>
        <v/>
      </c>
      <c r="M313" s="33">
        <f>K313*C313</f>
        <v/>
      </c>
      <c r="N313" s="7" t="n"/>
      <c r="O313" s="33">
        <f>N313*C313</f>
        <v/>
      </c>
      <c r="P313" s="7" t="n"/>
      <c r="Q313" s="7" t="n"/>
      <c r="R313" s="7" t="n"/>
      <c r="S313" s="33">
        <f>O313*L313</f>
        <v/>
      </c>
      <c r="Y313" s="33">
        <f>0.25*H313</f>
        <v/>
      </c>
      <c r="Z313" s="33">
        <f>Y313*O313</f>
        <v/>
      </c>
      <c r="AA313" s="81">
        <f>C313*H313</f>
        <v/>
      </c>
      <c r="AB313" s="81">
        <f>(P313-1)*O313*K313</f>
        <v/>
      </c>
    </row>
    <row r="314">
      <c r="A314" s="7" t="n"/>
      <c r="B314" s="7" t="n"/>
      <c r="C314" s="8" t="n"/>
      <c r="D314" s="33">
        <f>C314/$U$3</f>
        <v/>
      </c>
      <c r="E314" s="7" t="n"/>
      <c r="F314" s="7" t="n"/>
      <c r="G314" s="7" t="n"/>
      <c r="H314" s="7" t="n"/>
      <c r="I314" s="91" t="n"/>
      <c r="J314" s="7" t="n"/>
      <c r="K314" s="33">
        <f>SUM(E314:I314)</f>
        <v/>
      </c>
      <c r="L314" s="33">
        <f>K314*D314</f>
        <v/>
      </c>
      <c r="M314" s="33">
        <f>K314*C314</f>
        <v/>
      </c>
      <c r="N314" s="7" t="n"/>
      <c r="O314" s="33">
        <f>N314*C314</f>
        <v/>
      </c>
      <c r="P314" s="7" t="n"/>
      <c r="Q314" s="7" t="n"/>
      <c r="R314" s="7" t="n"/>
      <c r="S314" s="33">
        <f>O314*L314</f>
        <v/>
      </c>
      <c r="Y314" s="33">
        <f>0.25*H314</f>
        <v/>
      </c>
      <c r="Z314" s="33">
        <f>Y314*O314</f>
        <v/>
      </c>
      <c r="AA314" s="81">
        <f>C314*H314</f>
        <v/>
      </c>
      <c r="AB314" s="81">
        <f>(P314-1)*O314*K314</f>
        <v/>
      </c>
    </row>
    <row r="315">
      <c r="A315" s="7" t="n"/>
      <c r="B315" s="7" t="n"/>
      <c r="C315" s="8" t="n"/>
      <c r="D315" s="33">
        <f>C315/$U$3</f>
        <v/>
      </c>
      <c r="E315" s="7" t="n"/>
      <c r="F315" s="7" t="n"/>
      <c r="G315" s="7" t="n"/>
      <c r="H315" s="7" t="n"/>
      <c r="I315" s="91" t="n"/>
      <c r="J315" s="7" t="n"/>
      <c r="K315" s="33">
        <f>SUM(E315:I315)</f>
        <v/>
      </c>
      <c r="L315" s="33">
        <f>K315*D315</f>
        <v/>
      </c>
      <c r="M315" s="33">
        <f>K315*C315</f>
        <v/>
      </c>
      <c r="N315" s="7" t="n"/>
      <c r="O315" s="33">
        <f>N315*C315</f>
        <v/>
      </c>
      <c r="P315" s="7" t="n"/>
      <c r="Q315" s="7" t="n"/>
      <c r="R315" s="7" t="n"/>
      <c r="S315" s="33">
        <f>O315*L315</f>
        <v/>
      </c>
      <c r="Y315" s="33">
        <f>0.25*H315</f>
        <v/>
      </c>
      <c r="Z315" s="33">
        <f>Y315*O315</f>
        <v/>
      </c>
      <c r="AA315" s="81">
        <f>C315*H315</f>
        <v/>
      </c>
      <c r="AB315" s="81">
        <f>(P315-1)*O315*K315</f>
        <v/>
      </c>
    </row>
    <row r="316">
      <c r="A316" s="7" t="n"/>
      <c r="B316" s="7" t="n"/>
      <c r="C316" s="8" t="n"/>
      <c r="D316" s="33">
        <f>C316/$U$3</f>
        <v/>
      </c>
      <c r="E316" s="7" t="n"/>
      <c r="F316" s="7" t="n"/>
      <c r="G316" s="7" t="n"/>
      <c r="H316" s="7" t="n"/>
      <c r="I316" s="91" t="n"/>
      <c r="J316" s="7" t="n"/>
      <c r="K316" s="33">
        <f>SUM(E316:I316)</f>
        <v/>
      </c>
      <c r="L316" s="33">
        <f>K316*D316</f>
        <v/>
      </c>
      <c r="M316" s="33">
        <f>K316*C316</f>
        <v/>
      </c>
      <c r="N316" s="7" t="n"/>
      <c r="O316" s="33">
        <f>N316*C316</f>
        <v/>
      </c>
      <c r="P316" s="7" t="n"/>
      <c r="Q316" s="7" t="n"/>
      <c r="R316" s="7" t="n"/>
      <c r="S316" s="33">
        <f>O316*L316</f>
        <v/>
      </c>
      <c r="Y316" s="33">
        <f>0.25*H316</f>
        <v/>
      </c>
      <c r="Z316" s="33">
        <f>Y316*O316</f>
        <v/>
      </c>
      <c r="AA316" s="81">
        <f>C316*H316</f>
        <v/>
      </c>
      <c r="AB316" s="81">
        <f>(P316-1)*O316*K316</f>
        <v/>
      </c>
    </row>
    <row r="317">
      <c r="A317" s="7" t="n"/>
      <c r="B317" s="7" t="n"/>
      <c r="C317" s="8" t="n"/>
      <c r="D317" s="33">
        <f>C317/$U$3</f>
        <v/>
      </c>
      <c r="E317" s="7" t="n"/>
      <c r="F317" s="7" t="n"/>
      <c r="G317" s="7" t="n"/>
      <c r="H317" s="7" t="n"/>
      <c r="I317" s="91" t="n"/>
      <c r="J317" s="7" t="n"/>
      <c r="K317" s="33">
        <f>SUM(E317:I317)</f>
        <v/>
      </c>
      <c r="L317" s="33">
        <f>K317*D317</f>
        <v/>
      </c>
      <c r="M317" s="33">
        <f>K317*C317</f>
        <v/>
      </c>
      <c r="N317" s="7" t="n"/>
      <c r="O317" s="33">
        <f>N317*C317</f>
        <v/>
      </c>
      <c r="P317" s="7" t="n"/>
      <c r="Q317" s="7" t="n"/>
      <c r="R317" s="7" t="n"/>
      <c r="S317" s="33">
        <f>O317*L317</f>
        <v/>
      </c>
      <c r="Y317" s="33">
        <f>0.25*H317</f>
        <v/>
      </c>
      <c r="Z317" s="33">
        <f>Y317*O317</f>
        <v/>
      </c>
      <c r="AA317" s="81">
        <f>C317*H317</f>
        <v/>
      </c>
      <c r="AB317" s="81">
        <f>(P317-1)*O317*K317</f>
        <v/>
      </c>
    </row>
    <row r="318">
      <c r="A318" s="7" t="n"/>
      <c r="B318" s="7" t="n"/>
      <c r="C318" s="8" t="n"/>
      <c r="D318" s="33">
        <f>C318/$U$3</f>
        <v/>
      </c>
      <c r="E318" s="7" t="n"/>
      <c r="F318" s="7" t="n"/>
      <c r="G318" s="7" t="n"/>
      <c r="H318" s="7" t="n"/>
      <c r="I318" s="91" t="n"/>
      <c r="J318" s="7" t="n"/>
      <c r="K318" s="33">
        <f>SUM(E318:I318)</f>
        <v/>
      </c>
      <c r="L318" s="33">
        <f>K318*D318</f>
        <v/>
      </c>
      <c r="M318" s="33">
        <f>K318*C318</f>
        <v/>
      </c>
      <c r="N318" s="7" t="n"/>
      <c r="O318" s="33">
        <f>N318*C318</f>
        <v/>
      </c>
      <c r="P318" s="7" t="n"/>
      <c r="Q318" s="7" t="n"/>
      <c r="R318" s="7" t="n"/>
      <c r="S318" s="33">
        <f>O318*L318</f>
        <v/>
      </c>
      <c r="Y318" s="33">
        <f>0.25*H318</f>
        <v/>
      </c>
      <c r="Z318" s="33">
        <f>Y318*O318</f>
        <v/>
      </c>
      <c r="AA318" s="81">
        <f>C318*H318</f>
        <v/>
      </c>
      <c r="AB318" s="81">
        <f>(P318-1)*O318*K318</f>
        <v/>
      </c>
    </row>
    <row r="319">
      <c r="A319" s="7" t="n"/>
      <c r="B319" s="7" t="n"/>
      <c r="C319" s="8" t="n"/>
      <c r="D319" s="33">
        <f>C319/$U$3</f>
        <v/>
      </c>
      <c r="E319" s="7" t="n"/>
      <c r="F319" s="7" t="n"/>
      <c r="G319" s="7" t="n"/>
      <c r="H319" s="7" t="n"/>
      <c r="I319" s="91" t="n"/>
      <c r="J319" s="7" t="n"/>
      <c r="K319" s="33">
        <f>SUM(E319:I319)</f>
        <v/>
      </c>
      <c r="L319" s="33">
        <f>K319*D319</f>
        <v/>
      </c>
      <c r="M319" s="33">
        <f>K319*C319</f>
        <v/>
      </c>
      <c r="N319" s="7" t="n"/>
      <c r="O319" s="33">
        <f>N319*C319</f>
        <v/>
      </c>
      <c r="P319" s="7" t="n"/>
      <c r="Q319" s="7" t="n"/>
      <c r="R319" s="7" t="n"/>
      <c r="S319" s="33">
        <f>O319*L319</f>
        <v/>
      </c>
      <c r="Y319" s="33">
        <f>0.25*H319</f>
        <v/>
      </c>
      <c r="Z319" s="33">
        <f>Y319*O319</f>
        <v/>
      </c>
      <c r="AA319" s="81">
        <f>C319*H319</f>
        <v/>
      </c>
      <c r="AB319" s="81">
        <f>(P319-1)*O319*K319</f>
        <v/>
      </c>
    </row>
    <row r="320">
      <c r="A320" s="7" t="n"/>
      <c r="B320" s="7" t="n"/>
      <c r="C320" s="8" t="n"/>
      <c r="D320" s="33">
        <f>C320/$U$3</f>
        <v/>
      </c>
      <c r="E320" s="7" t="n"/>
      <c r="F320" s="7" t="n"/>
      <c r="G320" s="7" t="n"/>
      <c r="H320" s="7" t="n"/>
      <c r="I320" s="91" t="n"/>
      <c r="J320" s="7" t="n"/>
      <c r="K320" s="33">
        <f>SUM(E320:I320)</f>
        <v/>
      </c>
      <c r="L320" s="33">
        <f>K320*D320</f>
        <v/>
      </c>
      <c r="M320" s="33">
        <f>K320*C320</f>
        <v/>
      </c>
      <c r="N320" s="7" t="n"/>
      <c r="O320" s="33">
        <f>N320*C320</f>
        <v/>
      </c>
      <c r="P320" s="7" t="n"/>
      <c r="Q320" s="7" t="n"/>
      <c r="R320" s="7" t="n"/>
      <c r="S320" s="33">
        <f>O320*L320</f>
        <v/>
      </c>
      <c r="Y320" s="33">
        <f>0.25*H320</f>
        <v/>
      </c>
      <c r="Z320" s="33">
        <f>Y320*O320</f>
        <v/>
      </c>
      <c r="AA320" s="81">
        <f>C320*H320</f>
        <v/>
      </c>
      <c r="AB320" s="81">
        <f>(P320-1)*O320*K320</f>
        <v/>
      </c>
    </row>
    <row r="321">
      <c r="A321" s="7" t="n"/>
      <c r="B321" s="7" t="n"/>
      <c r="C321" s="8" t="n"/>
      <c r="D321" s="33">
        <f>C321/$U$3</f>
        <v/>
      </c>
      <c r="E321" s="7" t="n"/>
      <c r="F321" s="7" t="n"/>
      <c r="G321" s="7" t="n"/>
      <c r="H321" s="7" t="n"/>
      <c r="I321" s="91" t="n"/>
      <c r="J321" s="7" t="n"/>
      <c r="K321" s="33">
        <f>SUM(E321:I321)</f>
        <v/>
      </c>
      <c r="L321" s="33">
        <f>K321*D321</f>
        <v/>
      </c>
      <c r="M321" s="33">
        <f>K321*C321</f>
        <v/>
      </c>
      <c r="N321" s="7" t="n"/>
      <c r="O321" s="33">
        <f>N321*C321</f>
        <v/>
      </c>
      <c r="P321" s="7" t="n"/>
      <c r="Q321" s="7" t="n"/>
      <c r="R321" s="7" t="n"/>
      <c r="S321" s="33">
        <f>O321*L321</f>
        <v/>
      </c>
      <c r="Y321" s="33">
        <f>0.25*H321</f>
        <v/>
      </c>
      <c r="Z321" s="33">
        <f>Y321*O321</f>
        <v/>
      </c>
      <c r="AA321" s="81">
        <f>C321*H321</f>
        <v/>
      </c>
      <c r="AB321" s="81">
        <f>(P321-1)*O321*K321</f>
        <v/>
      </c>
    </row>
    <row r="322">
      <c r="A322" s="7" t="n"/>
      <c r="B322" s="7" t="n"/>
      <c r="C322" s="8" t="n"/>
      <c r="D322" s="33">
        <f>C322/$U$3</f>
        <v/>
      </c>
      <c r="E322" s="7" t="n"/>
      <c r="F322" s="7" t="n"/>
      <c r="G322" s="7" t="n"/>
      <c r="H322" s="7" t="n"/>
      <c r="I322" s="91" t="n"/>
      <c r="J322" s="7" t="n"/>
      <c r="K322" s="33">
        <f>SUM(E322:I322)</f>
        <v/>
      </c>
      <c r="L322" s="33">
        <f>K322*D322</f>
        <v/>
      </c>
      <c r="M322" s="33">
        <f>K322*C322</f>
        <v/>
      </c>
      <c r="N322" s="7" t="n"/>
      <c r="O322" s="33">
        <f>N322*C322</f>
        <v/>
      </c>
      <c r="P322" s="7" t="n"/>
      <c r="Q322" s="7" t="n"/>
      <c r="R322" s="7" t="n"/>
      <c r="S322" s="33">
        <f>O322*L322</f>
        <v/>
      </c>
      <c r="Y322" s="33">
        <f>0.25*H322</f>
        <v/>
      </c>
      <c r="Z322" s="33">
        <f>Y322*O322</f>
        <v/>
      </c>
      <c r="AA322" s="81">
        <f>C322*H322</f>
        <v/>
      </c>
      <c r="AB322" s="81">
        <f>(P322-1)*O322*K322</f>
        <v/>
      </c>
    </row>
    <row r="323">
      <c r="A323" s="7" t="n"/>
      <c r="B323" s="7" t="n"/>
      <c r="C323" s="8" t="n"/>
      <c r="D323" s="33">
        <f>C323/$U$3</f>
        <v/>
      </c>
      <c r="E323" s="7" t="n"/>
      <c r="F323" s="7" t="n"/>
      <c r="G323" s="7" t="n"/>
      <c r="H323" s="7" t="n"/>
      <c r="I323" s="91" t="n"/>
      <c r="J323" s="7" t="n"/>
      <c r="K323" s="33">
        <f>SUM(E323:I323)</f>
        <v/>
      </c>
      <c r="L323" s="33">
        <f>K323*D323</f>
        <v/>
      </c>
      <c r="M323" s="33">
        <f>K323*C323</f>
        <v/>
      </c>
      <c r="N323" s="7" t="n"/>
      <c r="O323" s="33">
        <f>N323*C323</f>
        <v/>
      </c>
      <c r="P323" s="7" t="n"/>
      <c r="Q323" s="7" t="n"/>
      <c r="R323" s="7" t="n"/>
      <c r="S323" s="33">
        <f>O323*L323</f>
        <v/>
      </c>
      <c r="Y323" s="33">
        <f>0.25*H323</f>
        <v/>
      </c>
      <c r="Z323" s="33">
        <f>Y323*O323</f>
        <v/>
      </c>
      <c r="AA323" s="81">
        <f>C323*H323</f>
        <v/>
      </c>
      <c r="AB323" s="81">
        <f>(P323-1)*O323*K323</f>
        <v/>
      </c>
    </row>
    <row r="324">
      <c r="A324" s="7" t="n"/>
      <c r="B324" s="7" t="n"/>
      <c r="C324" s="8" t="n"/>
      <c r="D324" s="33">
        <f>C324/$U$3</f>
        <v/>
      </c>
      <c r="E324" s="7" t="n"/>
      <c r="F324" s="7" t="n"/>
      <c r="G324" s="7" t="n"/>
      <c r="H324" s="7" t="n"/>
      <c r="I324" s="91" t="n"/>
      <c r="J324" s="7" t="n"/>
      <c r="K324" s="33">
        <f>SUM(E324:I324)</f>
        <v/>
      </c>
      <c r="L324" s="33">
        <f>K324*D324</f>
        <v/>
      </c>
      <c r="M324" s="33">
        <f>K324*C324</f>
        <v/>
      </c>
      <c r="N324" s="7" t="n"/>
      <c r="O324" s="33">
        <f>N324*C324</f>
        <v/>
      </c>
      <c r="P324" s="7" t="n"/>
      <c r="Q324" s="7" t="n"/>
      <c r="R324" s="7" t="n"/>
      <c r="S324" s="33">
        <f>O324*L324</f>
        <v/>
      </c>
      <c r="Y324" s="33">
        <f>0.25*H324</f>
        <v/>
      </c>
      <c r="Z324" s="33">
        <f>Y324*O324</f>
        <v/>
      </c>
      <c r="AA324" s="81">
        <f>C324*H324</f>
        <v/>
      </c>
      <c r="AB324" s="81">
        <f>(P324-1)*O324*K324</f>
        <v/>
      </c>
    </row>
    <row r="325">
      <c r="A325" s="7" t="n"/>
      <c r="B325" s="7" t="n"/>
      <c r="C325" s="8" t="n"/>
      <c r="D325" s="33">
        <f>C325/$U$3</f>
        <v/>
      </c>
      <c r="E325" s="7" t="n"/>
      <c r="F325" s="7" t="n"/>
      <c r="G325" s="7" t="n"/>
      <c r="H325" s="7" t="n"/>
      <c r="I325" s="91" t="n"/>
      <c r="J325" s="7" t="n"/>
      <c r="K325" s="33">
        <f>SUM(E325:I325)</f>
        <v/>
      </c>
      <c r="L325" s="33">
        <f>K325*D325</f>
        <v/>
      </c>
      <c r="M325" s="33">
        <f>K325*C325</f>
        <v/>
      </c>
      <c r="N325" s="7" t="n"/>
      <c r="O325" s="33">
        <f>N325*C325</f>
        <v/>
      </c>
      <c r="P325" s="7" t="n"/>
      <c r="Q325" s="7" t="n"/>
      <c r="R325" s="7" t="n"/>
      <c r="S325" s="33">
        <f>O325*L325</f>
        <v/>
      </c>
      <c r="Y325" s="33">
        <f>0.25*H325</f>
        <v/>
      </c>
      <c r="Z325" s="33">
        <f>Y325*O325</f>
        <v/>
      </c>
      <c r="AA325" s="81">
        <f>C325*H325</f>
        <v/>
      </c>
      <c r="AB325" s="81">
        <f>(P325-1)*O325*K325</f>
        <v/>
      </c>
    </row>
    <row r="326">
      <c r="A326" s="7" t="n"/>
      <c r="B326" s="7" t="n"/>
      <c r="C326" s="8" t="n"/>
      <c r="D326" s="33">
        <f>C326/$U$3</f>
        <v/>
      </c>
      <c r="E326" s="7" t="n"/>
      <c r="F326" s="7" t="n"/>
      <c r="G326" s="7" t="n"/>
      <c r="H326" s="7" t="n"/>
      <c r="I326" s="91" t="n"/>
      <c r="J326" s="7" t="n"/>
      <c r="K326" s="33">
        <f>SUM(E326:I326)</f>
        <v/>
      </c>
      <c r="L326" s="33">
        <f>K326*D326</f>
        <v/>
      </c>
      <c r="M326" s="33">
        <f>K326*C326</f>
        <v/>
      </c>
      <c r="N326" s="7" t="n"/>
      <c r="O326" s="33">
        <f>N326*C326</f>
        <v/>
      </c>
      <c r="P326" s="7" t="n"/>
      <c r="Q326" s="7" t="n"/>
      <c r="R326" s="7" t="n"/>
      <c r="S326" s="33">
        <f>O326*L326</f>
        <v/>
      </c>
      <c r="Y326" s="33">
        <f>0.25*H326</f>
        <v/>
      </c>
      <c r="Z326" s="33">
        <f>Y326*O326</f>
        <v/>
      </c>
      <c r="AA326" s="81">
        <f>C326*H326</f>
        <v/>
      </c>
      <c r="AB326" s="81">
        <f>(P326-1)*O326*K326</f>
        <v/>
      </c>
    </row>
    <row r="327">
      <c r="A327" s="7" t="n"/>
      <c r="B327" s="7" t="n"/>
      <c r="C327" s="8" t="n"/>
      <c r="D327" s="33">
        <f>C327/$U$3</f>
        <v/>
      </c>
      <c r="E327" s="7" t="n"/>
      <c r="F327" s="7" t="n"/>
      <c r="G327" s="7" t="n"/>
      <c r="H327" s="7" t="n"/>
      <c r="I327" s="91" t="n"/>
      <c r="J327" s="7" t="n"/>
      <c r="K327" s="33">
        <f>SUM(E327:I327)</f>
        <v/>
      </c>
      <c r="L327" s="33">
        <f>K327*D327</f>
        <v/>
      </c>
      <c r="M327" s="33">
        <f>K327*C327</f>
        <v/>
      </c>
      <c r="N327" s="7" t="n"/>
      <c r="O327" s="33">
        <f>N327*C327</f>
        <v/>
      </c>
      <c r="P327" s="7" t="n"/>
      <c r="Q327" s="7" t="n"/>
      <c r="R327" s="7" t="n"/>
      <c r="S327" s="33">
        <f>O327*L327</f>
        <v/>
      </c>
      <c r="Y327" s="33">
        <f>0.25*H327</f>
        <v/>
      </c>
      <c r="Z327" s="33">
        <f>Y327*O327</f>
        <v/>
      </c>
      <c r="AA327" s="81">
        <f>C327*H327</f>
        <v/>
      </c>
      <c r="AB327" s="81">
        <f>(P327-1)*O327*K327</f>
        <v/>
      </c>
    </row>
    <row r="328">
      <c r="A328" s="7" t="n"/>
      <c r="B328" s="7" t="n"/>
      <c r="C328" s="8" t="n"/>
      <c r="D328" s="33">
        <f>C328/$U$3</f>
        <v/>
      </c>
      <c r="E328" s="7" t="n"/>
      <c r="F328" s="7" t="n"/>
      <c r="G328" s="7" t="n"/>
      <c r="H328" s="7" t="n"/>
      <c r="I328" s="91" t="n"/>
      <c r="J328" s="7" t="n"/>
      <c r="K328" s="33">
        <f>SUM(E328:I328)</f>
        <v/>
      </c>
      <c r="L328" s="33">
        <f>K328*D328</f>
        <v/>
      </c>
      <c r="M328" s="33">
        <f>K328*C328</f>
        <v/>
      </c>
      <c r="N328" s="7" t="n"/>
      <c r="O328" s="33">
        <f>N328*C328</f>
        <v/>
      </c>
      <c r="P328" s="7" t="n"/>
      <c r="Q328" s="7" t="n"/>
      <c r="R328" s="7" t="n"/>
      <c r="S328" s="33">
        <f>O328*L328</f>
        <v/>
      </c>
      <c r="Y328" s="33">
        <f>0.25*H328</f>
        <v/>
      </c>
      <c r="Z328" s="33">
        <f>Y328*O328</f>
        <v/>
      </c>
      <c r="AA328" s="81">
        <f>C328*H328</f>
        <v/>
      </c>
      <c r="AB328" s="81">
        <f>(P328-1)*O328*K328</f>
        <v/>
      </c>
    </row>
    <row r="329">
      <c r="A329" s="7" t="n"/>
      <c r="B329" s="7" t="n"/>
      <c r="C329" s="8" t="n"/>
      <c r="D329" s="33">
        <f>C329/$U$3</f>
        <v/>
      </c>
      <c r="E329" s="7" t="n"/>
      <c r="F329" s="7" t="n"/>
      <c r="G329" s="7" t="n"/>
      <c r="H329" s="7" t="n"/>
      <c r="I329" s="91" t="n"/>
      <c r="J329" s="7" t="n"/>
      <c r="K329" s="33">
        <f>SUM(E329:I329)</f>
        <v/>
      </c>
      <c r="L329" s="33">
        <f>K329*D329</f>
        <v/>
      </c>
      <c r="M329" s="33">
        <f>K329*C329</f>
        <v/>
      </c>
      <c r="N329" s="7" t="n"/>
      <c r="O329" s="33">
        <f>N329*C329</f>
        <v/>
      </c>
      <c r="P329" s="7" t="n"/>
      <c r="Q329" s="7" t="n"/>
      <c r="R329" s="7" t="n"/>
      <c r="S329" s="33">
        <f>O329*L329</f>
        <v/>
      </c>
      <c r="Y329" s="33">
        <f>0.25*H329</f>
        <v/>
      </c>
      <c r="Z329" s="33">
        <f>Y329*O329</f>
        <v/>
      </c>
      <c r="AA329" s="81">
        <f>C329*H329</f>
        <v/>
      </c>
      <c r="AB329" s="81">
        <f>(P329-1)*O329*K329</f>
        <v/>
      </c>
    </row>
    <row r="330">
      <c r="A330" s="7" t="n"/>
      <c r="B330" s="7" t="n"/>
      <c r="C330" s="8" t="n"/>
      <c r="D330" s="33">
        <f>C330/$U$3</f>
        <v/>
      </c>
      <c r="E330" s="7" t="n"/>
      <c r="F330" s="7" t="n"/>
      <c r="G330" s="7" t="n"/>
      <c r="H330" s="7" t="n"/>
      <c r="I330" s="91" t="n"/>
      <c r="J330" s="7" t="n"/>
      <c r="K330" s="33">
        <f>SUM(E330:I330)</f>
        <v/>
      </c>
      <c r="L330" s="33">
        <f>K330*D330</f>
        <v/>
      </c>
      <c r="M330" s="33">
        <f>K330*C330</f>
        <v/>
      </c>
      <c r="N330" s="7" t="n"/>
      <c r="O330" s="33">
        <f>N330*C330</f>
        <v/>
      </c>
      <c r="P330" s="7" t="n"/>
      <c r="Q330" s="7" t="n"/>
      <c r="R330" s="7" t="n"/>
      <c r="S330" s="33">
        <f>O330*L330</f>
        <v/>
      </c>
      <c r="Y330" s="33">
        <f>0.25*H330</f>
        <v/>
      </c>
      <c r="Z330" s="33">
        <f>Y330*O330</f>
        <v/>
      </c>
      <c r="AA330" s="81">
        <f>C330*H330</f>
        <v/>
      </c>
      <c r="AB330" s="81">
        <f>(P330-1)*O330*K330</f>
        <v/>
      </c>
    </row>
    <row r="331">
      <c r="A331" s="7" t="n"/>
      <c r="B331" s="7" t="n"/>
      <c r="C331" s="8" t="n"/>
      <c r="D331" s="33">
        <f>C331/$U$3</f>
        <v/>
      </c>
      <c r="E331" s="7" t="n"/>
      <c r="F331" s="7" t="n"/>
      <c r="G331" s="7" t="n"/>
      <c r="H331" s="7" t="n"/>
      <c r="I331" s="91" t="n"/>
      <c r="J331" s="7" t="n"/>
      <c r="K331" s="33">
        <f>SUM(E331:I331)</f>
        <v/>
      </c>
      <c r="L331" s="33">
        <f>K331*D331</f>
        <v/>
      </c>
      <c r="M331" s="33">
        <f>K331*C331</f>
        <v/>
      </c>
      <c r="N331" s="7" t="n"/>
      <c r="O331" s="33">
        <f>N331*C331</f>
        <v/>
      </c>
      <c r="P331" s="7" t="n"/>
      <c r="Q331" s="7" t="n"/>
      <c r="R331" s="7" t="n"/>
      <c r="S331" s="33">
        <f>O331*L331</f>
        <v/>
      </c>
      <c r="Y331" s="33">
        <f>0.25*H331</f>
        <v/>
      </c>
      <c r="Z331" s="33">
        <f>Y331*O331</f>
        <v/>
      </c>
      <c r="AA331" s="81">
        <f>C331*H331</f>
        <v/>
      </c>
      <c r="AB331" s="81">
        <f>(P331-1)*O331*K331</f>
        <v/>
      </c>
    </row>
    <row r="332">
      <c r="A332" s="7" t="n"/>
      <c r="B332" s="7" t="n"/>
      <c r="C332" s="8" t="n"/>
      <c r="D332" s="33">
        <f>C332/$U$3</f>
        <v/>
      </c>
      <c r="E332" s="7" t="n"/>
      <c r="F332" s="7" t="n"/>
      <c r="G332" s="7" t="n"/>
      <c r="H332" s="7" t="n"/>
      <c r="I332" s="91" t="n"/>
      <c r="J332" s="7" t="n"/>
      <c r="K332" s="33">
        <f>SUM(E332:I332)</f>
        <v/>
      </c>
      <c r="L332" s="33">
        <f>K332*D332</f>
        <v/>
      </c>
      <c r="M332" s="33">
        <f>K332*C332</f>
        <v/>
      </c>
      <c r="N332" s="7" t="n"/>
      <c r="O332" s="33">
        <f>N332*C332</f>
        <v/>
      </c>
      <c r="P332" s="7" t="n"/>
      <c r="Q332" s="7" t="n"/>
      <c r="R332" s="7" t="n"/>
      <c r="S332" s="33">
        <f>O332*L332</f>
        <v/>
      </c>
      <c r="Y332" s="33">
        <f>0.25*H332</f>
        <v/>
      </c>
      <c r="Z332" s="33">
        <f>Y332*O332</f>
        <v/>
      </c>
      <c r="AA332" s="81">
        <f>C332*H332</f>
        <v/>
      </c>
      <c r="AB332" s="81">
        <f>(P332-1)*O332*K332</f>
        <v/>
      </c>
    </row>
    <row r="333">
      <c r="A333" s="7" t="n"/>
      <c r="B333" s="7" t="n"/>
      <c r="C333" s="8" t="n"/>
      <c r="D333" s="33">
        <f>C333/$U$3</f>
        <v/>
      </c>
      <c r="E333" s="7" t="n"/>
      <c r="F333" s="7" t="n"/>
      <c r="G333" s="7" t="n"/>
      <c r="H333" s="7" t="n"/>
      <c r="I333" s="91" t="n"/>
      <c r="J333" s="7" t="n"/>
      <c r="K333" s="33">
        <f>SUM(E333:I333)</f>
        <v/>
      </c>
      <c r="L333" s="33">
        <f>K333*D333</f>
        <v/>
      </c>
      <c r="M333" s="33">
        <f>K333*C333</f>
        <v/>
      </c>
      <c r="N333" s="7" t="n"/>
      <c r="O333" s="33">
        <f>N333*C333</f>
        <v/>
      </c>
      <c r="P333" s="7" t="n"/>
      <c r="Q333" s="7" t="n"/>
      <c r="R333" s="7" t="n"/>
      <c r="S333" s="33">
        <f>O333*L333</f>
        <v/>
      </c>
      <c r="Y333" s="33">
        <f>0.25*H333</f>
        <v/>
      </c>
      <c r="Z333" s="33">
        <f>Y333*O333</f>
        <v/>
      </c>
      <c r="AA333" s="81">
        <f>C333*H333</f>
        <v/>
      </c>
      <c r="AB333" s="81">
        <f>(P333-1)*O333*K333</f>
        <v/>
      </c>
    </row>
    <row r="334">
      <c r="A334" s="7" t="n"/>
      <c r="B334" s="7" t="n"/>
      <c r="C334" s="8" t="n"/>
      <c r="D334" s="33">
        <f>C334/$U$3</f>
        <v/>
      </c>
      <c r="E334" s="7" t="n"/>
      <c r="F334" s="7" t="n"/>
      <c r="G334" s="7" t="n"/>
      <c r="H334" s="7" t="n"/>
      <c r="I334" s="91" t="n"/>
      <c r="J334" s="7" t="n"/>
      <c r="K334" s="33">
        <f>SUM(E334:I334)</f>
        <v/>
      </c>
      <c r="L334" s="33">
        <f>K334*D334</f>
        <v/>
      </c>
      <c r="M334" s="33">
        <f>K334*C334</f>
        <v/>
      </c>
      <c r="N334" s="7" t="n"/>
      <c r="O334" s="33">
        <f>N334*C334</f>
        <v/>
      </c>
      <c r="P334" s="7" t="n"/>
      <c r="Q334" s="7" t="n"/>
      <c r="R334" s="7" t="n"/>
      <c r="S334" s="33">
        <f>O334*L334</f>
        <v/>
      </c>
      <c r="Y334" s="33">
        <f>0.25*H334</f>
        <v/>
      </c>
      <c r="Z334" s="33">
        <f>Y334*O334</f>
        <v/>
      </c>
      <c r="AA334" s="81">
        <f>C334*H334</f>
        <v/>
      </c>
      <c r="AB334" s="81">
        <f>(P334-1)*O334*K334</f>
        <v/>
      </c>
    </row>
    <row r="335">
      <c r="A335" s="7" t="n"/>
      <c r="B335" s="7" t="n"/>
      <c r="C335" s="8" t="n"/>
      <c r="D335" s="33">
        <f>C335/$U$3</f>
        <v/>
      </c>
      <c r="E335" s="7" t="n"/>
      <c r="F335" s="7" t="n"/>
      <c r="G335" s="7" t="n"/>
      <c r="H335" s="7" t="n"/>
      <c r="I335" s="91" t="n"/>
      <c r="J335" s="7" t="n"/>
      <c r="K335" s="33">
        <f>SUM(E335:I335)</f>
        <v/>
      </c>
      <c r="L335" s="33">
        <f>K335*D335</f>
        <v/>
      </c>
      <c r="M335" s="33">
        <f>K335*C335</f>
        <v/>
      </c>
      <c r="N335" s="7" t="n"/>
      <c r="O335" s="33">
        <f>N335*C335</f>
        <v/>
      </c>
      <c r="P335" s="7" t="n"/>
      <c r="Q335" s="7" t="n"/>
      <c r="R335" s="7" t="n"/>
      <c r="S335" s="33">
        <f>O335*L335</f>
        <v/>
      </c>
      <c r="Y335" s="33">
        <f>0.25*H335</f>
        <v/>
      </c>
      <c r="Z335" s="33">
        <f>Y335*O335</f>
        <v/>
      </c>
      <c r="AA335" s="81">
        <f>C335*H335</f>
        <v/>
      </c>
      <c r="AB335" s="81">
        <f>(P335-1)*O335*K335</f>
        <v/>
      </c>
    </row>
    <row r="336">
      <c r="A336" s="7" t="n"/>
      <c r="B336" s="7" t="n"/>
      <c r="C336" s="8" t="n"/>
      <c r="D336" s="33">
        <f>C336/$U$3</f>
        <v/>
      </c>
      <c r="E336" s="7" t="n"/>
      <c r="F336" s="7" t="n"/>
      <c r="G336" s="7" t="n"/>
      <c r="H336" s="7" t="n"/>
      <c r="I336" s="91" t="n"/>
      <c r="J336" s="7" t="n"/>
      <c r="K336" s="33">
        <f>SUM(E336:I336)</f>
        <v/>
      </c>
      <c r="L336" s="33">
        <f>K336*D336</f>
        <v/>
      </c>
      <c r="M336" s="33">
        <f>K336*C336</f>
        <v/>
      </c>
      <c r="N336" s="7" t="n"/>
      <c r="O336" s="33">
        <f>N336*C336</f>
        <v/>
      </c>
      <c r="P336" s="7" t="n"/>
      <c r="Q336" s="7" t="n"/>
      <c r="R336" s="7" t="n"/>
      <c r="S336" s="33">
        <f>O336*L336</f>
        <v/>
      </c>
      <c r="Y336" s="33">
        <f>0.25*H336</f>
        <v/>
      </c>
      <c r="Z336" s="33">
        <f>Y336*O336</f>
        <v/>
      </c>
      <c r="AA336" s="81">
        <f>C336*H336</f>
        <v/>
      </c>
      <c r="AB336" s="81">
        <f>(P336-1)*O336*K336</f>
        <v/>
      </c>
    </row>
    <row r="337">
      <c r="A337" s="7" t="n"/>
      <c r="B337" s="7" t="n"/>
      <c r="C337" s="8" t="n"/>
      <c r="D337" s="33">
        <f>C337/$U$3</f>
        <v/>
      </c>
      <c r="E337" s="7" t="n"/>
      <c r="F337" s="7" t="n"/>
      <c r="G337" s="7" t="n"/>
      <c r="H337" s="7" t="n"/>
      <c r="I337" s="91" t="n"/>
      <c r="J337" s="7" t="n"/>
      <c r="K337" s="33">
        <f>SUM(E337:I337)</f>
        <v/>
      </c>
      <c r="L337" s="33">
        <f>K337*D337</f>
        <v/>
      </c>
      <c r="M337" s="33">
        <f>K337*C337</f>
        <v/>
      </c>
      <c r="N337" s="7" t="n"/>
      <c r="O337" s="33">
        <f>N337*C337</f>
        <v/>
      </c>
      <c r="P337" s="7" t="n"/>
      <c r="Q337" s="7" t="n"/>
      <c r="R337" s="7" t="n"/>
      <c r="S337" s="33">
        <f>O337*L337</f>
        <v/>
      </c>
      <c r="Y337" s="33">
        <f>0.25*H337</f>
        <v/>
      </c>
      <c r="Z337" s="33">
        <f>Y337*O337</f>
        <v/>
      </c>
      <c r="AA337" s="81">
        <f>C337*H337</f>
        <v/>
      </c>
      <c r="AB337" s="81">
        <f>(P337-1)*O337*K337</f>
        <v/>
      </c>
    </row>
    <row r="338">
      <c r="A338" s="7" t="n"/>
      <c r="B338" s="7" t="n"/>
      <c r="C338" s="8" t="n"/>
      <c r="D338" s="33">
        <f>C338/$U$3</f>
        <v/>
      </c>
      <c r="E338" s="7" t="n"/>
      <c r="F338" s="7" t="n"/>
      <c r="G338" s="7" t="n"/>
      <c r="H338" s="7" t="n"/>
      <c r="I338" s="91" t="n"/>
      <c r="J338" s="7" t="n"/>
      <c r="K338" s="33">
        <f>SUM(E338:I338)</f>
        <v/>
      </c>
      <c r="L338" s="33">
        <f>K338*D338</f>
        <v/>
      </c>
      <c r="M338" s="33">
        <f>K338*C338</f>
        <v/>
      </c>
      <c r="N338" s="7" t="n"/>
      <c r="O338" s="33">
        <f>N338*C338</f>
        <v/>
      </c>
      <c r="P338" s="7" t="n"/>
      <c r="Q338" s="7" t="n"/>
      <c r="R338" s="7" t="n"/>
      <c r="S338" s="33">
        <f>O338*L338</f>
        <v/>
      </c>
      <c r="Y338" s="33">
        <f>0.25*H338</f>
        <v/>
      </c>
      <c r="Z338" s="33">
        <f>Y338*O338</f>
        <v/>
      </c>
      <c r="AA338" s="81">
        <f>C338*H338</f>
        <v/>
      </c>
      <c r="AB338" s="81">
        <f>(P338-1)*O338*K338</f>
        <v/>
      </c>
    </row>
    <row r="339">
      <c r="A339" s="7" t="n"/>
      <c r="B339" s="7" t="n"/>
      <c r="C339" s="8" t="n"/>
      <c r="D339" s="33">
        <f>C339/$U$3</f>
        <v/>
      </c>
      <c r="E339" s="7" t="n"/>
      <c r="F339" s="7" t="n"/>
      <c r="G339" s="7" t="n"/>
      <c r="H339" s="7" t="n"/>
      <c r="I339" s="91" t="n"/>
      <c r="J339" s="7" t="n"/>
      <c r="K339" s="33">
        <f>SUM(E339:I339)</f>
        <v/>
      </c>
      <c r="L339" s="33">
        <f>K339*D339</f>
        <v/>
      </c>
      <c r="M339" s="33">
        <f>K339*C339</f>
        <v/>
      </c>
      <c r="N339" s="7" t="n"/>
      <c r="O339" s="33">
        <f>N339*C339</f>
        <v/>
      </c>
      <c r="P339" s="7" t="n"/>
      <c r="Q339" s="7" t="n"/>
      <c r="R339" s="7" t="n"/>
      <c r="S339" s="33">
        <f>O339*L339</f>
        <v/>
      </c>
      <c r="Y339" s="33">
        <f>0.25*H339</f>
        <v/>
      </c>
      <c r="Z339" s="33">
        <f>Y339*O339</f>
        <v/>
      </c>
      <c r="AA339" s="81">
        <f>C339*H339</f>
        <v/>
      </c>
      <c r="AB339" s="81">
        <f>(P339-1)*O339*K339</f>
        <v/>
      </c>
    </row>
    <row r="340">
      <c r="A340" s="7" t="n"/>
      <c r="B340" s="7" t="n"/>
      <c r="C340" s="8" t="n"/>
      <c r="D340" s="33">
        <f>C340/$U$3</f>
        <v/>
      </c>
      <c r="E340" s="7" t="n"/>
      <c r="F340" s="7" t="n"/>
      <c r="G340" s="7" t="n"/>
      <c r="H340" s="7" t="n"/>
      <c r="I340" s="91" t="n"/>
      <c r="J340" s="7" t="n"/>
      <c r="K340" s="33">
        <f>SUM(E340:I340)</f>
        <v/>
      </c>
      <c r="L340" s="33">
        <f>K340*D340</f>
        <v/>
      </c>
      <c r="M340" s="33">
        <f>K340*C340</f>
        <v/>
      </c>
      <c r="N340" s="7" t="n"/>
      <c r="O340" s="33">
        <f>N340*C340</f>
        <v/>
      </c>
      <c r="P340" s="7" t="n"/>
      <c r="Q340" s="7" t="n"/>
      <c r="R340" s="7" t="n"/>
      <c r="S340" s="33">
        <f>O340*L340</f>
        <v/>
      </c>
      <c r="Y340" s="33">
        <f>0.25*H340</f>
        <v/>
      </c>
      <c r="Z340" s="33">
        <f>Y340*O340</f>
        <v/>
      </c>
      <c r="AA340" s="81">
        <f>C340*H340</f>
        <v/>
      </c>
      <c r="AB340" s="81">
        <f>(P340-1)*O340*K340</f>
        <v/>
      </c>
    </row>
    <row r="341">
      <c r="A341" s="7" t="n"/>
      <c r="B341" s="7" t="n"/>
      <c r="C341" s="8" t="n"/>
      <c r="D341" s="33">
        <f>C341/$U$3</f>
        <v/>
      </c>
      <c r="E341" s="7" t="n"/>
      <c r="F341" s="7" t="n"/>
      <c r="G341" s="7" t="n"/>
      <c r="H341" s="7" t="n"/>
      <c r="I341" s="91" t="n"/>
      <c r="J341" s="7" t="n"/>
      <c r="K341" s="33">
        <f>SUM(E341:I341)</f>
        <v/>
      </c>
      <c r="L341" s="33">
        <f>K341*D341</f>
        <v/>
      </c>
      <c r="M341" s="33">
        <f>K341*C341</f>
        <v/>
      </c>
      <c r="N341" s="7" t="n"/>
      <c r="O341" s="33">
        <f>N341*C341</f>
        <v/>
      </c>
      <c r="P341" s="7" t="n"/>
      <c r="Q341" s="7" t="n"/>
      <c r="R341" s="7" t="n"/>
      <c r="S341" s="33">
        <f>O341*L341</f>
        <v/>
      </c>
      <c r="Y341" s="33">
        <f>0.25*H341</f>
        <v/>
      </c>
      <c r="Z341" s="33">
        <f>Y341*O341</f>
        <v/>
      </c>
      <c r="AA341" s="81">
        <f>C341*H341</f>
        <v/>
      </c>
      <c r="AB341" s="81">
        <f>(P341-1)*O341*K341</f>
        <v/>
      </c>
    </row>
    <row r="342">
      <c r="A342" s="7" t="n"/>
      <c r="B342" s="7" t="n"/>
      <c r="C342" s="8" t="n"/>
      <c r="D342" s="33">
        <f>C342/$U$3</f>
        <v/>
      </c>
      <c r="E342" s="7" t="n"/>
      <c r="F342" s="7" t="n"/>
      <c r="G342" s="7" t="n"/>
      <c r="H342" s="7" t="n"/>
      <c r="I342" s="91" t="n"/>
      <c r="J342" s="7" t="n"/>
      <c r="K342" s="33">
        <f>SUM(E342:I342)</f>
        <v/>
      </c>
      <c r="L342" s="33">
        <f>K342*D342</f>
        <v/>
      </c>
      <c r="M342" s="33">
        <f>K342*C342</f>
        <v/>
      </c>
      <c r="N342" s="7" t="n"/>
      <c r="O342" s="33">
        <f>N342*C342</f>
        <v/>
      </c>
      <c r="P342" s="7" t="n"/>
      <c r="Q342" s="7" t="n"/>
      <c r="R342" s="7" t="n"/>
      <c r="S342" s="33">
        <f>O342*L342</f>
        <v/>
      </c>
      <c r="Y342" s="33">
        <f>0.25*H342</f>
        <v/>
      </c>
      <c r="Z342" s="33">
        <f>Y342*O342</f>
        <v/>
      </c>
      <c r="AA342" s="81">
        <f>C342*H342</f>
        <v/>
      </c>
      <c r="AB342" s="81">
        <f>(P342-1)*O342*K342</f>
        <v/>
      </c>
    </row>
    <row r="343">
      <c r="A343" s="7" t="n"/>
      <c r="B343" s="7" t="n"/>
      <c r="C343" s="8" t="n"/>
      <c r="D343" s="33">
        <f>C343/$U$3</f>
        <v/>
      </c>
      <c r="E343" s="7" t="n"/>
      <c r="F343" s="7" t="n"/>
      <c r="G343" s="7" t="n"/>
      <c r="H343" s="7" t="n"/>
      <c r="I343" s="91" t="n"/>
      <c r="J343" s="7" t="n"/>
      <c r="K343" s="33">
        <f>SUM(E343:I343)</f>
        <v/>
      </c>
      <c r="L343" s="33">
        <f>K343*D343</f>
        <v/>
      </c>
      <c r="M343" s="33">
        <f>K343*C343</f>
        <v/>
      </c>
      <c r="N343" s="7" t="n"/>
      <c r="O343" s="33">
        <f>N343*C343</f>
        <v/>
      </c>
      <c r="P343" s="7" t="n"/>
      <c r="Q343" s="7" t="n"/>
      <c r="R343" s="7" t="n"/>
      <c r="S343" s="33">
        <f>O343*L343</f>
        <v/>
      </c>
      <c r="Y343" s="33">
        <f>0.25*H343</f>
        <v/>
      </c>
      <c r="Z343" s="33">
        <f>Y343*O343</f>
        <v/>
      </c>
      <c r="AA343" s="81">
        <f>C343*H343</f>
        <v/>
      </c>
      <c r="AB343" s="81">
        <f>(P343-1)*O343*K343</f>
        <v/>
      </c>
    </row>
    <row r="344">
      <c r="A344" s="7" t="n"/>
      <c r="B344" s="7" t="n"/>
      <c r="C344" s="8" t="n"/>
      <c r="D344" s="33">
        <f>C344/$U$3</f>
        <v/>
      </c>
      <c r="E344" s="7" t="n"/>
      <c r="F344" s="7" t="n"/>
      <c r="G344" s="7" t="n"/>
      <c r="H344" s="7" t="n"/>
      <c r="I344" s="91" t="n"/>
      <c r="J344" s="7" t="n"/>
      <c r="K344" s="33">
        <f>SUM(E344:I344)</f>
        <v/>
      </c>
      <c r="L344" s="33">
        <f>K344*D344</f>
        <v/>
      </c>
      <c r="M344" s="33">
        <f>K344*C344</f>
        <v/>
      </c>
      <c r="N344" s="7" t="n"/>
      <c r="O344" s="33">
        <f>N344*C344</f>
        <v/>
      </c>
      <c r="P344" s="7" t="n"/>
      <c r="Q344" s="7" t="n"/>
      <c r="R344" s="7" t="n"/>
      <c r="S344" s="33">
        <f>O344*L344</f>
        <v/>
      </c>
      <c r="Y344" s="33">
        <f>0.25*H344</f>
        <v/>
      </c>
      <c r="Z344" s="33">
        <f>Y344*O344</f>
        <v/>
      </c>
      <c r="AA344" s="81">
        <f>C344*H344</f>
        <v/>
      </c>
      <c r="AB344" s="81">
        <f>(P344-1)*O344*K344</f>
        <v/>
      </c>
    </row>
    <row r="345">
      <c r="A345" s="7" t="n"/>
      <c r="B345" s="7" t="n"/>
      <c r="C345" s="8" t="n"/>
      <c r="D345" s="33">
        <f>C345/$U$3</f>
        <v/>
      </c>
      <c r="E345" s="7" t="n"/>
      <c r="F345" s="7" t="n"/>
      <c r="G345" s="7" t="n"/>
      <c r="H345" s="7" t="n"/>
      <c r="I345" s="91" t="n"/>
      <c r="J345" s="7" t="n"/>
      <c r="K345" s="33">
        <f>SUM(E345:I345)</f>
        <v/>
      </c>
      <c r="L345" s="33">
        <f>K345*D345</f>
        <v/>
      </c>
      <c r="M345" s="33">
        <f>K345*C345</f>
        <v/>
      </c>
      <c r="N345" s="7" t="n"/>
      <c r="O345" s="33">
        <f>N345*C345</f>
        <v/>
      </c>
      <c r="P345" s="7" t="n"/>
      <c r="Q345" s="7" t="n"/>
      <c r="R345" s="7" t="n"/>
      <c r="S345" s="33">
        <f>O345*L345</f>
        <v/>
      </c>
      <c r="Y345" s="33">
        <f>0.25*H345</f>
        <v/>
      </c>
      <c r="Z345" s="33">
        <f>Y345*O345</f>
        <v/>
      </c>
      <c r="AA345" s="81">
        <f>C345*H345</f>
        <v/>
      </c>
      <c r="AB345" s="81">
        <f>(P345-1)*O345*K345</f>
        <v/>
      </c>
    </row>
    <row r="346">
      <c r="A346" s="7" t="n"/>
      <c r="B346" s="7" t="n"/>
      <c r="C346" s="8" t="n"/>
      <c r="D346" s="33">
        <f>C346/$U$3</f>
        <v/>
      </c>
      <c r="E346" s="7" t="n"/>
      <c r="F346" s="7" t="n"/>
      <c r="G346" s="7" t="n"/>
      <c r="H346" s="7" t="n"/>
      <c r="I346" s="91" t="n"/>
      <c r="J346" s="7" t="n"/>
      <c r="K346" s="33">
        <f>SUM(E346:I346)</f>
        <v/>
      </c>
      <c r="L346" s="33">
        <f>K346*D346</f>
        <v/>
      </c>
      <c r="M346" s="33">
        <f>K346*C346</f>
        <v/>
      </c>
      <c r="N346" s="7" t="n"/>
      <c r="O346" s="33">
        <f>N346*C346</f>
        <v/>
      </c>
      <c r="P346" s="7" t="n"/>
      <c r="Q346" s="7" t="n"/>
      <c r="R346" s="7" t="n"/>
      <c r="S346" s="33">
        <f>O346*L346</f>
        <v/>
      </c>
      <c r="Y346" s="33">
        <f>0.25*H346</f>
        <v/>
      </c>
      <c r="Z346" s="33">
        <f>Y346*O346</f>
        <v/>
      </c>
      <c r="AA346" s="81">
        <f>C346*H346</f>
        <v/>
      </c>
      <c r="AB346" s="81">
        <f>(P346-1)*O346*K346</f>
        <v/>
      </c>
    </row>
    <row r="347">
      <c r="A347" s="7" t="n"/>
      <c r="B347" s="7" t="n"/>
      <c r="C347" s="8" t="n"/>
      <c r="D347" s="33">
        <f>C347/$U$3</f>
        <v/>
      </c>
      <c r="E347" s="7" t="n"/>
      <c r="F347" s="7" t="n"/>
      <c r="G347" s="7" t="n"/>
      <c r="H347" s="7" t="n"/>
      <c r="I347" s="91" t="n"/>
      <c r="J347" s="7" t="n"/>
      <c r="K347" s="33">
        <f>SUM(E347:I347)</f>
        <v/>
      </c>
      <c r="L347" s="33">
        <f>K347*D347</f>
        <v/>
      </c>
      <c r="M347" s="33">
        <f>K347*C347</f>
        <v/>
      </c>
      <c r="N347" s="7" t="n"/>
      <c r="O347" s="33">
        <f>N347*C347</f>
        <v/>
      </c>
      <c r="P347" s="7" t="n"/>
      <c r="Q347" s="7" t="n"/>
      <c r="R347" s="7" t="n"/>
      <c r="S347" s="33">
        <f>O347*L347</f>
        <v/>
      </c>
      <c r="Y347" s="33">
        <f>0.25*H347</f>
        <v/>
      </c>
      <c r="Z347" s="33">
        <f>Y347*O347</f>
        <v/>
      </c>
      <c r="AA347" s="81">
        <f>C347*H347</f>
        <v/>
      </c>
      <c r="AB347" s="81">
        <f>(P347-1)*O347*K347</f>
        <v/>
      </c>
    </row>
    <row r="348">
      <c r="A348" s="7" t="n"/>
      <c r="B348" s="7" t="n"/>
      <c r="C348" s="8" t="n"/>
      <c r="D348" s="33">
        <f>C348/$U$3</f>
        <v/>
      </c>
      <c r="E348" s="7" t="n"/>
      <c r="F348" s="7" t="n"/>
      <c r="G348" s="7" t="n"/>
      <c r="H348" s="7" t="n"/>
      <c r="I348" s="91" t="n"/>
      <c r="J348" s="7" t="n"/>
      <c r="K348" s="33">
        <f>SUM(E348:I348)</f>
        <v/>
      </c>
      <c r="L348" s="33">
        <f>K348*D348</f>
        <v/>
      </c>
      <c r="M348" s="33">
        <f>K348*C348</f>
        <v/>
      </c>
      <c r="N348" s="7" t="n"/>
      <c r="O348" s="33">
        <f>N348*C348</f>
        <v/>
      </c>
      <c r="P348" s="7" t="n"/>
      <c r="Q348" s="7" t="n"/>
      <c r="R348" s="7" t="n"/>
      <c r="S348" s="33">
        <f>O348*L348</f>
        <v/>
      </c>
      <c r="Y348" s="33">
        <f>0.25*H348</f>
        <v/>
      </c>
      <c r="Z348" s="33">
        <f>Y348*O348</f>
        <v/>
      </c>
      <c r="AA348" s="81">
        <f>C348*H348</f>
        <v/>
      </c>
      <c r="AB348" s="81">
        <f>(P348-1)*O348*K348</f>
        <v/>
      </c>
    </row>
    <row r="349">
      <c r="A349" s="7" t="n"/>
      <c r="B349" s="7" t="n"/>
      <c r="C349" s="8" t="n"/>
      <c r="D349" s="33">
        <f>C349/$U$3</f>
        <v/>
      </c>
      <c r="E349" s="7" t="n"/>
      <c r="F349" s="7" t="n"/>
      <c r="G349" s="7" t="n"/>
      <c r="H349" s="7" t="n"/>
      <c r="I349" s="91" t="n"/>
      <c r="J349" s="7" t="n"/>
      <c r="K349" s="33">
        <f>SUM(E349:I349)</f>
        <v/>
      </c>
      <c r="L349" s="33">
        <f>K349*D349</f>
        <v/>
      </c>
      <c r="M349" s="33">
        <f>K349*C349</f>
        <v/>
      </c>
      <c r="N349" s="7" t="n"/>
      <c r="O349" s="33">
        <f>N349*C349</f>
        <v/>
      </c>
      <c r="P349" s="7" t="n"/>
      <c r="Q349" s="7" t="n"/>
      <c r="R349" s="7" t="n"/>
      <c r="S349" s="33">
        <f>O349*L349</f>
        <v/>
      </c>
      <c r="Y349" s="33">
        <f>0.25*H349</f>
        <v/>
      </c>
      <c r="Z349" s="33">
        <f>Y349*O349</f>
        <v/>
      </c>
      <c r="AA349" s="81">
        <f>C349*H349</f>
        <v/>
      </c>
      <c r="AB349" s="81">
        <f>(P349-1)*O349*K349</f>
        <v/>
      </c>
    </row>
    <row r="350">
      <c r="A350" s="7" t="n"/>
      <c r="B350" s="7" t="n"/>
      <c r="C350" s="8" t="n"/>
      <c r="D350" s="33">
        <f>C350/$U$3</f>
        <v/>
      </c>
      <c r="E350" s="7" t="n"/>
      <c r="F350" s="7" t="n"/>
      <c r="G350" s="7" t="n"/>
      <c r="H350" s="7" t="n"/>
      <c r="I350" s="91" t="n"/>
      <c r="J350" s="7" t="n"/>
      <c r="K350" s="33">
        <f>SUM(E350:I350)</f>
        <v/>
      </c>
      <c r="L350" s="33">
        <f>K350*D350</f>
        <v/>
      </c>
      <c r="M350" s="33">
        <f>K350*C350</f>
        <v/>
      </c>
      <c r="N350" s="7" t="n"/>
      <c r="O350" s="33">
        <f>N350*C350</f>
        <v/>
      </c>
      <c r="P350" s="7" t="n"/>
      <c r="Q350" s="7" t="n"/>
      <c r="R350" s="7" t="n"/>
      <c r="S350" s="33">
        <f>O350*L350</f>
        <v/>
      </c>
      <c r="Y350" s="33">
        <f>0.25*H350</f>
        <v/>
      </c>
      <c r="Z350" s="33">
        <f>Y350*O350</f>
        <v/>
      </c>
      <c r="AA350" s="81">
        <f>C350*H350</f>
        <v/>
      </c>
      <c r="AB350" s="81">
        <f>(P350-1)*O350*K350</f>
        <v/>
      </c>
    </row>
    <row r="351">
      <c r="A351" s="7" t="n"/>
      <c r="B351" s="7" t="n"/>
      <c r="C351" s="8" t="n"/>
      <c r="D351" s="33">
        <f>C351/$U$3</f>
        <v/>
      </c>
      <c r="E351" s="7" t="n"/>
      <c r="F351" s="7" t="n"/>
      <c r="G351" s="7" t="n"/>
      <c r="H351" s="7" t="n"/>
      <c r="I351" s="91" t="n"/>
      <c r="J351" s="7" t="n"/>
      <c r="K351" s="33">
        <f>SUM(E351:I351)</f>
        <v/>
      </c>
      <c r="L351" s="33">
        <f>K351*D351</f>
        <v/>
      </c>
      <c r="M351" s="33">
        <f>K351*C351</f>
        <v/>
      </c>
      <c r="N351" s="7" t="n"/>
      <c r="O351" s="33">
        <f>N351*C351</f>
        <v/>
      </c>
      <c r="P351" s="7" t="n"/>
      <c r="Q351" s="7" t="n"/>
      <c r="R351" s="7" t="n"/>
      <c r="S351" s="33">
        <f>O351*L351</f>
        <v/>
      </c>
      <c r="Y351" s="33">
        <f>0.25*H351</f>
        <v/>
      </c>
      <c r="Z351" s="33">
        <f>Y351*O351</f>
        <v/>
      </c>
      <c r="AA351" s="81">
        <f>C351*H351</f>
        <v/>
      </c>
      <c r="AB351" s="81">
        <f>(P351-1)*O351*K351</f>
        <v/>
      </c>
    </row>
    <row r="352">
      <c r="A352" s="7" t="n"/>
      <c r="B352" s="7" t="n"/>
      <c r="C352" s="8" t="n"/>
      <c r="D352" s="33">
        <f>C352/$U$3</f>
        <v/>
      </c>
      <c r="E352" s="7" t="n"/>
      <c r="F352" s="7" t="n"/>
      <c r="G352" s="7" t="n"/>
      <c r="H352" s="7" t="n"/>
      <c r="I352" s="91" t="n"/>
      <c r="J352" s="7" t="n"/>
      <c r="K352" s="33">
        <f>SUM(E352:I352)</f>
        <v/>
      </c>
      <c r="L352" s="33">
        <f>K352*D352</f>
        <v/>
      </c>
      <c r="M352" s="33">
        <f>K352*C352</f>
        <v/>
      </c>
      <c r="N352" s="7" t="n"/>
      <c r="O352" s="33">
        <f>N352*C352</f>
        <v/>
      </c>
      <c r="P352" s="7" t="n"/>
      <c r="Q352" s="7" t="n"/>
      <c r="R352" s="7" t="n"/>
      <c r="S352" s="33">
        <f>O352*L352</f>
        <v/>
      </c>
      <c r="Y352" s="33">
        <f>0.25*H352</f>
        <v/>
      </c>
      <c r="Z352" s="33">
        <f>Y352*O352</f>
        <v/>
      </c>
      <c r="AA352" s="81">
        <f>C352*H352</f>
        <v/>
      </c>
      <c r="AB352" s="81">
        <f>(P352-1)*O352*K352</f>
        <v/>
      </c>
    </row>
    <row r="353">
      <c r="A353" s="7" t="n"/>
      <c r="B353" s="7" t="n"/>
      <c r="C353" s="8" t="n"/>
      <c r="D353" s="33">
        <f>C353/$U$3</f>
        <v/>
      </c>
      <c r="E353" s="7" t="n"/>
      <c r="F353" s="7" t="n"/>
      <c r="G353" s="7" t="n"/>
      <c r="H353" s="7" t="n"/>
      <c r="I353" s="91" t="n"/>
      <c r="J353" s="7" t="n"/>
      <c r="K353" s="33">
        <f>SUM(E353:I353)</f>
        <v/>
      </c>
      <c r="L353" s="33">
        <f>K353*D353</f>
        <v/>
      </c>
      <c r="M353" s="33">
        <f>K353*C353</f>
        <v/>
      </c>
      <c r="N353" s="7" t="n"/>
      <c r="O353" s="33">
        <f>N353*C353</f>
        <v/>
      </c>
      <c r="P353" s="7" t="n"/>
      <c r="Q353" s="7" t="n"/>
      <c r="R353" s="7" t="n"/>
      <c r="S353" s="33">
        <f>O353*L353</f>
        <v/>
      </c>
      <c r="Y353" s="33">
        <f>0.25*H353</f>
        <v/>
      </c>
      <c r="Z353" s="33">
        <f>Y353*O353</f>
        <v/>
      </c>
      <c r="AA353" s="81">
        <f>C353*H353</f>
        <v/>
      </c>
      <c r="AB353" s="81">
        <f>(P353-1)*O353*K353</f>
        <v/>
      </c>
    </row>
    <row r="354">
      <c r="A354" s="7" t="n"/>
      <c r="B354" s="7" t="n"/>
      <c r="C354" s="8" t="n"/>
      <c r="D354" s="33">
        <f>C354/$U$3</f>
        <v/>
      </c>
      <c r="E354" s="7" t="n"/>
      <c r="F354" s="7" t="n"/>
      <c r="G354" s="7" t="n"/>
      <c r="H354" s="7" t="n"/>
      <c r="I354" s="91" t="n"/>
      <c r="J354" s="7" t="n"/>
      <c r="K354" s="33">
        <f>SUM(E354:I354)</f>
        <v/>
      </c>
      <c r="L354" s="33">
        <f>K354*D354</f>
        <v/>
      </c>
      <c r="M354" s="33">
        <f>K354*C354</f>
        <v/>
      </c>
      <c r="N354" s="7" t="n"/>
      <c r="O354" s="33">
        <f>N354*C354</f>
        <v/>
      </c>
      <c r="P354" s="7" t="n"/>
      <c r="Q354" s="7" t="n"/>
      <c r="R354" s="7" t="n"/>
      <c r="S354" s="33">
        <f>O354*L354</f>
        <v/>
      </c>
      <c r="Y354" s="33">
        <f>0.25*H354</f>
        <v/>
      </c>
      <c r="Z354" s="33">
        <f>Y354*O354</f>
        <v/>
      </c>
      <c r="AA354" s="81">
        <f>C354*H354</f>
        <v/>
      </c>
      <c r="AB354" s="81">
        <f>(P354-1)*O354*K354</f>
        <v/>
      </c>
    </row>
    <row r="355">
      <c r="A355" s="7" t="n"/>
      <c r="B355" s="7" t="n"/>
      <c r="C355" s="8" t="n"/>
      <c r="D355" s="33">
        <f>C355/$U$3</f>
        <v/>
      </c>
      <c r="E355" s="7" t="n"/>
      <c r="F355" s="7" t="n"/>
      <c r="G355" s="7" t="n"/>
      <c r="H355" s="7" t="n"/>
      <c r="I355" s="91" t="n"/>
      <c r="J355" s="7" t="n"/>
      <c r="K355" s="33">
        <f>SUM(E355:I355)</f>
        <v/>
      </c>
      <c r="L355" s="33">
        <f>K355*D355</f>
        <v/>
      </c>
      <c r="M355" s="33">
        <f>K355*C355</f>
        <v/>
      </c>
      <c r="N355" s="7" t="n"/>
      <c r="O355" s="33">
        <f>N355*C355</f>
        <v/>
      </c>
      <c r="P355" s="7" t="n"/>
      <c r="Q355" s="7" t="n"/>
      <c r="R355" s="7" t="n"/>
      <c r="S355" s="33">
        <f>O355*L355</f>
        <v/>
      </c>
      <c r="Y355" s="33">
        <f>0.25*H355</f>
        <v/>
      </c>
      <c r="Z355" s="33">
        <f>Y355*O355</f>
        <v/>
      </c>
      <c r="AA355" s="81">
        <f>C355*H355</f>
        <v/>
      </c>
      <c r="AB355" s="81">
        <f>(P355-1)*O355*K355</f>
        <v/>
      </c>
    </row>
    <row r="356">
      <c r="A356" s="7" t="n"/>
      <c r="B356" s="7" t="n"/>
      <c r="C356" s="8" t="n"/>
      <c r="D356" s="33">
        <f>C356/$U$3</f>
        <v/>
      </c>
      <c r="E356" s="7" t="n"/>
      <c r="F356" s="7" t="n"/>
      <c r="G356" s="7" t="n"/>
      <c r="H356" s="7" t="n"/>
      <c r="I356" s="91" t="n"/>
      <c r="J356" s="7" t="n"/>
      <c r="K356" s="33">
        <f>SUM(E356:I356)</f>
        <v/>
      </c>
      <c r="L356" s="33">
        <f>K356*D356</f>
        <v/>
      </c>
      <c r="M356" s="33">
        <f>K356*C356</f>
        <v/>
      </c>
      <c r="N356" s="7" t="n"/>
      <c r="O356" s="33">
        <f>N356*C356</f>
        <v/>
      </c>
      <c r="P356" s="7" t="n"/>
      <c r="Q356" s="7" t="n"/>
      <c r="R356" s="7" t="n"/>
      <c r="S356" s="33">
        <f>O356*L356</f>
        <v/>
      </c>
      <c r="Y356" s="33">
        <f>0.25*H356</f>
        <v/>
      </c>
      <c r="Z356" s="33">
        <f>Y356*O356</f>
        <v/>
      </c>
      <c r="AA356" s="81">
        <f>C356*H356</f>
        <v/>
      </c>
      <c r="AB356" s="81">
        <f>(P356-1)*O356*K356</f>
        <v/>
      </c>
    </row>
    <row r="357">
      <c r="A357" s="7" t="n"/>
      <c r="B357" s="7" t="n"/>
      <c r="C357" s="8" t="n"/>
      <c r="D357" s="33">
        <f>C357/$U$3</f>
        <v/>
      </c>
      <c r="E357" s="7" t="n"/>
      <c r="F357" s="7" t="n"/>
      <c r="G357" s="7" t="n"/>
      <c r="H357" s="7" t="n"/>
      <c r="I357" s="91" t="n"/>
      <c r="J357" s="7" t="n"/>
      <c r="K357" s="33">
        <f>SUM(E357:I357)</f>
        <v/>
      </c>
      <c r="L357" s="33">
        <f>K357*D357</f>
        <v/>
      </c>
      <c r="M357" s="33">
        <f>K357*C357</f>
        <v/>
      </c>
      <c r="N357" s="7" t="n"/>
      <c r="O357" s="33">
        <f>N357*C357</f>
        <v/>
      </c>
      <c r="P357" s="7" t="n"/>
      <c r="Q357" s="7" t="n"/>
      <c r="R357" s="7" t="n"/>
      <c r="S357" s="33">
        <f>O357*L357</f>
        <v/>
      </c>
      <c r="Y357" s="33">
        <f>0.25*H357</f>
        <v/>
      </c>
      <c r="Z357" s="33">
        <f>Y357*O357</f>
        <v/>
      </c>
      <c r="AA357" s="81">
        <f>C357*H357</f>
        <v/>
      </c>
      <c r="AB357" s="81">
        <f>(P357-1)*O357*K357</f>
        <v/>
      </c>
    </row>
    <row r="358">
      <c r="A358" s="7" t="n"/>
      <c r="B358" s="7" t="n"/>
      <c r="C358" s="8" t="n"/>
      <c r="D358" s="33">
        <f>C358/$U$3</f>
        <v/>
      </c>
      <c r="E358" s="7" t="n"/>
      <c r="F358" s="7" t="n"/>
      <c r="G358" s="7" t="n"/>
      <c r="H358" s="7" t="n"/>
      <c r="I358" s="91" t="n"/>
      <c r="J358" s="7" t="n"/>
      <c r="K358" s="33">
        <f>SUM(E358:I358)</f>
        <v/>
      </c>
      <c r="L358" s="33">
        <f>K358*D358</f>
        <v/>
      </c>
      <c r="M358" s="33">
        <f>K358*C358</f>
        <v/>
      </c>
      <c r="N358" s="7" t="n"/>
      <c r="O358" s="33">
        <f>N358*C358</f>
        <v/>
      </c>
      <c r="P358" s="7" t="n"/>
      <c r="Q358" s="7" t="n"/>
      <c r="R358" s="7" t="n"/>
      <c r="S358" s="33">
        <f>O358*L358</f>
        <v/>
      </c>
      <c r="Y358" s="33">
        <f>0.25*H358</f>
        <v/>
      </c>
      <c r="Z358" s="33">
        <f>Y358*O358</f>
        <v/>
      </c>
      <c r="AA358" s="81">
        <f>C358*H358</f>
        <v/>
      </c>
      <c r="AB358" s="81">
        <f>(P358-1)*O358*K358</f>
        <v/>
      </c>
    </row>
    <row r="359">
      <c r="A359" s="7" t="n"/>
      <c r="B359" s="7" t="n"/>
      <c r="C359" s="8" t="n"/>
      <c r="D359" s="33">
        <f>C359/$U$3</f>
        <v/>
      </c>
      <c r="E359" s="7" t="n"/>
      <c r="F359" s="7" t="n"/>
      <c r="G359" s="7" t="n"/>
      <c r="H359" s="7" t="n"/>
      <c r="I359" s="91" t="n"/>
      <c r="J359" s="7" t="n"/>
      <c r="K359" s="33">
        <f>SUM(E359:I359)</f>
        <v/>
      </c>
      <c r="L359" s="33">
        <f>K359*D359</f>
        <v/>
      </c>
      <c r="M359" s="33">
        <f>K359*C359</f>
        <v/>
      </c>
      <c r="N359" s="7" t="n"/>
      <c r="O359" s="33">
        <f>N359*C359</f>
        <v/>
      </c>
      <c r="P359" s="7" t="n"/>
      <c r="Q359" s="7" t="n"/>
      <c r="R359" s="7" t="n"/>
      <c r="S359" s="33">
        <f>O359*L359</f>
        <v/>
      </c>
      <c r="Y359" s="33">
        <f>0.25*H359</f>
        <v/>
      </c>
      <c r="Z359" s="33">
        <f>Y359*O359</f>
        <v/>
      </c>
      <c r="AA359" s="81">
        <f>C359*H359</f>
        <v/>
      </c>
      <c r="AB359" s="81">
        <f>(P359-1)*O359*K359</f>
        <v/>
      </c>
    </row>
    <row r="360">
      <c r="A360" s="7" t="n"/>
      <c r="B360" s="7" t="n"/>
      <c r="C360" s="8" t="n"/>
      <c r="D360" s="33">
        <f>C360/$U$3</f>
        <v/>
      </c>
      <c r="E360" s="7" t="n"/>
      <c r="F360" s="7" t="n"/>
      <c r="G360" s="7" t="n"/>
      <c r="H360" s="7" t="n"/>
      <c r="I360" s="91" t="n"/>
      <c r="J360" s="7" t="n"/>
      <c r="K360" s="33">
        <f>SUM(E360:I360)</f>
        <v/>
      </c>
      <c r="L360" s="33">
        <f>K360*D360</f>
        <v/>
      </c>
      <c r="M360" s="33">
        <f>K360*C360</f>
        <v/>
      </c>
      <c r="N360" s="7" t="n"/>
      <c r="O360" s="33">
        <f>N360*C360</f>
        <v/>
      </c>
      <c r="P360" s="7" t="n"/>
      <c r="Q360" s="7" t="n"/>
      <c r="R360" s="7" t="n"/>
      <c r="S360" s="33">
        <f>O360*L360</f>
        <v/>
      </c>
      <c r="Y360" s="33">
        <f>0.25*H360</f>
        <v/>
      </c>
      <c r="Z360" s="33">
        <f>Y360*O360</f>
        <v/>
      </c>
      <c r="AA360" s="81">
        <f>C360*H360</f>
        <v/>
      </c>
      <c r="AB360" s="81">
        <f>(P360-1)*O360*K360</f>
        <v/>
      </c>
    </row>
    <row r="361">
      <c r="A361" s="7" t="n"/>
      <c r="B361" s="7" t="n"/>
      <c r="C361" s="8" t="n"/>
      <c r="D361" s="33">
        <f>C361/$U$3</f>
        <v/>
      </c>
      <c r="E361" s="7" t="n"/>
      <c r="F361" s="7" t="n"/>
      <c r="G361" s="7" t="n"/>
      <c r="H361" s="7" t="n"/>
      <c r="I361" s="91" t="n"/>
      <c r="J361" s="7" t="n"/>
      <c r="K361" s="33">
        <f>SUM(E361:I361)</f>
        <v/>
      </c>
      <c r="L361" s="33">
        <f>K361*D361</f>
        <v/>
      </c>
      <c r="M361" s="33">
        <f>K361*C361</f>
        <v/>
      </c>
      <c r="N361" s="7" t="n"/>
      <c r="O361" s="33">
        <f>N361*C361</f>
        <v/>
      </c>
      <c r="P361" s="7" t="n"/>
      <c r="Q361" s="7" t="n"/>
      <c r="R361" s="7" t="n"/>
      <c r="S361" s="33">
        <f>O361*L361</f>
        <v/>
      </c>
      <c r="Y361" s="33">
        <f>0.25*H361</f>
        <v/>
      </c>
      <c r="Z361" s="33">
        <f>Y361*O361</f>
        <v/>
      </c>
      <c r="AA361" s="81">
        <f>C361*H361</f>
        <v/>
      </c>
      <c r="AB361" s="81">
        <f>(P361-1)*O361*K361</f>
        <v/>
      </c>
    </row>
    <row r="362">
      <c r="A362" s="7" t="n"/>
      <c r="B362" s="7" t="n"/>
      <c r="C362" s="8" t="n"/>
      <c r="D362" s="33">
        <f>C362/$U$3</f>
        <v/>
      </c>
      <c r="E362" s="7" t="n"/>
      <c r="F362" s="7" t="n"/>
      <c r="G362" s="7" t="n"/>
      <c r="H362" s="7" t="n"/>
      <c r="I362" s="91" t="n"/>
      <c r="J362" s="7" t="n"/>
      <c r="K362" s="33">
        <f>SUM(E362:I362)</f>
        <v/>
      </c>
      <c r="L362" s="33">
        <f>K362*D362</f>
        <v/>
      </c>
      <c r="M362" s="33">
        <f>K362*C362</f>
        <v/>
      </c>
      <c r="N362" s="7" t="n"/>
      <c r="O362" s="33">
        <f>N362*C362</f>
        <v/>
      </c>
      <c r="P362" s="7" t="n"/>
      <c r="Q362" s="7" t="n"/>
      <c r="R362" s="7" t="n"/>
      <c r="S362" s="33">
        <f>O362*L362</f>
        <v/>
      </c>
      <c r="Y362" s="33">
        <f>0.25*H362</f>
        <v/>
      </c>
      <c r="Z362" s="33">
        <f>Y362*O362</f>
        <v/>
      </c>
      <c r="AA362" s="81">
        <f>C362*H362</f>
        <v/>
      </c>
      <c r="AB362" s="81">
        <f>(P362-1)*O362*K362</f>
        <v/>
      </c>
    </row>
    <row r="363">
      <c r="A363" s="7" t="n"/>
      <c r="B363" s="7" t="n"/>
      <c r="C363" s="8" t="n"/>
      <c r="D363" s="33">
        <f>C363/$U$3</f>
        <v/>
      </c>
      <c r="E363" s="7" t="n"/>
      <c r="F363" s="7" t="n"/>
      <c r="G363" s="7" t="n"/>
      <c r="H363" s="7" t="n"/>
      <c r="I363" s="91" t="n"/>
      <c r="J363" s="7" t="n"/>
      <c r="K363" s="33">
        <f>SUM(E363:I363)</f>
        <v/>
      </c>
      <c r="L363" s="33">
        <f>K363*D363</f>
        <v/>
      </c>
      <c r="M363" s="33">
        <f>K363*C363</f>
        <v/>
      </c>
      <c r="N363" s="7" t="n"/>
      <c r="O363" s="33">
        <f>N363*C363</f>
        <v/>
      </c>
      <c r="P363" s="7" t="n"/>
      <c r="Q363" s="7" t="n"/>
      <c r="R363" s="7" t="n"/>
      <c r="S363" s="33">
        <f>O363*L363</f>
        <v/>
      </c>
      <c r="Y363" s="33">
        <f>0.25*H363</f>
        <v/>
      </c>
      <c r="Z363" s="33">
        <f>Y363*O363</f>
        <v/>
      </c>
      <c r="AA363" s="81">
        <f>C363*H363</f>
        <v/>
      </c>
      <c r="AB363" s="81">
        <f>(P363-1)*O363*K363</f>
        <v/>
      </c>
    </row>
    <row r="364">
      <c r="A364" s="7" t="n"/>
      <c r="B364" s="7" t="n"/>
      <c r="C364" s="8" t="n"/>
      <c r="D364" s="33">
        <f>C364/$U$3</f>
        <v/>
      </c>
      <c r="E364" s="7" t="n"/>
      <c r="F364" s="7" t="n"/>
      <c r="G364" s="7" t="n"/>
      <c r="H364" s="7" t="n"/>
      <c r="I364" s="91" t="n"/>
      <c r="J364" s="7" t="n"/>
      <c r="K364" s="33">
        <f>SUM(E364:I364)</f>
        <v/>
      </c>
      <c r="L364" s="33">
        <f>K364*D364</f>
        <v/>
      </c>
      <c r="M364" s="33">
        <f>K364*C364</f>
        <v/>
      </c>
      <c r="N364" s="7" t="n"/>
      <c r="O364" s="33">
        <f>N364*C364</f>
        <v/>
      </c>
      <c r="P364" s="7" t="n"/>
      <c r="Q364" s="7" t="n"/>
      <c r="R364" s="7" t="n"/>
      <c r="S364" s="33">
        <f>O364*L364</f>
        <v/>
      </c>
      <c r="Y364" s="33">
        <f>0.25*H364</f>
        <v/>
      </c>
      <c r="Z364" s="33">
        <f>Y364*O364</f>
        <v/>
      </c>
      <c r="AA364" s="81">
        <f>C364*H364</f>
        <v/>
      </c>
      <c r="AB364" s="81">
        <f>(P364-1)*O364*K364</f>
        <v/>
      </c>
    </row>
    <row r="365">
      <c r="A365" s="7" t="n"/>
      <c r="B365" s="7" t="n"/>
      <c r="C365" s="8" t="n"/>
      <c r="D365" s="33">
        <f>C365/$U$3</f>
        <v/>
      </c>
      <c r="E365" s="7" t="n"/>
      <c r="F365" s="7" t="n"/>
      <c r="G365" s="7" t="n"/>
      <c r="H365" s="7" t="n"/>
      <c r="I365" s="91" t="n"/>
      <c r="J365" s="7" t="n"/>
      <c r="K365" s="33">
        <f>SUM(E365:I365)</f>
        <v/>
      </c>
      <c r="L365" s="33">
        <f>K365*D365</f>
        <v/>
      </c>
      <c r="M365" s="33">
        <f>K365*C365</f>
        <v/>
      </c>
      <c r="N365" s="7" t="n"/>
      <c r="O365" s="33">
        <f>N365*C365</f>
        <v/>
      </c>
      <c r="P365" s="7" t="n"/>
      <c r="Q365" s="7" t="n"/>
      <c r="R365" s="7" t="n"/>
      <c r="S365" s="33">
        <f>O365*L365</f>
        <v/>
      </c>
      <c r="Y365" s="33">
        <f>0.25*H365</f>
        <v/>
      </c>
      <c r="Z365" s="33">
        <f>Y365*O365</f>
        <v/>
      </c>
      <c r="AA365" s="81">
        <f>C365*H365</f>
        <v/>
      </c>
      <c r="AB365" s="81">
        <f>(P365-1)*O365*K365</f>
        <v/>
      </c>
    </row>
    <row r="366">
      <c r="A366" s="7" t="n"/>
      <c r="B366" s="7" t="n"/>
      <c r="C366" s="8" t="n"/>
      <c r="D366" s="33">
        <f>C366/$U$3</f>
        <v/>
      </c>
      <c r="E366" s="7" t="n"/>
      <c r="F366" s="7" t="n"/>
      <c r="G366" s="7" t="n"/>
      <c r="H366" s="7" t="n"/>
      <c r="I366" s="91" t="n"/>
      <c r="J366" s="7" t="n"/>
      <c r="K366" s="33">
        <f>SUM(E366:I366)</f>
        <v/>
      </c>
      <c r="L366" s="33">
        <f>K366*D366</f>
        <v/>
      </c>
      <c r="M366" s="33">
        <f>K366*C366</f>
        <v/>
      </c>
      <c r="N366" s="7" t="n"/>
      <c r="O366" s="33">
        <f>N366*C366</f>
        <v/>
      </c>
      <c r="P366" s="7" t="n"/>
      <c r="Q366" s="7" t="n"/>
      <c r="R366" s="7" t="n"/>
      <c r="S366" s="33">
        <f>O366*L366</f>
        <v/>
      </c>
      <c r="Y366" s="33">
        <f>0.25*H366</f>
        <v/>
      </c>
      <c r="Z366" s="33">
        <f>Y366*O366</f>
        <v/>
      </c>
      <c r="AA366" s="81">
        <f>C366*H366</f>
        <v/>
      </c>
      <c r="AB366" s="81">
        <f>(P366-1)*O366*K366</f>
        <v/>
      </c>
    </row>
    <row r="367">
      <c r="A367" s="7" t="n"/>
      <c r="B367" s="7" t="n"/>
      <c r="C367" s="8" t="n"/>
      <c r="D367" s="33">
        <f>C367/$U$3</f>
        <v/>
      </c>
      <c r="E367" s="7" t="n"/>
      <c r="F367" s="7" t="n"/>
      <c r="G367" s="7" t="n"/>
      <c r="H367" s="7" t="n"/>
      <c r="I367" s="91" t="n"/>
      <c r="J367" s="7" t="n"/>
      <c r="K367" s="33">
        <f>SUM(E367:I367)</f>
        <v/>
      </c>
      <c r="L367" s="33">
        <f>K367*D367</f>
        <v/>
      </c>
      <c r="M367" s="33">
        <f>K367*C367</f>
        <v/>
      </c>
      <c r="N367" s="7" t="n"/>
      <c r="O367" s="33">
        <f>N367*C367</f>
        <v/>
      </c>
      <c r="P367" s="7" t="n"/>
      <c r="Q367" s="7" t="n"/>
      <c r="R367" s="7" t="n"/>
      <c r="S367" s="33">
        <f>O367*L367</f>
        <v/>
      </c>
      <c r="Y367" s="33">
        <f>0.25*H367</f>
        <v/>
      </c>
      <c r="Z367" s="33">
        <f>Y367*O367</f>
        <v/>
      </c>
      <c r="AA367" s="81">
        <f>C367*H367</f>
        <v/>
      </c>
      <c r="AB367" s="81">
        <f>(P367-1)*O367*K367</f>
        <v/>
      </c>
    </row>
    <row r="368">
      <c r="A368" s="7" t="n"/>
      <c r="B368" s="7" t="n"/>
      <c r="C368" s="8" t="n"/>
      <c r="D368" s="33">
        <f>C368/$U$3</f>
        <v/>
      </c>
      <c r="E368" s="7" t="n"/>
      <c r="F368" s="7" t="n"/>
      <c r="G368" s="7" t="n"/>
      <c r="H368" s="7" t="n"/>
      <c r="I368" s="91" t="n"/>
      <c r="J368" s="7" t="n"/>
      <c r="K368" s="33">
        <f>SUM(E368:I368)</f>
        <v/>
      </c>
      <c r="L368" s="33">
        <f>K368*D368</f>
        <v/>
      </c>
      <c r="M368" s="33">
        <f>K368*C368</f>
        <v/>
      </c>
      <c r="N368" s="7" t="n"/>
      <c r="O368" s="33">
        <f>N368*C368</f>
        <v/>
      </c>
      <c r="P368" s="7" t="n"/>
      <c r="Q368" s="7" t="n"/>
      <c r="R368" s="7" t="n"/>
      <c r="S368" s="33">
        <f>O368*L368</f>
        <v/>
      </c>
      <c r="Y368" s="33">
        <f>0.25*H368</f>
        <v/>
      </c>
      <c r="Z368" s="33">
        <f>Y368*O368</f>
        <v/>
      </c>
      <c r="AA368" s="81">
        <f>C368*H368</f>
        <v/>
      </c>
      <c r="AB368" s="81">
        <f>(P368-1)*O368*K368</f>
        <v/>
      </c>
    </row>
    <row r="369">
      <c r="A369" s="7" t="n"/>
      <c r="B369" s="7" t="n"/>
      <c r="C369" s="8" t="n"/>
      <c r="D369" s="33">
        <f>C369/$U$3</f>
        <v/>
      </c>
      <c r="E369" s="7" t="n"/>
      <c r="F369" s="7" t="n"/>
      <c r="G369" s="7" t="n"/>
      <c r="H369" s="7" t="n"/>
      <c r="I369" s="91" t="n"/>
      <c r="J369" s="7" t="n"/>
      <c r="K369" s="33">
        <f>SUM(E369:I369)</f>
        <v/>
      </c>
      <c r="L369" s="33">
        <f>K369*D369</f>
        <v/>
      </c>
      <c r="M369" s="33">
        <f>K369*C369</f>
        <v/>
      </c>
      <c r="N369" s="7" t="n"/>
      <c r="O369" s="33">
        <f>N369*C369</f>
        <v/>
      </c>
      <c r="P369" s="7" t="n"/>
      <c r="Q369" s="7" t="n"/>
      <c r="R369" s="7" t="n"/>
      <c r="S369" s="33">
        <f>O369*L369</f>
        <v/>
      </c>
      <c r="Y369" s="33">
        <f>0.25*H369</f>
        <v/>
      </c>
      <c r="Z369" s="33">
        <f>Y369*O369</f>
        <v/>
      </c>
      <c r="AA369" s="81">
        <f>C369*H369</f>
        <v/>
      </c>
      <c r="AB369" s="81">
        <f>(P369-1)*O369*K369</f>
        <v/>
      </c>
    </row>
    <row r="370">
      <c r="A370" s="7" t="n"/>
      <c r="B370" s="7" t="n"/>
      <c r="C370" s="8" t="n"/>
      <c r="D370" s="33">
        <f>C370/$U$3</f>
        <v/>
      </c>
      <c r="E370" s="7" t="n"/>
      <c r="F370" s="7" t="n"/>
      <c r="G370" s="7" t="n"/>
      <c r="H370" s="7" t="n"/>
      <c r="I370" s="91" t="n"/>
      <c r="J370" s="7" t="n"/>
      <c r="K370" s="33">
        <f>SUM(E370:I370)</f>
        <v/>
      </c>
      <c r="L370" s="33">
        <f>K370*D370</f>
        <v/>
      </c>
      <c r="M370" s="33">
        <f>K370*C370</f>
        <v/>
      </c>
      <c r="N370" s="7" t="n"/>
      <c r="O370" s="33">
        <f>N370*C370</f>
        <v/>
      </c>
      <c r="P370" s="7" t="n"/>
      <c r="Q370" s="7" t="n"/>
      <c r="R370" s="7" t="n"/>
      <c r="S370" s="33">
        <f>O370*L370</f>
        <v/>
      </c>
      <c r="Y370" s="33">
        <f>0.25*H370</f>
        <v/>
      </c>
      <c r="Z370" s="33">
        <f>Y370*O370</f>
        <v/>
      </c>
      <c r="AA370" s="81">
        <f>C370*H370</f>
        <v/>
      </c>
      <c r="AB370" s="81">
        <f>(P370-1)*O370*K370</f>
        <v/>
      </c>
    </row>
    <row r="371">
      <c r="A371" s="7" t="n"/>
      <c r="B371" s="7" t="n"/>
      <c r="C371" s="8" t="n"/>
      <c r="D371" s="33">
        <f>C371/$U$3</f>
        <v/>
      </c>
      <c r="E371" s="7" t="n"/>
      <c r="F371" s="7" t="n"/>
      <c r="G371" s="7" t="n"/>
      <c r="H371" s="7" t="n"/>
      <c r="I371" s="91" t="n"/>
      <c r="J371" s="7" t="n"/>
      <c r="K371" s="33">
        <f>SUM(E371:I371)</f>
        <v/>
      </c>
      <c r="L371" s="33">
        <f>K371*D371</f>
        <v/>
      </c>
      <c r="M371" s="33">
        <f>K371*C371</f>
        <v/>
      </c>
      <c r="N371" s="7" t="n"/>
      <c r="O371" s="33">
        <f>N371*C371</f>
        <v/>
      </c>
      <c r="P371" s="7" t="n"/>
      <c r="Q371" s="7" t="n"/>
      <c r="R371" s="7" t="n"/>
      <c r="S371" s="33">
        <f>O371*L371</f>
        <v/>
      </c>
      <c r="Y371" s="33">
        <f>0.25*H371</f>
        <v/>
      </c>
      <c r="Z371" s="33">
        <f>Y371*O371</f>
        <v/>
      </c>
      <c r="AA371" s="81">
        <f>C371*H371</f>
        <v/>
      </c>
      <c r="AB371" s="81">
        <f>(P371-1)*O371*K371</f>
        <v/>
      </c>
    </row>
    <row r="372">
      <c r="A372" s="7" t="n"/>
      <c r="B372" s="7" t="n"/>
      <c r="C372" s="8" t="n"/>
      <c r="D372" s="33">
        <f>C372/$U$3</f>
        <v/>
      </c>
      <c r="E372" s="7" t="n"/>
      <c r="F372" s="7" t="n"/>
      <c r="G372" s="7" t="n"/>
      <c r="H372" s="7" t="n"/>
      <c r="I372" s="91" t="n"/>
      <c r="J372" s="7" t="n"/>
      <c r="K372" s="33">
        <f>SUM(E372:I372)</f>
        <v/>
      </c>
      <c r="L372" s="33">
        <f>K372*D372</f>
        <v/>
      </c>
      <c r="M372" s="33">
        <f>K372*C372</f>
        <v/>
      </c>
      <c r="N372" s="7" t="n"/>
      <c r="O372" s="33">
        <f>N372*C372</f>
        <v/>
      </c>
      <c r="P372" s="7" t="n"/>
      <c r="Q372" s="7" t="n"/>
      <c r="R372" s="7" t="n"/>
      <c r="S372" s="33">
        <f>O372*L372</f>
        <v/>
      </c>
      <c r="Y372" s="33">
        <f>0.25*H372</f>
        <v/>
      </c>
      <c r="Z372" s="33">
        <f>Y372*O372</f>
        <v/>
      </c>
      <c r="AA372" s="81">
        <f>C372*H372</f>
        <v/>
      </c>
      <c r="AB372" s="81">
        <f>(P372-1)*O372*K372</f>
        <v/>
      </c>
    </row>
    <row r="373">
      <c r="A373" s="7" t="n"/>
      <c r="B373" s="7" t="n"/>
      <c r="C373" s="8" t="n"/>
      <c r="D373" s="33">
        <f>C373/$U$3</f>
        <v/>
      </c>
      <c r="E373" s="7" t="n"/>
      <c r="F373" s="7" t="n"/>
      <c r="G373" s="7" t="n"/>
      <c r="H373" s="7" t="n"/>
      <c r="I373" s="91" t="n"/>
      <c r="J373" s="7" t="n"/>
      <c r="K373" s="33">
        <f>SUM(E373:I373)</f>
        <v/>
      </c>
      <c r="L373" s="33">
        <f>K373*D373</f>
        <v/>
      </c>
      <c r="M373" s="33">
        <f>K373*C373</f>
        <v/>
      </c>
      <c r="N373" s="7" t="n"/>
      <c r="O373" s="33">
        <f>N373*C373</f>
        <v/>
      </c>
      <c r="P373" s="7" t="n"/>
      <c r="Q373" s="7" t="n"/>
      <c r="R373" s="7" t="n"/>
      <c r="S373" s="33">
        <f>O373*L373</f>
        <v/>
      </c>
      <c r="Y373" s="33">
        <f>0.25*H373</f>
        <v/>
      </c>
      <c r="Z373" s="33">
        <f>Y373*O373</f>
        <v/>
      </c>
      <c r="AA373" s="81">
        <f>C373*H373</f>
        <v/>
      </c>
      <c r="AB373" s="81">
        <f>(P373-1)*O373*K373</f>
        <v/>
      </c>
    </row>
    <row r="374">
      <c r="A374" s="7" t="n"/>
      <c r="B374" s="7" t="n"/>
      <c r="C374" s="8" t="n"/>
      <c r="D374" s="33">
        <f>C374/$U$3</f>
        <v/>
      </c>
      <c r="E374" s="7" t="n"/>
      <c r="F374" s="7" t="n"/>
      <c r="G374" s="7" t="n"/>
      <c r="H374" s="7" t="n"/>
      <c r="I374" s="91" t="n"/>
      <c r="J374" s="7" t="n"/>
      <c r="K374" s="33">
        <f>SUM(E374:I374)</f>
        <v/>
      </c>
      <c r="L374" s="33">
        <f>K374*D374</f>
        <v/>
      </c>
      <c r="M374" s="33">
        <f>K374*C374</f>
        <v/>
      </c>
      <c r="N374" s="7" t="n"/>
      <c r="O374" s="33">
        <f>N374*C374</f>
        <v/>
      </c>
      <c r="P374" s="7" t="n"/>
      <c r="Q374" s="7" t="n"/>
      <c r="R374" s="7" t="n"/>
      <c r="S374" s="33">
        <f>O374*L374</f>
        <v/>
      </c>
      <c r="Y374" s="33">
        <f>0.25*H374</f>
        <v/>
      </c>
      <c r="Z374" s="33">
        <f>Y374*O374</f>
        <v/>
      </c>
      <c r="AA374" s="81">
        <f>C374*H374</f>
        <v/>
      </c>
      <c r="AB374" s="81">
        <f>(P374-1)*O374*K374</f>
        <v/>
      </c>
    </row>
    <row r="375">
      <c r="A375" s="7" t="n"/>
      <c r="B375" s="7" t="n"/>
      <c r="C375" s="8" t="n"/>
      <c r="D375" s="33">
        <f>C375/$U$3</f>
        <v/>
      </c>
      <c r="E375" s="7" t="n"/>
      <c r="F375" s="7" t="n"/>
      <c r="G375" s="7" t="n"/>
      <c r="H375" s="7" t="n"/>
      <c r="I375" s="91" t="n"/>
      <c r="J375" s="7" t="n"/>
      <c r="K375" s="33">
        <f>SUM(E375:I375)</f>
        <v/>
      </c>
      <c r="L375" s="33">
        <f>K375*D375</f>
        <v/>
      </c>
      <c r="M375" s="33">
        <f>K375*C375</f>
        <v/>
      </c>
      <c r="N375" s="7" t="n"/>
      <c r="O375" s="33">
        <f>N375*C375</f>
        <v/>
      </c>
      <c r="P375" s="7" t="n"/>
      <c r="Q375" s="7" t="n"/>
      <c r="R375" s="7" t="n"/>
      <c r="S375" s="33">
        <f>O375*L375</f>
        <v/>
      </c>
      <c r="Y375" s="33">
        <f>0.25*H375</f>
        <v/>
      </c>
      <c r="Z375" s="33">
        <f>Y375*O375</f>
        <v/>
      </c>
      <c r="AA375" s="81">
        <f>C375*H375</f>
        <v/>
      </c>
      <c r="AB375" s="81">
        <f>(P375-1)*O375*K375</f>
        <v/>
      </c>
    </row>
    <row r="376">
      <c r="A376" s="7" t="n"/>
      <c r="B376" s="7" t="n"/>
      <c r="C376" s="8" t="n"/>
      <c r="D376" s="33">
        <f>C376/$U$3</f>
        <v/>
      </c>
      <c r="E376" s="7" t="n"/>
      <c r="F376" s="7" t="n"/>
      <c r="G376" s="7" t="n"/>
      <c r="H376" s="7" t="n"/>
      <c r="I376" s="91" t="n"/>
      <c r="J376" s="7" t="n"/>
      <c r="K376" s="33">
        <f>SUM(E376:I376)</f>
        <v/>
      </c>
      <c r="L376" s="33">
        <f>K376*D376</f>
        <v/>
      </c>
      <c r="M376" s="33">
        <f>K376*C376</f>
        <v/>
      </c>
      <c r="N376" s="7" t="n"/>
      <c r="O376" s="33">
        <f>N376*C376</f>
        <v/>
      </c>
      <c r="P376" s="7" t="n"/>
      <c r="Q376" s="7" t="n"/>
      <c r="R376" s="7" t="n"/>
      <c r="S376" s="33">
        <f>O376*L376</f>
        <v/>
      </c>
      <c r="Y376" s="33">
        <f>0.25*H376</f>
        <v/>
      </c>
      <c r="Z376" s="33">
        <f>Y376*O376</f>
        <v/>
      </c>
      <c r="AA376" s="81">
        <f>C376*H376</f>
        <v/>
      </c>
      <c r="AB376" s="81">
        <f>(P376-1)*O376*K376</f>
        <v/>
      </c>
    </row>
    <row r="377">
      <c r="A377" s="7" t="n"/>
      <c r="B377" s="7" t="n"/>
      <c r="C377" s="8" t="n"/>
      <c r="D377" s="33">
        <f>C377/$U$3</f>
        <v/>
      </c>
      <c r="E377" s="7" t="n"/>
      <c r="F377" s="7" t="n"/>
      <c r="G377" s="7" t="n"/>
      <c r="H377" s="7" t="n"/>
      <c r="I377" s="91" t="n"/>
      <c r="J377" s="7" t="n"/>
      <c r="K377" s="33">
        <f>SUM(E377:I377)</f>
        <v/>
      </c>
      <c r="L377" s="33">
        <f>K377*D377</f>
        <v/>
      </c>
      <c r="M377" s="33">
        <f>K377*C377</f>
        <v/>
      </c>
      <c r="N377" s="7" t="n"/>
      <c r="O377" s="33">
        <f>N377*C377</f>
        <v/>
      </c>
      <c r="P377" s="7" t="n"/>
      <c r="Q377" s="7" t="n"/>
      <c r="R377" s="7" t="n"/>
      <c r="S377" s="33">
        <f>O377*L377</f>
        <v/>
      </c>
      <c r="Y377" s="33">
        <f>0.25*H377</f>
        <v/>
      </c>
      <c r="Z377" s="33">
        <f>Y377*O377</f>
        <v/>
      </c>
      <c r="AA377" s="81">
        <f>C377*H377</f>
        <v/>
      </c>
      <c r="AB377" s="81">
        <f>(P377-1)*O377*K377</f>
        <v/>
      </c>
    </row>
    <row r="378">
      <c r="A378" s="7" t="n"/>
      <c r="B378" s="7" t="n"/>
      <c r="C378" s="8" t="n"/>
      <c r="D378" s="33">
        <f>C378/$U$3</f>
        <v/>
      </c>
      <c r="E378" s="7" t="n"/>
      <c r="F378" s="7" t="n"/>
      <c r="G378" s="7" t="n"/>
      <c r="H378" s="7" t="n"/>
      <c r="I378" s="91" t="n"/>
      <c r="J378" s="7" t="n"/>
      <c r="K378" s="33">
        <f>SUM(E378:I378)</f>
        <v/>
      </c>
      <c r="L378" s="33">
        <f>K378*D378</f>
        <v/>
      </c>
      <c r="M378" s="33">
        <f>K378*C378</f>
        <v/>
      </c>
      <c r="N378" s="7" t="n"/>
      <c r="O378" s="33">
        <f>N378*C378</f>
        <v/>
      </c>
      <c r="P378" s="7" t="n"/>
      <c r="Q378" s="7" t="n"/>
      <c r="R378" s="7" t="n"/>
      <c r="S378" s="33">
        <f>O378*L378</f>
        <v/>
      </c>
      <c r="Y378" s="33">
        <f>0.25*H378</f>
        <v/>
      </c>
      <c r="Z378" s="33">
        <f>Y378*O378</f>
        <v/>
      </c>
      <c r="AA378" s="81">
        <f>C378*H378</f>
        <v/>
      </c>
      <c r="AB378" s="81">
        <f>(P378-1)*O378*K378</f>
        <v/>
      </c>
    </row>
    <row r="379">
      <c r="A379" s="7" t="n"/>
      <c r="B379" s="7" t="n"/>
      <c r="C379" s="8" t="n"/>
      <c r="D379" s="33">
        <f>C379/$U$3</f>
        <v/>
      </c>
      <c r="E379" s="7" t="n"/>
      <c r="F379" s="7" t="n"/>
      <c r="G379" s="7" t="n"/>
      <c r="H379" s="7" t="n"/>
      <c r="I379" s="91" t="n"/>
      <c r="J379" s="7" t="n"/>
      <c r="K379" s="33">
        <f>SUM(E379:I379)</f>
        <v/>
      </c>
      <c r="L379" s="33">
        <f>K379*D379</f>
        <v/>
      </c>
      <c r="M379" s="33">
        <f>K379*C379</f>
        <v/>
      </c>
      <c r="N379" s="7" t="n"/>
      <c r="O379" s="33">
        <f>N379*C379</f>
        <v/>
      </c>
      <c r="P379" s="7" t="n"/>
      <c r="Q379" s="7" t="n"/>
      <c r="R379" s="7" t="n"/>
      <c r="S379" s="33">
        <f>O379*L379</f>
        <v/>
      </c>
      <c r="Y379" s="33">
        <f>0.25*H379</f>
        <v/>
      </c>
      <c r="Z379" s="33">
        <f>Y379*O379</f>
        <v/>
      </c>
      <c r="AA379" s="81">
        <f>C379*H379</f>
        <v/>
      </c>
      <c r="AB379" s="81">
        <f>(P379-1)*O379*K379</f>
        <v/>
      </c>
    </row>
    <row r="380">
      <c r="A380" s="7" t="n"/>
      <c r="B380" s="7" t="n"/>
      <c r="C380" s="8" t="n"/>
      <c r="D380" s="33">
        <f>C380/$U$3</f>
        <v/>
      </c>
      <c r="E380" s="7" t="n"/>
      <c r="F380" s="7" t="n"/>
      <c r="G380" s="7" t="n"/>
      <c r="H380" s="7" t="n"/>
      <c r="I380" s="91" t="n"/>
      <c r="J380" s="7" t="n"/>
      <c r="K380" s="33">
        <f>SUM(E380:I380)</f>
        <v/>
      </c>
      <c r="L380" s="33">
        <f>K380*D380</f>
        <v/>
      </c>
      <c r="M380" s="33">
        <f>K380*C380</f>
        <v/>
      </c>
      <c r="N380" s="7" t="n"/>
      <c r="O380" s="33">
        <f>N380*C380</f>
        <v/>
      </c>
      <c r="P380" s="7" t="n"/>
      <c r="Q380" s="7" t="n"/>
      <c r="R380" s="7" t="n"/>
      <c r="S380" s="33">
        <f>O380*L380</f>
        <v/>
      </c>
      <c r="Y380" s="33">
        <f>0.25*H380</f>
        <v/>
      </c>
      <c r="Z380" s="33">
        <f>Y380*O380</f>
        <v/>
      </c>
      <c r="AA380" s="81">
        <f>C380*H380</f>
        <v/>
      </c>
      <c r="AB380" s="81">
        <f>(P380-1)*O380*K380</f>
        <v/>
      </c>
    </row>
    <row r="381">
      <c r="A381" s="7" t="n"/>
      <c r="B381" s="7" t="n"/>
      <c r="C381" s="8" t="n"/>
      <c r="D381" s="33">
        <f>C381/$U$3</f>
        <v/>
      </c>
      <c r="E381" s="7" t="n"/>
      <c r="F381" s="7" t="n"/>
      <c r="G381" s="7" t="n"/>
      <c r="H381" s="7" t="n"/>
      <c r="I381" s="91" t="n"/>
      <c r="J381" s="7" t="n"/>
      <c r="K381" s="33">
        <f>SUM(E381:I381)</f>
        <v/>
      </c>
      <c r="L381" s="33">
        <f>K381*D381</f>
        <v/>
      </c>
      <c r="M381" s="33">
        <f>K381*C381</f>
        <v/>
      </c>
      <c r="N381" s="7" t="n"/>
      <c r="O381" s="33">
        <f>N381*C381</f>
        <v/>
      </c>
      <c r="P381" s="7" t="n"/>
      <c r="Q381" s="7" t="n"/>
      <c r="R381" s="7" t="n"/>
      <c r="S381" s="33">
        <f>O381*L381</f>
        <v/>
      </c>
      <c r="Y381" s="33">
        <f>0.25*H381</f>
        <v/>
      </c>
      <c r="Z381" s="33">
        <f>Y381*O381</f>
        <v/>
      </c>
      <c r="AA381" s="81">
        <f>C381*H381</f>
        <v/>
      </c>
      <c r="AB381" s="81">
        <f>(P381-1)*O381*K381</f>
        <v/>
      </c>
    </row>
    <row r="382">
      <c r="A382" s="7" t="n"/>
      <c r="B382" s="7" t="n"/>
      <c r="C382" s="8" t="n"/>
      <c r="D382" s="33">
        <f>C382/$U$3</f>
        <v/>
      </c>
      <c r="E382" s="7" t="n"/>
      <c r="F382" s="7" t="n"/>
      <c r="G382" s="7" t="n"/>
      <c r="H382" s="7" t="n"/>
      <c r="I382" s="91" t="n"/>
      <c r="J382" s="7" t="n"/>
      <c r="K382" s="33">
        <f>SUM(E382:I382)</f>
        <v/>
      </c>
      <c r="L382" s="33">
        <f>K382*D382</f>
        <v/>
      </c>
      <c r="M382" s="33">
        <f>K382*C382</f>
        <v/>
      </c>
      <c r="N382" s="7" t="n"/>
      <c r="O382" s="33">
        <f>N382*C382</f>
        <v/>
      </c>
      <c r="P382" s="7" t="n"/>
      <c r="Q382" s="7" t="n"/>
      <c r="R382" s="7" t="n"/>
      <c r="S382" s="33">
        <f>O382*L382</f>
        <v/>
      </c>
      <c r="Y382" s="33">
        <f>0.25*H382</f>
        <v/>
      </c>
      <c r="Z382" s="33">
        <f>Y382*O382</f>
        <v/>
      </c>
      <c r="AA382" s="81">
        <f>C382*H382</f>
        <v/>
      </c>
      <c r="AB382" s="81">
        <f>(P382-1)*O382*K382</f>
        <v/>
      </c>
    </row>
    <row r="383">
      <c r="A383" s="7" t="n"/>
      <c r="B383" s="7" t="n"/>
      <c r="C383" s="8" t="n"/>
      <c r="D383" s="33">
        <f>C383/$U$3</f>
        <v/>
      </c>
      <c r="E383" s="7" t="n"/>
      <c r="F383" s="7" t="n"/>
      <c r="G383" s="7" t="n"/>
      <c r="H383" s="7" t="n"/>
      <c r="I383" s="91" t="n"/>
      <c r="J383" s="7" t="n"/>
      <c r="K383" s="33">
        <f>SUM(E383:I383)</f>
        <v/>
      </c>
      <c r="L383" s="33">
        <f>K383*D383</f>
        <v/>
      </c>
      <c r="M383" s="33">
        <f>K383*C383</f>
        <v/>
      </c>
      <c r="N383" s="7" t="n"/>
      <c r="O383" s="33">
        <f>N383*C383</f>
        <v/>
      </c>
      <c r="P383" s="7" t="n"/>
      <c r="Q383" s="7" t="n"/>
      <c r="R383" s="7" t="n"/>
      <c r="S383" s="33">
        <f>O383*L383</f>
        <v/>
      </c>
      <c r="Y383" s="33">
        <f>0.25*H383</f>
        <v/>
      </c>
      <c r="Z383" s="33">
        <f>Y383*O383</f>
        <v/>
      </c>
      <c r="AA383" s="81">
        <f>C383*H383</f>
        <v/>
      </c>
      <c r="AB383" s="81">
        <f>(P383-1)*O383*K383</f>
        <v/>
      </c>
    </row>
    <row r="384">
      <c r="A384" s="7" t="n"/>
      <c r="B384" s="7" t="n"/>
      <c r="C384" s="8" t="n"/>
      <c r="D384" s="33">
        <f>C384/$U$3</f>
        <v/>
      </c>
      <c r="E384" s="7" t="n"/>
      <c r="F384" s="7" t="n"/>
      <c r="G384" s="7" t="n"/>
      <c r="H384" s="7" t="n"/>
      <c r="I384" s="91" t="n"/>
      <c r="J384" s="7" t="n"/>
      <c r="K384" s="33">
        <f>SUM(E384:I384)</f>
        <v/>
      </c>
      <c r="L384" s="33">
        <f>K384*D384</f>
        <v/>
      </c>
      <c r="M384" s="33">
        <f>K384*C384</f>
        <v/>
      </c>
      <c r="N384" s="7" t="n"/>
      <c r="O384" s="33">
        <f>N384*C384</f>
        <v/>
      </c>
      <c r="P384" s="7" t="n"/>
      <c r="Q384" s="7" t="n"/>
      <c r="R384" s="7" t="n"/>
      <c r="S384" s="33">
        <f>O384*L384</f>
        <v/>
      </c>
      <c r="Y384" s="33">
        <f>0.25*H384</f>
        <v/>
      </c>
      <c r="Z384" s="33">
        <f>Y384*O384</f>
        <v/>
      </c>
      <c r="AA384" s="81">
        <f>C384*H384</f>
        <v/>
      </c>
      <c r="AB384" s="81">
        <f>(P384-1)*O384*K384</f>
        <v/>
      </c>
    </row>
    <row r="385">
      <c r="A385" s="7" t="n"/>
      <c r="B385" s="7" t="n"/>
      <c r="C385" s="8" t="n"/>
      <c r="D385" s="33">
        <f>C385/$U$3</f>
        <v/>
      </c>
      <c r="E385" s="7" t="n"/>
      <c r="F385" s="7" t="n"/>
      <c r="G385" s="7" t="n"/>
      <c r="H385" s="7" t="n"/>
      <c r="I385" s="91" t="n"/>
      <c r="J385" s="7" t="n"/>
      <c r="K385" s="33">
        <f>SUM(E385:I385)</f>
        <v/>
      </c>
      <c r="L385" s="33">
        <f>K385*D385</f>
        <v/>
      </c>
      <c r="M385" s="33">
        <f>K385*C385</f>
        <v/>
      </c>
      <c r="N385" s="7" t="n"/>
      <c r="O385" s="33">
        <f>N385*C385</f>
        <v/>
      </c>
      <c r="P385" s="7" t="n"/>
      <c r="Q385" s="7" t="n"/>
      <c r="R385" s="7" t="n"/>
      <c r="S385" s="33">
        <f>O385*L385</f>
        <v/>
      </c>
      <c r="Y385" s="33">
        <f>0.25*H385</f>
        <v/>
      </c>
      <c r="Z385" s="33">
        <f>Y385*O385</f>
        <v/>
      </c>
      <c r="AA385" s="81">
        <f>C385*H385</f>
        <v/>
      </c>
      <c r="AB385" s="81">
        <f>(P385-1)*O385*K385</f>
        <v/>
      </c>
    </row>
    <row r="386">
      <c r="A386" s="7" t="n"/>
      <c r="B386" s="7" t="n"/>
      <c r="C386" s="8" t="n"/>
      <c r="D386" s="33">
        <f>C386/$U$3</f>
        <v/>
      </c>
      <c r="E386" s="7" t="n"/>
      <c r="F386" s="7" t="n"/>
      <c r="G386" s="7" t="n"/>
      <c r="H386" s="7" t="n"/>
      <c r="I386" s="91" t="n"/>
      <c r="J386" s="7" t="n"/>
      <c r="K386" s="33">
        <f>SUM(E386:I386)</f>
        <v/>
      </c>
      <c r="L386" s="33">
        <f>K386*D386</f>
        <v/>
      </c>
      <c r="M386" s="33">
        <f>K386*C386</f>
        <v/>
      </c>
      <c r="N386" s="7" t="n"/>
      <c r="O386" s="33">
        <f>N386*C386</f>
        <v/>
      </c>
      <c r="P386" s="7" t="n"/>
      <c r="Q386" s="7" t="n"/>
      <c r="R386" s="7" t="n"/>
      <c r="S386" s="33">
        <f>O386*L386</f>
        <v/>
      </c>
      <c r="Y386" s="33">
        <f>0.25*H386</f>
        <v/>
      </c>
      <c r="Z386" s="33">
        <f>Y386*O386</f>
        <v/>
      </c>
      <c r="AA386" s="81">
        <f>C386*H386</f>
        <v/>
      </c>
      <c r="AB386" s="81">
        <f>(P386-1)*O386*K386</f>
        <v/>
      </c>
    </row>
    <row r="387">
      <c r="A387" s="7" t="n"/>
      <c r="B387" s="7" t="n"/>
      <c r="C387" s="8" t="n"/>
      <c r="D387" s="33">
        <f>C387/$U$3</f>
        <v/>
      </c>
      <c r="E387" s="7" t="n"/>
      <c r="F387" s="7" t="n"/>
      <c r="G387" s="7" t="n"/>
      <c r="H387" s="7" t="n"/>
      <c r="I387" s="91" t="n"/>
      <c r="J387" s="7" t="n"/>
      <c r="K387" s="33">
        <f>SUM(E387:I387)</f>
        <v/>
      </c>
      <c r="L387" s="33">
        <f>K387*D387</f>
        <v/>
      </c>
      <c r="M387" s="33">
        <f>K387*C387</f>
        <v/>
      </c>
      <c r="N387" s="7" t="n"/>
      <c r="O387" s="33">
        <f>N387*C387</f>
        <v/>
      </c>
      <c r="P387" s="7" t="n"/>
      <c r="Q387" s="7" t="n"/>
      <c r="R387" s="7" t="n"/>
      <c r="S387" s="33">
        <f>O387*L387</f>
        <v/>
      </c>
      <c r="Y387" s="33">
        <f>0.25*H387</f>
        <v/>
      </c>
      <c r="Z387" s="33">
        <f>Y387*O387</f>
        <v/>
      </c>
      <c r="AA387" s="81">
        <f>C387*H387</f>
        <v/>
      </c>
      <c r="AB387" s="81">
        <f>(P387-1)*O387*K387</f>
        <v/>
      </c>
    </row>
    <row r="388">
      <c r="A388" s="7" t="n"/>
      <c r="B388" s="7" t="n"/>
      <c r="C388" s="8" t="n"/>
      <c r="D388" s="33">
        <f>C388/$U$3</f>
        <v/>
      </c>
      <c r="E388" s="7" t="n"/>
      <c r="F388" s="7" t="n"/>
      <c r="G388" s="7" t="n"/>
      <c r="H388" s="7" t="n"/>
      <c r="I388" s="91" t="n"/>
      <c r="J388" s="7" t="n"/>
      <c r="K388" s="33">
        <f>SUM(E388:I388)</f>
        <v/>
      </c>
      <c r="L388" s="33">
        <f>K388*D388</f>
        <v/>
      </c>
      <c r="M388" s="33">
        <f>K388*C388</f>
        <v/>
      </c>
      <c r="N388" s="7" t="n"/>
      <c r="O388" s="33">
        <f>N388*C388</f>
        <v/>
      </c>
      <c r="P388" s="7" t="n"/>
      <c r="Q388" s="7" t="n"/>
      <c r="R388" s="7" t="n"/>
      <c r="S388" s="33">
        <f>O388*L388</f>
        <v/>
      </c>
      <c r="Y388" s="33">
        <f>0.25*H388</f>
        <v/>
      </c>
      <c r="Z388" s="33">
        <f>Y388*O388</f>
        <v/>
      </c>
      <c r="AA388" s="81">
        <f>C388*H388</f>
        <v/>
      </c>
      <c r="AB388" s="81">
        <f>(P388-1)*O388*K388</f>
        <v/>
      </c>
    </row>
    <row r="389">
      <c r="A389" s="7" t="n"/>
      <c r="B389" s="7" t="n"/>
      <c r="C389" s="8" t="n"/>
      <c r="D389" s="33">
        <f>C389/$U$3</f>
        <v/>
      </c>
      <c r="E389" s="7" t="n"/>
      <c r="F389" s="7" t="n"/>
      <c r="G389" s="7" t="n"/>
      <c r="H389" s="7" t="n"/>
      <c r="I389" s="91" t="n"/>
      <c r="J389" s="7" t="n"/>
      <c r="K389" s="33">
        <f>SUM(E389:I389)</f>
        <v/>
      </c>
      <c r="L389" s="33">
        <f>K389*D389</f>
        <v/>
      </c>
      <c r="M389" s="33">
        <f>K389*C389</f>
        <v/>
      </c>
      <c r="N389" s="7" t="n"/>
      <c r="O389" s="33">
        <f>N389*C389</f>
        <v/>
      </c>
      <c r="P389" s="7" t="n"/>
      <c r="Q389" s="7" t="n"/>
      <c r="R389" s="7" t="n"/>
      <c r="S389" s="33">
        <f>O389*L389</f>
        <v/>
      </c>
      <c r="Y389" s="33">
        <f>0.25*H389</f>
        <v/>
      </c>
      <c r="Z389" s="33">
        <f>Y389*O389</f>
        <v/>
      </c>
      <c r="AA389" s="81">
        <f>C389*H389</f>
        <v/>
      </c>
      <c r="AB389" s="81">
        <f>(P389-1)*O389*K389</f>
        <v/>
      </c>
    </row>
    <row r="390">
      <c r="A390" s="7" t="n"/>
      <c r="B390" s="7" t="n"/>
      <c r="C390" s="8" t="n"/>
      <c r="D390" s="33">
        <f>C390/$U$3</f>
        <v/>
      </c>
      <c r="E390" s="7" t="n"/>
      <c r="F390" s="7" t="n"/>
      <c r="G390" s="7" t="n"/>
      <c r="H390" s="7" t="n"/>
      <c r="I390" s="91" t="n"/>
      <c r="J390" s="7" t="n"/>
      <c r="K390" s="33">
        <f>SUM(E390:I390)</f>
        <v/>
      </c>
      <c r="L390" s="33">
        <f>K390*D390</f>
        <v/>
      </c>
      <c r="M390" s="33">
        <f>K390*C390</f>
        <v/>
      </c>
      <c r="N390" s="7" t="n"/>
      <c r="O390" s="33">
        <f>N390*C390</f>
        <v/>
      </c>
      <c r="P390" s="7" t="n"/>
      <c r="Q390" s="7" t="n"/>
      <c r="R390" s="7" t="n"/>
      <c r="S390" s="33">
        <f>O390*L390</f>
        <v/>
      </c>
      <c r="Y390" s="33">
        <f>0.25*H390</f>
        <v/>
      </c>
      <c r="Z390" s="33">
        <f>Y390*O390</f>
        <v/>
      </c>
      <c r="AA390" s="81">
        <f>C390*H390</f>
        <v/>
      </c>
      <c r="AB390" s="81">
        <f>(P390-1)*O390*K390</f>
        <v/>
      </c>
    </row>
    <row r="391">
      <c r="A391" s="7" t="n"/>
      <c r="B391" s="7" t="n"/>
      <c r="C391" s="8" t="n"/>
      <c r="D391" s="33">
        <f>C391/$U$3</f>
        <v/>
      </c>
      <c r="E391" s="7" t="n"/>
      <c r="F391" s="7" t="n"/>
      <c r="G391" s="7" t="n"/>
      <c r="H391" s="7" t="n"/>
      <c r="I391" s="91" t="n"/>
      <c r="J391" s="7" t="n"/>
      <c r="K391" s="33">
        <f>SUM(E391:I391)</f>
        <v/>
      </c>
      <c r="L391" s="33">
        <f>K391*D391</f>
        <v/>
      </c>
      <c r="M391" s="33">
        <f>K391*C391</f>
        <v/>
      </c>
      <c r="N391" s="7" t="n"/>
      <c r="O391" s="33">
        <f>N391*C391</f>
        <v/>
      </c>
      <c r="P391" s="7" t="n"/>
      <c r="Q391" s="7" t="n"/>
      <c r="R391" s="7" t="n"/>
      <c r="S391" s="33">
        <f>O391*L391</f>
        <v/>
      </c>
      <c r="Y391" s="33">
        <f>0.25*H391</f>
        <v/>
      </c>
      <c r="Z391" s="33">
        <f>Y391*O391</f>
        <v/>
      </c>
      <c r="AA391" s="81">
        <f>C391*H391</f>
        <v/>
      </c>
      <c r="AB391" s="81">
        <f>(P391-1)*O391*K391</f>
        <v/>
      </c>
    </row>
    <row r="392">
      <c r="A392" s="7" t="n"/>
      <c r="B392" s="7" t="n"/>
      <c r="C392" s="8" t="n"/>
      <c r="D392" s="33">
        <f>C392/$U$3</f>
        <v/>
      </c>
      <c r="E392" s="7" t="n"/>
      <c r="F392" s="7" t="n"/>
      <c r="G392" s="7" t="n"/>
      <c r="H392" s="7" t="n"/>
      <c r="I392" s="91" t="n"/>
      <c r="J392" s="7" t="n"/>
      <c r="K392" s="33">
        <f>SUM(E392:I392)</f>
        <v/>
      </c>
      <c r="L392" s="33">
        <f>K392*D392</f>
        <v/>
      </c>
      <c r="M392" s="33">
        <f>K392*C392</f>
        <v/>
      </c>
      <c r="N392" s="7" t="n"/>
      <c r="O392" s="33">
        <f>N392*C392</f>
        <v/>
      </c>
      <c r="P392" s="7" t="n"/>
      <c r="Q392" s="7" t="n"/>
      <c r="R392" s="7" t="n"/>
      <c r="S392" s="33">
        <f>O392*L392</f>
        <v/>
      </c>
      <c r="Y392" s="33">
        <f>0.25*H392</f>
        <v/>
      </c>
      <c r="Z392" s="33">
        <f>Y392*O392</f>
        <v/>
      </c>
      <c r="AA392" s="81">
        <f>C392*H392</f>
        <v/>
      </c>
      <c r="AB392" s="81">
        <f>(P392-1)*O392*K392</f>
        <v/>
      </c>
    </row>
    <row r="393">
      <c r="A393" s="7" t="n"/>
      <c r="B393" s="7" t="n"/>
      <c r="C393" s="8" t="n"/>
      <c r="D393" s="33">
        <f>C393/$U$3</f>
        <v/>
      </c>
      <c r="E393" s="7" t="n"/>
      <c r="F393" s="7" t="n"/>
      <c r="G393" s="7" t="n"/>
      <c r="H393" s="7" t="n"/>
      <c r="I393" s="91" t="n"/>
      <c r="J393" s="7" t="n"/>
      <c r="K393" s="33">
        <f>SUM(E393:I393)</f>
        <v/>
      </c>
      <c r="L393" s="33">
        <f>K393*D393</f>
        <v/>
      </c>
      <c r="M393" s="33">
        <f>K393*C393</f>
        <v/>
      </c>
      <c r="N393" s="7" t="n"/>
      <c r="O393" s="33">
        <f>N393*C393</f>
        <v/>
      </c>
      <c r="P393" s="7" t="n"/>
      <c r="Q393" s="7" t="n"/>
      <c r="R393" s="7" t="n"/>
      <c r="S393" s="33">
        <f>O393*L393</f>
        <v/>
      </c>
      <c r="Y393" s="33">
        <f>0.25*H393</f>
        <v/>
      </c>
      <c r="Z393" s="33">
        <f>Y393*O393</f>
        <v/>
      </c>
      <c r="AA393" s="81">
        <f>C393*H393</f>
        <v/>
      </c>
      <c r="AB393" s="81">
        <f>(P393-1)*O393*K393</f>
        <v/>
      </c>
    </row>
    <row r="394">
      <c r="A394" s="7" t="n"/>
      <c r="B394" s="7" t="n"/>
      <c r="C394" s="8" t="n"/>
      <c r="D394" s="33">
        <f>C394/$U$3</f>
        <v/>
      </c>
      <c r="E394" s="7" t="n"/>
      <c r="F394" s="7" t="n"/>
      <c r="G394" s="7" t="n"/>
      <c r="H394" s="7" t="n"/>
      <c r="I394" s="91" t="n"/>
      <c r="J394" s="7" t="n"/>
      <c r="K394" s="33">
        <f>SUM(E394:I394)</f>
        <v/>
      </c>
      <c r="L394" s="33">
        <f>K394*D394</f>
        <v/>
      </c>
      <c r="M394" s="33">
        <f>K394*C394</f>
        <v/>
      </c>
      <c r="N394" s="7" t="n"/>
      <c r="O394" s="33">
        <f>N394*C394</f>
        <v/>
      </c>
      <c r="P394" s="7" t="n"/>
      <c r="Q394" s="7" t="n"/>
      <c r="R394" s="7" t="n"/>
      <c r="S394" s="33">
        <f>O394*L394</f>
        <v/>
      </c>
      <c r="Y394" s="33">
        <f>0.25*H394</f>
        <v/>
      </c>
      <c r="Z394" s="33">
        <f>Y394*O394</f>
        <v/>
      </c>
      <c r="AA394" s="81">
        <f>C394*H394</f>
        <v/>
      </c>
      <c r="AB394" s="81">
        <f>(P394-1)*O394*K394</f>
        <v/>
      </c>
    </row>
    <row r="395">
      <c r="A395" s="7" t="n"/>
      <c r="B395" s="7" t="n"/>
      <c r="C395" s="8" t="n"/>
      <c r="D395" s="33">
        <f>C395/$U$3</f>
        <v/>
      </c>
      <c r="E395" s="7" t="n"/>
      <c r="F395" s="7" t="n"/>
      <c r="G395" s="7" t="n"/>
      <c r="H395" s="7" t="n"/>
      <c r="I395" s="91" t="n"/>
      <c r="J395" s="7" t="n"/>
      <c r="K395" s="33">
        <f>SUM(E395:I395)</f>
        <v/>
      </c>
      <c r="L395" s="33">
        <f>K395*D395</f>
        <v/>
      </c>
      <c r="M395" s="33">
        <f>K395*C395</f>
        <v/>
      </c>
      <c r="N395" s="7" t="n"/>
      <c r="O395" s="33">
        <f>N395*C395</f>
        <v/>
      </c>
      <c r="P395" s="7" t="n"/>
      <c r="Q395" s="7" t="n"/>
      <c r="R395" s="7" t="n"/>
      <c r="S395" s="33">
        <f>O395*L395</f>
        <v/>
      </c>
      <c r="Y395" s="33">
        <f>0.25*H395</f>
        <v/>
      </c>
      <c r="Z395" s="33">
        <f>Y395*O395</f>
        <v/>
      </c>
      <c r="AA395" s="81">
        <f>C395*H395</f>
        <v/>
      </c>
      <c r="AB395" s="81">
        <f>(P395-1)*O395*K395</f>
        <v/>
      </c>
    </row>
    <row r="396">
      <c r="A396" s="7" t="n"/>
      <c r="B396" s="7" t="n"/>
      <c r="C396" s="8" t="n"/>
      <c r="D396" s="33">
        <f>C396/$U$3</f>
        <v/>
      </c>
      <c r="E396" s="7" t="n"/>
      <c r="F396" s="7" t="n"/>
      <c r="G396" s="7" t="n"/>
      <c r="H396" s="7" t="n"/>
      <c r="I396" s="91" t="n"/>
      <c r="J396" s="7" t="n"/>
      <c r="K396" s="33">
        <f>SUM(E396:I396)</f>
        <v/>
      </c>
      <c r="L396" s="33">
        <f>K396*D396</f>
        <v/>
      </c>
      <c r="M396" s="33">
        <f>K396*C396</f>
        <v/>
      </c>
      <c r="N396" s="7" t="n"/>
      <c r="O396" s="33">
        <f>N396*C396</f>
        <v/>
      </c>
      <c r="P396" s="7" t="n"/>
      <c r="Q396" s="7" t="n"/>
      <c r="R396" s="7" t="n"/>
      <c r="S396" s="33">
        <f>O396*L396</f>
        <v/>
      </c>
      <c r="Y396" s="33">
        <f>0.25*H396</f>
        <v/>
      </c>
      <c r="Z396" s="33">
        <f>Y396*O396</f>
        <v/>
      </c>
      <c r="AA396" s="81">
        <f>C396*H396</f>
        <v/>
      </c>
      <c r="AB396" s="81">
        <f>(P396-1)*O396*K396</f>
        <v/>
      </c>
    </row>
    <row r="397">
      <c r="A397" s="7" t="n"/>
      <c r="B397" s="7" t="n"/>
      <c r="C397" s="8" t="n"/>
      <c r="D397" s="33">
        <f>C397/$U$3</f>
        <v/>
      </c>
      <c r="E397" s="7" t="n"/>
      <c r="F397" s="7" t="n"/>
      <c r="G397" s="7" t="n"/>
      <c r="H397" s="7" t="n"/>
      <c r="I397" s="91" t="n"/>
      <c r="J397" s="7" t="n"/>
      <c r="K397" s="33">
        <f>SUM(E397:I397)</f>
        <v/>
      </c>
      <c r="L397" s="33">
        <f>K397*D397</f>
        <v/>
      </c>
      <c r="M397" s="33">
        <f>K397*C397</f>
        <v/>
      </c>
      <c r="N397" s="7" t="n"/>
      <c r="O397" s="33">
        <f>N397*C397</f>
        <v/>
      </c>
      <c r="P397" s="7" t="n"/>
      <c r="Q397" s="7" t="n"/>
      <c r="R397" s="7" t="n"/>
      <c r="S397" s="33">
        <f>O397*L397</f>
        <v/>
      </c>
      <c r="Y397" s="33">
        <f>0.25*H397</f>
        <v/>
      </c>
      <c r="Z397" s="33">
        <f>Y397*O397</f>
        <v/>
      </c>
      <c r="AA397" s="81">
        <f>C397*H397</f>
        <v/>
      </c>
      <c r="AB397" s="81">
        <f>(P397-1)*O397*K397</f>
        <v/>
      </c>
    </row>
    <row r="398">
      <c r="A398" s="7" t="n"/>
      <c r="B398" s="7" t="n"/>
      <c r="C398" s="8" t="n"/>
      <c r="D398" s="33">
        <f>C398/$U$3</f>
        <v/>
      </c>
      <c r="E398" s="7" t="n"/>
      <c r="F398" s="7" t="n"/>
      <c r="G398" s="7" t="n"/>
      <c r="H398" s="7" t="n"/>
      <c r="I398" s="91" t="n"/>
      <c r="J398" s="7" t="n"/>
      <c r="K398" s="33">
        <f>SUM(E398:I398)</f>
        <v/>
      </c>
      <c r="L398" s="33">
        <f>K398*D398</f>
        <v/>
      </c>
      <c r="M398" s="33">
        <f>K398*C398</f>
        <v/>
      </c>
      <c r="N398" s="7" t="n"/>
      <c r="O398" s="33">
        <f>N398*C398</f>
        <v/>
      </c>
      <c r="P398" s="7" t="n"/>
      <c r="Q398" s="7" t="n"/>
      <c r="R398" s="7" t="n"/>
      <c r="S398" s="33">
        <f>O398*L398</f>
        <v/>
      </c>
      <c r="Y398" s="33">
        <f>0.25*H398</f>
        <v/>
      </c>
      <c r="Z398" s="33">
        <f>Y398*O398</f>
        <v/>
      </c>
      <c r="AA398" s="81">
        <f>C398*H398</f>
        <v/>
      </c>
      <c r="AB398" s="81">
        <f>(P398-1)*O398*K398</f>
        <v/>
      </c>
    </row>
    <row r="399">
      <c r="A399" s="7" t="n"/>
      <c r="B399" s="7" t="n"/>
      <c r="C399" s="8" t="n"/>
      <c r="D399" s="33">
        <f>C399/$U$3</f>
        <v/>
      </c>
      <c r="E399" s="7" t="n"/>
      <c r="F399" s="7" t="n"/>
      <c r="G399" s="7" t="n"/>
      <c r="H399" s="7" t="n"/>
      <c r="I399" s="91" t="n"/>
      <c r="J399" s="7" t="n"/>
      <c r="K399" s="33">
        <f>SUM(E399:I399)</f>
        <v/>
      </c>
      <c r="L399" s="33">
        <f>K399*D399</f>
        <v/>
      </c>
      <c r="M399" s="33">
        <f>K399*C399</f>
        <v/>
      </c>
      <c r="N399" s="7" t="n"/>
      <c r="O399" s="33">
        <f>N399*C399</f>
        <v/>
      </c>
      <c r="P399" s="7" t="n"/>
      <c r="Q399" s="7" t="n"/>
      <c r="R399" s="7" t="n"/>
      <c r="S399" s="33">
        <f>O399*L399</f>
        <v/>
      </c>
      <c r="Y399" s="33">
        <f>0.25*H399</f>
        <v/>
      </c>
      <c r="Z399" s="33">
        <f>Y399*O399</f>
        <v/>
      </c>
      <c r="AA399" s="81">
        <f>C399*H399</f>
        <v/>
      </c>
      <c r="AB399" s="81">
        <f>(P399-1)*O399*K399</f>
        <v/>
      </c>
    </row>
    <row r="400">
      <c r="A400" s="7" t="n"/>
      <c r="B400" s="7" t="n"/>
      <c r="C400" s="8" t="n"/>
      <c r="D400" s="33">
        <f>C400/$U$3</f>
        <v/>
      </c>
      <c r="E400" s="7" t="n"/>
      <c r="F400" s="7" t="n"/>
      <c r="G400" s="7" t="n"/>
      <c r="H400" s="7" t="n"/>
      <c r="I400" s="91" t="n"/>
      <c r="J400" s="7" t="n"/>
      <c r="K400" s="33">
        <f>SUM(E400:I400)</f>
        <v/>
      </c>
      <c r="L400" s="33">
        <f>K400*D400</f>
        <v/>
      </c>
      <c r="M400" s="33">
        <f>K400*C400</f>
        <v/>
      </c>
      <c r="N400" s="7" t="n"/>
      <c r="O400" s="33">
        <f>N400*C400</f>
        <v/>
      </c>
      <c r="P400" s="7" t="n"/>
      <c r="Q400" s="7" t="n"/>
      <c r="R400" s="7" t="n"/>
      <c r="S400" s="33">
        <f>O400*L400</f>
        <v/>
      </c>
      <c r="Y400" s="33">
        <f>0.25*H400</f>
        <v/>
      </c>
      <c r="Z400" s="33">
        <f>Y400*O400</f>
        <v/>
      </c>
      <c r="AA400" s="81">
        <f>C400*H400</f>
        <v/>
      </c>
      <c r="AB400" s="81">
        <f>(P400-1)*O400*K400</f>
        <v/>
      </c>
    </row>
    <row r="401">
      <c r="A401" s="7" t="n"/>
      <c r="B401" s="7" t="n"/>
      <c r="C401" s="8" t="n"/>
      <c r="D401" s="33">
        <f>C401/$U$3</f>
        <v/>
      </c>
      <c r="E401" s="7" t="n"/>
      <c r="F401" s="7" t="n"/>
      <c r="G401" s="7" t="n"/>
      <c r="H401" s="7" t="n"/>
      <c r="I401" s="91" t="n"/>
      <c r="J401" s="7" t="n"/>
      <c r="K401" s="33">
        <f>SUM(E401:I401)</f>
        <v/>
      </c>
      <c r="L401" s="33">
        <f>K401*D401</f>
        <v/>
      </c>
      <c r="M401" s="33">
        <f>K401*C401</f>
        <v/>
      </c>
      <c r="N401" s="7" t="n"/>
      <c r="O401" s="33">
        <f>N401*C401</f>
        <v/>
      </c>
      <c r="P401" s="7" t="n"/>
      <c r="Q401" s="7" t="n"/>
      <c r="R401" s="7" t="n"/>
      <c r="S401" s="33">
        <f>O401*L401</f>
        <v/>
      </c>
      <c r="Y401" s="33">
        <f>0.25*H401</f>
        <v/>
      </c>
      <c r="Z401" s="33">
        <f>Y401*O401</f>
        <v/>
      </c>
      <c r="AA401" s="81">
        <f>C401*H401</f>
        <v/>
      </c>
      <c r="AB401" s="81">
        <f>(P401-1)*O401*K401</f>
        <v/>
      </c>
    </row>
    <row r="402">
      <c r="A402" s="7" t="n"/>
      <c r="B402" s="7" t="n"/>
      <c r="C402" s="8" t="n"/>
      <c r="D402" s="33">
        <f>C402/$U$3</f>
        <v/>
      </c>
      <c r="E402" s="7" t="n"/>
      <c r="F402" s="7" t="n"/>
      <c r="G402" s="7" t="n"/>
      <c r="H402" s="7" t="n"/>
      <c r="I402" s="91" t="n"/>
      <c r="J402" s="7" t="n"/>
      <c r="K402" s="33">
        <f>SUM(E402:I402)</f>
        <v/>
      </c>
      <c r="L402" s="33">
        <f>K402*D402</f>
        <v/>
      </c>
      <c r="M402" s="33">
        <f>K402*C402</f>
        <v/>
      </c>
      <c r="N402" s="7" t="n"/>
      <c r="O402" s="33">
        <f>N402*C402</f>
        <v/>
      </c>
      <c r="P402" s="7" t="n"/>
      <c r="Q402" s="7" t="n"/>
      <c r="R402" s="7" t="n"/>
      <c r="S402" s="33">
        <f>O402*L402</f>
        <v/>
      </c>
      <c r="Y402" s="33">
        <f>0.25*H402</f>
        <v/>
      </c>
      <c r="Z402" s="33">
        <f>Y402*O402</f>
        <v/>
      </c>
      <c r="AA402" s="81">
        <f>C402*H402</f>
        <v/>
      </c>
      <c r="AB402" s="81">
        <f>(P402-1)*O402*K402</f>
        <v/>
      </c>
    </row>
    <row r="403">
      <c r="A403" s="7" t="n"/>
      <c r="B403" s="7" t="n"/>
      <c r="C403" s="8" t="n"/>
      <c r="D403" s="33">
        <f>C403/$U$3</f>
        <v/>
      </c>
      <c r="E403" s="7" t="n"/>
      <c r="F403" s="7" t="n"/>
      <c r="G403" s="7" t="n"/>
      <c r="H403" s="7" t="n"/>
      <c r="I403" s="91" t="n"/>
      <c r="J403" s="7" t="n"/>
      <c r="K403" s="33">
        <f>SUM(E403:I403)</f>
        <v/>
      </c>
      <c r="L403" s="33">
        <f>K403*D403</f>
        <v/>
      </c>
      <c r="M403" s="33">
        <f>K403*C403</f>
        <v/>
      </c>
      <c r="N403" s="7" t="n"/>
      <c r="O403" s="33">
        <f>N403*C403</f>
        <v/>
      </c>
      <c r="P403" s="7" t="n"/>
      <c r="Q403" s="7" t="n"/>
      <c r="R403" s="7" t="n"/>
      <c r="S403" s="33">
        <f>O403*L403</f>
        <v/>
      </c>
      <c r="Y403" s="33">
        <f>0.25*H403</f>
        <v/>
      </c>
      <c r="Z403" s="33">
        <f>Y403*O403</f>
        <v/>
      </c>
      <c r="AA403" s="81">
        <f>C403*H403</f>
        <v/>
      </c>
      <c r="AB403" s="81">
        <f>(P403-1)*O403*K403</f>
        <v/>
      </c>
    </row>
    <row r="404">
      <c r="A404" s="7" t="n"/>
      <c r="B404" s="7" t="n"/>
      <c r="C404" s="8" t="n"/>
      <c r="D404" s="33">
        <f>C404/$U$3</f>
        <v/>
      </c>
      <c r="E404" s="7" t="n"/>
      <c r="F404" s="7" t="n"/>
      <c r="G404" s="7" t="n"/>
      <c r="H404" s="7" t="n"/>
      <c r="I404" s="91" t="n"/>
      <c r="J404" s="7" t="n"/>
      <c r="K404" s="33">
        <f>SUM(E404:I404)</f>
        <v/>
      </c>
      <c r="L404" s="33">
        <f>K404*D404</f>
        <v/>
      </c>
      <c r="M404" s="33">
        <f>K404*C404</f>
        <v/>
      </c>
      <c r="N404" s="7" t="n"/>
      <c r="O404" s="33">
        <f>N404*C404</f>
        <v/>
      </c>
      <c r="P404" s="7" t="n"/>
      <c r="Q404" s="7" t="n"/>
      <c r="R404" s="7" t="n"/>
      <c r="S404" s="33">
        <f>O404*L404</f>
        <v/>
      </c>
      <c r="Y404" s="33">
        <f>0.25*H404</f>
        <v/>
      </c>
      <c r="Z404" s="33">
        <f>Y404*O404</f>
        <v/>
      </c>
      <c r="AA404" s="81">
        <f>C404*H404</f>
        <v/>
      </c>
      <c r="AB404" s="81">
        <f>(P404-1)*O404*K404</f>
        <v/>
      </c>
    </row>
    <row r="405">
      <c r="A405" s="7" t="n"/>
      <c r="B405" s="7" t="n"/>
      <c r="C405" s="8" t="n"/>
      <c r="D405" s="33">
        <f>C405/$U$3</f>
        <v/>
      </c>
      <c r="E405" s="7" t="n"/>
      <c r="F405" s="7" t="n"/>
      <c r="G405" s="7" t="n"/>
      <c r="H405" s="7" t="n"/>
      <c r="I405" s="91" t="n"/>
      <c r="J405" s="7" t="n"/>
      <c r="K405" s="33">
        <f>SUM(E405:I405)</f>
        <v/>
      </c>
      <c r="L405" s="33">
        <f>K405*D405</f>
        <v/>
      </c>
      <c r="M405" s="33">
        <f>K405*C405</f>
        <v/>
      </c>
      <c r="N405" s="7" t="n"/>
      <c r="O405" s="33">
        <f>N405*C405</f>
        <v/>
      </c>
      <c r="P405" s="7" t="n"/>
      <c r="Q405" s="7" t="n"/>
      <c r="R405" s="7" t="n"/>
      <c r="S405" s="33">
        <f>O405*L405</f>
        <v/>
      </c>
      <c r="Y405" s="33">
        <f>0.25*H405</f>
        <v/>
      </c>
      <c r="Z405" s="33">
        <f>Y405*O405</f>
        <v/>
      </c>
      <c r="AA405" s="81">
        <f>C405*H405</f>
        <v/>
      </c>
      <c r="AB405" s="81">
        <f>(P405-1)*O405*K405</f>
        <v/>
      </c>
    </row>
    <row r="406">
      <c r="A406" s="7" t="n"/>
      <c r="B406" s="7" t="n"/>
      <c r="C406" s="8" t="n"/>
      <c r="D406" s="33">
        <f>C406/$U$3</f>
        <v/>
      </c>
      <c r="E406" s="7" t="n"/>
      <c r="F406" s="7" t="n"/>
      <c r="G406" s="7" t="n"/>
      <c r="H406" s="7" t="n"/>
      <c r="I406" s="91" t="n"/>
      <c r="J406" s="7" t="n"/>
      <c r="K406" s="33">
        <f>SUM(E406:I406)</f>
        <v/>
      </c>
      <c r="L406" s="33">
        <f>K406*D406</f>
        <v/>
      </c>
      <c r="M406" s="33">
        <f>K406*C406</f>
        <v/>
      </c>
      <c r="N406" s="7" t="n"/>
      <c r="O406" s="33">
        <f>N406*C406</f>
        <v/>
      </c>
      <c r="P406" s="7" t="n"/>
      <c r="Q406" s="7" t="n"/>
      <c r="R406" s="7" t="n"/>
      <c r="S406" s="33">
        <f>O406*L406</f>
        <v/>
      </c>
      <c r="Y406" s="33">
        <f>0.25*H406</f>
        <v/>
      </c>
      <c r="Z406" s="33">
        <f>Y406*O406</f>
        <v/>
      </c>
      <c r="AA406" s="81">
        <f>C406*H406</f>
        <v/>
      </c>
      <c r="AB406" s="81">
        <f>(P406-1)*O406*K406</f>
        <v/>
      </c>
    </row>
    <row r="407">
      <c r="A407" s="7" t="n"/>
      <c r="B407" s="7" t="n"/>
      <c r="C407" s="8" t="n"/>
      <c r="D407" s="33">
        <f>C407/$U$3</f>
        <v/>
      </c>
      <c r="E407" s="7" t="n"/>
      <c r="F407" s="7" t="n"/>
      <c r="G407" s="7" t="n"/>
      <c r="H407" s="7" t="n"/>
      <c r="I407" s="91" t="n"/>
      <c r="J407" s="7" t="n"/>
      <c r="K407" s="33">
        <f>SUM(E407:I407)</f>
        <v/>
      </c>
      <c r="L407" s="33">
        <f>K407*D407</f>
        <v/>
      </c>
      <c r="M407" s="33">
        <f>K407*C407</f>
        <v/>
      </c>
      <c r="N407" s="7" t="n"/>
      <c r="O407" s="33">
        <f>N407*C407</f>
        <v/>
      </c>
      <c r="P407" s="7" t="n"/>
      <c r="Q407" s="7" t="n"/>
      <c r="R407" s="7" t="n"/>
      <c r="S407" s="33">
        <f>O407*L407</f>
        <v/>
      </c>
      <c r="Y407" s="33">
        <f>0.25*H407</f>
        <v/>
      </c>
      <c r="Z407" s="33">
        <f>Y407*O407</f>
        <v/>
      </c>
      <c r="AA407" s="81">
        <f>C407*H407</f>
        <v/>
      </c>
      <c r="AB407" s="81">
        <f>(P407-1)*O407*K407</f>
        <v/>
      </c>
    </row>
    <row r="408">
      <c r="A408" s="7" t="n"/>
      <c r="B408" s="7" t="n"/>
      <c r="C408" s="8" t="n"/>
      <c r="D408" s="33">
        <f>C408/$U$3</f>
        <v/>
      </c>
      <c r="E408" s="7" t="n"/>
      <c r="F408" s="7" t="n"/>
      <c r="G408" s="7" t="n"/>
      <c r="H408" s="7" t="n"/>
      <c r="I408" s="91" t="n"/>
      <c r="J408" s="7" t="n"/>
      <c r="K408" s="33">
        <f>SUM(E408:I408)</f>
        <v/>
      </c>
      <c r="L408" s="33">
        <f>K408*D408</f>
        <v/>
      </c>
      <c r="M408" s="33">
        <f>K408*C408</f>
        <v/>
      </c>
      <c r="N408" s="7" t="n"/>
      <c r="O408" s="33">
        <f>N408*C408</f>
        <v/>
      </c>
      <c r="P408" s="7" t="n"/>
      <c r="Q408" s="7" t="n"/>
      <c r="R408" s="7" t="n"/>
      <c r="S408" s="33">
        <f>O408*L408</f>
        <v/>
      </c>
      <c r="Y408" s="33">
        <f>0.25*H408</f>
        <v/>
      </c>
      <c r="Z408" s="33">
        <f>Y408*O408</f>
        <v/>
      </c>
      <c r="AA408" s="81">
        <f>C408*H408</f>
        <v/>
      </c>
      <c r="AB408" s="81">
        <f>(P408-1)*O408*K408</f>
        <v/>
      </c>
    </row>
    <row r="409">
      <c r="A409" s="7" t="n"/>
      <c r="B409" s="7" t="n"/>
      <c r="C409" s="8" t="n"/>
      <c r="D409" s="33">
        <f>C409/$U$3</f>
        <v/>
      </c>
      <c r="E409" s="7" t="n"/>
      <c r="F409" s="7" t="n"/>
      <c r="G409" s="7" t="n"/>
      <c r="H409" s="7" t="n"/>
      <c r="I409" s="91" t="n"/>
      <c r="J409" s="7" t="n"/>
      <c r="K409" s="33">
        <f>SUM(E409:I409)</f>
        <v/>
      </c>
      <c r="L409" s="33">
        <f>K409*D409</f>
        <v/>
      </c>
      <c r="M409" s="33">
        <f>K409*C409</f>
        <v/>
      </c>
      <c r="N409" s="7" t="n"/>
      <c r="O409" s="33">
        <f>N409*C409</f>
        <v/>
      </c>
      <c r="P409" s="7" t="n"/>
      <c r="Q409" s="7" t="n"/>
      <c r="R409" s="7" t="n"/>
      <c r="S409" s="33">
        <f>O409*L409</f>
        <v/>
      </c>
      <c r="Y409" s="33">
        <f>0.25*H409</f>
        <v/>
      </c>
      <c r="Z409" s="33">
        <f>Y409*O409</f>
        <v/>
      </c>
      <c r="AA409" s="81">
        <f>C409*H409</f>
        <v/>
      </c>
      <c r="AB409" s="81">
        <f>(P409-1)*O409*K409</f>
        <v/>
      </c>
    </row>
    <row r="410">
      <c r="A410" s="7" t="n"/>
      <c r="B410" s="7" t="n"/>
      <c r="C410" s="8" t="n"/>
      <c r="D410" s="33">
        <f>C410/$U$3</f>
        <v/>
      </c>
      <c r="E410" s="7" t="n"/>
      <c r="F410" s="7" t="n"/>
      <c r="G410" s="7" t="n"/>
      <c r="H410" s="7" t="n"/>
      <c r="I410" s="91" t="n"/>
      <c r="J410" s="7" t="n"/>
      <c r="K410" s="33">
        <f>SUM(E410:I410)</f>
        <v/>
      </c>
      <c r="L410" s="33">
        <f>K410*D410</f>
        <v/>
      </c>
      <c r="M410" s="33">
        <f>K410*C410</f>
        <v/>
      </c>
      <c r="N410" s="7" t="n"/>
      <c r="O410" s="33">
        <f>N410*C410</f>
        <v/>
      </c>
      <c r="P410" s="7" t="n"/>
      <c r="Q410" s="7" t="n"/>
      <c r="R410" s="7" t="n"/>
      <c r="S410" s="33">
        <f>O410*L410</f>
        <v/>
      </c>
      <c r="Y410" s="33">
        <f>0.25*H410</f>
        <v/>
      </c>
      <c r="Z410" s="33">
        <f>Y410*O410</f>
        <v/>
      </c>
      <c r="AA410" s="81">
        <f>C410*H410</f>
        <v/>
      </c>
      <c r="AB410" s="81">
        <f>(P410-1)*O410*K410</f>
        <v/>
      </c>
    </row>
    <row r="411">
      <c r="A411" s="7" t="n"/>
      <c r="B411" s="7" t="n"/>
      <c r="C411" s="8" t="n"/>
      <c r="D411" s="33">
        <f>C411/$U$3</f>
        <v/>
      </c>
      <c r="E411" s="7" t="n"/>
      <c r="F411" s="7" t="n"/>
      <c r="G411" s="7" t="n"/>
      <c r="H411" s="7" t="n"/>
      <c r="I411" s="91" t="n"/>
      <c r="J411" s="7" t="n"/>
      <c r="K411" s="33">
        <f>SUM(E411:I411)</f>
        <v/>
      </c>
      <c r="L411" s="33">
        <f>K411*D411</f>
        <v/>
      </c>
      <c r="M411" s="33">
        <f>K411*C411</f>
        <v/>
      </c>
      <c r="N411" s="7" t="n"/>
      <c r="O411" s="33">
        <f>N411*C411</f>
        <v/>
      </c>
      <c r="P411" s="7" t="n"/>
      <c r="Q411" s="7" t="n"/>
      <c r="R411" s="7" t="n"/>
      <c r="S411" s="33">
        <f>O411*L411</f>
        <v/>
      </c>
      <c r="Y411" s="33">
        <f>0.25*H411</f>
        <v/>
      </c>
      <c r="Z411" s="33">
        <f>Y411*O411</f>
        <v/>
      </c>
      <c r="AA411" s="81">
        <f>C411*H411</f>
        <v/>
      </c>
      <c r="AB411" s="81">
        <f>(P411-1)*O411*K411</f>
        <v/>
      </c>
    </row>
    <row r="412">
      <c r="A412" s="7" t="n"/>
      <c r="B412" s="7" t="n"/>
      <c r="C412" s="8" t="n"/>
      <c r="D412" s="33">
        <f>C412/$U$3</f>
        <v/>
      </c>
      <c r="E412" s="7" t="n"/>
      <c r="F412" s="7" t="n"/>
      <c r="G412" s="7" t="n"/>
      <c r="H412" s="7" t="n"/>
      <c r="I412" s="91" t="n"/>
      <c r="J412" s="7" t="n"/>
      <c r="K412" s="33">
        <f>SUM(E412:I412)</f>
        <v/>
      </c>
      <c r="L412" s="33">
        <f>K412*D412</f>
        <v/>
      </c>
      <c r="M412" s="33">
        <f>K412*C412</f>
        <v/>
      </c>
      <c r="N412" s="7" t="n"/>
      <c r="O412" s="33">
        <f>N412*C412</f>
        <v/>
      </c>
      <c r="P412" s="7" t="n"/>
      <c r="Q412" s="7" t="n"/>
      <c r="R412" s="7" t="n"/>
      <c r="S412" s="33">
        <f>O412*L412</f>
        <v/>
      </c>
      <c r="Y412" s="33">
        <f>0.25*H412</f>
        <v/>
      </c>
      <c r="Z412" s="33">
        <f>Y412*O412</f>
        <v/>
      </c>
      <c r="AA412" s="81">
        <f>C412*H412</f>
        <v/>
      </c>
      <c r="AB412" s="81">
        <f>(P412-1)*O412*K412</f>
        <v/>
      </c>
    </row>
    <row r="413">
      <c r="A413" s="7" t="n"/>
      <c r="B413" s="7" t="n"/>
      <c r="C413" s="8" t="n"/>
      <c r="D413" s="33">
        <f>C413/$U$3</f>
        <v/>
      </c>
      <c r="E413" s="7" t="n"/>
      <c r="F413" s="7" t="n"/>
      <c r="G413" s="7" t="n"/>
      <c r="H413" s="7" t="n"/>
      <c r="I413" s="91" t="n"/>
      <c r="J413" s="7" t="n"/>
      <c r="K413" s="33">
        <f>SUM(E413:I413)</f>
        <v/>
      </c>
      <c r="L413" s="33">
        <f>K413*D413</f>
        <v/>
      </c>
      <c r="M413" s="33">
        <f>K413*C413</f>
        <v/>
      </c>
      <c r="N413" s="7" t="n"/>
      <c r="O413" s="33">
        <f>N413*C413</f>
        <v/>
      </c>
      <c r="P413" s="7" t="n"/>
      <c r="Q413" s="7" t="n"/>
      <c r="R413" s="7" t="n"/>
      <c r="S413" s="33">
        <f>O413*L413</f>
        <v/>
      </c>
      <c r="Y413" s="33">
        <f>0.25*H413</f>
        <v/>
      </c>
      <c r="Z413" s="33">
        <f>Y413*O413</f>
        <v/>
      </c>
      <c r="AA413" s="81">
        <f>C413*H413</f>
        <v/>
      </c>
      <c r="AB413" s="81">
        <f>(P413-1)*O413*K413</f>
        <v/>
      </c>
    </row>
    <row r="414">
      <c r="A414" s="7" t="n"/>
      <c r="B414" s="7" t="n"/>
      <c r="C414" s="8" t="n"/>
      <c r="D414" s="33">
        <f>C414/$U$3</f>
        <v/>
      </c>
      <c r="E414" s="7" t="n"/>
      <c r="F414" s="7" t="n"/>
      <c r="G414" s="7" t="n"/>
      <c r="H414" s="7" t="n"/>
      <c r="I414" s="91" t="n"/>
      <c r="J414" s="7" t="n"/>
      <c r="K414" s="33">
        <f>SUM(E414:I414)</f>
        <v/>
      </c>
      <c r="L414" s="33">
        <f>K414*D414</f>
        <v/>
      </c>
      <c r="M414" s="33">
        <f>K414*C414</f>
        <v/>
      </c>
      <c r="N414" s="7" t="n"/>
      <c r="O414" s="33">
        <f>N414*C414</f>
        <v/>
      </c>
      <c r="P414" s="7" t="n"/>
      <c r="Q414" s="7" t="n"/>
      <c r="R414" s="7" t="n"/>
      <c r="S414" s="33">
        <f>O414*L414</f>
        <v/>
      </c>
      <c r="Y414" s="33">
        <f>0.25*H414</f>
        <v/>
      </c>
      <c r="Z414" s="33">
        <f>Y414*O414</f>
        <v/>
      </c>
      <c r="AA414" s="81">
        <f>C414*H414</f>
        <v/>
      </c>
      <c r="AB414" s="81">
        <f>(P414-1)*O414*K414</f>
        <v/>
      </c>
    </row>
    <row r="415">
      <c r="A415" s="7" t="n"/>
      <c r="B415" s="7" t="n"/>
      <c r="C415" s="8" t="n"/>
      <c r="D415" s="33">
        <f>C415/$U$3</f>
        <v/>
      </c>
      <c r="E415" s="7" t="n"/>
      <c r="F415" s="7" t="n"/>
      <c r="G415" s="7" t="n"/>
      <c r="H415" s="7" t="n"/>
      <c r="I415" s="91" t="n"/>
      <c r="J415" s="7" t="n"/>
      <c r="K415" s="33">
        <f>SUM(E415:I415)</f>
        <v/>
      </c>
      <c r="L415" s="33">
        <f>K415*D415</f>
        <v/>
      </c>
      <c r="M415" s="33">
        <f>K415*C415</f>
        <v/>
      </c>
      <c r="N415" s="7" t="n"/>
      <c r="O415" s="33">
        <f>N415*C415</f>
        <v/>
      </c>
      <c r="P415" s="7" t="n"/>
      <c r="Q415" s="7" t="n"/>
      <c r="R415" s="7" t="n"/>
      <c r="S415" s="33">
        <f>O415*L415</f>
        <v/>
      </c>
      <c r="Y415" s="33">
        <f>0.25*H415</f>
        <v/>
      </c>
      <c r="Z415" s="33">
        <f>Y415*O415</f>
        <v/>
      </c>
      <c r="AA415" s="81">
        <f>C415*H415</f>
        <v/>
      </c>
      <c r="AB415" s="81">
        <f>(P415-1)*O415*K415</f>
        <v/>
      </c>
    </row>
    <row r="416">
      <c r="A416" s="7" t="n"/>
      <c r="B416" s="7" t="n"/>
      <c r="C416" s="8" t="n"/>
      <c r="D416" s="33">
        <f>C416/$U$3</f>
        <v/>
      </c>
      <c r="E416" s="7" t="n"/>
      <c r="F416" s="7" t="n"/>
      <c r="G416" s="7" t="n"/>
      <c r="H416" s="7" t="n"/>
      <c r="I416" s="91" t="n"/>
      <c r="J416" s="7" t="n"/>
      <c r="K416" s="33">
        <f>SUM(E416:I416)</f>
        <v/>
      </c>
      <c r="L416" s="33">
        <f>K416*D416</f>
        <v/>
      </c>
      <c r="M416" s="33">
        <f>K416*C416</f>
        <v/>
      </c>
      <c r="N416" s="7" t="n"/>
      <c r="O416" s="33">
        <f>N416*C416</f>
        <v/>
      </c>
      <c r="P416" s="7" t="n"/>
      <c r="Q416" s="7" t="n"/>
      <c r="R416" s="7" t="n"/>
      <c r="S416" s="33">
        <f>O416*L416</f>
        <v/>
      </c>
      <c r="Y416" s="33">
        <f>0.25*H416</f>
        <v/>
      </c>
      <c r="Z416" s="33">
        <f>Y416*O416</f>
        <v/>
      </c>
      <c r="AA416" s="81">
        <f>C416*H416</f>
        <v/>
      </c>
      <c r="AB416" s="81">
        <f>(P416-1)*O416*K416</f>
        <v/>
      </c>
    </row>
    <row r="417">
      <c r="A417" s="7" t="n"/>
      <c r="B417" s="7" t="n"/>
      <c r="C417" s="8" t="n"/>
      <c r="D417" s="33">
        <f>C417/$U$3</f>
        <v/>
      </c>
      <c r="E417" s="7" t="n"/>
      <c r="F417" s="7" t="n"/>
      <c r="G417" s="7" t="n"/>
      <c r="H417" s="7" t="n"/>
      <c r="I417" s="91" t="n"/>
      <c r="J417" s="7" t="n"/>
      <c r="K417" s="33">
        <f>SUM(E417:I417)</f>
        <v/>
      </c>
      <c r="L417" s="33">
        <f>K417*D417</f>
        <v/>
      </c>
      <c r="M417" s="33">
        <f>K417*C417</f>
        <v/>
      </c>
      <c r="N417" s="7" t="n"/>
      <c r="O417" s="33">
        <f>N417*C417</f>
        <v/>
      </c>
      <c r="P417" s="7" t="n"/>
      <c r="Q417" s="7" t="n"/>
      <c r="R417" s="7" t="n"/>
      <c r="S417" s="33">
        <f>O417*L417</f>
        <v/>
      </c>
      <c r="Y417" s="33">
        <f>0.25*H417</f>
        <v/>
      </c>
      <c r="Z417" s="33">
        <f>Y417*O417</f>
        <v/>
      </c>
      <c r="AA417" s="81">
        <f>C417*H417</f>
        <v/>
      </c>
      <c r="AB417" s="81">
        <f>(P417-1)*O417*K417</f>
        <v/>
      </c>
    </row>
    <row r="418">
      <c r="A418" s="7" t="n"/>
      <c r="B418" s="7" t="n"/>
      <c r="C418" s="8" t="n"/>
      <c r="D418" s="33">
        <f>C418/$U$3</f>
        <v/>
      </c>
      <c r="E418" s="7" t="n"/>
      <c r="F418" s="7" t="n"/>
      <c r="G418" s="7" t="n"/>
      <c r="H418" s="7" t="n"/>
      <c r="I418" s="91" t="n"/>
      <c r="J418" s="7" t="n"/>
      <c r="K418" s="33">
        <f>SUM(E418:I418)</f>
        <v/>
      </c>
      <c r="L418" s="33">
        <f>K418*D418</f>
        <v/>
      </c>
      <c r="M418" s="33">
        <f>K418*C418</f>
        <v/>
      </c>
      <c r="N418" s="7" t="n"/>
      <c r="O418" s="33">
        <f>N418*C418</f>
        <v/>
      </c>
      <c r="P418" s="7" t="n"/>
      <c r="Q418" s="7" t="n"/>
      <c r="R418" s="7" t="n"/>
      <c r="S418" s="33">
        <f>O418*L418</f>
        <v/>
      </c>
      <c r="Y418" s="33">
        <f>0.25*H418</f>
        <v/>
      </c>
      <c r="Z418" s="33">
        <f>Y418*O418</f>
        <v/>
      </c>
      <c r="AA418" s="81">
        <f>C418*H418</f>
        <v/>
      </c>
      <c r="AB418" s="81">
        <f>(P418-1)*O418*K418</f>
        <v/>
      </c>
    </row>
    <row r="419">
      <c r="A419" s="7" t="n"/>
      <c r="B419" s="7" t="n"/>
      <c r="C419" s="8" t="n"/>
      <c r="D419" s="33">
        <f>C419/$U$3</f>
        <v/>
      </c>
      <c r="E419" s="7" t="n"/>
      <c r="F419" s="7" t="n"/>
      <c r="G419" s="7" t="n"/>
      <c r="H419" s="7" t="n"/>
      <c r="I419" s="91" t="n"/>
      <c r="J419" s="7" t="n"/>
      <c r="K419" s="33">
        <f>SUM(E419:I419)</f>
        <v/>
      </c>
      <c r="L419" s="33">
        <f>K419*D419</f>
        <v/>
      </c>
      <c r="M419" s="33">
        <f>K419*C419</f>
        <v/>
      </c>
      <c r="N419" s="7" t="n"/>
      <c r="O419" s="33">
        <f>N419*C419</f>
        <v/>
      </c>
      <c r="P419" s="7" t="n"/>
      <c r="Q419" s="7" t="n"/>
      <c r="R419" s="7" t="n"/>
      <c r="S419" s="33">
        <f>O419*L419</f>
        <v/>
      </c>
      <c r="Y419" s="33">
        <f>0.25*H419</f>
        <v/>
      </c>
      <c r="Z419" s="33">
        <f>Y419*O419</f>
        <v/>
      </c>
      <c r="AA419" s="81">
        <f>C419*H419</f>
        <v/>
      </c>
      <c r="AB419" s="81">
        <f>(P419-1)*O419*K419</f>
        <v/>
      </c>
    </row>
    <row r="420">
      <c r="A420" s="7" t="n"/>
      <c r="B420" s="7" t="n"/>
      <c r="C420" s="8" t="n"/>
      <c r="D420" s="33">
        <f>C420/$U$3</f>
        <v/>
      </c>
      <c r="E420" s="7" t="n"/>
      <c r="F420" s="7" t="n"/>
      <c r="G420" s="7" t="n"/>
      <c r="H420" s="7" t="n"/>
      <c r="I420" s="91" t="n"/>
      <c r="J420" s="7" t="n"/>
      <c r="K420" s="33">
        <f>SUM(E420:I420)</f>
        <v/>
      </c>
      <c r="L420" s="33">
        <f>K420*D420</f>
        <v/>
      </c>
      <c r="M420" s="33">
        <f>K420*C420</f>
        <v/>
      </c>
      <c r="N420" s="7" t="n"/>
      <c r="O420" s="33">
        <f>N420*C420</f>
        <v/>
      </c>
      <c r="P420" s="7" t="n"/>
      <c r="Q420" s="7" t="n"/>
      <c r="R420" s="7" t="n"/>
      <c r="S420" s="33">
        <f>O420*L420</f>
        <v/>
      </c>
      <c r="Y420" s="33">
        <f>0.25*H420</f>
        <v/>
      </c>
      <c r="Z420" s="33">
        <f>Y420*O420</f>
        <v/>
      </c>
      <c r="AA420" s="81">
        <f>C420*H420</f>
        <v/>
      </c>
      <c r="AB420" s="81">
        <f>(P420-1)*O420*K420</f>
        <v/>
      </c>
    </row>
    <row r="421">
      <c r="A421" s="7" t="n"/>
      <c r="B421" s="7" t="n"/>
      <c r="C421" s="8" t="n"/>
      <c r="D421" s="33">
        <f>C421/$U$3</f>
        <v/>
      </c>
      <c r="E421" s="7" t="n"/>
      <c r="F421" s="7" t="n"/>
      <c r="G421" s="7" t="n"/>
      <c r="H421" s="7" t="n"/>
      <c r="I421" s="91" t="n"/>
      <c r="J421" s="7" t="n"/>
      <c r="K421" s="33">
        <f>SUM(E421:I421)</f>
        <v/>
      </c>
      <c r="L421" s="33">
        <f>K421*D421</f>
        <v/>
      </c>
      <c r="M421" s="33">
        <f>K421*C421</f>
        <v/>
      </c>
      <c r="N421" s="7" t="n"/>
      <c r="O421" s="33">
        <f>N421*C421</f>
        <v/>
      </c>
      <c r="P421" s="7" t="n"/>
      <c r="Q421" s="7" t="n"/>
      <c r="R421" s="7" t="n"/>
      <c r="S421" s="33">
        <f>O421*L421</f>
        <v/>
      </c>
      <c r="Y421" s="33">
        <f>0.25*H421</f>
        <v/>
      </c>
      <c r="Z421" s="33">
        <f>Y421*O421</f>
        <v/>
      </c>
      <c r="AA421" s="81">
        <f>C421*H421</f>
        <v/>
      </c>
      <c r="AB421" s="81">
        <f>(P421-1)*O421*K421</f>
        <v/>
      </c>
    </row>
    <row r="422">
      <c r="A422" s="7" t="n"/>
      <c r="B422" s="7" t="n"/>
      <c r="C422" s="8" t="n"/>
      <c r="D422" s="33">
        <f>C422/$U$3</f>
        <v/>
      </c>
      <c r="E422" s="7" t="n"/>
      <c r="F422" s="7" t="n"/>
      <c r="G422" s="7" t="n"/>
      <c r="H422" s="7" t="n"/>
      <c r="I422" s="91" t="n"/>
      <c r="J422" s="7" t="n"/>
      <c r="K422" s="33">
        <f>SUM(E422:I422)</f>
        <v/>
      </c>
      <c r="L422" s="33">
        <f>K422*D422</f>
        <v/>
      </c>
      <c r="M422" s="33">
        <f>K422*C422</f>
        <v/>
      </c>
      <c r="N422" s="7" t="n"/>
      <c r="O422" s="33">
        <f>N422*C422</f>
        <v/>
      </c>
      <c r="P422" s="7" t="n"/>
      <c r="Q422" s="7" t="n"/>
      <c r="R422" s="7" t="n"/>
      <c r="S422" s="33">
        <f>O422*L422</f>
        <v/>
      </c>
      <c r="Y422" s="33">
        <f>0.25*H422</f>
        <v/>
      </c>
      <c r="Z422" s="33">
        <f>Y422*O422</f>
        <v/>
      </c>
      <c r="AA422" s="81">
        <f>C422*H422</f>
        <v/>
      </c>
      <c r="AB422" s="81">
        <f>(P422-1)*O422*K422</f>
        <v/>
      </c>
    </row>
    <row r="423">
      <c r="A423" s="7" t="n"/>
      <c r="B423" s="7" t="n"/>
      <c r="C423" s="8" t="n"/>
      <c r="D423" s="33">
        <f>C423/$U$3</f>
        <v/>
      </c>
      <c r="E423" s="7" t="n"/>
      <c r="F423" s="7" t="n"/>
      <c r="G423" s="7" t="n"/>
      <c r="H423" s="7" t="n"/>
      <c r="I423" s="91" t="n"/>
      <c r="J423" s="7" t="n"/>
      <c r="K423" s="33">
        <f>SUM(E423:I423)</f>
        <v/>
      </c>
      <c r="L423" s="33">
        <f>K423*D423</f>
        <v/>
      </c>
      <c r="M423" s="33">
        <f>K423*C423</f>
        <v/>
      </c>
      <c r="N423" s="7" t="n"/>
      <c r="O423" s="33">
        <f>N423*C423</f>
        <v/>
      </c>
      <c r="P423" s="7" t="n"/>
      <c r="Q423" s="7" t="n"/>
      <c r="R423" s="7" t="n"/>
      <c r="S423" s="33">
        <f>O423*L423</f>
        <v/>
      </c>
      <c r="Y423" s="33">
        <f>0.25*H423</f>
        <v/>
      </c>
      <c r="Z423" s="33">
        <f>Y423*O423</f>
        <v/>
      </c>
      <c r="AA423" s="81">
        <f>C423*H423</f>
        <v/>
      </c>
      <c r="AB423" s="81">
        <f>(P423-1)*O423*K423</f>
        <v/>
      </c>
    </row>
    <row r="424">
      <c r="A424" s="7" t="n"/>
      <c r="B424" s="7" t="n"/>
      <c r="C424" s="8" t="n"/>
      <c r="D424" s="33">
        <f>C424/$U$3</f>
        <v/>
      </c>
      <c r="E424" s="7" t="n"/>
      <c r="F424" s="7" t="n"/>
      <c r="G424" s="7" t="n"/>
      <c r="H424" s="7" t="n"/>
      <c r="I424" s="91" t="n"/>
      <c r="J424" s="7" t="n"/>
      <c r="K424" s="33">
        <f>SUM(E424:I424)</f>
        <v/>
      </c>
      <c r="L424" s="33">
        <f>K424*D424</f>
        <v/>
      </c>
      <c r="M424" s="33">
        <f>K424*C424</f>
        <v/>
      </c>
      <c r="N424" s="7" t="n"/>
      <c r="O424" s="33">
        <f>N424*C424</f>
        <v/>
      </c>
      <c r="P424" s="7" t="n"/>
      <c r="Q424" s="7" t="n"/>
      <c r="R424" s="7" t="n"/>
      <c r="S424" s="33">
        <f>O424*L424</f>
        <v/>
      </c>
      <c r="Y424" s="33">
        <f>0.25*H424</f>
        <v/>
      </c>
      <c r="Z424" s="33">
        <f>Y424*O424</f>
        <v/>
      </c>
      <c r="AA424" s="81">
        <f>C424*H424</f>
        <v/>
      </c>
      <c r="AB424" s="81">
        <f>(P424-1)*O424*K424</f>
        <v/>
      </c>
    </row>
    <row r="425">
      <c r="A425" s="7" t="n"/>
      <c r="B425" s="7" t="n"/>
      <c r="C425" s="8" t="n"/>
      <c r="D425" s="33">
        <f>C425/$U$3</f>
        <v/>
      </c>
      <c r="E425" s="7" t="n"/>
      <c r="F425" s="7" t="n"/>
      <c r="G425" s="7" t="n"/>
      <c r="H425" s="7" t="n"/>
      <c r="I425" s="91" t="n"/>
      <c r="J425" s="7" t="n"/>
      <c r="K425" s="33">
        <f>SUM(E425:I425)</f>
        <v/>
      </c>
      <c r="L425" s="33">
        <f>K425*D425</f>
        <v/>
      </c>
      <c r="M425" s="33">
        <f>K425*C425</f>
        <v/>
      </c>
      <c r="N425" s="7" t="n"/>
      <c r="O425" s="33">
        <f>N425*C425</f>
        <v/>
      </c>
      <c r="P425" s="7" t="n"/>
      <c r="Q425" s="7" t="n"/>
      <c r="R425" s="7" t="n"/>
      <c r="S425" s="33">
        <f>O425*L425</f>
        <v/>
      </c>
      <c r="Y425" s="33">
        <f>0.25*H425</f>
        <v/>
      </c>
      <c r="Z425" s="33">
        <f>Y425*O425</f>
        <v/>
      </c>
      <c r="AA425" s="81">
        <f>C425*H425</f>
        <v/>
      </c>
      <c r="AB425" s="81">
        <f>(P425-1)*O425*K425</f>
        <v/>
      </c>
    </row>
    <row r="426">
      <c r="A426" s="7" t="n"/>
      <c r="B426" s="7" t="n"/>
      <c r="C426" s="8" t="n"/>
      <c r="D426" s="33">
        <f>C426/$U$3</f>
        <v/>
      </c>
      <c r="E426" s="7" t="n"/>
      <c r="F426" s="7" t="n"/>
      <c r="G426" s="7" t="n"/>
      <c r="H426" s="7" t="n"/>
      <c r="I426" s="91" t="n"/>
      <c r="J426" s="7" t="n"/>
      <c r="K426" s="33">
        <f>SUM(E426:I426)</f>
        <v/>
      </c>
      <c r="L426" s="33">
        <f>K426*D426</f>
        <v/>
      </c>
      <c r="M426" s="33">
        <f>K426*C426</f>
        <v/>
      </c>
      <c r="N426" s="7" t="n"/>
      <c r="O426" s="33">
        <f>N426*C426</f>
        <v/>
      </c>
      <c r="P426" s="7" t="n"/>
      <c r="Q426" s="7" t="n"/>
      <c r="R426" s="7" t="n"/>
      <c r="S426" s="33">
        <f>O426*L426</f>
        <v/>
      </c>
      <c r="Y426" s="33">
        <f>0.25*H426</f>
        <v/>
      </c>
      <c r="Z426" s="33">
        <f>Y426*O426</f>
        <v/>
      </c>
      <c r="AA426" s="81">
        <f>C426*H426</f>
        <v/>
      </c>
      <c r="AB426" s="81">
        <f>(P426-1)*O426*K426</f>
        <v/>
      </c>
    </row>
    <row r="427">
      <c r="A427" s="7" t="n"/>
      <c r="B427" s="7" t="n"/>
      <c r="C427" s="8" t="n"/>
      <c r="D427" s="33">
        <f>C427/$U$3</f>
        <v/>
      </c>
      <c r="E427" s="7" t="n"/>
      <c r="F427" s="7" t="n"/>
      <c r="G427" s="7" t="n"/>
      <c r="H427" s="7" t="n"/>
      <c r="I427" s="91" t="n"/>
      <c r="J427" s="7" t="n"/>
      <c r="K427" s="33">
        <f>SUM(E427:I427)</f>
        <v/>
      </c>
      <c r="L427" s="33">
        <f>K427*D427</f>
        <v/>
      </c>
      <c r="M427" s="33">
        <f>K427*C427</f>
        <v/>
      </c>
      <c r="N427" s="7" t="n"/>
      <c r="O427" s="33">
        <f>N427*C427</f>
        <v/>
      </c>
      <c r="P427" s="7" t="n"/>
      <c r="Q427" s="7" t="n"/>
      <c r="R427" s="7" t="n"/>
      <c r="S427" s="33">
        <f>O427*L427</f>
        <v/>
      </c>
      <c r="Y427" s="33">
        <f>0.25*H427</f>
        <v/>
      </c>
      <c r="Z427" s="33">
        <f>Y427*O427</f>
        <v/>
      </c>
      <c r="AA427" s="81">
        <f>C427*H427</f>
        <v/>
      </c>
      <c r="AB427" s="81">
        <f>(P427-1)*O427*K427</f>
        <v/>
      </c>
    </row>
    <row r="428">
      <c r="A428" s="7" t="n"/>
      <c r="B428" s="7" t="n"/>
      <c r="C428" s="8" t="n"/>
      <c r="D428" s="33">
        <f>C428/$U$3</f>
        <v/>
      </c>
      <c r="E428" s="7" t="n"/>
      <c r="F428" s="7" t="n"/>
      <c r="G428" s="7" t="n"/>
      <c r="H428" s="7" t="n"/>
      <c r="I428" s="91" t="n"/>
      <c r="J428" s="7" t="n"/>
      <c r="K428" s="33">
        <f>SUM(E428:I428)</f>
        <v/>
      </c>
      <c r="L428" s="33">
        <f>K428*D428</f>
        <v/>
      </c>
      <c r="M428" s="33">
        <f>K428*C428</f>
        <v/>
      </c>
      <c r="N428" s="7" t="n"/>
      <c r="O428" s="33">
        <f>N428*C428</f>
        <v/>
      </c>
      <c r="P428" s="7" t="n"/>
      <c r="Q428" s="7" t="n"/>
      <c r="R428" s="7" t="n"/>
      <c r="S428" s="33">
        <f>O428*L428</f>
        <v/>
      </c>
      <c r="Y428" s="33">
        <f>0.25*H428</f>
        <v/>
      </c>
      <c r="Z428" s="33">
        <f>Y428*O428</f>
        <v/>
      </c>
      <c r="AA428" s="81">
        <f>C428*H428</f>
        <v/>
      </c>
      <c r="AB428" s="81">
        <f>(P428-1)*O428*K428</f>
        <v/>
      </c>
    </row>
    <row r="429">
      <c r="A429" s="7" t="n"/>
      <c r="B429" s="7" t="n"/>
      <c r="C429" s="8" t="n"/>
      <c r="D429" s="33">
        <f>C429/$U$3</f>
        <v/>
      </c>
      <c r="E429" s="7" t="n"/>
      <c r="F429" s="7" t="n"/>
      <c r="G429" s="7" t="n"/>
      <c r="H429" s="7" t="n"/>
      <c r="I429" s="91" t="n"/>
      <c r="J429" s="7" t="n"/>
      <c r="K429" s="33">
        <f>SUM(E429:I429)</f>
        <v/>
      </c>
      <c r="L429" s="33">
        <f>K429*D429</f>
        <v/>
      </c>
      <c r="M429" s="33">
        <f>K429*C429</f>
        <v/>
      </c>
      <c r="N429" s="7" t="n"/>
      <c r="O429" s="33">
        <f>N429*C429</f>
        <v/>
      </c>
      <c r="P429" s="7" t="n"/>
      <c r="Q429" s="7" t="n"/>
      <c r="R429" s="7" t="n"/>
      <c r="S429" s="33">
        <f>O429*L429</f>
        <v/>
      </c>
      <c r="Y429" s="33">
        <f>0.25*H429</f>
        <v/>
      </c>
      <c r="Z429" s="33">
        <f>Y429*O429</f>
        <v/>
      </c>
      <c r="AA429" s="81">
        <f>C429*H429</f>
        <v/>
      </c>
      <c r="AB429" s="81">
        <f>(P429-1)*O429*K429</f>
        <v/>
      </c>
    </row>
    <row r="430">
      <c r="A430" s="7" t="n"/>
      <c r="B430" s="7" t="n"/>
      <c r="C430" s="8" t="n"/>
      <c r="D430" s="33">
        <f>C430/$U$3</f>
        <v/>
      </c>
      <c r="E430" s="7" t="n"/>
      <c r="F430" s="7" t="n"/>
      <c r="G430" s="7" t="n"/>
      <c r="H430" s="7" t="n"/>
      <c r="I430" s="91" t="n"/>
      <c r="J430" s="7" t="n"/>
      <c r="K430" s="33">
        <f>SUM(E430:I430)</f>
        <v/>
      </c>
      <c r="L430" s="33">
        <f>K430*D430</f>
        <v/>
      </c>
      <c r="M430" s="33">
        <f>K430*C430</f>
        <v/>
      </c>
      <c r="N430" s="7" t="n"/>
      <c r="O430" s="33">
        <f>N430*C430</f>
        <v/>
      </c>
      <c r="P430" s="7" t="n"/>
      <c r="Q430" s="7" t="n"/>
      <c r="R430" s="7" t="n"/>
      <c r="S430" s="33">
        <f>O430*L430</f>
        <v/>
      </c>
      <c r="Y430" s="33">
        <f>0.25*H430</f>
        <v/>
      </c>
      <c r="Z430" s="33">
        <f>Y430*O430</f>
        <v/>
      </c>
      <c r="AA430" s="81">
        <f>C430*H430</f>
        <v/>
      </c>
      <c r="AB430" s="81">
        <f>(P430-1)*O430*K430</f>
        <v/>
      </c>
    </row>
    <row r="431">
      <c r="A431" s="7" t="n"/>
      <c r="B431" s="7" t="n"/>
      <c r="C431" s="8" t="n"/>
      <c r="D431" s="33">
        <f>C431/$U$3</f>
        <v/>
      </c>
      <c r="E431" s="7" t="n"/>
      <c r="F431" s="7" t="n"/>
      <c r="G431" s="7" t="n"/>
      <c r="H431" s="7" t="n"/>
      <c r="I431" s="91" t="n"/>
      <c r="J431" s="7" t="n"/>
      <c r="K431" s="33">
        <f>SUM(E431:I431)</f>
        <v/>
      </c>
      <c r="L431" s="33">
        <f>K431*D431</f>
        <v/>
      </c>
      <c r="M431" s="33">
        <f>K431*C431</f>
        <v/>
      </c>
      <c r="N431" s="7" t="n"/>
      <c r="O431" s="33">
        <f>N431*C431</f>
        <v/>
      </c>
      <c r="P431" s="7" t="n"/>
      <c r="Q431" s="7" t="n"/>
      <c r="R431" s="7" t="n"/>
      <c r="S431" s="33">
        <f>O431*L431</f>
        <v/>
      </c>
      <c r="Y431" s="33">
        <f>0.25*H431</f>
        <v/>
      </c>
      <c r="Z431" s="33">
        <f>Y431*O431</f>
        <v/>
      </c>
      <c r="AA431" s="81">
        <f>C431*H431</f>
        <v/>
      </c>
      <c r="AB431" s="81">
        <f>(P431-1)*O431*K431</f>
        <v/>
      </c>
    </row>
    <row r="432">
      <c r="A432" s="7" t="n"/>
      <c r="B432" s="7" t="n"/>
      <c r="C432" s="8" t="n"/>
      <c r="D432" s="33">
        <f>C432/$U$3</f>
        <v/>
      </c>
      <c r="E432" s="7" t="n"/>
      <c r="F432" s="7" t="n"/>
      <c r="G432" s="7" t="n"/>
      <c r="H432" s="7" t="n"/>
      <c r="I432" s="91" t="n"/>
      <c r="J432" s="7" t="n"/>
      <c r="K432" s="33">
        <f>SUM(E432:I432)</f>
        <v/>
      </c>
      <c r="L432" s="33">
        <f>K432*D432</f>
        <v/>
      </c>
      <c r="M432" s="33">
        <f>K432*C432</f>
        <v/>
      </c>
      <c r="N432" s="7" t="n"/>
      <c r="O432" s="33">
        <f>N432*C432</f>
        <v/>
      </c>
      <c r="P432" s="7" t="n"/>
      <c r="Q432" s="7" t="n"/>
      <c r="R432" s="7" t="n"/>
      <c r="S432" s="33">
        <f>O432*L432</f>
        <v/>
      </c>
      <c r="Y432" s="33">
        <f>0.25*H432</f>
        <v/>
      </c>
      <c r="Z432" s="33">
        <f>Y432*O432</f>
        <v/>
      </c>
      <c r="AA432" s="81">
        <f>C432*H432</f>
        <v/>
      </c>
      <c r="AB432" s="81">
        <f>(P432-1)*O432*K432</f>
        <v/>
      </c>
    </row>
    <row r="433">
      <c r="A433" s="7" t="n"/>
      <c r="B433" s="7" t="n"/>
      <c r="C433" s="8" t="n"/>
      <c r="D433" s="33">
        <f>C433/$U$3</f>
        <v/>
      </c>
      <c r="E433" s="7" t="n"/>
      <c r="F433" s="7" t="n"/>
      <c r="G433" s="7" t="n"/>
      <c r="H433" s="7" t="n"/>
      <c r="I433" s="91" t="n"/>
      <c r="J433" s="7" t="n"/>
      <c r="K433" s="33">
        <f>SUM(E433:I433)</f>
        <v/>
      </c>
      <c r="L433" s="33">
        <f>K433*D433</f>
        <v/>
      </c>
      <c r="M433" s="33">
        <f>K433*C433</f>
        <v/>
      </c>
      <c r="N433" s="7" t="n"/>
      <c r="O433" s="33">
        <f>N433*C433</f>
        <v/>
      </c>
      <c r="P433" s="7" t="n"/>
      <c r="Q433" s="7" t="n"/>
      <c r="R433" s="7" t="n"/>
      <c r="S433" s="33">
        <f>O433*L433</f>
        <v/>
      </c>
      <c r="Y433" s="33">
        <f>0.25*H433</f>
        <v/>
      </c>
      <c r="Z433" s="33">
        <f>Y433*O433</f>
        <v/>
      </c>
      <c r="AA433" s="81">
        <f>C433*H433</f>
        <v/>
      </c>
      <c r="AB433" s="81">
        <f>(P433-1)*O433*K433</f>
        <v/>
      </c>
    </row>
    <row r="434">
      <c r="A434" s="7" t="n"/>
      <c r="B434" s="7" t="n"/>
      <c r="C434" s="8" t="n"/>
      <c r="D434" s="33">
        <f>C434/$U$3</f>
        <v/>
      </c>
      <c r="E434" s="7" t="n"/>
      <c r="F434" s="7" t="n"/>
      <c r="G434" s="7" t="n"/>
      <c r="H434" s="7" t="n"/>
      <c r="I434" s="91" t="n"/>
      <c r="J434" s="7" t="n"/>
      <c r="K434" s="33">
        <f>SUM(E434:I434)</f>
        <v/>
      </c>
      <c r="L434" s="33">
        <f>K434*D434</f>
        <v/>
      </c>
      <c r="M434" s="33">
        <f>K434*C434</f>
        <v/>
      </c>
      <c r="N434" s="7" t="n"/>
      <c r="O434" s="33">
        <f>N434*C434</f>
        <v/>
      </c>
      <c r="P434" s="7" t="n"/>
      <c r="Q434" s="7" t="n"/>
      <c r="R434" s="7" t="n"/>
      <c r="S434" s="33">
        <f>O434*L434</f>
        <v/>
      </c>
      <c r="Y434" s="33">
        <f>0.25*H434</f>
        <v/>
      </c>
      <c r="Z434" s="33">
        <f>Y434*O434</f>
        <v/>
      </c>
      <c r="AA434" s="81">
        <f>C434*H434</f>
        <v/>
      </c>
      <c r="AB434" s="81">
        <f>(P434-1)*O434*K434</f>
        <v/>
      </c>
    </row>
    <row r="435">
      <c r="A435" s="7" t="n"/>
      <c r="B435" s="7" t="n"/>
      <c r="C435" s="8" t="n"/>
      <c r="D435" s="33">
        <f>C435/$U$3</f>
        <v/>
      </c>
      <c r="E435" s="7" t="n"/>
      <c r="F435" s="7" t="n"/>
      <c r="G435" s="7" t="n"/>
      <c r="H435" s="7" t="n"/>
      <c r="I435" s="91" t="n"/>
      <c r="J435" s="7" t="n"/>
      <c r="K435" s="33">
        <f>SUM(E435:I435)</f>
        <v/>
      </c>
      <c r="L435" s="33">
        <f>K435*D435</f>
        <v/>
      </c>
      <c r="M435" s="33">
        <f>K435*C435</f>
        <v/>
      </c>
      <c r="N435" s="7" t="n"/>
      <c r="O435" s="33">
        <f>N435*C435</f>
        <v/>
      </c>
      <c r="P435" s="7" t="n"/>
      <c r="Q435" s="7" t="n"/>
      <c r="R435" s="7" t="n"/>
      <c r="S435" s="33">
        <f>O435*L435</f>
        <v/>
      </c>
      <c r="Y435" s="33">
        <f>0.25*H435</f>
        <v/>
      </c>
      <c r="Z435" s="33">
        <f>Y435*O435</f>
        <v/>
      </c>
      <c r="AA435" s="81">
        <f>C435*H435</f>
        <v/>
      </c>
      <c r="AB435" s="81">
        <f>(P435-1)*O435*K435</f>
        <v/>
      </c>
    </row>
    <row r="436">
      <c r="A436" s="7" t="n"/>
      <c r="B436" s="7" t="n"/>
      <c r="C436" s="8" t="n"/>
      <c r="D436" s="33">
        <f>C436/$U$3</f>
        <v/>
      </c>
      <c r="E436" s="7" t="n"/>
      <c r="F436" s="7" t="n"/>
      <c r="G436" s="7" t="n"/>
      <c r="H436" s="7" t="n"/>
      <c r="I436" s="91" t="n"/>
      <c r="J436" s="7" t="n"/>
      <c r="K436" s="33">
        <f>SUM(E436:I436)</f>
        <v/>
      </c>
      <c r="L436" s="33">
        <f>K436*D436</f>
        <v/>
      </c>
      <c r="M436" s="33">
        <f>K436*C436</f>
        <v/>
      </c>
      <c r="N436" s="7" t="n"/>
      <c r="O436" s="33">
        <f>N436*C436</f>
        <v/>
      </c>
      <c r="P436" s="7" t="n"/>
      <c r="Q436" s="7" t="n"/>
      <c r="R436" s="7" t="n"/>
      <c r="S436" s="33">
        <f>O436*L436</f>
        <v/>
      </c>
      <c r="Y436" s="33">
        <f>0.25*H436</f>
        <v/>
      </c>
      <c r="Z436" s="33">
        <f>Y436*O436</f>
        <v/>
      </c>
      <c r="AA436" s="81">
        <f>C436*H436</f>
        <v/>
      </c>
      <c r="AB436" s="81">
        <f>(P436-1)*O436*K436</f>
        <v/>
      </c>
    </row>
    <row r="437">
      <c r="A437" s="7" t="n"/>
      <c r="B437" s="7" t="n"/>
      <c r="C437" s="8" t="n"/>
      <c r="D437" s="33">
        <f>C437/$U$3</f>
        <v/>
      </c>
      <c r="E437" s="7" t="n"/>
      <c r="F437" s="7" t="n"/>
      <c r="G437" s="7" t="n"/>
      <c r="H437" s="7" t="n"/>
      <c r="I437" s="91" t="n"/>
      <c r="J437" s="7" t="n"/>
      <c r="K437" s="33">
        <f>SUM(E437:I437)</f>
        <v/>
      </c>
      <c r="L437" s="33">
        <f>K437*D437</f>
        <v/>
      </c>
      <c r="M437" s="33">
        <f>K437*C437</f>
        <v/>
      </c>
      <c r="N437" s="7" t="n"/>
      <c r="O437" s="33">
        <f>N437*C437</f>
        <v/>
      </c>
      <c r="P437" s="7" t="n"/>
      <c r="Q437" s="7" t="n"/>
      <c r="R437" s="7" t="n"/>
      <c r="S437" s="33">
        <f>O437*L437</f>
        <v/>
      </c>
      <c r="Y437" s="33">
        <f>0.25*H437</f>
        <v/>
      </c>
      <c r="Z437" s="33">
        <f>Y437*O437</f>
        <v/>
      </c>
      <c r="AA437" s="81">
        <f>C437*H437</f>
        <v/>
      </c>
      <c r="AB437" s="81">
        <f>(P437-1)*O437*K437</f>
        <v/>
      </c>
    </row>
    <row r="438">
      <c r="A438" s="7" t="n"/>
      <c r="B438" s="7" t="n"/>
      <c r="C438" s="8" t="n"/>
      <c r="D438" s="33">
        <f>C438/$U$3</f>
        <v/>
      </c>
      <c r="E438" s="7" t="n"/>
      <c r="F438" s="7" t="n"/>
      <c r="G438" s="7" t="n"/>
      <c r="H438" s="7" t="n"/>
      <c r="I438" s="91" t="n"/>
      <c r="J438" s="7" t="n"/>
      <c r="K438" s="33">
        <f>SUM(E438:I438)</f>
        <v/>
      </c>
      <c r="L438" s="33">
        <f>K438*D438</f>
        <v/>
      </c>
      <c r="M438" s="33">
        <f>K438*C438</f>
        <v/>
      </c>
      <c r="N438" s="7" t="n"/>
      <c r="O438" s="33">
        <f>N438*C438</f>
        <v/>
      </c>
      <c r="P438" s="7" t="n"/>
      <c r="Q438" s="7" t="n"/>
      <c r="R438" s="7" t="n"/>
      <c r="S438" s="33">
        <f>O438*L438</f>
        <v/>
      </c>
      <c r="Y438" s="33">
        <f>0.25*H438</f>
        <v/>
      </c>
      <c r="Z438" s="33">
        <f>Y438*O438</f>
        <v/>
      </c>
      <c r="AA438" s="81">
        <f>C438*H438</f>
        <v/>
      </c>
      <c r="AB438" s="81">
        <f>(P438-1)*O438*K438</f>
        <v/>
      </c>
    </row>
    <row r="439">
      <c r="A439" s="7" t="n"/>
      <c r="B439" s="7" t="n"/>
      <c r="C439" s="8" t="n"/>
      <c r="D439" s="33">
        <f>C439/$U$3</f>
        <v/>
      </c>
      <c r="E439" s="7" t="n"/>
      <c r="F439" s="7" t="n"/>
      <c r="G439" s="7" t="n"/>
      <c r="H439" s="7" t="n"/>
      <c r="I439" s="91" t="n"/>
      <c r="J439" s="7" t="n"/>
      <c r="K439" s="33">
        <f>SUM(E439:I439)</f>
        <v/>
      </c>
      <c r="L439" s="33">
        <f>K439*D439</f>
        <v/>
      </c>
      <c r="M439" s="33">
        <f>K439*C439</f>
        <v/>
      </c>
      <c r="N439" s="7" t="n"/>
      <c r="O439" s="33">
        <f>N439*C439</f>
        <v/>
      </c>
      <c r="P439" s="7" t="n"/>
      <c r="Q439" s="7" t="n"/>
      <c r="R439" s="7" t="n"/>
      <c r="S439" s="33">
        <f>O439*L439</f>
        <v/>
      </c>
      <c r="Y439" s="33">
        <f>0.25*H439</f>
        <v/>
      </c>
      <c r="Z439" s="33">
        <f>Y439*O439</f>
        <v/>
      </c>
      <c r="AA439" s="81">
        <f>C439*H439</f>
        <v/>
      </c>
      <c r="AB439" s="81">
        <f>(P439-1)*O439*K439</f>
        <v/>
      </c>
    </row>
    <row r="440">
      <c r="A440" s="7" t="n"/>
      <c r="B440" s="7" t="n"/>
      <c r="C440" s="8" t="n"/>
      <c r="D440" s="33">
        <f>C440/$U$3</f>
        <v/>
      </c>
      <c r="E440" s="7" t="n"/>
      <c r="F440" s="7" t="n"/>
      <c r="G440" s="7" t="n"/>
      <c r="H440" s="7" t="n"/>
      <c r="I440" s="91" t="n"/>
      <c r="J440" s="7" t="n"/>
      <c r="K440" s="33">
        <f>SUM(E440:I440)</f>
        <v/>
      </c>
      <c r="L440" s="33">
        <f>K440*D440</f>
        <v/>
      </c>
      <c r="M440" s="33">
        <f>K440*C440</f>
        <v/>
      </c>
      <c r="N440" s="7" t="n"/>
      <c r="O440" s="33">
        <f>N440*C440</f>
        <v/>
      </c>
      <c r="P440" s="7" t="n"/>
      <c r="Q440" s="7" t="n"/>
      <c r="R440" s="7" t="n"/>
      <c r="S440" s="33">
        <f>O440*L440</f>
        <v/>
      </c>
      <c r="Y440" s="33">
        <f>0.25*H440</f>
        <v/>
      </c>
      <c r="Z440" s="33">
        <f>Y440*O440</f>
        <v/>
      </c>
      <c r="AA440" s="81">
        <f>C440*H440</f>
        <v/>
      </c>
      <c r="AB440" s="81">
        <f>(P440-1)*O440*K440</f>
        <v/>
      </c>
    </row>
    <row r="441">
      <c r="A441" s="7" t="n"/>
      <c r="B441" s="7" t="n"/>
      <c r="C441" s="8" t="n"/>
      <c r="D441" s="33">
        <f>C441/$U$3</f>
        <v/>
      </c>
      <c r="E441" s="7" t="n"/>
      <c r="F441" s="7" t="n"/>
      <c r="G441" s="7" t="n"/>
      <c r="H441" s="7" t="n"/>
      <c r="I441" s="91" t="n"/>
      <c r="J441" s="7" t="n"/>
      <c r="K441" s="33">
        <f>SUM(E441:I441)</f>
        <v/>
      </c>
      <c r="L441" s="33">
        <f>K441*D441</f>
        <v/>
      </c>
      <c r="M441" s="33">
        <f>K441*C441</f>
        <v/>
      </c>
      <c r="N441" s="7" t="n"/>
      <c r="O441" s="33">
        <f>N441*C441</f>
        <v/>
      </c>
      <c r="P441" s="7" t="n"/>
      <c r="Q441" s="7" t="n"/>
      <c r="R441" s="7" t="n"/>
      <c r="S441" s="33">
        <f>O441*L441</f>
        <v/>
      </c>
      <c r="Y441" s="33">
        <f>0.25*H441</f>
        <v/>
      </c>
      <c r="Z441" s="33">
        <f>Y441*O441</f>
        <v/>
      </c>
      <c r="AA441" s="81">
        <f>C441*H441</f>
        <v/>
      </c>
      <c r="AB441" s="81">
        <f>(P441-1)*O441*K441</f>
        <v/>
      </c>
    </row>
    <row r="442">
      <c r="A442" s="7" t="n"/>
      <c r="B442" s="7" t="n"/>
      <c r="C442" s="8" t="n"/>
      <c r="D442" s="33">
        <f>C442/$U$3</f>
        <v/>
      </c>
      <c r="E442" s="7" t="n"/>
      <c r="F442" s="7" t="n"/>
      <c r="G442" s="7" t="n"/>
      <c r="H442" s="7" t="n"/>
      <c r="I442" s="91" t="n"/>
      <c r="J442" s="7" t="n"/>
      <c r="K442" s="33">
        <f>SUM(E442:I442)</f>
        <v/>
      </c>
      <c r="L442" s="33">
        <f>K442*D442</f>
        <v/>
      </c>
      <c r="M442" s="33">
        <f>K442*C442</f>
        <v/>
      </c>
      <c r="N442" s="7" t="n"/>
      <c r="O442" s="33">
        <f>N442*C442</f>
        <v/>
      </c>
      <c r="P442" s="7" t="n"/>
      <c r="Q442" s="7" t="n"/>
      <c r="R442" s="7" t="n"/>
      <c r="S442" s="33">
        <f>O442*L442</f>
        <v/>
      </c>
      <c r="Y442" s="33">
        <f>0.25*H442</f>
        <v/>
      </c>
      <c r="Z442" s="33">
        <f>Y442*O442</f>
        <v/>
      </c>
      <c r="AA442" s="81">
        <f>C442*H442</f>
        <v/>
      </c>
      <c r="AB442" s="81">
        <f>(P442-1)*O442*K442</f>
        <v/>
      </c>
    </row>
    <row r="443">
      <c r="A443" s="7" t="n"/>
      <c r="B443" s="7" t="n"/>
      <c r="C443" s="8" t="n"/>
      <c r="D443" s="33">
        <f>C443/$U$3</f>
        <v/>
      </c>
      <c r="E443" s="7" t="n"/>
      <c r="F443" s="7" t="n"/>
      <c r="G443" s="7" t="n"/>
      <c r="H443" s="7" t="n"/>
      <c r="I443" s="91" t="n"/>
      <c r="J443" s="7" t="n"/>
      <c r="K443" s="33">
        <f>SUM(E443:I443)</f>
        <v/>
      </c>
      <c r="L443" s="33">
        <f>K443*D443</f>
        <v/>
      </c>
      <c r="M443" s="33">
        <f>K443*C443</f>
        <v/>
      </c>
      <c r="N443" s="7" t="n"/>
      <c r="O443" s="33">
        <f>N443*C443</f>
        <v/>
      </c>
      <c r="P443" s="7" t="n"/>
      <c r="Q443" s="7" t="n"/>
      <c r="R443" s="7" t="n"/>
      <c r="S443" s="33">
        <f>O443*L443</f>
        <v/>
      </c>
      <c r="Y443" s="33">
        <f>0.25*H443</f>
        <v/>
      </c>
      <c r="Z443" s="33">
        <f>Y443*O443</f>
        <v/>
      </c>
      <c r="AA443" s="81">
        <f>C443*H443</f>
        <v/>
      </c>
      <c r="AB443" s="81">
        <f>(P443-1)*O443*K443</f>
        <v/>
      </c>
    </row>
    <row r="444">
      <c r="A444" s="7" t="n"/>
      <c r="B444" s="7" t="n"/>
      <c r="C444" s="8" t="n"/>
      <c r="D444" s="33">
        <f>C444/$U$3</f>
        <v/>
      </c>
      <c r="E444" s="7" t="n"/>
      <c r="F444" s="7" t="n"/>
      <c r="G444" s="7" t="n"/>
      <c r="H444" s="7" t="n"/>
      <c r="I444" s="91" t="n"/>
      <c r="J444" s="7" t="n"/>
      <c r="K444" s="33">
        <f>SUM(E444:I444)</f>
        <v/>
      </c>
      <c r="L444" s="33">
        <f>K444*D444</f>
        <v/>
      </c>
      <c r="M444" s="33">
        <f>K444*C444</f>
        <v/>
      </c>
      <c r="N444" s="7" t="n"/>
      <c r="O444" s="33">
        <f>N444*C444</f>
        <v/>
      </c>
      <c r="P444" s="7" t="n"/>
      <c r="Q444" s="7" t="n"/>
      <c r="R444" s="7" t="n"/>
      <c r="S444" s="33">
        <f>O444*L444</f>
        <v/>
      </c>
      <c r="Y444" s="33">
        <f>0.25*H444</f>
        <v/>
      </c>
      <c r="Z444" s="33">
        <f>Y444*O444</f>
        <v/>
      </c>
      <c r="AA444" s="81">
        <f>C444*H444</f>
        <v/>
      </c>
      <c r="AB444" s="81">
        <f>(P444-1)*O444*K444</f>
        <v/>
      </c>
    </row>
    <row r="445">
      <c r="A445" s="7" t="n"/>
      <c r="B445" s="7" t="n"/>
      <c r="C445" s="8" t="n"/>
      <c r="D445" s="33">
        <f>C445/$U$3</f>
        <v/>
      </c>
      <c r="E445" s="7" t="n"/>
      <c r="F445" s="7" t="n"/>
      <c r="G445" s="7" t="n"/>
      <c r="H445" s="7" t="n"/>
      <c r="I445" s="91" t="n"/>
      <c r="J445" s="7" t="n"/>
      <c r="K445" s="33">
        <f>SUM(E445:I445)</f>
        <v/>
      </c>
      <c r="L445" s="33">
        <f>K445*D445</f>
        <v/>
      </c>
      <c r="M445" s="33">
        <f>K445*C445</f>
        <v/>
      </c>
      <c r="N445" s="7" t="n"/>
      <c r="O445" s="33">
        <f>N445*C445</f>
        <v/>
      </c>
      <c r="P445" s="7" t="n"/>
      <c r="Q445" s="7" t="n"/>
      <c r="R445" s="7" t="n"/>
      <c r="S445" s="33">
        <f>O445*L445</f>
        <v/>
      </c>
      <c r="Y445" s="33">
        <f>0.25*H445</f>
        <v/>
      </c>
      <c r="Z445" s="33">
        <f>Y445*O445</f>
        <v/>
      </c>
      <c r="AA445" s="81">
        <f>C445*H445</f>
        <v/>
      </c>
      <c r="AB445" s="81">
        <f>(P445-1)*O445*K445</f>
        <v/>
      </c>
    </row>
    <row r="446">
      <c r="A446" s="7" t="n"/>
      <c r="B446" s="7" t="n"/>
      <c r="C446" s="8" t="n"/>
      <c r="D446" s="33">
        <f>C446/$U$3</f>
        <v/>
      </c>
      <c r="E446" s="7" t="n"/>
      <c r="F446" s="7" t="n"/>
      <c r="G446" s="7" t="n"/>
      <c r="H446" s="7" t="n"/>
      <c r="I446" s="91" t="n"/>
      <c r="J446" s="7" t="n"/>
      <c r="K446" s="33">
        <f>SUM(E446:I446)</f>
        <v/>
      </c>
      <c r="L446" s="33">
        <f>K446*D446</f>
        <v/>
      </c>
      <c r="M446" s="33">
        <f>K446*C446</f>
        <v/>
      </c>
      <c r="N446" s="7" t="n"/>
      <c r="O446" s="33">
        <f>N446*C446</f>
        <v/>
      </c>
      <c r="P446" s="7" t="n"/>
      <c r="Q446" s="7" t="n"/>
      <c r="R446" s="7" t="n"/>
      <c r="S446" s="33">
        <f>O446*L446</f>
        <v/>
      </c>
      <c r="Y446" s="33">
        <f>0.25*H446</f>
        <v/>
      </c>
      <c r="Z446" s="33">
        <f>Y446*O446</f>
        <v/>
      </c>
      <c r="AA446" s="81">
        <f>C446*H446</f>
        <v/>
      </c>
      <c r="AB446" s="81">
        <f>(P446-1)*O446*K446</f>
        <v/>
      </c>
    </row>
    <row r="447">
      <c r="A447" s="7" t="n"/>
      <c r="B447" s="7" t="n"/>
      <c r="C447" s="8" t="n"/>
      <c r="D447" s="33">
        <f>C447/$U$3</f>
        <v/>
      </c>
      <c r="E447" s="7" t="n"/>
      <c r="F447" s="7" t="n"/>
      <c r="G447" s="7" t="n"/>
      <c r="H447" s="7" t="n"/>
      <c r="I447" s="91" t="n"/>
      <c r="J447" s="7" t="n"/>
      <c r="K447" s="33">
        <f>SUM(E447:I447)</f>
        <v/>
      </c>
      <c r="L447" s="33">
        <f>K447*D447</f>
        <v/>
      </c>
      <c r="M447" s="33">
        <f>K447*C447</f>
        <v/>
      </c>
      <c r="N447" s="7" t="n"/>
      <c r="O447" s="33">
        <f>N447*C447</f>
        <v/>
      </c>
      <c r="P447" s="7" t="n"/>
      <c r="Q447" s="7" t="n"/>
      <c r="R447" s="7" t="n"/>
      <c r="S447" s="33">
        <f>O447*L447</f>
        <v/>
      </c>
      <c r="Y447" s="33">
        <f>0.25*H447</f>
        <v/>
      </c>
      <c r="Z447" s="33">
        <f>Y447*O447</f>
        <v/>
      </c>
      <c r="AA447" s="81">
        <f>C447*H447</f>
        <v/>
      </c>
      <c r="AB447" s="81">
        <f>(P447-1)*O447*K447</f>
        <v/>
      </c>
    </row>
    <row r="448">
      <c r="A448" s="7" t="n"/>
      <c r="B448" s="7" t="n"/>
      <c r="C448" s="8" t="n"/>
      <c r="D448" s="33">
        <f>C448/$U$3</f>
        <v/>
      </c>
      <c r="E448" s="7" t="n"/>
      <c r="F448" s="7" t="n"/>
      <c r="G448" s="7" t="n"/>
      <c r="H448" s="7" t="n"/>
      <c r="I448" s="91" t="n"/>
      <c r="J448" s="7" t="n"/>
      <c r="K448" s="33">
        <f>SUM(E448:I448)</f>
        <v/>
      </c>
      <c r="L448" s="33">
        <f>K448*D448</f>
        <v/>
      </c>
      <c r="M448" s="33">
        <f>K448*C448</f>
        <v/>
      </c>
      <c r="N448" s="7" t="n"/>
      <c r="O448" s="33">
        <f>N448*C448</f>
        <v/>
      </c>
      <c r="P448" s="7" t="n"/>
      <c r="Q448" s="7" t="n"/>
      <c r="R448" s="7" t="n"/>
      <c r="S448" s="33">
        <f>O448*L448</f>
        <v/>
      </c>
      <c r="Y448" s="33">
        <f>0.25*H448</f>
        <v/>
      </c>
      <c r="Z448" s="33">
        <f>Y448*O448</f>
        <v/>
      </c>
      <c r="AA448" s="81">
        <f>C448*H448</f>
        <v/>
      </c>
      <c r="AB448" s="81">
        <f>(P448-1)*O448*K448</f>
        <v/>
      </c>
    </row>
    <row r="449">
      <c r="A449" s="7" t="n"/>
      <c r="B449" s="7" t="n"/>
      <c r="C449" s="8" t="n"/>
      <c r="D449" s="33">
        <f>C449/$U$3</f>
        <v/>
      </c>
      <c r="E449" s="7" t="n"/>
      <c r="F449" s="7" t="n"/>
      <c r="G449" s="7" t="n"/>
      <c r="H449" s="7" t="n"/>
      <c r="I449" s="91" t="n"/>
      <c r="J449" s="7" t="n"/>
      <c r="K449" s="33">
        <f>SUM(E449:I449)</f>
        <v/>
      </c>
      <c r="L449" s="33">
        <f>K449*D449</f>
        <v/>
      </c>
      <c r="M449" s="33">
        <f>K449*C449</f>
        <v/>
      </c>
      <c r="N449" s="7" t="n"/>
      <c r="O449" s="33">
        <f>N449*C449</f>
        <v/>
      </c>
      <c r="P449" s="7" t="n"/>
      <c r="Q449" s="7" t="n"/>
      <c r="R449" s="7" t="n"/>
      <c r="S449" s="33">
        <f>O449*L449</f>
        <v/>
      </c>
      <c r="Y449" s="33">
        <f>0.25*H449</f>
        <v/>
      </c>
      <c r="Z449" s="33">
        <f>Y449*O449</f>
        <v/>
      </c>
      <c r="AA449" s="81">
        <f>C449*H449</f>
        <v/>
      </c>
      <c r="AB449" s="81">
        <f>(P449-1)*O449*K449</f>
        <v/>
      </c>
    </row>
    <row r="450">
      <c r="A450" s="7" t="n"/>
      <c r="B450" s="7" t="n"/>
      <c r="C450" s="8" t="n"/>
      <c r="D450" s="33">
        <f>C450/$U$3</f>
        <v/>
      </c>
      <c r="E450" s="7" t="n"/>
      <c r="F450" s="7" t="n"/>
      <c r="G450" s="7" t="n"/>
      <c r="H450" s="7" t="n"/>
      <c r="I450" s="91" t="n"/>
      <c r="J450" s="7" t="n"/>
      <c r="K450" s="33">
        <f>SUM(E450:I450)</f>
        <v/>
      </c>
      <c r="L450" s="33">
        <f>K450*D450</f>
        <v/>
      </c>
      <c r="M450" s="33">
        <f>K450*C450</f>
        <v/>
      </c>
      <c r="N450" s="7" t="n"/>
      <c r="O450" s="33">
        <f>N450*C450</f>
        <v/>
      </c>
      <c r="P450" s="7" t="n"/>
      <c r="Q450" s="7" t="n"/>
      <c r="R450" s="7" t="n"/>
      <c r="S450" s="33">
        <f>O450*L450</f>
        <v/>
      </c>
      <c r="Y450" s="33">
        <f>0.25*H450</f>
        <v/>
      </c>
      <c r="Z450" s="33">
        <f>Y450*O450</f>
        <v/>
      </c>
      <c r="AA450" s="81">
        <f>C450*H450</f>
        <v/>
      </c>
      <c r="AB450" s="81">
        <f>(P450-1)*O450*K450</f>
        <v/>
      </c>
    </row>
    <row r="451">
      <c r="A451" s="7" t="n"/>
      <c r="B451" s="7" t="n"/>
      <c r="C451" s="8" t="n"/>
      <c r="D451" s="33">
        <f>C451/$U$3</f>
        <v/>
      </c>
      <c r="E451" s="7" t="n"/>
      <c r="F451" s="7" t="n"/>
      <c r="G451" s="7" t="n"/>
      <c r="H451" s="7" t="n"/>
      <c r="I451" s="91" t="n"/>
      <c r="J451" s="7" t="n"/>
      <c r="K451" s="33">
        <f>SUM(E451:I451)</f>
        <v/>
      </c>
      <c r="L451" s="33">
        <f>K451*D451</f>
        <v/>
      </c>
      <c r="M451" s="33">
        <f>K451*C451</f>
        <v/>
      </c>
      <c r="N451" s="7" t="n"/>
      <c r="O451" s="33">
        <f>N451*C451</f>
        <v/>
      </c>
      <c r="P451" s="7" t="n"/>
      <c r="Q451" s="7" t="n"/>
      <c r="R451" s="7" t="n"/>
      <c r="S451" s="33">
        <f>O451*L451</f>
        <v/>
      </c>
      <c r="Y451" s="33">
        <f>0.25*H451</f>
        <v/>
      </c>
      <c r="Z451" s="33">
        <f>Y451*O451</f>
        <v/>
      </c>
      <c r="AA451" s="81">
        <f>C451*H451</f>
        <v/>
      </c>
      <c r="AB451" s="81">
        <f>(P451-1)*O451*K451</f>
        <v/>
      </c>
    </row>
    <row r="452">
      <c r="A452" s="7" t="n"/>
      <c r="B452" s="7" t="n"/>
      <c r="C452" s="8" t="n"/>
      <c r="D452" s="33">
        <f>C452/$U$3</f>
        <v/>
      </c>
      <c r="E452" s="7" t="n"/>
      <c r="F452" s="7" t="n"/>
      <c r="G452" s="7" t="n"/>
      <c r="H452" s="7" t="n"/>
      <c r="I452" s="91" t="n"/>
      <c r="J452" s="7" t="n"/>
      <c r="K452" s="33">
        <f>SUM(E452:I452)</f>
        <v/>
      </c>
      <c r="L452" s="33">
        <f>K452*D452</f>
        <v/>
      </c>
      <c r="M452" s="33">
        <f>K452*C452</f>
        <v/>
      </c>
      <c r="N452" s="7" t="n"/>
      <c r="O452" s="33">
        <f>N452*C452</f>
        <v/>
      </c>
      <c r="P452" s="7" t="n"/>
      <c r="Q452" s="7" t="n"/>
      <c r="R452" s="7" t="n"/>
      <c r="S452" s="33">
        <f>O452*L452</f>
        <v/>
      </c>
      <c r="Y452" s="33">
        <f>0.25*H452</f>
        <v/>
      </c>
      <c r="Z452" s="33">
        <f>Y452*O452</f>
        <v/>
      </c>
      <c r="AA452" s="81">
        <f>C452*H452</f>
        <v/>
      </c>
      <c r="AB452" s="81">
        <f>(P452-1)*O452*K452</f>
        <v/>
      </c>
    </row>
    <row r="453">
      <c r="A453" s="7" t="n"/>
      <c r="B453" s="7" t="n"/>
      <c r="C453" s="8" t="n"/>
      <c r="D453" s="33">
        <f>C453/$U$3</f>
        <v/>
      </c>
      <c r="E453" s="7" t="n"/>
      <c r="F453" s="7" t="n"/>
      <c r="G453" s="7" t="n"/>
      <c r="H453" s="7" t="n"/>
      <c r="I453" s="91" t="n"/>
      <c r="J453" s="7" t="n"/>
      <c r="K453" s="33">
        <f>SUM(E453:I453)</f>
        <v/>
      </c>
      <c r="L453" s="33">
        <f>K453*D453</f>
        <v/>
      </c>
      <c r="M453" s="33">
        <f>K453*C453</f>
        <v/>
      </c>
      <c r="N453" s="7" t="n"/>
      <c r="O453" s="33">
        <f>N453*C453</f>
        <v/>
      </c>
      <c r="P453" s="7" t="n"/>
      <c r="Q453" s="7" t="n"/>
      <c r="R453" s="7" t="n"/>
      <c r="S453" s="33">
        <f>O453*L453</f>
        <v/>
      </c>
      <c r="Y453" s="33">
        <f>0.25*H453</f>
        <v/>
      </c>
      <c r="Z453" s="33">
        <f>Y453*O453</f>
        <v/>
      </c>
      <c r="AA453" s="81">
        <f>C453*H453</f>
        <v/>
      </c>
      <c r="AB453" s="81">
        <f>(P453-1)*O453*K453</f>
        <v/>
      </c>
    </row>
    <row r="454">
      <c r="A454" s="7" t="n"/>
      <c r="B454" s="7" t="n"/>
      <c r="C454" s="8" t="n"/>
      <c r="D454" s="33">
        <f>C454/$U$3</f>
        <v/>
      </c>
      <c r="E454" s="7" t="n"/>
      <c r="F454" s="7" t="n"/>
      <c r="G454" s="7" t="n"/>
      <c r="H454" s="7" t="n"/>
      <c r="I454" s="91" t="n"/>
      <c r="J454" s="7" t="n"/>
      <c r="K454" s="33">
        <f>SUM(E454:I454)</f>
        <v/>
      </c>
      <c r="L454" s="33">
        <f>K454*D454</f>
        <v/>
      </c>
      <c r="M454" s="33">
        <f>K454*C454</f>
        <v/>
      </c>
      <c r="N454" s="7" t="n"/>
      <c r="O454" s="33">
        <f>N454*C454</f>
        <v/>
      </c>
      <c r="P454" s="7" t="n"/>
      <c r="Q454" s="7" t="n"/>
      <c r="R454" s="7" t="n"/>
      <c r="S454" s="33">
        <f>O454*L454</f>
        <v/>
      </c>
      <c r="Y454" s="33">
        <f>0.25*H454</f>
        <v/>
      </c>
      <c r="Z454" s="33">
        <f>Y454*O454</f>
        <v/>
      </c>
      <c r="AA454" s="81">
        <f>C454*H454</f>
        <v/>
      </c>
      <c r="AB454" s="81">
        <f>(P454-1)*O454*K454</f>
        <v/>
      </c>
    </row>
    <row r="455">
      <c r="A455" s="7" t="n"/>
      <c r="B455" s="7" t="n"/>
      <c r="C455" s="8" t="n"/>
      <c r="D455" s="33">
        <f>C455/$U$3</f>
        <v/>
      </c>
      <c r="E455" s="7" t="n"/>
      <c r="F455" s="7" t="n"/>
      <c r="G455" s="7" t="n"/>
      <c r="H455" s="7" t="n"/>
      <c r="I455" s="91" t="n"/>
      <c r="J455" s="7" t="n"/>
      <c r="K455" s="33">
        <f>SUM(E455:I455)</f>
        <v/>
      </c>
      <c r="L455" s="33">
        <f>K455*D455</f>
        <v/>
      </c>
      <c r="M455" s="33">
        <f>K455*C455</f>
        <v/>
      </c>
      <c r="N455" s="7" t="n"/>
      <c r="O455" s="33">
        <f>N455*C455</f>
        <v/>
      </c>
      <c r="P455" s="7" t="n"/>
      <c r="Q455" s="7" t="n"/>
      <c r="R455" s="7" t="n"/>
      <c r="S455" s="33">
        <f>O455*L455</f>
        <v/>
      </c>
      <c r="Y455" s="33">
        <f>0.25*H455</f>
        <v/>
      </c>
      <c r="Z455" s="33">
        <f>Y455*O455</f>
        <v/>
      </c>
      <c r="AA455" s="81">
        <f>C455*H455</f>
        <v/>
      </c>
      <c r="AB455" s="81">
        <f>(P455-1)*O455*K455</f>
        <v/>
      </c>
    </row>
    <row r="456">
      <c r="A456" s="7" t="n"/>
      <c r="B456" s="7" t="n"/>
      <c r="C456" s="8" t="n"/>
      <c r="D456" s="33">
        <f>C456/$U$3</f>
        <v/>
      </c>
      <c r="E456" s="7" t="n"/>
      <c r="F456" s="7" t="n"/>
      <c r="G456" s="7" t="n"/>
      <c r="H456" s="7" t="n"/>
      <c r="I456" s="91" t="n"/>
      <c r="J456" s="7" t="n"/>
      <c r="K456" s="33">
        <f>SUM(E456:I456)</f>
        <v/>
      </c>
      <c r="L456" s="33">
        <f>K456*D456</f>
        <v/>
      </c>
      <c r="M456" s="33">
        <f>K456*C456</f>
        <v/>
      </c>
      <c r="N456" s="7" t="n"/>
      <c r="O456" s="33">
        <f>N456*C456</f>
        <v/>
      </c>
      <c r="P456" s="7" t="n"/>
      <c r="Q456" s="7" t="n"/>
      <c r="R456" s="7" t="n"/>
      <c r="S456" s="33">
        <f>O456*L456</f>
        <v/>
      </c>
      <c r="Y456" s="33">
        <f>0.25*H456</f>
        <v/>
      </c>
      <c r="Z456" s="33">
        <f>Y456*O456</f>
        <v/>
      </c>
      <c r="AA456" s="81">
        <f>C456*H456</f>
        <v/>
      </c>
      <c r="AB456" s="81">
        <f>(P456-1)*O456*K456</f>
        <v/>
      </c>
    </row>
    <row r="457">
      <c r="A457" s="7" t="n"/>
      <c r="B457" s="7" t="n"/>
      <c r="C457" s="8" t="n"/>
      <c r="D457" s="33">
        <f>C457/$U$3</f>
        <v/>
      </c>
      <c r="E457" s="7" t="n"/>
      <c r="F457" s="7" t="n"/>
      <c r="G457" s="7" t="n"/>
      <c r="H457" s="7" t="n"/>
      <c r="I457" s="91" t="n"/>
      <c r="J457" s="7" t="n"/>
      <c r="K457" s="33">
        <f>SUM(E457:I457)</f>
        <v/>
      </c>
      <c r="L457" s="33">
        <f>K457*D457</f>
        <v/>
      </c>
      <c r="M457" s="33">
        <f>K457*C457</f>
        <v/>
      </c>
      <c r="N457" s="7" t="n"/>
      <c r="O457" s="33">
        <f>N457*C457</f>
        <v/>
      </c>
      <c r="P457" s="7" t="n"/>
      <c r="Q457" s="7" t="n"/>
      <c r="R457" s="7" t="n"/>
      <c r="S457" s="33">
        <f>O457*L457</f>
        <v/>
      </c>
      <c r="Y457" s="33">
        <f>0.25*H457</f>
        <v/>
      </c>
      <c r="Z457" s="33">
        <f>Y457*O457</f>
        <v/>
      </c>
      <c r="AA457" s="81">
        <f>C457*H457</f>
        <v/>
      </c>
      <c r="AB457" s="81">
        <f>(P457-1)*O457*K457</f>
        <v/>
      </c>
    </row>
    <row r="458">
      <c r="A458" s="7" t="n"/>
      <c r="B458" s="7" t="n"/>
      <c r="C458" s="8" t="n"/>
      <c r="D458" s="33">
        <f>C458/$U$3</f>
        <v/>
      </c>
      <c r="E458" s="7" t="n"/>
      <c r="F458" s="7" t="n"/>
      <c r="G458" s="7" t="n"/>
      <c r="H458" s="7" t="n"/>
      <c r="I458" s="91" t="n"/>
      <c r="J458" s="7" t="n"/>
      <c r="K458" s="33">
        <f>SUM(E458:I458)</f>
        <v/>
      </c>
      <c r="L458" s="33">
        <f>K458*D458</f>
        <v/>
      </c>
      <c r="M458" s="33">
        <f>K458*C458</f>
        <v/>
      </c>
      <c r="N458" s="7" t="n"/>
      <c r="O458" s="33">
        <f>N458*C458</f>
        <v/>
      </c>
      <c r="P458" s="7" t="n"/>
      <c r="Q458" s="7" t="n"/>
      <c r="R458" s="7" t="n"/>
      <c r="S458" s="33">
        <f>O458*L458</f>
        <v/>
      </c>
      <c r="Y458" s="33">
        <f>0.25*H458</f>
        <v/>
      </c>
      <c r="Z458" s="33">
        <f>Y458*O458</f>
        <v/>
      </c>
      <c r="AA458" s="81">
        <f>C458*H458</f>
        <v/>
      </c>
      <c r="AB458" s="81">
        <f>(P458-1)*O458*K458</f>
        <v/>
      </c>
    </row>
    <row r="459">
      <c r="A459" s="7" t="n"/>
      <c r="B459" s="7" t="n"/>
      <c r="C459" s="8" t="n"/>
      <c r="D459" s="33">
        <f>C459/$U$3</f>
        <v/>
      </c>
      <c r="E459" s="7" t="n"/>
      <c r="F459" s="7" t="n"/>
      <c r="G459" s="7" t="n"/>
      <c r="H459" s="7" t="n"/>
      <c r="I459" s="91" t="n"/>
      <c r="J459" s="7" t="n"/>
      <c r="K459" s="33">
        <f>SUM(E459:I459)</f>
        <v/>
      </c>
      <c r="L459" s="33">
        <f>K459*D459</f>
        <v/>
      </c>
      <c r="M459" s="33">
        <f>K459*C459</f>
        <v/>
      </c>
      <c r="N459" s="7" t="n"/>
      <c r="O459" s="33">
        <f>N459*C459</f>
        <v/>
      </c>
      <c r="P459" s="7" t="n"/>
      <c r="Q459" s="7" t="n"/>
      <c r="R459" s="7" t="n"/>
      <c r="S459" s="33">
        <f>O459*L459</f>
        <v/>
      </c>
      <c r="Y459" s="33">
        <f>0.25*H459</f>
        <v/>
      </c>
      <c r="Z459" s="33">
        <f>Y459*O459</f>
        <v/>
      </c>
      <c r="AA459" s="81">
        <f>C459*H459</f>
        <v/>
      </c>
      <c r="AB459" s="81">
        <f>(P459-1)*O459*K459</f>
        <v/>
      </c>
    </row>
    <row r="460">
      <c r="A460" s="7" t="n"/>
      <c r="B460" s="7" t="n"/>
      <c r="C460" s="8" t="n"/>
      <c r="D460" s="33">
        <f>C460/$U$3</f>
        <v/>
      </c>
      <c r="E460" s="7" t="n"/>
      <c r="F460" s="7" t="n"/>
      <c r="G460" s="7" t="n"/>
      <c r="H460" s="7" t="n"/>
      <c r="I460" s="91" t="n"/>
      <c r="J460" s="7" t="n"/>
      <c r="K460" s="33">
        <f>SUM(E460:I460)</f>
        <v/>
      </c>
      <c r="L460" s="33">
        <f>K460*D460</f>
        <v/>
      </c>
      <c r="M460" s="33">
        <f>K460*C460</f>
        <v/>
      </c>
      <c r="N460" s="7" t="n"/>
      <c r="O460" s="33">
        <f>N460*C460</f>
        <v/>
      </c>
      <c r="P460" s="7" t="n"/>
      <c r="Q460" s="7" t="n"/>
      <c r="R460" s="7" t="n"/>
      <c r="S460" s="33">
        <f>O460*L460</f>
        <v/>
      </c>
      <c r="Y460" s="33">
        <f>0.25*H460</f>
        <v/>
      </c>
      <c r="Z460" s="33">
        <f>Y460*O460</f>
        <v/>
      </c>
      <c r="AA460" s="81">
        <f>C460*H460</f>
        <v/>
      </c>
      <c r="AB460" s="81">
        <f>(P460-1)*O460*K460</f>
        <v/>
      </c>
    </row>
    <row r="461">
      <c r="A461" s="7" t="n"/>
      <c r="B461" s="7" t="n"/>
      <c r="C461" s="8" t="n"/>
      <c r="D461" s="33">
        <f>C461/$U$3</f>
        <v/>
      </c>
      <c r="E461" s="7" t="n"/>
      <c r="F461" s="7" t="n"/>
      <c r="G461" s="7" t="n"/>
      <c r="H461" s="7" t="n"/>
      <c r="I461" s="91" t="n"/>
      <c r="J461" s="7" t="n"/>
      <c r="K461" s="33">
        <f>SUM(E461:I461)</f>
        <v/>
      </c>
      <c r="L461" s="33">
        <f>K461*D461</f>
        <v/>
      </c>
      <c r="M461" s="33">
        <f>K461*C461</f>
        <v/>
      </c>
      <c r="N461" s="7" t="n"/>
      <c r="O461" s="33">
        <f>N461*C461</f>
        <v/>
      </c>
      <c r="P461" s="7" t="n"/>
      <c r="Q461" s="7" t="n"/>
      <c r="R461" s="7" t="n"/>
      <c r="S461" s="33">
        <f>O461*L461</f>
        <v/>
      </c>
      <c r="Y461" s="33">
        <f>0.25*H461</f>
        <v/>
      </c>
      <c r="Z461" s="33">
        <f>Y461*O461</f>
        <v/>
      </c>
      <c r="AA461" s="81">
        <f>C461*H461</f>
        <v/>
      </c>
      <c r="AB461" s="81">
        <f>(P461-1)*O461*K461</f>
        <v/>
      </c>
    </row>
    <row r="462">
      <c r="A462" s="7" t="n"/>
      <c r="B462" s="7" t="n"/>
      <c r="C462" s="8" t="n"/>
      <c r="D462" s="33">
        <f>C462/$U$3</f>
        <v/>
      </c>
      <c r="E462" s="7" t="n"/>
      <c r="F462" s="7" t="n"/>
      <c r="G462" s="7" t="n"/>
      <c r="H462" s="7" t="n"/>
      <c r="I462" s="91" t="n"/>
      <c r="J462" s="7" t="n"/>
      <c r="K462" s="33">
        <f>SUM(E462:I462)</f>
        <v/>
      </c>
      <c r="L462" s="33">
        <f>K462*D462</f>
        <v/>
      </c>
      <c r="M462" s="33">
        <f>K462*C462</f>
        <v/>
      </c>
      <c r="N462" s="7" t="n"/>
      <c r="O462" s="33">
        <f>N462*C462</f>
        <v/>
      </c>
      <c r="P462" s="7" t="n"/>
      <c r="Q462" s="7" t="n"/>
      <c r="R462" s="7" t="n"/>
      <c r="S462" s="33">
        <f>O462*L462</f>
        <v/>
      </c>
      <c r="Y462" s="33">
        <f>0.25*H462</f>
        <v/>
      </c>
      <c r="Z462" s="33">
        <f>Y462*O462</f>
        <v/>
      </c>
      <c r="AA462" s="81">
        <f>C462*H462</f>
        <v/>
      </c>
      <c r="AB462" s="81">
        <f>(P462-1)*O462*K462</f>
        <v/>
      </c>
    </row>
    <row r="463">
      <c r="A463" s="7" t="n"/>
      <c r="B463" s="7" t="n"/>
      <c r="C463" s="8" t="n"/>
      <c r="D463" s="33">
        <f>C463/$U$3</f>
        <v/>
      </c>
      <c r="E463" s="7" t="n"/>
      <c r="F463" s="7" t="n"/>
      <c r="G463" s="7" t="n"/>
      <c r="H463" s="7" t="n"/>
      <c r="I463" s="91" t="n"/>
      <c r="J463" s="7" t="n"/>
      <c r="K463" s="33">
        <f>SUM(E463:I463)</f>
        <v/>
      </c>
      <c r="L463" s="33">
        <f>K463*D463</f>
        <v/>
      </c>
      <c r="M463" s="33">
        <f>K463*C463</f>
        <v/>
      </c>
      <c r="N463" s="7" t="n"/>
      <c r="O463" s="33">
        <f>N463*C463</f>
        <v/>
      </c>
      <c r="P463" s="7" t="n"/>
      <c r="Q463" s="7" t="n"/>
      <c r="R463" s="7" t="n"/>
      <c r="S463" s="33">
        <f>O463*L463</f>
        <v/>
      </c>
      <c r="Y463" s="33">
        <f>0.25*H463</f>
        <v/>
      </c>
      <c r="Z463" s="33">
        <f>Y463*O463</f>
        <v/>
      </c>
      <c r="AA463" s="81">
        <f>C463*H463</f>
        <v/>
      </c>
      <c r="AB463" s="81">
        <f>(P463-1)*O463*K463</f>
        <v/>
      </c>
    </row>
    <row r="464">
      <c r="A464" s="7" t="n"/>
      <c r="B464" s="7" t="n"/>
      <c r="C464" s="8" t="n"/>
      <c r="D464" s="33">
        <f>C464/$U$3</f>
        <v/>
      </c>
      <c r="E464" s="7" t="n"/>
      <c r="F464" s="7" t="n"/>
      <c r="G464" s="7" t="n"/>
      <c r="H464" s="7" t="n"/>
      <c r="I464" s="91" t="n"/>
      <c r="J464" s="7" t="n"/>
      <c r="K464" s="33">
        <f>SUM(E464:I464)</f>
        <v/>
      </c>
      <c r="L464" s="33">
        <f>K464*D464</f>
        <v/>
      </c>
      <c r="M464" s="33">
        <f>K464*C464</f>
        <v/>
      </c>
      <c r="N464" s="7" t="n"/>
      <c r="O464" s="33">
        <f>N464*C464</f>
        <v/>
      </c>
      <c r="P464" s="7" t="n"/>
      <c r="Q464" s="7" t="n"/>
      <c r="R464" s="7" t="n"/>
      <c r="S464" s="33">
        <f>O464*L464</f>
        <v/>
      </c>
      <c r="Y464" s="33">
        <f>0.25*H464</f>
        <v/>
      </c>
      <c r="Z464" s="33">
        <f>Y464*O464</f>
        <v/>
      </c>
      <c r="AA464" s="81">
        <f>C464*H464</f>
        <v/>
      </c>
      <c r="AB464" s="81">
        <f>(P464-1)*O464*K464</f>
        <v/>
      </c>
    </row>
    <row r="465">
      <c r="A465" s="7" t="n"/>
      <c r="B465" s="7" t="n"/>
      <c r="C465" s="8" t="n"/>
      <c r="D465" s="33">
        <f>C465/$U$3</f>
        <v/>
      </c>
      <c r="E465" s="7" t="n"/>
      <c r="F465" s="7" t="n"/>
      <c r="G465" s="7" t="n"/>
      <c r="H465" s="7" t="n"/>
      <c r="I465" s="91" t="n"/>
      <c r="J465" s="7" t="n"/>
      <c r="K465" s="33">
        <f>SUM(E465:I465)</f>
        <v/>
      </c>
      <c r="L465" s="33">
        <f>K465*D465</f>
        <v/>
      </c>
      <c r="M465" s="33">
        <f>K465*C465</f>
        <v/>
      </c>
      <c r="N465" s="7" t="n"/>
      <c r="O465" s="33">
        <f>N465*C465</f>
        <v/>
      </c>
      <c r="P465" s="7" t="n"/>
      <c r="Q465" s="7" t="n"/>
      <c r="R465" s="7" t="n"/>
      <c r="S465" s="33">
        <f>O465*L465</f>
        <v/>
      </c>
      <c r="Y465" s="33">
        <f>0.25*H465</f>
        <v/>
      </c>
      <c r="Z465" s="33">
        <f>Y465*O465</f>
        <v/>
      </c>
      <c r="AA465" s="81">
        <f>C465*H465</f>
        <v/>
      </c>
      <c r="AB465" s="81">
        <f>(P465-1)*O465*K465</f>
        <v/>
      </c>
    </row>
    <row r="466">
      <c r="A466" s="7" t="n"/>
      <c r="B466" s="7" t="n"/>
      <c r="C466" s="8" t="n"/>
      <c r="D466" s="33">
        <f>C466/$U$3</f>
        <v/>
      </c>
      <c r="E466" s="7" t="n"/>
      <c r="F466" s="7" t="n"/>
      <c r="G466" s="7" t="n"/>
      <c r="H466" s="7" t="n"/>
      <c r="I466" s="91" t="n"/>
      <c r="J466" s="7" t="n"/>
      <c r="K466" s="33">
        <f>SUM(E466:I466)</f>
        <v/>
      </c>
      <c r="L466" s="33">
        <f>K466*D466</f>
        <v/>
      </c>
      <c r="M466" s="33">
        <f>K466*C466</f>
        <v/>
      </c>
      <c r="N466" s="7" t="n"/>
      <c r="O466" s="33">
        <f>N466*C466</f>
        <v/>
      </c>
      <c r="P466" s="7" t="n"/>
      <c r="Q466" s="7" t="n"/>
      <c r="R466" s="7" t="n"/>
      <c r="S466" s="33">
        <f>O466*L466</f>
        <v/>
      </c>
      <c r="Y466" s="33">
        <f>0.25*H466</f>
        <v/>
      </c>
      <c r="Z466" s="33">
        <f>Y466*O466</f>
        <v/>
      </c>
      <c r="AA466" s="81">
        <f>C466*H466</f>
        <v/>
      </c>
      <c r="AB466" s="81">
        <f>(P466-1)*O466*K466</f>
        <v/>
      </c>
    </row>
    <row r="467">
      <c r="A467" s="7" t="n"/>
      <c r="B467" s="7" t="n"/>
      <c r="C467" s="8" t="n"/>
      <c r="D467" s="33">
        <f>C467/$U$3</f>
        <v/>
      </c>
      <c r="E467" s="7" t="n"/>
      <c r="F467" s="7" t="n"/>
      <c r="G467" s="7" t="n"/>
      <c r="H467" s="7" t="n"/>
      <c r="I467" s="91" t="n"/>
      <c r="J467" s="7" t="n"/>
      <c r="K467" s="33">
        <f>SUM(E467:I467)</f>
        <v/>
      </c>
      <c r="L467" s="33">
        <f>K467*D467</f>
        <v/>
      </c>
      <c r="M467" s="33">
        <f>K467*C467</f>
        <v/>
      </c>
      <c r="N467" s="7" t="n"/>
      <c r="O467" s="33">
        <f>N467*C467</f>
        <v/>
      </c>
      <c r="P467" s="7" t="n"/>
      <c r="Q467" s="7" t="n"/>
      <c r="R467" s="7" t="n"/>
      <c r="S467" s="33">
        <f>O467*L467</f>
        <v/>
      </c>
      <c r="Y467" s="33">
        <f>0.25*H467</f>
        <v/>
      </c>
      <c r="Z467" s="33">
        <f>Y467*O467</f>
        <v/>
      </c>
      <c r="AA467" s="81">
        <f>C467*H467</f>
        <v/>
      </c>
      <c r="AB467" s="81">
        <f>(P467-1)*O467*K467</f>
        <v/>
      </c>
    </row>
    <row r="468">
      <c r="A468" s="7" t="n"/>
      <c r="B468" s="7" t="n"/>
      <c r="C468" s="8" t="n"/>
      <c r="D468" s="33">
        <f>C468/$U$3</f>
        <v/>
      </c>
      <c r="E468" s="7" t="n"/>
      <c r="F468" s="7" t="n"/>
      <c r="G468" s="7" t="n"/>
      <c r="H468" s="7" t="n"/>
      <c r="I468" s="91" t="n"/>
      <c r="J468" s="7" t="n"/>
      <c r="K468" s="33">
        <f>SUM(E468:I468)</f>
        <v/>
      </c>
      <c r="L468" s="33">
        <f>K468*D468</f>
        <v/>
      </c>
      <c r="M468" s="33">
        <f>K468*C468</f>
        <v/>
      </c>
      <c r="N468" s="7" t="n"/>
      <c r="O468" s="33">
        <f>N468*C468</f>
        <v/>
      </c>
      <c r="P468" s="7" t="n"/>
      <c r="Q468" s="7" t="n"/>
      <c r="R468" s="7" t="n"/>
      <c r="S468" s="33">
        <f>O468*L468</f>
        <v/>
      </c>
      <c r="Y468" s="33">
        <f>0.25*H468</f>
        <v/>
      </c>
      <c r="Z468" s="33">
        <f>Y468*O468</f>
        <v/>
      </c>
      <c r="AA468" s="81">
        <f>C468*H468</f>
        <v/>
      </c>
      <c r="AB468" s="81">
        <f>(P468-1)*O468*K468</f>
        <v/>
      </c>
    </row>
    <row r="469">
      <c r="A469" s="7" t="n"/>
      <c r="B469" s="7" t="n"/>
      <c r="C469" s="8" t="n"/>
      <c r="D469" s="33">
        <f>C469/$U$3</f>
        <v/>
      </c>
      <c r="E469" s="7" t="n"/>
      <c r="F469" s="7" t="n"/>
      <c r="G469" s="7" t="n"/>
      <c r="H469" s="7" t="n"/>
      <c r="I469" s="91" t="n"/>
      <c r="J469" s="7" t="n"/>
      <c r="K469" s="33">
        <f>SUM(E469:I469)</f>
        <v/>
      </c>
      <c r="L469" s="33">
        <f>K469*D469</f>
        <v/>
      </c>
      <c r="M469" s="33">
        <f>K469*C469</f>
        <v/>
      </c>
      <c r="N469" s="7" t="n"/>
      <c r="O469" s="33">
        <f>N469*C469</f>
        <v/>
      </c>
      <c r="P469" s="7" t="n"/>
      <c r="Q469" s="7" t="n"/>
      <c r="R469" s="7" t="n"/>
      <c r="S469" s="33">
        <f>O469*L469</f>
        <v/>
      </c>
      <c r="Y469" s="33">
        <f>0.25*H469</f>
        <v/>
      </c>
      <c r="Z469" s="33">
        <f>Y469*O469</f>
        <v/>
      </c>
      <c r="AA469" s="81">
        <f>C469*H469</f>
        <v/>
      </c>
      <c r="AB469" s="81">
        <f>(P469-1)*O469*K469</f>
        <v/>
      </c>
    </row>
    <row r="470">
      <c r="A470" s="7" t="n"/>
      <c r="B470" s="7" t="n"/>
      <c r="C470" s="8" t="n"/>
      <c r="D470" s="33">
        <f>C470/$U$3</f>
        <v/>
      </c>
      <c r="E470" s="7" t="n"/>
      <c r="F470" s="7" t="n"/>
      <c r="G470" s="7" t="n"/>
      <c r="H470" s="7" t="n"/>
      <c r="I470" s="91" t="n"/>
      <c r="J470" s="7" t="n"/>
      <c r="K470" s="33">
        <f>SUM(E470:I470)</f>
        <v/>
      </c>
      <c r="L470" s="33">
        <f>K470*D470</f>
        <v/>
      </c>
      <c r="M470" s="33">
        <f>K470*C470</f>
        <v/>
      </c>
      <c r="N470" s="7" t="n"/>
      <c r="O470" s="33">
        <f>N470*C470</f>
        <v/>
      </c>
      <c r="P470" s="7" t="n"/>
      <c r="Q470" s="7" t="n"/>
      <c r="R470" s="7" t="n"/>
      <c r="S470" s="33">
        <f>O470*L470</f>
        <v/>
      </c>
      <c r="Y470" s="33">
        <f>0.25*H470</f>
        <v/>
      </c>
      <c r="Z470" s="33">
        <f>Y470*O470</f>
        <v/>
      </c>
      <c r="AA470" s="81">
        <f>C470*H470</f>
        <v/>
      </c>
      <c r="AB470" s="81">
        <f>(P470-1)*O470*K470</f>
        <v/>
      </c>
    </row>
    <row r="471">
      <c r="A471" s="7" t="n"/>
      <c r="B471" s="7" t="n"/>
      <c r="C471" s="8" t="n"/>
      <c r="D471" s="33">
        <f>C471/$U$3</f>
        <v/>
      </c>
      <c r="E471" s="7" t="n"/>
      <c r="F471" s="7" t="n"/>
      <c r="G471" s="7" t="n"/>
      <c r="H471" s="7" t="n"/>
      <c r="I471" s="91" t="n"/>
      <c r="J471" s="7" t="n"/>
      <c r="K471" s="33">
        <f>SUM(E471:I471)</f>
        <v/>
      </c>
      <c r="L471" s="33">
        <f>K471*D471</f>
        <v/>
      </c>
      <c r="M471" s="33">
        <f>K471*C471</f>
        <v/>
      </c>
      <c r="N471" s="7" t="n"/>
      <c r="O471" s="33">
        <f>N471*C471</f>
        <v/>
      </c>
      <c r="P471" s="7" t="n"/>
      <c r="Q471" s="7" t="n"/>
      <c r="R471" s="7" t="n"/>
      <c r="S471" s="33">
        <f>O471*L471</f>
        <v/>
      </c>
      <c r="Y471" s="33">
        <f>0.25*H471</f>
        <v/>
      </c>
      <c r="Z471" s="33">
        <f>Y471*O471</f>
        <v/>
      </c>
      <c r="AA471" s="81">
        <f>C471*H471</f>
        <v/>
      </c>
      <c r="AB471" s="81">
        <f>(P471-1)*O471*K471</f>
        <v/>
      </c>
    </row>
    <row r="472">
      <c r="A472" s="7" t="n"/>
      <c r="B472" s="7" t="n"/>
      <c r="C472" s="8" t="n"/>
      <c r="D472" s="33">
        <f>C472/$U$3</f>
        <v/>
      </c>
      <c r="E472" s="7" t="n"/>
      <c r="F472" s="7" t="n"/>
      <c r="G472" s="7" t="n"/>
      <c r="H472" s="7" t="n"/>
      <c r="I472" s="91" t="n"/>
      <c r="J472" s="7" t="n"/>
      <c r="K472" s="33">
        <f>SUM(E472:I472)</f>
        <v/>
      </c>
      <c r="L472" s="33">
        <f>K472*D472</f>
        <v/>
      </c>
      <c r="M472" s="33">
        <f>K472*C472</f>
        <v/>
      </c>
      <c r="N472" s="7" t="n"/>
      <c r="O472" s="33">
        <f>N472*C472</f>
        <v/>
      </c>
      <c r="P472" s="7" t="n"/>
      <c r="Q472" s="7" t="n"/>
      <c r="R472" s="7" t="n"/>
      <c r="S472" s="33">
        <f>O472*L472</f>
        <v/>
      </c>
      <c r="Y472" s="33">
        <f>0.25*H472</f>
        <v/>
      </c>
      <c r="Z472" s="33">
        <f>Y472*O472</f>
        <v/>
      </c>
      <c r="AA472" s="81">
        <f>C472*H472</f>
        <v/>
      </c>
      <c r="AB472" s="81">
        <f>(P472-1)*O472*K472</f>
        <v/>
      </c>
    </row>
    <row r="473">
      <c r="A473" s="7" t="n"/>
      <c r="B473" s="7" t="n"/>
      <c r="C473" s="8" t="n"/>
      <c r="D473" s="33">
        <f>C473/$U$3</f>
        <v/>
      </c>
      <c r="E473" s="7" t="n"/>
      <c r="F473" s="7" t="n"/>
      <c r="G473" s="7" t="n"/>
      <c r="H473" s="7" t="n"/>
      <c r="I473" s="91" t="n"/>
      <c r="J473" s="7" t="n"/>
      <c r="K473" s="33">
        <f>SUM(E473:I473)</f>
        <v/>
      </c>
      <c r="L473" s="33">
        <f>K473*D473</f>
        <v/>
      </c>
      <c r="M473" s="33">
        <f>K473*C473</f>
        <v/>
      </c>
      <c r="N473" s="7" t="n"/>
      <c r="O473" s="33">
        <f>N473*C473</f>
        <v/>
      </c>
      <c r="P473" s="7" t="n"/>
      <c r="Q473" s="7" t="n"/>
      <c r="R473" s="7" t="n"/>
      <c r="S473" s="33">
        <f>O473*L473</f>
        <v/>
      </c>
      <c r="Y473" s="33">
        <f>0.25*H473</f>
        <v/>
      </c>
      <c r="Z473" s="33">
        <f>Y473*O473</f>
        <v/>
      </c>
      <c r="AA473" s="81">
        <f>C473*H473</f>
        <v/>
      </c>
      <c r="AB473" s="81">
        <f>(P473-1)*O473*K473</f>
        <v/>
      </c>
    </row>
    <row r="474">
      <c r="A474" s="7" t="n"/>
      <c r="B474" s="7" t="n"/>
      <c r="C474" s="8" t="n"/>
      <c r="D474" s="33">
        <f>C474/$U$3</f>
        <v/>
      </c>
      <c r="E474" s="7" t="n"/>
      <c r="F474" s="7" t="n"/>
      <c r="G474" s="7" t="n"/>
      <c r="H474" s="7" t="n"/>
      <c r="I474" s="91" t="n"/>
      <c r="J474" s="7" t="n"/>
      <c r="K474" s="33">
        <f>SUM(E474:I474)</f>
        <v/>
      </c>
      <c r="L474" s="33">
        <f>K474*D474</f>
        <v/>
      </c>
      <c r="M474" s="33">
        <f>K474*C474</f>
        <v/>
      </c>
      <c r="N474" s="7" t="n"/>
      <c r="O474" s="33">
        <f>N474*C474</f>
        <v/>
      </c>
      <c r="P474" s="7" t="n"/>
      <c r="Q474" s="7" t="n"/>
      <c r="R474" s="7" t="n"/>
      <c r="S474" s="33">
        <f>O474*L474</f>
        <v/>
      </c>
      <c r="Y474" s="33">
        <f>0.25*H474</f>
        <v/>
      </c>
      <c r="Z474" s="33">
        <f>Y474*O474</f>
        <v/>
      </c>
      <c r="AA474" s="81">
        <f>C474*H474</f>
        <v/>
      </c>
      <c r="AB474" s="81">
        <f>(P474-1)*O474*K474</f>
        <v/>
      </c>
    </row>
    <row r="475">
      <c r="A475" s="7" t="n"/>
      <c r="B475" s="7" t="n"/>
      <c r="C475" s="8" t="n"/>
      <c r="D475" s="33">
        <f>C475/$U$3</f>
        <v/>
      </c>
      <c r="E475" s="7" t="n"/>
      <c r="F475" s="7" t="n"/>
      <c r="G475" s="7" t="n"/>
      <c r="H475" s="7" t="n"/>
      <c r="I475" s="91" t="n"/>
      <c r="J475" s="7" t="n"/>
      <c r="K475" s="33">
        <f>SUM(E475:I475)</f>
        <v/>
      </c>
      <c r="L475" s="33">
        <f>K475*D475</f>
        <v/>
      </c>
      <c r="M475" s="33">
        <f>K475*C475</f>
        <v/>
      </c>
      <c r="N475" s="7" t="n"/>
      <c r="O475" s="33">
        <f>N475*C475</f>
        <v/>
      </c>
      <c r="P475" s="7" t="n"/>
      <c r="Q475" s="7" t="n"/>
      <c r="R475" s="7" t="n"/>
      <c r="S475" s="33">
        <f>O475*L475</f>
        <v/>
      </c>
      <c r="Y475" s="33">
        <f>0.25*H475</f>
        <v/>
      </c>
      <c r="Z475" s="33">
        <f>Y475*O475</f>
        <v/>
      </c>
      <c r="AA475" s="81">
        <f>C475*H475</f>
        <v/>
      </c>
      <c r="AB475" s="81">
        <f>(P475-1)*O475*K475</f>
        <v/>
      </c>
    </row>
    <row r="476">
      <c r="A476" s="7" t="n"/>
      <c r="B476" s="7" t="n"/>
      <c r="C476" s="8" t="n"/>
      <c r="D476" s="33">
        <f>C476/$U$3</f>
        <v/>
      </c>
      <c r="E476" s="7" t="n"/>
      <c r="F476" s="7" t="n"/>
      <c r="G476" s="7" t="n"/>
      <c r="H476" s="7" t="n"/>
      <c r="I476" s="91" t="n"/>
      <c r="J476" s="7" t="n"/>
      <c r="K476" s="33">
        <f>SUM(E476:I476)</f>
        <v/>
      </c>
      <c r="L476" s="33">
        <f>K476*D476</f>
        <v/>
      </c>
      <c r="M476" s="33">
        <f>K476*C476</f>
        <v/>
      </c>
      <c r="N476" s="7" t="n"/>
      <c r="O476" s="33">
        <f>N476*C476</f>
        <v/>
      </c>
      <c r="P476" s="7" t="n"/>
      <c r="Q476" s="7" t="n"/>
      <c r="R476" s="7" t="n"/>
      <c r="S476" s="33">
        <f>O476*L476</f>
        <v/>
      </c>
      <c r="Y476" s="33">
        <f>0.25*H476</f>
        <v/>
      </c>
      <c r="Z476" s="33">
        <f>Y476*O476</f>
        <v/>
      </c>
      <c r="AA476" s="81">
        <f>C476*H476</f>
        <v/>
      </c>
      <c r="AB476" s="81">
        <f>(P476-1)*O476*K476</f>
        <v/>
      </c>
    </row>
    <row r="477">
      <c r="A477" s="7" t="n"/>
      <c r="B477" s="7" t="n"/>
      <c r="C477" s="8" t="n"/>
      <c r="D477" s="33">
        <f>C477/$U$3</f>
        <v/>
      </c>
      <c r="E477" s="7" t="n"/>
      <c r="F477" s="7" t="n"/>
      <c r="G477" s="7" t="n"/>
      <c r="H477" s="7" t="n"/>
      <c r="I477" s="91" t="n"/>
      <c r="J477" s="7" t="n"/>
      <c r="K477" s="33">
        <f>SUM(E477:I477)</f>
        <v/>
      </c>
      <c r="L477" s="33">
        <f>K477*D477</f>
        <v/>
      </c>
      <c r="M477" s="33">
        <f>K477*C477</f>
        <v/>
      </c>
      <c r="N477" s="7" t="n"/>
      <c r="O477" s="33">
        <f>N477*C477</f>
        <v/>
      </c>
      <c r="P477" s="7" t="n"/>
      <c r="Q477" s="7" t="n"/>
      <c r="R477" s="7" t="n"/>
      <c r="S477" s="33">
        <f>O477*L477</f>
        <v/>
      </c>
      <c r="Y477" s="33">
        <f>0.25*H477</f>
        <v/>
      </c>
      <c r="Z477" s="33">
        <f>Y477*O477</f>
        <v/>
      </c>
      <c r="AA477" s="81">
        <f>C477*H477</f>
        <v/>
      </c>
      <c r="AB477" s="81">
        <f>(P477-1)*O477*K477</f>
        <v/>
      </c>
    </row>
    <row r="478">
      <c r="A478" s="7" t="n"/>
      <c r="B478" s="7" t="n"/>
      <c r="C478" s="8" t="n"/>
      <c r="D478" s="33">
        <f>C478/$U$3</f>
        <v/>
      </c>
      <c r="E478" s="7" t="n"/>
      <c r="F478" s="7" t="n"/>
      <c r="G478" s="7" t="n"/>
      <c r="H478" s="7" t="n"/>
      <c r="I478" s="91" t="n"/>
      <c r="J478" s="7" t="n"/>
      <c r="K478" s="33">
        <f>SUM(E478:I478)</f>
        <v/>
      </c>
      <c r="L478" s="33">
        <f>K478*D478</f>
        <v/>
      </c>
      <c r="M478" s="33">
        <f>K478*C478</f>
        <v/>
      </c>
      <c r="N478" s="7" t="n"/>
      <c r="O478" s="33">
        <f>N478*C478</f>
        <v/>
      </c>
      <c r="P478" s="7" t="n"/>
      <c r="Q478" s="7" t="n"/>
      <c r="R478" s="7" t="n"/>
      <c r="S478" s="33">
        <f>O478*L478</f>
        <v/>
      </c>
      <c r="Y478" s="33">
        <f>0.25*H478</f>
        <v/>
      </c>
      <c r="Z478" s="33">
        <f>Y478*O478</f>
        <v/>
      </c>
      <c r="AA478" s="81">
        <f>C478*H478</f>
        <v/>
      </c>
      <c r="AB478" s="81">
        <f>(P478-1)*O478*K478</f>
        <v/>
      </c>
    </row>
    <row r="479">
      <c r="A479" s="7" t="n"/>
      <c r="B479" s="7" t="n"/>
      <c r="C479" s="8" t="n"/>
      <c r="D479" s="33">
        <f>C479/$U$3</f>
        <v/>
      </c>
      <c r="E479" s="7" t="n"/>
      <c r="F479" s="7" t="n"/>
      <c r="G479" s="7" t="n"/>
      <c r="H479" s="7" t="n"/>
      <c r="I479" s="91" t="n"/>
      <c r="J479" s="7" t="n"/>
      <c r="K479" s="33">
        <f>SUM(E479:I479)</f>
        <v/>
      </c>
      <c r="L479" s="33">
        <f>K479*D479</f>
        <v/>
      </c>
      <c r="M479" s="33">
        <f>K479*C479</f>
        <v/>
      </c>
      <c r="N479" s="7" t="n"/>
      <c r="O479" s="33">
        <f>N479*C479</f>
        <v/>
      </c>
      <c r="P479" s="7" t="n"/>
      <c r="Q479" s="7" t="n"/>
      <c r="R479" s="7" t="n"/>
      <c r="S479" s="33">
        <f>O479*L479</f>
        <v/>
      </c>
      <c r="Y479" s="33">
        <f>0.25*H479</f>
        <v/>
      </c>
      <c r="Z479" s="33">
        <f>Y479*O479</f>
        <v/>
      </c>
      <c r="AA479" s="81">
        <f>C479*H479</f>
        <v/>
      </c>
      <c r="AB479" s="81">
        <f>(P479-1)*O479*K479</f>
        <v/>
      </c>
    </row>
    <row r="480">
      <c r="A480" s="7" t="n"/>
      <c r="B480" s="7" t="n"/>
      <c r="C480" s="8" t="n"/>
      <c r="D480" s="33">
        <f>C480/$U$3</f>
        <v/>
      </c>
      <c r="E480" s="7" t="n"/>
      <c r="F480" s="7" t="n"/>
      <c r="G480" s="7" t="n"/>
      <c r="H480" s="7" t="n"/>
      <c r="I480" s="91" t="n"/>
      <c r="J480" s="7" t="n"/>
      <c r="K480" s="33">
        <f>SUM(E480:I480)</f>
        <v/>
      </c>
      <c r="L480" s="33">
        <f>K480*D480</f>
        <v/>
      </c>
      <c r="M480" s="33">
        <f>K480*C480</f>
        <v/>
      </c>
      <c r="N480" s="7" t="n"/>
      <c r="O480" s="33">
        <f>N480*C480</f>
        <v/>
      </c>
      <c r="P480" s="7" t="n"/>
      <c r="Q480" s="7" t="n"/>
      <c r="R480" s="7" t="n"/>
      <c r="S480" s="33">
        <f>O480*L480</f>
        <v/>
      </c>
      <c r="Y480" s="33">
        <f>0.25*H480</f>
        <v/>
      </c>
      <c r="Z480" s="33">
        <f>Y480*O480</f>
        <v/>
      </c>
      <c r="AA480" s="81">
        <f>C480*H480</f>
        <v/>
      </c>
      <c r="AB480" s="81">
        <f>(P480-1)*O480*K480</f>
        <v/>
      </c>
    </row>
    <row r="481">
      <c r="A481" s="7" t="n"/>
      <c r="B481" s="7" t="n"/>
      <c r="C481" s="8" t="n"/>
      <c r="D481" s="33">
        <f>C481/$U$3</f>
        <v/>
      </c>
      <c r="E481" s="7" t="n"/>
      <c r="F481" s="7" t="n"/>
      <c r="G481" s="7" t="n"/>
      <c r="H481" s="7" t="n"/>
      <c r="I481" s="91" t="n"/>
      <c r="J481" s="7" t="n"/>
      <c r="K481" s="33">
        <f>SUM(E481:I481)</f>
        <v/>
      </c>
      <c r="L481" s="33">
        <f>K481*D481</f>
        <v/>
      </c>
      <c r="M481" s="33">
        <f>K481*C481</f>
        <v/>
      </c>
      <c r="N481" s="7" t="n"/>
      <c r="O481" s="33">
        <f>N481*C481</f>
        <v/>
      </c>
      <c r="P481" s="7" t="n"/>
      <c r="Q481" s="7" t="n"/>
      <c r="R481" s="7" t="n"/>
      <c r="S481" s="33">
        <f>O481*L481</f>
        <v/>
      </c>
      <c r="Y481" s="33">
        <f>0.25*H481</f>
        <v/>
      </c>
      <c r="Z481" s="33">
        <f>Y481*O481</f>
        <v/>
      </c>
      <c r="AA481" s="81">
        <f>C481*H481</f>
        <v/>
      </c>
      <c r="AB481" s="81">
        <f>(P481-1)*O481*K481</f>
        <v/>
      </c>
    </row>
    <row r="482">
      <c r="A482" s="7" t="n"/>
      <c r="B482" s="7" t="n"/>
      <c r="C482" s="8" t="n"/>
      <c r="D482" s="33">
        <f>C482/$U$3</f>
        <v/>
      </c>
      <c r="E482" s="7" t="n"/>
      <c r="F482" s="7" t="n"/>
      <c r="G482" s="7" t="n"/>
      <c r="H482" s="7" t="n"/>
      <c r="I482" s="91" t="n"/>
      <c r="J482" s="7" t="n"/>
      <c r="K482" s="33">
        <f>SUM(E482:I482)</f>
        <v/>
      </c>
      <c r="L482" s="33">
        <f>K482*D482</f>
        <v/>
      </c>
      <c r="M482" s="33">
        <f>K482*C482</f>
        <v/>
      </c>
      <c r="N482" s="7" t="n"/>
      <c r="O482" s="33">
        <f>N482*C482</f>
        <v/>
      </c>
      <c r="P482" s="7" t="n"/>
      <c r="Q482" s="7" t="n"/>
      <c r="R482" s="7" t="n"/>
      <c r="S482" s="33">
        <f>O482*L482</f>
        <v/>
      </c>
      <c r="Y482" s="33">
        <f>0.25*H482</f>
        <v/>
      </c>
      <c r="Z482" s="33">
        <f>Y482*O482</f>
        <v/>
      </c>
      <c r="AA482" s="81">
        <f>C482*H482</f>
        <v/>
      </c>
      <c r="AB482" s="81">
        <f>(P482-1)*O482*K482</f>
        <v/>
      </c>
    </row>
    <row r="483">
      <c r="A483" s="7" t="n"/>
      <c r="B483" s="7" t="n"/>
      <c r="C483" s="8" t="n"/>
      <c r="D483" s="33">
        <f>C483/$U$3</f>
        <v/>
      </c>
      <c r="E483" s="7" t="n"/>
      <c r="F483" s="7" t="n"/>
      <c r="G483" s="7" t="n"/>
      <c r="H483" s="7" t="n"/>
      <c r="I483" s="91" t="n"/>
      <c r="J483" s="7" t="n"/>
      <c r="K483" s="33">
        <f>SUM(E483:I483)</f>
        <v/>
      </c>
      <c r="L483" s="33">
        <f>K483*D483</f>
        <v/>
      </c>
      <c r="M483" s="33">
        <f>K483*C483</f>
        <v/>
      </c>
      <c r="N483" s="7" t="n"/>
      <c r="O483" s="33">
        <f>N483*C483</f>
        <v/>
      </c>
      <c r="P483" s="7" t="n"/>
      <c r="Q483" s="7" t="n"/>
      <c r="R483" s="7" t="n"/>
      <c r="S483" s="33">
        <f>O483*L483</f>
        <v/>
      </c>
      <c r="Y483" s="33">
        <f>0.25*H483</f>
        <v/>
      </c>
      <c r="Z483" s="33">
        <f>Y483*O483</f>
        <v/>
      </c>
      <c r="AA483" s="81">
        <f>C483*H483</f>
        <v/>
      </c>
      <c r="AB483" s="81">
        <f>(P483-1)*O483*K483</f>
        <v/>
      </c>
    </row>
    <row r="484">
      <c r="A484" s="7" t="n"/>
      <c r="B484" s="7" t="n"/>
      <c r="C484" s="8" t="n"/>
      <c r="D484" s="33">
        <f>C484/$U$3</f>
        <v/>
      </c>
      <c r="E484" s="7" t="n"/>
      <c r="F484" s="7" t="n"/>
      <c r="G484" s="7" t="n"/>
      <c r="H484" s="7" t="n"/>
      <c r="I484" s="91" t="n"/>
      <c r="J484" s="7" t="n"/>
      <c r="K484" s="33">
        <f>SUM(E484:I484)</f>
        <v/>
      </c>
      <c r="L484" s="33">
        <f>K484*D484</f>
        <v/>
      </c>
      <c r="M484" s="33">
        <f>K484*C484</f>
        <v/>
      </c>
      <c r="N484" s="7" t="n"/>
      <c r="O484" s="33">
        <f>N484*C484</f>
        <v/>
      </c>
      <c r="P484" s="7" t="n"/>
      <c r="Q484" s="7" t="n"/>
      <c r="R484" s="7" t="n"/>
      <c r="S484" s="33">
        <f>O484*L484</f>
        <v/>
      </c>
      <c r="Y484" s="33">
        <f>0.25*H484</f>
        <v/>
      </c>
      <c r="Z484" s="33">
        <f>Y484*O484</f>
        <v/>
      </c>
      <c r="AA484" s="81">
        <f>C484*H484</f>
        <v/>
      </c>
      <c r="AB484" s="81">
        <f>(P484-1)*O484*K484</f>
        <v/>
      </c>
    </row>
    <row r="485">
      <c r="A485" s="7" t="n"/>
      <c r="B485" s="7" t="n"/>
      <c r="C485" s="8" t="n"/>
      <c r="D485" s="33">
        <f>C485/$U$3</f>
        <v/>
      </c>
      <c r="E485" s="7" t="n"/>
      <c r="F485" s="7" t="n"/>
      <c r="G485" s="7" t="n"/>
      <c r="H485" s="7" t="n"/>
      <c r="I485" s="91" t="n"/>
      <c r="J485" s="7" t="n"/>
      <c r="K485" s="33">
        <f>SUM(E485:I485)</f>
        <v/>
      </c>
      <c r="L485" s="33">
        <f>K485*D485</f>
        <v/>
      </c>
      <c r="M485" s="33">
        <f>K485*C485</f>
        <v/>
      </c>
      <c r="N485" s="7" t="n"/>
      <c r="O485" s="33">
        <f>N485*C485</f>
        <v/>
      </c>
      <c r="P485" s="7" t="n"/>
      <c r="Q485" s="7" t="n"/>
      <c r="R485" s="7" t="n"/>
      <c r="S485" s="33">
        <f>O485*L485</f>
        <v/>
      </c>
      <c r="Y485" s="33">
        <f>0.25*H485</f>
        <v/>
      </c>
      <c r="Z485" s="33">
        <f>Y485*O485</f>
        <v/>
      </c>
      <c r="AA485" s="81">
        <f>C485*H485</f>
        <v/>
      </c>
      <c r="AB485" s="81">
        <f>(P485-1)*O485*K485</f>
        <v/>
      </c>
    </row>
    <row r="486">
      <c r="A486" s="7" t="n"/>
      <c r="B486" s="7" t="n"/>
      <c r="C486" s="8" t="n"/>
      <c r="D486" s="33">
        <f>C486/$U$3</f>
        <v/>
      </c>
      <c r="E486" s="7" t="n"/>
      <c r="F486" s="7" t="n"/>
      <c r="G486" s="7" t="n"/>
      <c r="H486" s="7" t="n"/>
      <c r="I486" s="91" t="n"/>
      <c r="J486" s="7" t="n"/>
      <c r="K486" s="33">
        <f>SUM(E486:I486)</f>
        <v/>
      </c>
      <c r="L486" s="33">
        <f>K486*D486</f>
        <v/>
      </c>
      <c r="M486" s="33">
        <f>K486*C486</f>
        <v/>
      </c>
      <c r="N486" s="7" t="n"/>
      <c r="O486" s="33">
        <f>N486*C486</f>
        <v/>
      </c>
      <c r="P486" s="7" t="n"/>
      <c r="Q486" s="7" t="n"/>
      <c r="R486" s="7" t="n"/>
      <c r="S486" s="33">
        <f>O486*L486</f>
        <v/>
      </c>
      <c r="Y486" s="33">
        <f>0.25*H486</f>
        <v/>
      </c>
      <c r="Z486" s="33">
        <f>Y486*O486</f>
        <v/>
      </c>
      <c r="AA486" s="81">
        <f>C486*H486</f>
        <v/>
      </c>
      <c r="AB486" s="81">
        <f>(P486-1)*O486*K486</f>
        <v/>
      </c>
    </row>
    <row r="487">
      <c r="A487" s="7" t="n"/>
      <c r="B487" s="7" t="n"/>
      <c r="C487" s="8" t="n"/>
      <c r="D487" s="33">
        <f>C487/$U$3</f>
        <v/>
      </c>
      <c r="E487" s="7" t="n"/>
      <c r="F487" s="7" t="n"/>
      <c r="G487" s="7" t="n"/>
      <c r="H487" s="7" t="n"/>
      <c r="I487" s="91" t="n"/>
      <c r="J487" s="7" t="n"/>
      <c r="K487" s="33">
        <f>SUM(E487:I487)</f>
        <v/>
      </c>
      <c r="L487" s="33">
        <f>K487*D487</f>
        <v/>
      </c>
      <c r="M487" s="33">
        <f>K487*C487</f>
        <v/>
      </c>
      <c r="N487" s="7" t="n"/>
      <c r="O487" s="33">
        <f>N487*C487</f>
        <v/>
      </c>
      <c r="P487" s="7" t="n"/>
      <c r="Q487" s="7" t="n"/>
      <c r="R487" s="7" t="n"/>
      <c r="S487" s="33">
        <f>O487*L487</f>
        <v/>
      </c>
      <c r="Y487" s="33">
        <f>0.25*H487</f>
        <v/>
      </c>
      <c r="Z487" s="33">
        <f>Y487*O487</f>
        <v/>
      </c>
      <c r="AA487" s="81">
        <f>C487*H487</f>
        <v/>
      </c>
      <c r="AB487" s="81">
        <f>(P487-1)*O487*K487</f>
        <v/>
      </c>
    </row>
    <row r="488">
      <c r="A488" s="7" t="n"/>
      <c r="B488" s="7" t="n"/>
      <c r="C488" s="8" t="n"/>
      <c r="D488" s="33">
        <f>C488/$U$3</f>
        <v/>
      </c>
      <c r="E488" s="7" t="n"/>
      <c r="F488" s="7" t="n"/>
      <c r="G488" s="7" t="n"/>
      <c r="H488" s="7" t="n"/>
      <c r="I488" s="91" t="n"/>
      <c r="J488" s="7" t="n"/>
      <c r="K488" s="33">
        <f>SUM(E488:I488)</f>
        <v/>
      </c>
      <c r="L488" s="33">
        <f>K488*D488</f>
        <v/>
      </c>
      <c r="M488" s="33">
        <f>K488*C488</f>
        <v/>
      </c>
      <c r="N488" s="7" t="n"/>
      <c r="O488" s="33">
        <f>N488*C488</f>
        <v/>
      </c>
      <c r="P488" s="7" t="n"/>
      <c r="Q488" s="7" t="n"/>
      <c r="R488" s="7" t="n"/>
      <c r="S488" s="33">
        <f>O488*L488</f>
        <v/>
      </c>
      <c r="Y488" s="33">
        <f>0.25*H488</f>
        <v/>
      </c>
      <c r="Z488" s="33">
        <f>Y488*O488</f>
        <v/>
      </c>
      <c r="AA488" s="81">
        <f>C488*H488</f>
        <v/>
      </c>
      <c r="AB488" s="81">
        <f>(P488-1)*O488*K488</f>
        <v/>
      </c>
    </row>
    <row r="489">
      <c r="A489" s="7" t="n"/>
      <c r="B489" s="7" t="n"/>
      <c r="C489" s="8" t="n"/>
      <c r="D489" s="33">
        <f>C489/$U$3</f>
        <v/>
      </c>
      <c r="E489" s="7" t="n"/>
      <c r="F489" s="7" t="n"/>
      <c r="G489" s="7" t="n"/>
      <c r="H489" s="7" t="n"/>
      <c r="I489" s="91" t="n"/>
      <c r="J489" s="7" t="n"/>
      <c r="K489" s="33">
        <f>SUM(E489:I489)</f>
        <v/>
      </c>
      <c r="L489" s="33">
        <f>K489*D489</f>
        <v/>
      </c>
      <c r="M489" s="33">
        <f>K489*C489</f>
        <v/>
      </c>
      <c r="N489" s="7" t="n"/>
      <c r="O489" s="33">
        <f>N489*C489</f>
        <v/>
      </c>
      <c r="P489" s="7" t="n"/>
      <c r="Q489" s="7" t="n"/>
      <c r="R489" s="7" t="n"/>
      <c r="S489" s="33">
        <f>O489*L489</f>
        <v/>
      </c>
      <c r="Y489" s="33">
        <f>0.25*H489</f>
        <v/>
      </c>
      <c r="Z489" s="33">
        <f>Y489*O489</f>
        <v/>
      </c>
      <c r="AA489" s="81">
        <f>C489*H489</f>
        <v/>
      </c>
      <c r="AB489" s="81">
        <f>(P489-1)*O489*K489</f>
        <v/>
      </c>
    </row>
    <row r="490">
      <c r="A490" s="7" t="n"/>
      <c r="B490" s="7" t="n"/>
      <c r="C490" s="8" t="n"/>
      <c r="D490" s="33">
        <f>C490/$U$3</f>
        <v/>
      </c>
      <c r="E490" s="7" t="n"/>
      <c r="F490" s="7" t="n"/>
      <c r="G490" s="7" t="n"/>
      <c r="H490" s="7" t="n"/>
      <c r="I490" s="91" t="n"/>
      <c r="J490" s="7" t="n"/>
      <c r="K490" s="33">
        <f>SUM(E490:I490)</f>
        <v/>
      </c>
      <c r="L490" s="33">
        <f>K490*D490</f>
        <v/>
      </c>
      <c r="M490" s="33">
        <f>K490*C490</f>
        <v/>
      </c>
      <c r="N490" s="7" t="n"/>
      <c r="O490" s="33">
        <f>N490*C490</f>
        <v/>
      </c>
      <c r="P490" s="7" t="n"/>
      <c r="Q490" s="7" t="n"/>
      <c r="R490" s="7" t="n"/>
      <c r="S490" s="33">
        <f>O490*L490</f>
        <v/>
      </c>
      <c r="Y490" s="33">
        <f>0.25*H490</f>
        <v/>
      </c>
      <c r="Z490" s="33">
        <f>Y490*O490</f>
        <v/>
      </c>
      <c r="AA490" s="81">
        <f>C490*H490</f>
        <v/>
      </c>
      <c r="AB490" s="81">
        <f>(P490-1)*O490*K490</f>
        <v/>
      </c>
    </row>
    <row r="491">
      <c r="A491" s="7" t="n"/>
      <c r="B491" s="7" t="n"/>
      <c r="C491" s="8" t="n"/>
      <c r="D491" s="33">
        <f>C491/$U$3</f>
        <v/>
      </c>
      <c r="E491" s="7" t="n"/>
      <c r="F491" s="7" t="n"/>
      <c r="G491" s="7" t="n"/>
      <c r="H491" s="7" t="n"/>
      <c r="I491" s="91" t="n"/>
      <c r="J491" s="7" t="n"/>
      <c r="K491" s="33">
        <f>SUM(E491:I491)</f>
        <v/>
      </c>
      <c r="L491" s="33">
        <f>K491*D491</f>
        <v/>
      </c>
      <c r="M491" s="33">
        <f>K491*C491</f>
        <v/>
      </c>
      <c r="N491" s="7" t="n"/>
      <c r="O491" s="33">
        <f>N491*C491</f>
        <v/>
      </c>
      <c r="P491" s="7" t="n"/>
      <c r="Q491" s="7" t="n"/>
      <c r="R491" s="7" t="n"/>
      <c r="S491" s="33">
        <f>O491*L491</f>
        <v/>
      </c>
      <c r="Y491" s="33">
        <f>0.25*H491</f>
        <v/>
      </c>
      <c r="Z491" s="33">
        <f>Y491*O491</f>
        <v/>
      </c>
      <c r="AA491" s="81">
        <f>C491*H491</f>
        <v/>
      </c>
      <c r="AB491" s="81">
        <f>(P491-1)*O491*K491</f>
        <v/>
      </c>
    </row>
    <row r="492">
      <c r="A492" s="7" t="n"/>
      <c r="B492" s="7" t="n"/>
      <c r="C492" s="8" t="n"/>
      <c r="D492" s="33">
        <f>C492/$U$3</f>
        <v/>
      </c>
      <c r="E492" s="7" t="n"/>
      <c r="F492" s="7" t="n"/>
      <c r="G492" s="7" t="n"/>
      <c r="H492" s="7" t="n"/>
      <c r="I492" s="91" t="n"/>
      <c r="J492" s="7" t="n"/>
      <c r="K492" s="33">
        <f>SUM(E492:I492)</f>
        <v/>
      </c>
      <c r="L492" s="33">
        <f>K492*D492</f>
        <v/>
      </c>
      <c r="M492" s="33">
        <f>K492*C492</f>
        <v/>
      </c>
      <c r="N492" s="7" t="n"/>
      <c r="O492" s="33">
        <f>N492*C492</f>
        <v/>
      </c>
      <c r="P492" s="7" t="n"/>
      <c r="Q492" s="7" t="n"/>
      <c r="R492" s="7" t="n"/>
      <c r="S492" s="33">
        <f>O492*L492</f>
        <v/>
      </c>
      <c r="Y492" s="33">
        <f>0.25*H492</f>
        <v/>
      </c>
      <c r="Z492" s="33">
        <f>Y492*O492</f>
        <v/>
      </c>
      <c r="AA492" s="81">
        <f>C492*H492</f>
        <v/>
      </c>
      <c r="AB492" s="81">
        <f>(P492-1)*O492*K492</f>
        <v/>
      </c>
    </row>
    <row r="493">
      <c r="A493" s="7" t="n"/>
      <c r="B493" s="7" t="n"/>
      <c r="C493" s="8" t="n"/>
      <c r="D493" s="33">
        <f>C493/$U$3</f>
        <v/>
      </c>
      <c r="E493" s="7" t="n"/>
      <c r="F493" s="7" t="n"/>
      <c r="G493" s="7" t="n"/>
      <c r="H493" s="7" t="n"/>
      <c r="I493" s="91" t="n"/>
      <c r="J493" s="7" t="n"/>
      <c r="K493" s="33">
        <f>SUM(E493:I493)</f>
        <v/>
      </c>
      <c r="L493" s="33">
        <f>K493*D493</f>
        <v/>
      </c>
      <c r="M493" s="33">
        <f>K493*C493</f>
        <v/>
      </c>
      <c r="N493" s="7" t="n"/>
      <c r="O493" s="33">
        <f>N493*C493</f>
        <v/>
      </c>
      <c r="P493" s="7" t="n"/>
      <c r="Q493" s="7" t="n"/>
      <c r="R493" s="7" t="n"/>
      <c r="S493" s="33">
        <f>O493*L493</f>
        <v/>
      </c>
      <c r="Y493" s="33">
        <f>0.25*H493</f>
        <v/>
      </c>
      <c r="Z493" s="33">
        <f>Y493*O493</f>
        <v/>
      </c>
      <c r="AA493" s="81">
        <f>C493*H493</f>
        <v/>
      </c>
      <c r="AB493" s="81">
        <f>(P493-1)*O493*K493</f>
        <v/>
      </c>
    </row>
    <row r="494">
      <c r="A494" s="7" t="n"/>
      <c r="B494" s="7" t="n"/>
      <c r="C494" s="8" t="n"/>
      <c r="D494" s="33">
        <f>C494/$U$3</f>
        <v/>
      </c>
      <c r="E494" s="7" t="n"/>
      <c r="F494" s="7" t="n"/>
      <c r="G494" s="7" t="n"/>
      <c r="H494" s="7" t="n"/>
      <c r="I494" s="91" t="n"/>
      <c r="J494" s="7" t="n"/>
      <c r="K494" s="33">
        <f>SUM(E494:I494)</f>
        <v/>
      </c>
      <c r="L494" s="33">
        <f>K494*D494</f>
        <v/>
      </c>
      <c r="M494" s="33">
        <f>K494*C494</f>
        <v/>
      </c>
      <c r="N494" s="7" t="n"/>
      <c r="O494" s="33">
        <f>N494*C494</f>
        <v/>
      </c>
      <c r="P494" s="7" t="n"/>
      <c r="Q494" s="7" t="n"/>
      <c r="R494" s="7" t="n"/>
      <c r="S494" s="33">
        <f>O494*L494</f>
        <v/>
      </c>
      <c r="Y494" s="33">
        <f>0.25*H494</f>
        <v/>
      </c>
      <c r="Z494" s="33">
        <f>Y494*O494</f>
        <v/>
      </c>
      <c r="AA494" s="81">
        <f>C494*H494</f>
        <v/>
      </c>
      <c r="AB494" s="81">
        <f>(P494-1)*O494*K494</f>
        <v/>
      </c>
    </row>
    <row r="495">
      <c r="A495" s="7" t="n"/>
      <c r="B495" s="7" t="n"/>
      <c r="C495" s="8" t="n"/>
      <c r="D495" s="33">
        <f>C495/$U$3</f>
        <v/>
      </c>
      <c r="E495" s="7" t="n"/>
      <c r="F495" s="7" t="n"/>
      <c r="G495" s="7" t="n"/>
      <c r="H495" s="7" t="n"/>
      <c r="I495" s="91" t="n"/>
      <c r="J495" s="7" t="n"/>
      <c r="K495" s="33">
        <f>SUM(E495:I495)</f>
        <v/>
      </c>
      <c r="L495" s="33">
        <f>K495*D495</f>
        <v/>
      </c>
      <c r="M495" s="33">
        <f>K495*C495</f>
        <v/>
      </c>
      <c r="N495" s="7" t="n"/>
      <c r="O495" s="33">
        <f>N495*C495</f>
        <v/>
      </c>
      <c r="P495" s="7" t="n"/>
      <c r="Q495" s="7" t="n"/>
      <c r="R495" s="7" t="n"/>
      <c r="S495" s="33">
        <f>O495*L495</f>
        <v/>
      </c>
      <c r="Y495" s="33">
        <f>0.25*H495</f>
        <v/>
      </c>
      <c r="Z495" s="33">
        <f>Y495*O495</f>
        <v/>
      </c>
      <c r="AA495" s="81">
        <f>C495*H495</f>
        <v/>
      </c>
      <c r="AB495" s="81">
        <f>(P495-1)*O495*K495</f>
        <v/>
      </c>
    </row>
    <row r="496">
      <c r="A496" s="7" t="n"/>
      <c r="B496" s="7" t="n"/>
      <c r="C496" s="8" t="n"/>
      <c r="D496" s="33">
        <f>C496/$U$3</f>
        <v/>
      </c>
      <c r="E496" s="7" t="n"/>
      <c r="F496" s="7" t="n"/>
      <c r="G496" s="7" t="n"/>
      <c r="H496" s="7" t="n"/>
      <c r="I496" s="91" t="n"/>
      <c r="J496" s="7" t="n"/>
      <c r="K496" s="33">
        <f>SUM(E496:I496)</f>
        <v/>
      </c>
      <c r="L496" s="33">
        <f>K496*D496</f>
        <v/>
      </c>
      <c r="M496" s="33">
        <f>K496*C496</f>
        <v/>
      </c>
      <c r="N496" s="7" t="n"/>
      <c r="O496" s="33">
        <f>N496*C496</f>
        <v/>
      </c>
      <c r="P496" s="7" t="n"/>
      <c r="Q496" s="7" t="n"/>
      <c r="R496" s="7" t="n"/>
      <c r="S496" s="33">
        <f>O496*L496</f>
        <v/>
      </c>
      <c r="Y496" s="33">
        <f>0.25*H496</f>
        <v/>
      </c>
      <c r="Z496" s="33">
        <f>Y496*O496</f>
        <v/>
      </c>
      <c r="AA496" s="81">
        <f>C496*H496</f>
        <v/>
      </c>
      <c r="AB496" s="81">
        <f>(P496-1)*O496*K496</f>
        <v/>
      </c>
    </row>
    <row r="497">
      <c r="A497" s="7" t="n"/>
      <c r="B497" s="7" t="n"/>
      <c r="C497" s="8" t="n"/>
      <c r="D497" s="33">
        <f>C497/$U$3</f>
        <v/>
      </c>
      <c r="E497" s="7" t="n"/>
      <c r="F497" s="7" t="n"/>
      <c r="G497" s="7" t="n"/>
      <c r="H497" s="7" t="n"/>
      <c r="I497" s="91" t="n"/>
      <c r="J497" s="7" t="n"/>
      <c r="K497" s="33">
        <f>SUM(E497:I497)</f>
        <v/>
      </c>
      <c r="L497" s="33">
        <f>K497*D497</f>
        <v/>
      </c>
      <c r="M497" s="33">
        <f>K497*C497</f>
        <v/>
      </c>
      <c r="N497" s="7" t="n"/>
      <c r="O497" s="33">
        <f>N497*C497</f>
        <v/>
      </c>
      <c r="P497" s="7" t="n"/>
      <c r="Q497" s="7" t="n"/>
      <c r="R497" s="7" t="n"/>
      <c r="S497" s="33">
        <f>O497*L497</f>
        <v/>
      </c>
      <c r="Y497" s="33">
        <f>0.25*H497</f>
        <v/>
      </c>
      <c r="Z497" s="33">
        <f>Y497*O497</f>
        <v/>
      </c>
      <c r="AA497" s="81">
        <f>C497*H497</f>
        <v/>
      </c>
      <c r="AB497" s="81">
        <f>(P497-1)*O497*K497</f>
        <v/>
      </c>
    </row>
    <row r="498">
      <c r="A498" s="7" t="n"/>
      <c r="B498" s="7" t="n"/>
      <c r="C498" s="8" t="n"/>
      <c r="D498" s="33">
        <f>C498/$U$3</f>
        <v/>
      </c>
      <c r="E498" s="7" t="n"/>
      <c r="F498" s="7" t="n"/>
      <c r="G498" s="7" t="n"/>
      <c r="H498" s="7" t="n"/>
      <c r="I498" s="91" t="n"/>
      <c r="J498" s="7" t="n"/>
      <c r="K498" s="33">
        <f>SUM(E498:I498)</f>
        <v/>
      </c>
      <c r="L498" s="33">
        <f>K498*D498</f>
        <v/>
      </c>
      <c r="M498" s="33">
        <f>K498*C498</f>
        <v/>
      </c>
      <c r="N498" s="7" t="n"/>
      <c r="O498" s="33">
        <f>N498*C498</f>
        <v/>
      </c>
      <c r="P498" s="7" t="n"/>
      <c r="Q498" s="7" t="n"/>
      <c r="R498" s="7" t="n"/>
      <c r="S498" s="33">
        <f>O498*L498</f>
        <v/>
      </c>
      <c r="Y498" s="33">
        <f>0.25*H498</f>
        <v/>
      </c>
      <c r="Z498" s="33">
        <f>Y498*O498</f>
        <v/>
      </c>
      <c r="AA498" s="81">
        <f>C498*H498</f>
        <v/>
      </c>
      <c r="AB498" s="81">
        <f>(P498-1)*O498*K498</f>
        <v/>
      </c>
    </row>
    <row r="499">
      <c r="A499" s="7" t="n"/>
      <c r="B499" s="7" t="n"/>
      <c r="C499" s="8" t="n"/>
      <c r="D499" s="33">
        <f>C499/$U$3</f>
        <v/>
      </c>
      <c r="E499" s="7" t="n"/>
      <c r="F499" s="7" t="n"/>
      <c r="G499" s="7" t="n"/>
      <c r="H499" s="7" t="n"/>
      <c r="I499" s="91" t="n"/>
      <c r="J499" s="7" t="n"/>
      <c r="K499" s="33">
        <f>SUM(E499:I499)</f>
        <v/>
      </c>
      <c r="L499" s="33">
        <f>K499*D499</f>
        <v/>
      </c>
      <c r="M499" s="33">
        <f>K499*C499</f>
        <v/>
      </c>
      <c r="N499" s="7" t="n"/>
      <c r="O499" s="33">
        <f>N499*C499</f>
        <v/>
      </c>
      <c r="P499" s="7" t="n"/>
      <c r="Q499" s="7" t="n"/>
      <c r="R499" s="7" t="n"/>
      <c r="S499" s="33">
        <f>O499*L499</f>
        <v/>
      </c>
      <c r="Y499" s="33">
        <f>0.25*H499</f>
        <v/>
      </c>
      <c r="Z499" s="33">
        <f>Y499*O499</f>
        <v/>
      </c>
      <c r="AA499" s="81">
        <f>C499*H499</f>
        <v/>
      </c>
      <c r="AB499" s="81">
        <f>(P499-1)*O499*K499</f>
        <v/>
      </c>
    </row>
    <row r="500">
      <c r="A500" s="7" t="n"/>
      <c r="B500" s="7" t="n"/>
      <c r="C500" s="8" t="n"/>
      <c r="D500" s="33">
        <f>C500/$U$3</f>
        <v/>
      </c>
      <c r="E500" s="7" t="n"/>
      <c r="F500" s="7" t="n"/>
      <c r="G500" s="7" t="n"/>
      <c r="H500" s="7" t="n"/>
      <c r="I500" s="91" t="n"/>
      <c r="J500" s="7" t="n"/>
      <c r="K500" s="33">
        <f>SUM(E500:I500)</f>
        <v/>
      </c>
      <c r="L500" s="33">
        <f>K500*D500</f>
        <v/>
      </c>
      <c r="M500" s="33">
        <f>K500*C500</f>
        <v/>
      </c>
      <c r="N500" s="7" t="n"/>
      <c r="O500" s="33">
        <f>N500*C500</f>
        <v/>
      </c>
      <c r="P500" s="7" t="n"/>
      <c r="Q500" s="7" t="n"/>
      <c r="R500" s="7" t="n"/>
      <c r="S500" s="33">
        <f>O500*L500</f>
        <v/>
      </c>
      <c r="Y500" s="33">
        <f>0.25*H500</f>
        <v/>
      </c>
      <c r="Z500" s="33">
        <f>Y500*O500</f>
        <v/>
      </c>
      <c r="AA500" s="81">
        <f>C500*H500</f>
        <v/>
      </c>
      <c r="AB500" s="81">
        <f>(P500-1)*O500*K500</f>
        <v/>
      </c>
    </row>
    <row r="501">
      <c r="A501" s="7" t="n"/>
      <c r="B501" s="7" t="n"/>
      <c r="C501" s="8" t="n"/>
      <c r="D501" s="33">
        <f>C501/$U$3</f>
        <v/>
      </c>
      <c r="E501" s="7" t="n"/>
      <c r="F501" s="7" t="n"/>
      <c r="G501" s="7" t="n"/>
      <c r="H501" s="7" t="n"/>
      <c r="I501" s="91" t="n"/>
      <c r="J501" s="7" t="n"/>
      <c r="K501" s="33">
        <f>SUM(E501:I501)</f>
        <v/>
      </c>
      <c r="L501" s="33">
        <f>K501*D501</f>
        <v/>
      </c>
      <c r="M501" s="33">
        <f>K501*C501</f>
        <v/>
      </c>
      <c r="N501" s="7" t="n"/>
      <c r="O501" s="33">
        <f>N501*C501</f>
        <v/>
      </c>
      <c r="P501" s="7" t="n"/>
      <c r="Q501" s="7" t="n"/>
      <c r="R501" s="7" t="n"/>
      <c r="S501" s="33">
        <f>O501*L501</f>
        <v/>
      </c>
      <c r="Y501" s="33">
        <f>0.25*H501</f>
        <v/>
      </c>
      <c r="Z501" s="33">
        <f>Y501*O501</f>
        <v/>
      </c>
      <c r="AA501" s="81">
        <f>C501*H501</f>
        <v/>
      </c>
      <c r="AB501" s="81">
        <f>(P501-1)*O501*K501</f>
        <v/>
      </c>
    </row>
    <row r="502">
      <c r="A502" s="7" t="n"/>
      <c r="B502" s="7" t="n"/>
      <c r="C502" s="8" t="n"/>
      <c r="D502" s="33">
        <f>C502/$U$3</f>
        <v/>
      </c>
      <c r="E502" s="7" t="n"/>
      <c r="F502" s="7" t="n"/>
      <c r="G502" s="7" t="n"/>
      <c r="H502" s="7" t="n"/>
      <c r="I502" s="91" t="n"/>
      <c r="J502" s="7" t="n"/>
      <c r="K502" s="33">
        <f>SUM(E502:I502)</f>
        <v/>
      </c>
      <c r="L502" s="33">
        <f>K502*D502</f>
        <v/>
      </c>
      <c r="M502" s="33">
        <f>K502*C502</f>
        <v/>
      </c>
      <c r="N502" s="7" t="n"/>
      <c r="O502" s="33">
        <f>N502*C502</f>
        <v/>
      </c>
      <c r="P502" s="7" t="n"/>
      <c r="Q502" s="7" t="n"/>
      <c r="R502" s="7" t="n"/>
      <c r="S502" s="33">
        <f>O502*L502</f>
        <v/>
      </c>
      <c r="Y502" s="33">
        <f>0.25*H502</f>
        <v/>
      </c>
      <c r="Z502" s="33">
        <f>Y502*O502</f>
        <v/>
      </c>
      <c r="AA502" s="81">
        <f>C502*H502</f>
        <v/>
      </c>
      <c r="AB502" s="81">
        <f>(P502-1)*O502*K502</f>
        <v/>
      </c>
    </row>
    <row r="503">
      <c r="A503" s="7" t="n"/>
      <c r="B503" s="7" t="n"/>
      <c r="C503" s="8" t="n"/>
      <c r="D503" s="33">
        <f>C503/$U$3</f>
        <v/>
      </c>
      <c r="E503" s="7" t="n"/>
      <c r="F503" s="7" t="n"/>
      <c r="G503" s="7" t="n"/>
      <c r="H503" s="7" t="n"/>
      <c r="I503" s="91" t="n"/>
      <c r="J503" s="7" t="n"/>
      <c r="K503" s="33">
        <f>SUM(E503:I503)</f>
        <v/>
      </c>
      <c r="L503" s="33">
        <f>K503*D503</f>
        <v/>
      </c>
      <c r="M503" s="33">
        <f>K503*C503</f>
        <v/>
      </c>
      <c r="N503" s="7" t="n"/>
      <c r="O503" s="33">
        <f>N503*C503</f>
        <v/>
      </c>
      <c r="P503" s="7" t="n"/>
      <c r="Q503" s="7" t="n"/>
      <c r="R503" s="7" t="n"/>
      <c r="S503" s="33">
        <f>O503*L503</f>
        <v/>
      </c>
      <c r="Y503" s="33">
        <f>0.25*H503</f>
        <v/>
      </c>
      <c r="Z503" s="33">
        <f>Y503*O503</f>
        <v/>
      </c>
      <c r="AA503" s="81">
        <f>C503*H503</f>
        <v/>
      </c>
      <c r="AB503" s="81">
        <f>(P503-1)*O503*K503</f>
        <v/>
      </c>
    </row>
    <row r="504">
      <c r="A504" s="7" t="n"/>
      <c r="B504" s="7" t="n"/>
      <c r="C504" s="8" t="n"/>
      <c r="D504" s="33">
        <f>C504/$U$3</f>
        <v/>
      </c>
      <c r="E504" s="7" t="n"/>
      <c r="F504" s="7" t="n"/>
      <c r="G504" s="7" t="n"/>
      <c r="H504" s="7" t="n"/>
      <c r="I504" s="91" t="n"/>
      <c r="J504" s="7" t="n"/>
      <c r="K504" s="33">
        <f>SUM(E504:I504)</f>
        <v/>
      </c>
      <c r="L504" s="33">
        <f>K504*D504</f>
        <v/>
      </c>
      <c r="M504" s="33">
        <f>K504*C504</f>
        <v/>
      </c>
      <c r="N504" s="7" t="n"/>
      <c r="O504" s="33">
        <f>N504*C504</f>
        <v/>
      </c>
      <c r="P504" s="7" t="n"/>
      <c r="Q504" s="7" t="n"/>
      <c r="R504" s="7" t="n"/>
      <c r="S504" s="33">
        <f>O504*L504</f>
        <v/>
      </c>
      <c r="Y504" s="33">
        <f>0.25*H504</f>
        <v/>
      </c>
      <c r="Z504" s="33">
        <f>Y504*O504</f>
        <v/>
      </c>
      <c r="AA504" s="81">
        <f>C504*H504</f>
        <v/>
      </c>
      <c r="AB504" s="81">
        <f>(P504-1)*O504*K504</f>
        <v/>
      </c>
    </row>
    <row r="505">
      <c r="A505" s="7" t="n"/>
      <c r="B505" s="7" t="n"/>
      <c r="C505" s="8" t="n"/>
      <c r="D505" s="33">
        <f>C505/$U$3</f>
        <v/>
      </c>
      <c r="E505" s="7" t="n"/>
      <c r="F505" s="7" t="n"/>
      <c r="G505" s="7" t="n"/>
      <c r="H505" s="7" t="n"/>
      <c r="I505" s="91" t="n"/>
      <c r="J505" s="7" t="n"/>
      <c r="K505" s="33">
        <f>SUM(E505:I505)</f>
        <v/>
      </c>
      <c r="L505" s="33">
        <f>K505*D505</f>
        <v/>
      </c>
      <c r="M505" s="33">
        <f>K505*C505</f>
        <v/>
      </c>
      <c r="N505" s="7" t="n"/>
      <c r="O505" s="33">
        <f>N505*C505</f>
        <v/>
      </c>
      <c r="P505" s="7" t="n"/>
      <c r="Q505" s="7" t="n"/>
      <c r="R505" s="7" t="n"/>
      <c r="S505" s="33">
        <f>O505*L505</f>
        <v/>
      </c>
      <c r="Y505" s="33">
        <f>0.25*H505</f>
        <v/>
      </c>
      <c r="Z505" s="33">
        <f>Y505*O505</f>
        <v/>
      </c>
      <c r="AA505" s="81">
        <f>C505*H505</f>
        <v/>
      </c>
      <c r="AB505" s="81">
        <f>(P505-1)*O505*K505</f>
        <v/>
      </c>
    </row>
    <row r="506">
      <c r="A506" s="7" t="n"/>
      <c r="B506" s="7" t="n"/>
      <c r="C506" s="8" t="n"/>
      <c r="D506" s="33">
        <f>C506/$U$3</f>
        <v/>
      </c>
      <c r="E506" s="7" t="n"/>
      <c r="F506" s="7" t="n"/>
      <c r="G506" s="7" t="n"/>
      <c r="H506" s="7" t="n"/>
      <c r="I506" s="91" t="n"/>
      <c r="J506" s="7" t="n"/>
      <c r="K506" s="33">
        <f>SUM(E506:I506)</f>
        <v/>
      </c>
      <c r="L506" s="33">
        <f>K506*D506</f>
        <v/>
      </c>
      <c r="M506" s="33">
        <f>K506*C506</f>
        <v/>
      </c>
      <c r="N506" s="7" t="n"/>
      <c r="O506" s="33">
        <f>N506*C506</f>
        <v/>
      </c>
      <c r="P506" s="7" t="n"/>
      <c r="Q506" s="7" t="n"/>
      <c r="R506" s="7" t="n"/>
      <c r="S506" s="33">
        <f>O506*L506</f>
        <v/>
      </c>
      <c r="Y506" s="33">
        <f>0.25*H506</f>
        <v/>
      </c>
      <c r="Z506" s="33">
        <f>Y506*O506</f>
        <v/>
      </c>
      <c r="AA506" s="81">
        <f>C506*H506</f>
        <v/>
      </c>
      <c r="AB506" s="81">
        <f>(P506-1)*O506*K506</f>
        <v/>
      </c>
    </row>
    <row r="507">
      <c r="A507" s="7" t="n"/>
      <c r="B507" s="7" t="n"/>
      <c r="C507" s="8" t="n"/>
      <c r="D507" s="33">
        <f>C507/$U$3</f>
        <v/>
      </c>
      <c r="E507" s="7" t="n"/>
      <c r="F507" s="7" t="n"/>
      <c r="G507" s="7" t="n"/>
      <c r="H507" s="7" t="n"/>
      <c r="I507" s="91" t="n"/>
      <c r="J507" s="7" t="n"/>
      <c r="K507" s="33">
        <f>SUM(E507:I507)</f>
        <v/>
      </c>
      <c r="L507" s="33">
        <f>K507*D507</f>
        <v/>
      </c>
      <c r="M507" s="33">
        <f>K507*C507</f>
        <v/>
      </c>
      <c r="N507" s="7" t="n"/>
      <c r="O507" s="33">
        <f>N507*C507</f>
        <v/>
      </c>
      <c r="P507" s="7" t="n"/>
      <c r="Q507" s="7" t="n"/>
      <c r="R507" s="7" t="n"/>
      <c r="S507" s="33">
        <f>O507*L507</f>
        <v/>
      </c>
      <c r="Y507" s="33">
        <f>0.25*H507</f>
        <v/>
      </c>
      <c r="Z507" s="33">
        <f>Y507*O507</f>
        <v/>
      </c>
      <c r="AA507" s="81">
        <f>C507*H507</f>
        <v/>
      </c>
      <c r="AB507" s="81">
        <f>(P507-1)*O507*K507</f>
        <v/>
      </c>
    </row>
    <row r="508">
      <c r="A508" s="7" t="n"/>
      <c r="B508" s="7" t="n"/>
      <c r="C508" s="8" t="n"/>
      <c r="D508" s="33">
        <f>C508/$U$3</f>
        <v/>
      </c>
      <c r="E508" s="7" t="n"/>
      <c r="F508" s="7" t="n"/>
      <c r="G508" s="7" t="n"/>
      <c r="H508" s="7" t="n"/>
      <c r="I508" s="91" t="n"/>
      <c r="J508" s="7" t="n"/>
      <c r="K508" s="33">
        <f>SUM(E508:I508)</f>
        <v/>
      </c>
      <c r="L508" s="33">
        <f>K508*D508</f>
        <v/>
      </c>
      <c r="M508" s="33">
        <f>K508*C508</f>
        <v/>
      </c>
      <c r="N508" s="7" t="n"/>
      <c r="O508" s="33">
        <f>N508*C508</f>
        <v/>
      </c>
      <c r="P508" s="7" t="n"/>
      <c r="Q508" s="7" t="n"/>
      <c r="R508" s="7" t="n"/>
      <c r="S508" s="33">
        <f>O508*L508</f>
        <v/>
      </c>
      <c r="Y508" s="33">
        <f>0.25*H508</f>
        <v/>
      </c>
      <c r="Z508" s="33">
        <f>Y508*O508</f>
        <v/>
      </c>
      <c r="AA508" s="81">
        <f>C508*H508</f>
        <v/>
      </c>
      <c r="AB508" s="81">
        <f>(P508-1)*O508*K508</f>
        <v/>
      </c>
    </row>
    <row r="509">
      <c r="A509" s="7" t="n"/>
      <c r="B509" s="7" t="n"/>
      <c r="C509" s="8" t="n"/>
      <c r="D509" s="33">
        <f>C509/$U$3</f>
        <v/>
      </c>
      <c r="E509" s="7" t="n"/>
      <c r="F509" s="7" t="n"/>
      <c r="G509" s="7" t="n"/>
      <c r="H509" s="7" t="n"/>
      <c r="I509" s="91" t="n"/>
      <c r="J509" s="7" t="n"/>
      <c r="K509" s="33">
        <f>SUM(E509:I509)</f>
        <v/>
      </c>
      <c r="L509" s="33">
        <f>K509*D509</f>
        <v/>
      </c>
      <c r="M509" s="33">
        <f>K509*C509</f>
        <v/>
      </c>
      <c r="N509" s="7" t="n"/>
      <c r="O509" s="33">
        <f>N509*C509</f>
        <v/>
      </c>
      <c r="P509" s="7" t="n"/>
      <c r="Q509" s="7" t="n"/>
      <c r="R509" s="7" t="n"/>
      <c r="S509" s="33">
        <f>O509*L509</f>
        <v/>
      </c>
      <c r="Y509" s="33">
        <f>0.25*H509</f>
        <v/>
      </c>
      <c r="Z509" s="33">
        <f>Y509*O509</f>
        <v/>
      </c>
      <c r="AA509" s="81">
        <f>C509*H509</f>
        <v/>
      </c>
      <c r="AB509" s="81">
        <f>(P509-1)*O509*K509</f>
        <v/>
      </c>
    </row>
    <row r="510">
      <c r="A510" s="7" t="n"/>
      <c r="B510" s="7" t="n"/>
      <c r="C510" s="8" t="n"/>
      <c r="D510" s="33">
        <f>C510/$U$3</f>
        <v/>
      </c>
      <c r="E510" s="7" t="n"/>
      <c r="F510" s="7" t="n"/>
      <c r="G510" s="7" t="n"/>
      <c r="H510" s="7" t="n"/>
      <c r="I510" s="91" t="n"/>
      <c r="J510" s="7" t="n"/>
      <c r="K510" s="33">
        <f>SUM(E510:I510)</f>
        <v/>
      </c>
      <c r="L510" s="33">
        <f>K510*D510</f>
        <v/>
      </c>
      <c r="M510" s="33">
        <f>K510*C510</f>
        <v/>
      </c>
      <c r="N510" s="7" t="n"/>
      <c r="O510" s="33">
        <f>N510*C510</f>
        <v/>
      </c>
      <c r="P510" s="7" t="n"/>
      <c r="Q510" s="7" t="n"/>
      <c r="R510" s="7" t="n"/>
      <c r="S510" s="33">
        <f>O510*L510</f>
        <v/>
      </c>
      <c r="Y510" s="33">
        <f>0.25*H510</f>
        <v/>
      </c>
      <c r="Z510" s="33">
        <f>Y510*O510</f>
        <v/>
      </c>
      <c r="AA510" s="81">
        <f>C510*H510</f>
        <v/>
      </c>
      <c r="AB510" s="81">
        <f>(P510-1)*O510*K510</f>
        <v/>
      </c>
    </row>
    <row customHeight="1" ht="16.5" r="511" s="132" thickBot="1">
      <c r="A511" s="7" t="n"/>
      <c r="B511" s="7" t="n"/>
      <c r="C511" s="8" t="n"/>
      <c r="D511" s="5">
        <f>C511/$U$3</f>
        <v/>
      </c>
      <c r="E511" s="9" t="n"/>
      <c r="F511" s="9" t="n"/>
      <c r="G511" s="9" t="n"/>
      <c r="H511" s="9" t="n"/>
      <c r="I511" s="92" t="n"/>
      <c r="J511" s="7" t="n"/>
      <c r="K511" s="33">
        <f>SUM(E511:I511)</f>
        <v/>
      </c>
      <c r="L511" s="33">
        <f>K511*D511</f>
        <v/>
      </c>
      <c r="M511" s="33">
        <f>K511*C511</f>
        <v/>
      </c>
      <c r="N511" s="7" t="n"/>
      <c r="O511" s="33">
        <f>N511*C511</f>
        <v/>
      </c>
      <c r="P511" s="7" t="n"/>
      <c r="Q511" s="7" t="n"/>
      <c r="R511" s="7" t="n"/>
      <c r="S511" s="33">
        <f>O511*L511</f>
        <v/>
      </c>
      <c r="Y511" s="33">
        <f>0.25*H511</f>
        <v/>
      </c>
      <c r="Z511" s="33">
        <f>Y511*O511</f>
        <v/>
      </c>
      <c r="AA511" s="81">
        <f>C511*H511</f>
        <v/>
      </c>
      <c r="AB511" s="81">
        <f>(P511-1)*O511*K511</f>
        <v/>
      </c>
    </row>
  </sheetData>
  <mergeCells count="1">
    <mergeCell ref="U1:W1"/>
  </mergeCells>
  <pageMargins bottom="1" footer="0.5" header="0.5" left="0.75" right="0.75" top="1"/>
  <pageSetup horizontalDpi="4294967292" orientation="portrait" paperSize="9" verticalDpi="4294967292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I16"/>
  <sheetViews>
    <sheetView workbookViewId="0" zoomScale="80" zoomScaleNormal="80">
      <selection activeCell="F21" sqref="F21"/>
    </sheetView>
  </sheetViews>
  <sheetFormatPr baseColWidth="8" defaultColWidth="11" defaultRowHeight="15.75"/>
  <cols>
    <col customWidth="1" max="1" min="1" style="132" width="5.75"/>
    <col bestFit="1" customWidth="1" max="2" min="2" style="132" width="64.5"/>
    <col customWidth="1" max="3" min="3" style="132" width="17.375"/>
    <col customWidth="1" max="4" min="4" style="132" width="36.125"/>
    <col bestFit="1" customWidth="1" max="5" min="5" style="132" width="22"/>
    <col customWidth="1" max="6" min="6" style="132" width="22.25"/>
    <col customWidth="1" max="7" min="7" style="132" width="27.5"/>
    <col customWidth="1" max="9" min="8" style="132" width="25.25"/>
  </cols>
  <sheetData>
    <row customHeight="1" ht="16.5" r="1" s="132" thickBot="1"/>
    <row customHeight="1" ht="16.5" r="2" s="132" thickBot="1">
      <c r="B2" s="141" t="inlineStr">
        <is>
          <t>16 Hours</t>
        </is>
      </c>
      <c r="C2" s="142" t="n"/>
      <c r="F2" s="34" t="n"/>
      <c r="G2" s="34" t="n"/>
      <c r="H2" s="34" t="n"/>
      <c r="I2" s="34" t="n"/>
    </row>
    <row r="3">
      <c r="B3" s="3" t="inlineStr">
        <is>
          <t>Shifts per day</t>
        </is>
      </c>
      <c r="C3" s="44" t="n">
        <v>2</v>
      </c>
      <c r="F3" s="23" t="n"/>
      <c r="G3" s="23" t="n"/>
      <c r="H3" s="23" t="n"/>
      <c r="I3" s="23" t="n"/>
    </row>
    <row r="4">
      <c r="B4" s="3" t="inlineStr">
        <is>
          <t>H: Workhours/shift (hour)</t>
        </is>
      </c>
      <c r="C4" s="44" t="n">
        <v>8</v>
      </c>
      <c r="F4" s="23" t="n"/>
      <c r="G4" s="23" t="n"/>
      <c r="H4" s="23" t="n"/>
      <c r="I4" s="23" t="n"/>
    </row>
    <row customHeight="1" ht="31.5" r="5" s="132">
      <c r="B5" s="30" t="inlineStr">
        <is>
          <t xml:space="preserve">Debug Time Total in Hrs (calculate with FR on each board)
</t>
        </is>
      </c>
      <c r="C5" s="26">
        <f>SUM('Data set'!Z3:Z24)</f>
        <v/>
      </c>
    </row>
    <row r="6">
      <c r="B6" s="3" t="inlineStr">
        <is>
          <t>FR (%)</t>
        </is>
      </c>
      <c r="C6" s="12">
        <f>'Data set'!V3</f>
        <v/>
      </c>
    </row>
    <row customHeight="1" ht="16.5" r="7" s="132" thickBot="1">
      <c r="B7" s="4" t="inlineStr">
        <is>
          <t>Qplan: (Total volume on the station type)</t>
        </is>
      </c>
      <c r="C7" s="13">
        <f>'Data set'!U3</f>
        <v/>
      </c>
      <c r="D7" t="inlineStr">
        <is>
          <t>** retest boards are with FR</t>
        </is>
      </c>
    </row>
    <row customHeight="1" ht="16.5" r="10" s="132" thickBot="1"/>
    <row customHeight="1" ht="16.5" r="11" s="132" thickBot="1">
      <c r="B11" s="141" t="inlineStr">
        <is>
          <t>24 Hours</t>
        </is>
      </c>
      <c r="C11" s="142" t="n"/>
    </row>
    <row r="12">
      <c r="B12" s="3" t="inlineStr">
        <is>
          <t>Shifts per day</t>
        </is>
      </c>
      <c r="C12" s="44" t="n">
        <v>3</v>
      </c>
    </row>
    <row r="13">
      <c r="B13" s="3" t="inlineStr">
        <is>
          <t>H: Workhours/shift (hour)</t>
        </is>
      </c>
      <c r="C13" s="44" t="n">
        <v>8</v>
      </c>
    </row>
    <row customHeight="1" ht="31.5" r="14" s="132">
      <c r="B14" s="30" t="inlineStr">
        <is>
          <t xml:space="preserve">Debug Time Total in Hrs (calculate with FR on each board)
</t>
        </is>
      </c>
      <c r="C14" s="26">
        <f>SUM('Data set'!Z17:Z39)</f>
        <v/>
      </c>
    </row>
    <row r="15">
      <c r="B15" s="3" t="inlineStr">
        <is>
          <t>FR (%)</t>
        </is>
      </c>
      <c r="C15" s="12">
        <f>'Data set'!V3</f>
        <v/>
      </c>
    </row>
    <row customHeight="1" ht="16.5" r="16" s="132" thickBot="1">
      <c r="B16" s="4" t="inlineStr">
        <is>
          <t>Qplan: (Total volume on the station type)</t>
        </is>
      </c>
      <c r="C16" s="13">
        <f>'Data set'!U3</f>
        <v/>
      </c>
    </row>
  </sheetData>
  <mergeCells count="2">
    <mergeCell ref="B2:C2"/>
    <mergeCell ref="B11:C11"/>
  </mergeCells>
  <pageMargins bottom="1" footer="0.5" header="0.5" left="0.75" right="0.75" top="1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K49"/>
  <sheetViews>
    <sheetView topLeftCell="A4" workbookViewId="0" zoomScale="70" zoomScaleNormal="70" zoomScaleSheetLayoutView="50">
      <selection activeCell="C8" sqref="C8"/>
    </sheetView>
  </sheetViews>
  <sheetFormatPr baseColWidth="8" defaultRowHeight="15.75"/>
  <cols>
    <col customWidth="1" max="2" min="2" style="132" width="41.125"/>
    <col customWidth="1" max="3" min="3" style="132" width="45.625"/>
    <col customWidth="1" max="4" min="4" style="132" width="23.5"/>
    <col bestFit="1" customWidth="1" max="5" min="5" style="132" width="23.375"/>
    <col bestFit="1" customWidth="1" max="6" min="6" style="132" width="19"/>
    <col customWidth="1" max="7" min="7" style="132" width="45.375"/>
    <col customWidth="1" max="8" min="8" style="132" width="51.625"/>
    <col bestFit="1" customWidth="1" max="9" min="9" style="132" width="14.625"/>
    <col bestFit="1" customWidth="1" max="10" min="10" style="132" width="12.25"/>
    <col bestFit="1" customWidth="1" max="12" min="11" style="132" width="14.625"/>
    <col bestFit="1" customWidth="1" max="19" min="19" style="132" width="22.125"/>
    <col bestFit="1" customWidth="1" max="20" min="20" style="132" width="9.625"/>
    <col bestFit="1" customWidth="1" max="21" min="21" style="132" width="26.5"/>
  </cols>
  <sheetData>
    <row r="2">
      <c r="B2" s="11" t="inlineStr">
        <is>
          <t>Yellow: need to fill out!!</t>
        </is>
      </c>
    </row>
    <row customHeight="1" hidden="1" ht="16.5" r="3" s="132" thickBot="1">
      <c r="B3" s="19" t="inlineStr">
        <is>
          <t>Desired Output (per Month)</t>
        </is>
      </c>
      <c r="C3" s="48">
        <f>Inputs!C7</f>
        <v/>
      </c>
      <c r="D3" t="inlineStr">
        <is>
          <t>(sum of 'Data set' C column)</t>
        </is>
      </c>
    </row>
    <row customHeight="1" ht="16.5" r="4" s="132" thickBot="1"/>
    <row customHeight="1" ht="16.5" r="5" s="132" thickBot="1">
      <c r="B5" s="52" t="inlineStr">
        <is>
          <t>Start date of testing</t>
        </is>
      </c>
      <c r="C5" s="126" t="n">
        <v>43942</v>
      </c>
    </row>
    <row customHeight="1" ht="16.5" r="6" s="132" thickBot="1">
      <c r="B6" s="18" t="inlineStr">
        <is>
          <t>End date of the testing</t>
        </is>
      </c>
      <c r="C6" s="127" t="n">
        <v>44012</v>
      </c>
      <c r="E6" s="59" t="inlineStr">
        <is>
          <t>Number of Working Days</t>
        </is>
      </c>
      <c r="F6" s="60" t="inlineStr">
        <is>
          <t>Avail days - Holidays</t>
        </is>
      </c>
      <c r="G6" s="61" t="inlineStr">
        <is>
          <t>Descriptions</t>
        </is>
      </c>
    </row>
    <row customHeight="1" ht="16.5" r="7" s="132" thickBot="1">
      <c r="B7" s="50" t="inlineStr">
        <is>
          <t>Holidays between the predefined dates</t>
        </is>
      </c>
      <c r="C7" s="51" t="n">
        <v>5</v>
      </c>
      <c r="E7" s="56" t="n">
        <v>7</v>
      </c>
      <c r="F7" s="57">
        <f>C6-C5-C7</f>
        <v/>
      </c>
      <c r="G7" s="58" t="inlineStr">
        <is>
          <t>Total # of days excl Weekends</t>
        </is>
      </c>
    </row>
    <row customHeight="1" ht="16.5" r="8" s="132" thickBot="1">
      <c r="B8" s="46" t="n"/>
      <c r="C8" s="47" t="n"/>
      <c r="E8" s="53" t="n">
        <v>6</v>
      </c>
      <c r="F8" s="49">
        <f>NETWORKDAYS.INTL(C5,C6,11,0)-C7</f>
        <v/>
      </c>
      <c r="G8" s="44" t="inlineStr">
        <is>
          <t>Total # of days excl Sun</t>
        </is>
      </c>
    </row>
    <row customHeight="1" ht="16.5" r="9" s="132" thickBot="1">
      <c r="B9" s="82" t="inlineStr">
        <is>
          <t>Number of available stations</t>
        </is>
      </c>
      <c r="C9" s="116" t="n">
        <v>4</v>
      </c>
      <c r="E9" s="54" t="n">
        <v>5</v>
      </c>
      <c r="F9" s="55">
        <f>NETWORKDAYS.INTL(C5,C6,1,0)-C7</f>
        <v/>
      </c>
      <c r="G9" s="6" t="inlineStr">
        <is>
          <t>Total # of days excl Sat &amp; Sun</t>
        </is>
      </c>
    </row>
    <row r="10">
      <c r="B10" s="18" t="inlineStr">
        <is>
          <t>TSa (station availability)</t>
        </is>
      </c>
      <c r="C10" s="128" t="n">
        <v>0.7</v>
      </c>
    </row>
    <row customHeight="1" ht="16.5" r="11" s="132" thickBot="1">
      <c r="B11" s="50" t="inlineStr">
        <is>
          <t>Eff (efficiency on the station)</t>
        </is>
      </c>
      <c r="C11" s="129" t="n">
        <v>0.7</v>
      </c>
    </row>
    <row r="12">
      <c r="B12" s="46" t="n"/>
      <c r="C12" s="47" t="n"/>
    </row>
    <row customHeight="1" ht="16.5" r="13" s="132" thickBot="1"/>
    <row customHeight="1" ht="16.5" r="14" s="132" thickBot="1">
      <c r="B14" s="144" t="inlineStr">
        <is>
          <t>NOT INCLUDING DEBUG TIME ON TEST STATION</t>
        </is>
      </c>
      <c r="C14" s="142" t="n"/>
      <c r="G14" s="144" t="inlineStr">
        <is>
          <t>INCLUDING Failure Rate TIME ON THE TEST STATION</t>
        </is>
      </c>
      <c r="H14" s="142" t="n"/>
    </row>
    <row customHeight="1" ht="16.5" r="15" s="132" thickBot="1">
      <c r="B15" s="21" t="n"/>
      <c r="G15" s="21" t="n"/>
    </row>
    <row customHeight="1" ht="16.5" r="16" s="132" thickBot="1">
      <c r="B16" s="143">
        <f>Inputs!B2</f>
        <v/>
      </c>
      <c r="C16" s="142" t="n"/>
      <c r="D16" s="45" t="n"/>
      <c r="E16" t="inlineStr">
        <is>
          <t>x</t>
        </is>
      </c>
      <c r="G16" s="143">
        <f>B16</f>
        <v/>
      </c>
      <c r="H16" s="142" t="n"/>
      <c r="I16" s="45" t="n"/>
    </row>
    <row customHeight="1" ht="16.5" r="17" s="132" thickBot="1">
      <c r="B17" s="2" t="inlineStr">
        <is>
          <t xml:space="preserve">Required days to complete </t>
        </is>
      </c>
      <c r="C17" s="20">
        <f>(('Data set'!U12+'Data set'!V12)/(Inputs!C4*Inputs!C3*C10*C11*C9))</f>
        <v/>
      </c>
      <c r="D17" s="22" t="inlineStr">
        <is>
          <t>(required days to testing all the desired products)</t>
        </is>
      </c>
      <c r="G17" s="2" t="inlineStr">
        <is>
          <t>Required days</t>
        </is>
      </c>
      <c r="H17" s="20">
        <f>(('Data set'!W12+'Data set'!U12+'Data set'!V12)/(Inputs!C4*Inputs!C3*C10*C11*C9))</f>
        <v/>
      </c>
      <c r="I17" s="22" t="inlineStr">
        <is>
          <t>(required days to testing all the desired products)</t>
        </is>
      </c>
    </row>
    <row r="18">
      <c r="B18" s="83" t="inlineStr">
        <is>
          <t xml:space="preserve">Test Station Utilization </t>
        </is>
      </c>
      <c r="C18" s="84">
        <f>C17/F7</f>
        <v/>
      </c>
      <c r="D18" t="inlineStr">
        <is>
          <t>(based on 7 working days)</t>
        </is>
      </c>
      <c r="G18" s="83" t="inlineStr">
        <is>
          <t>Test Station Utilization</t>
        </is>
      </c>
      <c r="H18" s="87">
        <f>H17/F7</f>
        <v/>
      </c>
      <c r="I18" t="inlineStr">
        <is>
          <t>(based on 7 working days)</t>
        </is>
      </c>
    </row>
    <row customHeight="1" ht="16.5" r="19" s="132" thickBot="1">
      <c r="B19" s="85" t="inlineStr">
        <is>
          <t>Number of Test Station Needed</t>
        </is>
      </c>
      <c r="C19" s="86">
        <f>C18*C$9</f>
        <v/>
      </c>
      <c r="G19" s="85" t="inlineStr">
        <is>
          <t>Number of Test Station Needed</t>
        </is>
      </c>
      <c r="H19" s="88">
        <f>H18*C9</f>
        <v/>
      </c>
    </row>
    <row r="20">
      <c r="D20" t="inlineStr">
        <is>
          <t>`</t>
        </is>
      </c>
    </row>
    <row customHeight="1" ht="16.5" r="21" s="132" thickBot="1">
      <c r="B21" s="21" t="n"/>
      <c r="G21" s="21" t="inlineStr">
        <is>
          <t>Only for 5 days/week</t>
        </is>
      </c>
    </row>
    <row customHeight="1" ht="16.5" r="22" s="132" thickBot="1">
      <c r="B22" s="143">
        <f>Inputs!B11</f>
        <v/>
      </c>
      <c r="C22" s="142" t="n"/>
      <c r="G22" s="143">
        <f>B22</f>
        <v/>
      </c>
      <c r="H22" s="142" t="n"/>
    </row>
    <row customHeight="1" ht="16.5" r="23" s="132" thickBot="1">
      <c r="B23" s="2" t="inlineStr">
        <is>
          <t xml:space="preserve">Required days to complete </t>
        </is>
      </c>
      <c r="C23" s="20">
        <f>(('Data set'!U12+'Data set'!V12)/(Inputs!C13*Inputs!C12*C10*C11*C9))</f>
        <v/>
      </c>
      <c r="D23" s="22" t="inlineStr">
        <is>
          <t>(required days to testing all the desired products)</t>
        </is>
      </c>
      <c r="G23" s="2" t="inlineStr">
        <is>
          <t>Required days</t>
        </is>
      </c>
      <c r="H23" s="20">
        <f>(('Data set'!W12+'Data set'!U12+'Data set'!V12)/(Inputs!C13*Inputs!C12*C10*C11*C9))</f>
        <v/>
      </c>
      <c r="I23" s="22" t="inlineStr">
        <is>
          <t>(required days to testing all the desired products)</t>
        </is>
      </c>
    </row>
    <row r="24">
      <c r="A24" s="45" t="n"/>
      <c r="B24" s="83" t="inlineStr">
        <is>
          <t>Test Station Utilization</t>
        </is>
      </c>
      <c r="C24" s="84">
        <f>C23/F7</f>
        <v/>
      </c>
      <c r="D24" t="inlineStr">
        <is>
          <t>(based on 7 working days)</t>
        </is>
      </c>
      <c r="F24" s="45" t="n"/>
      <c r="G24" s="83" t="inlineStr">
        <is>
          <t>Test Station Utilization</t>
        </is>
      </c>
      <c r="H24" s="87">
        <f>H23/F7</f>
        <v/>
      </c>
      <c r="I24" t="inlineStr">
        <is>
          <t>(based on 7 working days)</t>
        </is>
      </c>
      <c r="J24" s="45" t="n"/>
      <c r="K24" s="45" t="n"/>
    </row>
    <row customHeight="1" ht="16.5" r="25" s="132" thickBot="1">
      <c r="A25" s="45" t="n"/>
      <c r="B25" s="85" t="inlineStr">
        <is>
          <t>Number of Test Station Needed</t>
        </is>
      </c>
      <c r="C25" s="86">
        <f>C24*C$9</f>
        <v/>
      </c>
      <c r="E25" s="45" t="n"/>
      <c r="F25" s="45" t="n"/>
      <c r="G25" s="85" t="inlineStr">
        <is>
          <t>Number of Test Station Needed</t>
        </is>
      </c>
      <c r="H25" s="88">
        <f>H24*C9</f>
        <v/>
      </c>
      <c r="I25" s="45" t="n"/>
      <c r="J25" s="45" t="n"/>
      <c r="K25" s="45" t="n"/>
    </row>
    <row r="26">
      <c r="A26" s="45" t="n"/>
      <c r="B26" s="45" t="n"/>
      <c r="C26" s="45" t="n"/>
    </row>
    <row customHeight="1" ht="16.5" r="27" s="132" thickBot="1">
      <c r="A27" s="45" t="n"/>
      <c r="B27" s="45" t="n"/>
      <c r="C27" s="45" t="n"/>
      <c r="E27" s="45" t="n"/>
      <c r="F27" s="45" t="n"/>
      <c r="G27" s="45" t="n"/>
      <c r="H27" s="45" t="n"/>
      <c r="I27" s="45" t="n"/>
      <c r="J27" s="45" t="n"/>
      <c r="K27" s="45" t="n"/>
    </row>
    <row customHeight="1" ht="16.5" r="28" s="132" thickBot="1">
      <c r="B28" s="143" t="inlineStr">
        <is>
          <t>16 Hours</t>
        </is>
      </c>
      <c r="C28" s="142" t="n"/>
      <c r="G28" s="143" t="inlineStr">
        <is>
          <t>16 Hours</t>
        </is>
      </c>
      <c r="H28" s="142" t="n"/>
    </row>
    <row customHeight="1" ht="16.5" r="29" s="132" thickBot="1">
      <c r="B29" s="2" t="inlineStr">
        <is>
          <t xml:space="preserve">Required days to complete </t>
        </is>
      </c>
      <c r="C29" s="20">
        <f>(('Data set'!U12+'Data set'!V12)/(Inputs!C4*Inputs!C3*C10*C11*C9))</f>
        <v/>
      </c>
      <c r="D29" s="22" t="inlineStr">
        <is>
          <t>(required days to testing all the desired products)</t>
        </is>
      </c>
      <c r="G29" s="2" t="inlineStr">
        <is>
          <t xml:space="preserve">Required days to complete </t>
        </is>
      </c>
      <c r="H29" s="20">
        <f>(('Data set'!W12+'Data set'!U12+'Data set'!V12)/(Inputs!C4*Inputs!C3*C10*C11*C9))</f>
        <v/>
      </c>
      <c r="I29" s="22" t="inlineStr">
        <is>
          <t>(required days to testing all the desired products)</t>
        </is>
      </c>
    </row>
    <row r="30">
      <c r="B30" s="83" t="inlineStr">
        <is>
          <t xml:space="preserve">Test Station Utilization </t>
        </is>
      </c>
      <c r="C30" s="84">
        <f>C29/F9</f>
        <v/>
      </c>
      <c r="D30" t="inlineStr">
        <is>
          <t>(based on 5 working days)</t>
        </is>
      </c>
      <c r="G30" s="83" t="inlineStr">
        <is>
          <t xml:space="preserve">Test Station Utilization </t>
        </is>
      </c>
      <c r="H30" s="84">
        <f>H29/F9</f>
        <v/>
      </c>
      <c r="I30" t="inlineStr">
        <is>
          <t>(based on 5 working days)</t>
        </is>
      </c>
    </row>
    <row customHeight="1" ht="16.5" r="31" s="132" thickBot="1">
      <c r="B31" s="85" t="inlineStr">
        <is>
          <t>Number of Test Station Needed</t>
        </is>
      </c>
      <c r="C31" s="86">
        <f>C30*C$9</f>
        <v/>
      </c>
      <c r="G31" s="85" t="inlineStr">
        <is>
          <t>Number of Test Station Needed</t>
        </is>
      </c>
      <c r="H31" s="86">
        <f>H30*C$9</f>
        <v/>
      </c>
    </row>
    <row r="32">
      <c r="D32" t="inlineStr">
        <is>
          <t>`</t>
        </is>
      </c>
      <c r="I32" t="inlineStr">
        <is>
          <t>`</t>
        </is>
      </c>
    </row>
    <row customHeight="1" ht="16.5" r="33" s="132" thickBot="1">
      <c r="B33" s="21" t="n"/>
      <c r="G33" s="21" t="n"/>
    </row>
    <row customHeight="1" ht="16.5" r="34" s="132" thickBot="1">
      <c r="B34" s="143" t="inlineStr">
        <is>
          <t>24 Hours</t>
        </is>
      </c>
      <c r="C34" s="142" t="n"/>
      <c r="G34" s="143" t="inlineStr">
        <is>
          <t>24 Hours</t>
        </is>
      </c>
      <c r="H34" s="142" t="n"/>
    </row>
    <row customHeight="1" ht="16.5" r="35" s="132" thickBot="1">
      <c r="B35" s="2" t="inlineStr">
        <is>
          <t xml:space="preserve">Required days to complete </t>
        </is>
      </c>
      <c r="C35" s="20">
        <f>(('Data set'!U12+'Data set'!V12)/(Inputs!C13*Inputs!C12*C10*C11*C9))</f>
        <v/>
      </c>
      <c r="D35" s="22" t="inlineStr">
        <is>
          <t>(required days to testing all the desired products)</t>
        </is>
      </c>
      <c r="G35" s="2" t="inlineStr">
        <is>
          <t xml:space="preserve">Required days to complete </t>
        </is>
      </c>
      <c r="H35" s="20">
        <f>(('Data set'!W12+'Data set'!U12+'Data set'!V12)/(Inputs!C13*Inputs!C12*C10*C11*C9))</f>
        <v/>
      </c>
      <c r="I35" s="22" t="inlineStr">
        <is>
          <t>(required days to testing all the desired products)</t>
        </is>
      </c>
    </row>
    <row r="36">
      <c r="B36" s="83" t="inlineStr">
        <is>
          <t>Test Station Utilization</t>
        </is>
      </c>
      <c r="C36" s="84">
        <f>C35/F9</f>
        <v/>
      </c>
      <c r="D36" t="inlineStr">
        <is>
          <t>(based on 5 working days)</t>
        </is>
      </c>
      <c r="G36" s="83" t="inlineStr">
        <is>
          <t>Test Station Utilization</t>
        </is>
      </c>
      <c r="H36" s="84">
        <f>H35/F9</f>
        <v/>
      </c>
      <c r="I36" t="inlineStr">
        <is>
          <t>(based on 5 working days)</t>
        </is>
      </c>
    </row>
    <row customHeight="1" ht="16.5" r="37" s="132" thickBot="1">
      <c r="B37" s="85" t="inlineStr">
        <is>
          <t>Number of Test Station Needed</t>
        </is>
      </c>
      <c r="C37" s="86">
        <f>C36*C$9</f>
        <v/>
      </c>
      <c r="G37" s="85" t="inlineStr">
        <is>
          <t>Number of Test Station Needed</t>
        </is>
      </c>
      <c r="H37" s="86">
        <f>H36*C$9</f>
        <v/>
      </c>
    </row>
    <row customHeight="1" ht="16.5" r="39" s="132" thickBot="1"/>
    <row customHeight="1" ht="16.5" r="40" s="132" thickBot="1">
      <c r="B40" s="143" t="inlineStr">
        <is>
          <t>16 Hours</t>
        </is>
      </c>
      <c r="C40" s="142" t="n"/>
      <c r="D40" s="22" t="inlineStr">
        <is>
          <t>(required days to testing all the desired products)</t>
        </is>
      </c>
      <c r="G40" s="143" t="inlineStr">
        <is>
          <t>16 Hours</t>
        </is>
      </c>
      <c r="H40" s="142" t="n"/>
      <c r="I40" s="22" t="inlineStr">
        <is>
          <t>(required days to testing all the desired products)</t>
        </is>
      </c>
    </row>
    <row customHeight="1" ht="16.5" r="41" s="132" thickBot="1">
      <c r="B41" s="2" t="inlineStr">
        <is>
          <t xml:space="preserve">Required days to complete </t>
        </is>
      </c>
      <c r="C41" s="20">
        <f>(('Data set'!U12+'Data set'!V12)/(Inputs!C4*Inputs!C3*C10*C11*C9))</f>
        <v/>
      </c>
      <c r="D41" t="inlineStr">
        <is>
          <t>(based on 6 working days)</t>
        </is>
      </c>
      <c r="G41" s="2" t="inlineStr">
        <is>
          <t xml:space="preserve">Required days to complete </t>
        </is>
      </c>
      <c r="H41" s="20">
        <f>(('Data set'!W12+'Data set'!U12+'Data set'!V12)/(Inputs!C4*Inputs!C3*C10*C11*C9))</f>
        <v/>
      </c>
      <c r="I41" t="inlineStr">
        <is>
          <t>(based on 6 working days)</t>
        </is>
      </c>
    </row>
    <row r="42">
      <c r="B42" s="83" t="inlineStr">
        <is>
          <t xml:space="preserve">Test Station Utilization </t>
        </is>
      </c>
      <c r="C42" s="84">
        <f>C41/F8</f>
        <v/>
      </c>
      <c r="G42" s="83" t="inlineStr">
        <is>
          <t xml:space="preserve">Test Station Utilization </t>
        </is>
      </c>
      <c r="H42" s="84">
        <f>H41/F8</f>
        <v/>
      </c>
    </row>
    <row customHeight="1" ht="16.5" r="43" s="132" thickBot="1">
      <c r="B43" s="85" t="inlineStr">
        <is>
          <t>Number of Test Station Needed</t>
        </is>
      </c>
      <c r="C43" s="86">
        <f>C42*C$9</f>
        <v/>
      </c>
      <c r="D43" t="inlineStr">
        <is>
          <t>`</t>
        </is>
      </c>
      <c r="G43" s="85" t="inlineStr">
        <is>
          <t>Number of Test Station Needed</t>
        </is>
      </c>
      <c r="H43" s="86">
        <f>H42*C$9</f>
        <v/>
      </c>
      <c r="I43" t="inlineStr">
        <is>
          <t>`</t>
        </is>
      </c>
    </row>
    <row customHeight="1" ht="16.5" r="45" s="132" thickBot="1">
      <c r="B45" s="21" t="n"/>
      <c r="G45" s="21" t="n"/>
    </row>
    <row customHeight="1" ht="16.5" r="46" s="132" thickBot="1">
      <c r="B46" s="143" t="inlineStr">
        <is>
          <t>24 Hours</t>
        </is>
      </c>
      <c r="C46" s="142" t="n"/>
      <c r="D46" s="22" t="inlineStr">
        <is>
          <t>(required days to testing all the desired products)</t>
        </is>
      </c>
      <c r="G46" s="143" t="inlineStr">
        <is>
          <t>24 Hours</t>
        </is>
      </c>
      <c r="H46" s="142" t="n"/>
      <c r="I46" s="22" t="inlineStr">
        <is>
          <t>(required days to testing all the desired products)</t>
        </is>
      </c>
    </row>
    <row customHeight="1" ht="16.5" r="47" s="132" thickBot="1">
      <c r="B47" s="2" t="inlineStr">
        <is>
          <t xml:space="preserve">Required days to complete </t>
        </is>
      </c>
      <c r="C47" s="20">
        <f>(('Data set'!U12+'Data set'!V12)/(Inputs!C13*Inputs!C12*C10*C11*C9))</f>
        <v/>
      </c>
      <c r="D47" t="inlineStr">
        <is>
          <t>(based on 6 working days)</t>
        </is>
      </c>
      <c r="G47" s="2" t="inlineStr">
        <is>
          <t xml:space="preserve">Required days to complete </t>
        </is>
      </c>
      <c r="H47" s="20">
        <f>(('Data set'!W12+'Data set'!U12+'Data set'!V12)/(Inputs!C13*Inputs!C12*C10*C11*C9))</f>
        <v/>
      </c>
      <c r="I47" t="inlineStr">
        <is>
          <t>(based on 6 working days)</t>
        </is>
      </c>
    </row>
    <row r="48">
      <c r="B48" s="83" t="inlineStr">
        <is>
          <t>Test Station Utilization</t>
        </is>
      </c>
      <c r="C48" s="84">
        <f>C47/F8</f>
        <v/>
      </c>
      <c r="G48" s="83" t="inlineStr">
        <is>
          <t>Test Station Utilization</t>
        </is>
      </c>
      <c r="H48" s="84">
        <f>H47/F8</f>
        <v/>
      </c>
    </row>
    <row customHeight="1" ht="16.5" r="49" s="132" thickBot="1">
      <c r="B49" s="85" t="inlineStr">
        <is>
          <t>Number of Test Station Needed</t>
        </is>
      </c>
      <c r="C49" s="86">
        <f>C48*C$9</f>
        <v/>
      </c>
      <c r="G49" s="85" t="inlineStr">
        <is>
          <t>Number of Test Station Needed</t>
        </is>
      </c>
      <c r="H49" s="86">
        <f>H48*C$9</f>
        <v/>
      </c>
    </row>
  </sheetData>
  <mergeCells count="14">
    <mergeCell ref="B16:C16"/>
    <mergeCell ref="G16:H16"/>
    <mergeCell ref="B14:C14"/>
    <mergeCell ref="G14:H14"/>
    <mergeCell ref="B22:C22"/>
    <mergeCell ref="G22:H22"/>
    <mergeCell ref="B28:C28"/>
    <mergeCell ref="B34:C34"/>
    <mergeCell ref="B40:C40"/>
    <mergeCell ref="B46:C46"/>
    <mergeCell ref="G28:H28"/>
    <mergeCell ref="G34:H34"/>
    <mergeCell ref="G40:H40"/>
    <mergeCell ref="G46:H46"/>
  </mergeCells>
  <conditionalFormatting sqref="C18">
    <cfRule dxfId="0" operator="greaterThan" priority="27" type="cellIs">
      <formula>1</formula>
    </cfRule>
    <cfRule dxfId="0" operator="greaterThan" priority="29" type="cellIs">
      <formula>1</formula>
    </cfRule>
  </conditionalFormatting>
  <conditionalFormatting sqref="C19">
    <cfRule dxfId="0" operator="greaterThan" priority="28" type="cellIs">
      <formula>$C$9</formula>
    </cfRule>
  </conditionalFormatting>
  <conditionalFormatting sqref="C24">
    <cfRule dxfId="0" operator="greaterThan" priority="26" type="cellIs">
      <formula>1</formula>
    </cfRule>
  </conditionalFormatting>
  <conditionalFormatting sqref="H18">
    <cfRule dxfId="0" operator="greaterThan" priority="25" type="cellIs">
      <formula>1</formula>
    </cfRule>
  </conditionalFormatting>
  <conditionalFormatting sqref="H24">
    <cfRule dxfId="0" operator="greaterThan" priority="24" type="cellIs">
      <formula>1</formula>
    </cfRule>
  </conditionalFormatting>
  <conditionalFormatting sqref="H19">
    <cfRule dxfId="0" operator="greaterThan" priority="23" type="cellIs">
      <formula>$C$9</formula>
    </cfRule>
  </conditionalFormatting>
  <conditionalFormatting sqref="H25">
    <cfRule dxfId="0" operator="greaterThan" priority="22" type="cellIs">
      <formula>$C$9</formula>
    </cfRule>
  </conditionalFormatting>
  <conditionalFormatting sqref="C25">
    <cfRule dxfId="0" operator="greaterThan" priority="21" type="cellIs">
      <formula>$C$9</formula>
    </cfRule>
  </conditionalFormatting>
  <conditionalFormatting sqref="C30">
    <cfRule dxfId="0" operator="greaterThan" priority="18" type="cellIs">
      <formula>1</formula>
    </cfRule>
    <cfRule dxfId="0" operator="greaterThan" priority="20" type="cellIs">
      <formula>1</formula>
    </cfRule>
  </conditionalFormatting>
  <conditionalFormatting sqref="C31">
    <cfRule dxfId="0" operator="greaterThan" priority="19" type="cellIs">
      <formula>$C$9</formula>
    </cfRule>
  </conditionalFormatting>
  <conditionalFormatting sqref="C36">
    <cfRule dxfId="0" operator="greaterThan" priority="17" type="cellIs">
      <formula>1</formula>
    </cfRule>
  </conditionalFormatting>
  <conditionalFormatting sqref="C37">
    <cfRule dxfId="0" operator="greaterThan" priority="16" type="cellIs">
      <formula>$C$9</formula>
    </cfRule>
  </conditionalFormatting>
  <conditionalFormatting sqref="C42">
    <cfRule dxfId="0" operator="greaterThan" priority="13" type="cellIs">
      <formula>1</formula>
    </cfRule>
    <cfRule dxfId="0" operator="greaterThan" priority="15" type="cellIs">
      <formula>1</formula>
    </cfRule>
  </conditionalFormatting>
  <conditionalFormatting sqref="C43">
    <cfRule dxfId="0" operator="greaterThan" priority="14" type="cellIs">
      <formula>$C$9</formula>
    </cfRule>
  </conditionalFormatting>
  <conditionalFormatting sqref="C48">
    <cfRule dxfId="0" operator="greaterThan" priority="12" type="cellIs">
      <formula>1</formula>
    </cfRule>
  </conditionalFormatting>
  <conditionalFormatting sqref="C49">
    <cfRule dxfId="0" operator="greaterThan" priority="11" type="cellIs">
      <formula>$C$9</formula>
    </cfRule>
  </conditionalFormatting>
  <conditionalFormatting sqref="H30">
    <cfRule dxfId="0" operator="greaterThan" priority="8" type="cellIs">
      <formula>1</formula>
    </cfRule>
    <cfRule dxfId="0" operator="greaterThan" priority="10" type="cellIs">
      <formula>1</formula>
    </cfRule>
  </conditionalFormatting>
  <conditionalFormatting sqref="H31">
    <cfRule dxfId="0" operator="greaterThan" priority="9" type="cellIs">
      <formula>$C$9</formula>
    </cfRule>
  </conditionalFormatting>
  <conditionalFormatting sqref="H36">
    <cfRule dxfId="0" operator="greaterThan" priority="7" type="cellIs">
      <formula>1</formula>
    </cfRule>
  </conditionalFormatting>
  <conditionalFormatting sqref="H37">
    <cfRule dxfId="0" operator="greaterThan" priority="6" type="cellIs">
      <formula>$C$9</formula>
    </cfRule>
  </conditionalFormatting>
  <conditionalFormatting sqref="H42">
    <cfRule dxfId="0" operator="greaterThan" priority="3" type="cellIs">
      <formula>1</formula>
    </cfRule>
    <cfRule dxfId="0" operator="greaterThan" priority="5" type="cellIs">
      <formula>1</formula>
    </cfRule>
  </conditionalFormatting>
  <conditionalFormatting sqref="H43">
    <cfRule dxfId="0" operator="greaterThan" priority="4" type="cellIs">
      <formula>$C$9</formula>
    </cfRule>
  </conditionalFormatting>
  <conditionalFormatting sqref="H48">
    <cfRule dxfId="0" operator="greaterThan" priority="2" type="cellIs">
      <formula>1</formula>
    </cfRule>
  </conditionalFormatting>
  <conditionalFormatting sqref="H49">
    <cfRule dxfId="0" operator="greaterThan" priority="1" type="cellIs">
      <formula>$C$9</formula>
    </cfRule>
  </conditionalFormatting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V51"/>
  <sheetViews>
    <sheetView workbookViewId="0">
      <selection activeCell="A1" sqref="A1"/>
    </sheetView>
  </sheetViews>
  <sheetFormatPr baseColWidth="8" defaultColWidth="8.875" defaultRowHeight="15.75"/>
  <sheetData>
    <row r="1">
      <c r="A1" t="inlineStr">
        <is>
          <t>D%$&amp;01_36902c30611748979118fcb5c9722c84</t>
        </is>
      </c>
      <c r="F1">
        <f>Inputs!A:A*"vlM!%"</f>
        <v/>
      </c>
      <c r="G1">
        <f>Inputs!B:B*"vlM!&amp;"</f>
        <v/>
      </c>
      <c r="H1">
        <f>Inputs!C:C*"vlM!'"</f>
        <v/>
      </c>
      <c r="I1">
        <f>Inputs!D:D*"vlM!("</f>
        <v/>
      </c>
      <c r="J1">
        <f>Inputs!E:E*"vlM!)"</f>
        <v/>
      </c>
      <c r="K1">
        <f>Inputs!F:F*"vlM!."</f>
        <v/>
      </c>
      <c r="L1">
        <f>Inputs!G:G*"vlM!/"</f>
        <v/>
      </c>
      <c r="M1">
        <f>Inputs!H:H*"vlM!0"</f>
        <v/>
      </c>
      <c r="N1">
        <f>Inputs!I:I*"vlM!1"</f>
        <v/>
      </c>
      <c r="O1">
        <f>Inputs!J:J*"vlM!2"</f>
        <v/>
      </c>
      <c r="P1">
        <f>Inputs!K:K*"vlM!3"</f>
        <v/>
      </c>
      <c r="Q1">
        <f>Inputs!L:L*"vlM!4"</f>
        <v/>
      </c>
      <c r="R1">
        <f>Inputs!M:M*"vlM!5"</f>
        <v/>
      </c>
      <c r="S1">
        <f>Inputs!N:N*"vlM!6"</f>
        <v/>
      </c>
      <c r="T1">
        <f>Inputs!O:O*"vlM!7"</f>
        <v/>
      </c>
      <c r="U1">
        <f>Inputs!P:P*"vlM!8"</f>
        <v/>
      </c>
      <c r="V1">
        <f>Inputs!Q:Q*"vlM!9"</f>
        <v/>
      </c>
      <c r="W1">
        <f>Inputs!R:R*"vlM!:"</f>
        <v/>
      </c>
      <c r="X1">
        <f>Inputs!S:S*"vlM!;"</f>
        <v/>
      </c>
      <c r="Y1">
        <f>Inputs!T:T*"vlM!&lt;"</f>
        <v/>
      </c>
      <c r="Z1">
        <f>Inputs!U:U*"vlM!="</f>
        <v/>
      </c>
      <c r="AA1">
        <f>Inputs!V:V*"vlM!&gt;"</f>
        <v/>
      </c>
      <c r="AB1">
        <f>Inputs!W:W*"vlM!?"</f>
        <v/>
      </c>
      <c r="AC1">
        <f>Inputs!X:X*"vlM!@"</f>
        <v/>
      </c>
      <c r="AD1">
        <f>Inputs!Y:Y*"vlM!A"</f>
        <v/>
      </c>
      <c r="AE1">
        <f>Inputs!Z:Z*"vlM!B"</f>
        <v/>
      </c>
      <c r="AF1">
        <f>Inputs!AA:AA*"vlM!C"</f>
        <v/>
      </c>
      <c r="AG1">
        <f>Inputs!AB:AB*"vlM!D"</f>
        <v/>
      </c>
      <c r="AH1">
        <f>Inputs!AC:AC*"vlM!E"</f>
        <v/>
      </c>
      <c r="AI1">
        <f>Inputs!AD:AD*"vlM!F"</f>
        <v/>
      </c>
      <c r="AJ1">
        <f>Inputs!AE:AE*"vlM!G"</f>
        <v/>
      </c>
      <c r="AK1">
        <f>Inputs!AF:AF*"vlM!H"</f>
        <v/>
      </c>
      <c r="AL1">
        <f>Inputs!AG:AG*"vlM!I"</f>
        <v/>
      </c>
      <c r="AM1">
        <f>Inputs!AH:AH*"vlM!J"</f>
        <v/>
      </c>
      <c r="AN1">
        <f>Inputs!AI:AI*"vlM!K"</f>
        <v/>
      </c>
      <c r="AO1">
        <f>Inputs!AJ:AJ*"vlM!L"</f>
        <v/>
      </c>
      <c r="AP1">
        <f>Inputs!AK:AK*"vlM!M"</f>
        <v/>
      </c>
      <c r="AQ1">
        <f>Inputs!AL:AL*"vlM!N"</f>
        <v/>
      </c>
      <c r="AR1">
        <f>Inputs!AM:AM*"vlM!O"</f>
        <v/>
      </c>
      <c r="AS1">
        <f>Inputs!AN:AN*"vlM!P"</f>
        <v/>
      </c>
      <c r="AT1">
        <f>Inputs!AO:AO*"vlM!Q"</f>
        <v/>
      </c>
      <c r="AU1">
        <f>Inputs!AP:AP*"vlM!R"</f>
        <v/>
      </c>
      <c r="AV1">
        <f>Inputs!AQ:AQ*"vlM!S"</f>
        <v/>
      </c>
      <c r="AW1">
        <f>Inputs!AR:AR*"vlM!T"</f>
        <v/>
      </c>
      <c r="AX1">
        <f>Inputs!AS:AS*"vlM!U"</f>
        <v/>
      </c>
      <c r="AY1">
        <f>Inputs!AT:AT*"vlM!V"</f>
        <v/>
      </c>
      <c r="AZ1">
        <f>Inputs!AU:AU*"vlM!W"</f>
        <v/>
      </c>
      <c r="BA1">
        <f>Inputs!AV:AV*"vlM!X"</f>
        <v/>
      </c>
      <c r="BB1">
        <f>Inputs!AW:AW*"vlM!Y"</f>
        <v/>
      </c>
      <c r="BC1">
        <f>Inputs!AX:AX*"vlM!Z"</f>
        <v/>
      </c>
      <c r="BD1">
        <f>Inputs!AY:AY*"vlM!["</f>
        <v/>
      </c>
      <c r="BE1">
        <f>Inputs!AZ:AZ*"vlM!\"</f>
        <v/>
      </c>
      <c r="BF1">
        <f>Inputs!BA:BA*"vlM!]"</f>
        <v/>
      </c>
      <c r="BG1">
        <f>Inputs!1:1-"vlM!^"</f>
        <v/>
      </c>
      <c r="BH1">
        <f>Inputs!#REF!-"vlM!_"</f>
        <v/>
      </c>
      <c r="BI1">
        <f>Inputs!3:3-"vlM!`"</f>
        <v/>
      </c>
      <c r="BJ1">
        <f>Inputs!4:4-"vlM!a"</f>
        <v/>
      </c>
      <c r="BK1">
        <f>Inputs!#REF!-"vlM!b"</f>
        <v/>
      </c>
      <c r="BL1">
        <f>Inputs!#REF!-"vlM!c"</f>
        <v/>
      </c>
      <c r="BM1">
        <f>Inputs!5:5-"vlM!d"</f>
        <v/>
      </c>
      <c r="BN1">
        <f>Inputs!#REF!-"vlM!e"</f>
        <v/>
      </c>
      <c r="BO1">
        <f>Inputs!#REF!-"vlM!f"</f>
        <v/>
      </c>
      <c r="BP1">
        <f>Inputs!6:6-"vlM!g"</f>
        <v/>
      </c>
      <c r="BQ1">
        <f>Inputs!7:7-"vlM!h"</f>
        <v/>
      </c>
      <c r="BR1">
        <f>Inputs!8:8-"vlM!i"</f>
        <v/>
      </c>
      <c r="BS1">
        <f>Inputs!9:9-"vlM!j"</f>
        <v/>
      </c>
      <c r="BT1">
        <f>Inputs!10:10-"vlM!k"</f>
        <v/>
      </c>
      <c r="BU1">
        <f>Inputs!11:11-"vlM!l"</f>
        <v/>
      </c>
      <c r="BV1">
        <f>Inputs!#REF!-"vlM!m"</f>
        <v/>
      </c>
      <c r="BW1">
        <f>Inputs!12:12-"vlM!n"</f>
        <v/>
      </c>
      <c r="BX1">
        <f>Inputs!13:13-"vlM!o"</f>
        <v/>
      </c>
      <c r="BY1">
        <f>Inputs!#REF!-"vlM!p"</f>
        <v/>
      </c>
      <c r="BZ1">
        <f>Inputs!#REF!-"vlM!q"</f>
        <v/>
      </c>
      <c r="CA1">
        <f>Inputs!14:14-"vlM!r"</f>
        <v/>
      </c>
      <c r="CB1">
        <f>Inputs!#REF!-"vlM!s"</f>
        <v/>
      </c>
      <c r="CC1">
        <f>Inputs!#REF!-"vlM!t"</f>
        <v/>
      </c>
      <c r="CD1">
        <f>Inputs!15:15-"vlM!u"</f>
        <v/>
      </c>
      <c r="CE1">
        <f>Inputs!16:16-"vlM!v"</f>
        <v/>
      </c>
      <c r="CF1">
        <f>Inputs!17:17-"vlM!w"</f>
        <v/>
      </c>
      <c r="CG1">
        <f>Inputs!18:18-"vlM!x"</f>
        <v/>
      </c>
      <c r="CH1">
        <f>Inputs!#REF!-"vlM!y"</f>
        <v/>
      </c>
      <c r="CI1">
        <f>Inputs!#REF!-"vlM!z"</f>
        <v/>
      </c>
      <c r="CJ1">
        <f>Inputs!#REF!-"vlM!{"</f>
        <v/>
      </c>
      <c r="CK1">
        <f>Inputs!#REF!-"vlM!|"</f>
        <v/>
      </c>
      <c r="CL1">
        <f>Inputs!#REF!-"vlM!}"</f>
        <v/>
      </c>
      <c r="CM1">
        <f>Inputs!#REF!-"vlM!~"</f>
        <v/>
      </c>
      <c r="CN1">
        <f>Inputs!#REF!-"vlM!$#"</f>
        <v/>
      </c>
      <c r="CO1">
        <f>Inputs!#REF!-"vlM!$$"</f>
        <v/>
      </c>
      <c r="CP1">
        <f>Inputs!#REF!-"vlM!$%"</f>
        <v/>
      </c>
      <c r="CQ1">
        <f>Inputs!#REF!-"vlM!$&amp;"</f>
        <v/>
      </c>
      <c r="CR1">
        <f>Inputs!#REF!-"vlM!$'"</f>
        <v/>
      </c>
      <c r="CS1">
        <f>Inputs!#REF!-"vlM!$("</f>
        <v/>
      </c>
      <c r="CT1">
        <f>Inputs!#REF!-"vlM!$)"</f>
        <v/>
      </c>
      <c r="CU1">
        <f>Inputs!19:19-"vlM!$."</f>
        <v/>
      </c>
      <c r="CV1">
        <f>Inputs!20:20-"vlM!$/"</f>
        <v/>
      </c>
      <c r="CW1">
        <f>Inputs!21:21-"vlM!$0"</f>
        <v/>
      </c>
      <c r="CX1">
        <f>Inputs!22:22-"vlM!$1"</f>
        <v/>
      </c>
      <c r="CY1">
        <f>Inputs!23:23-"vlM!$2"</f>
        <v/>
      </c>
      <c r="CZ1">
        <f>Inputs!24:24-"vlM!$3"</f>
        <v/>
      </c>
      <c r="DA1">
        <f>Inputs!25:25-"vlM!$4"</f>
        <v/>
      </c>
      <c r="DB1">
        <f>Inputs!26:26-"vlM!$5"</f>
        <v/>
      </c>
      <c r="DC1">
        <f>Inputs!27:27-"vlM!$6"</f>
        <v/>
      </c>
      <c r="DD1">
        <f>Inputs!28:28-"vlM!$7"</f>
        <v/>
      </c>
      <c r="DE1">
        <f>Inputs!29:29-"vlM!$8"</f>
        <v/>
      </c>
      <c r="DF1">
        <f>Inputs!30:30-"vlM!$9"</f>
        <v/>
      </c>
      <c r="DG1">
        <f>Inputs!31:31-"vlM!$:"</f>
        <v/>
      </c>
      <c r="DH1">
        <f>Inputs!32:32-"vlM!$;"</f>
        <v/>
      </c>
      <c r="DI1">
        <f>Inputs!33:33-"vlM!$&lt;"</f>
        <v/>
      </c>
      <c r="DJ1">
        <f>Inputs!34:34-"vlM!$="</f>
        <v/>
      </c>
      <c r="DK1">
        <f>Inputs!35:35-"vlM!$&gt;"</f>
        <v/>
      </c>
      <c r="DL1">
        <f>Inputs!36:36-"vlM!$?"</f>
        <v/>
      </c>
      <c r="DM1">
        <f>Inputs!37:37-"vlM!$@"</f>
        <v/>
      </c>
      <c r="DN1">
        <f>Inputs!38:38-"vlM!$A"</f>
        <v/>
      </c>
      <c r="DO1">
        <f>Inputs!39:39-"vlM!$B"</f>
        <v/>
      </c>
      <c r="DP1">
        <f>Inputs!40:40-"vlM!$C"</f>
        <v/>
      </c>
      <c r="DQ1">
        <f>Inputs!41:41-"vlM!$D"</f>
        <v/>
      </c>
      <c r="DR1">
        <f>Inputs!42:42-"vlM!$E"</f>
        <v/>
      </c>
      <c r="DS1">
        <f>Inputs!43:43-"vlM!$F"</f>
        <v/>
      </c>
      <c r="DT1">
        <f>Inputs!44:44-"vlM!$G"</f>
        <v/>
      </c>
      <c r="DU1">
        <f>Inputs!45:45-"vlM!$H"</f>
        <v/>
      </c>
      <c r="DV1">
        <f>Inputs!46:46-"vlM!$I"</f>
        <v/>
      </c>
      <c r="DW1">
        <f>Inputs!47:47-"vlM!$J"</f>
        <v/>
      </c>
      <c r="DX1">
        <f>Inputs!48:48-"vlM!$K"</f>
        <v/>
      </c>
      <c r="DY1">
        <f>Inputs!49:49-"vlM!$L"</f>
        <v/>
      </c>
      <c r="DZ1">
        <f>Inputs!50:50-"vlM!$M"</f>
        <v/>
      </c>
      <c r="EA1">
        <f>Inputs!51:51-"vlM!$N"</f>
        <v/>
      </c>
      <c r="EB1">
        <f>Inputs!52:52-"vlM!$O"</f>
        <v/>
      </c>
      <c r="EC1">
        <f>Inputs!53:53-"vlM!$P"</f>
        <v/>
      </c>
      <c r="ED1">
        <f>Inputs!54:54-"vlM!$Q"</f>
        <v/>
      </c>
      <c r="EE1">
        <f>Inputs!55:55-"vlM!$R"</f>
        <v/>
      </c>
      <c r="EF1">
        <f>Inputs!56:56-"vlM!$S"</f>
        <v/>
      </c>
      <c r="EG1">
        <f>Inputs!57:57-"vlM!$T"</f>
        <v/>
      </c>
      <c r="EH1">
        <f>Inputs!58:58-"vlM!$U"</f>
        <v/>
      </c>
      <c r="EI1">
        <f>Inputs!59:59-"vlM!$V"</f>
        <v/>
      </c>
      <c r="EJ1">
        <f>Inputs!60:60-"vlM!$W"</f>
        <v/>
      </c>
      <c r="EK1">
        <f>Inputs!61:61-"vlM!$X"</f>
        <v/>
      </c>
      <c r="EL1">
        <f>Inputs!62:62-"vlM!$Y"</f>
        <v/>
      </c>
      <c r="EM1">
        <f>Inputs!63:63-"vlM!$Z"</f>
        <v/>
      </c>
      <c r="EN1">
        <f>Inputs!64:64-"vlM!$["</f>
        <v/>
      </c>
      <c r="EO1">
        <f>Inputs!65:65-"vlM!$\"</f>
        <v/>
      </c>
      <c r="EP1">
        <f>Inputs!66:66-"vlM!$]"</f>
        <v/>
      </c>
      <c r="EQ1">
        <f>Inputs!67:67-"vlM!$^"</f>
        <v/>
      </c>
      <c r="ER1">
        <f>Inputs!68:68-"vlM!$_"</f>
        <v/>
      </c>
      <c r="ES1">
        <f>Inputs!69:69-"vlM!$`"</f>
        <v/>
      </c>
      <c r="ET1">
        <f>Inputs!70:70-"vlM!$a"</f>
        <v/>
      </c>
      <c r="EU1">
        <f>Inputs!71:71-"vlM!$b"</f>
        <v/>
      </c>
      <c r="EV1">
        <f>Inputs!72:72-"vlM!$c"</f>
        <v/>
      </c>
      <c r="EW1">
        <f>Inputs!73:73-"vlM!$d"</f>
        <v/>
      </c>
      <c r="EX1">
        <f>Inputs!74:74-"vlM!$e"</f>
        <v/>
      </c>
      <c r="EY1">
        <f>Inputs!75:75-"vlM!$f"</f>
        <v/>
      </c>
      <c r="EZ1">
        <f>Inputs!76:76-"vlM!$g"</f>
        <v/>
      </c>
      <c r="FA1">
        <f>Inputs!77:77-"vlM!$h"</f>
        <v/>
      </c>
      <c r="FB1">
        <f>Inputs!78:78-"vlM!$i"</f>
        <v/>
      </c>
      <c r="FC1">
        <f>Inputs!79:79-"vlM!$j"</f>
        <v/>
      </c>
      <c r="FD1">
        <f>Inputs!80:80-"vlM!$k"</f>
        <v/>
      </c>
      <c r="FE1">
        <f>Inputs!81:81-"vlM!$l"</f>
        <v/>
      </c>
      <c r="FF1">
        <f>Inputs!82:82-"vlM!$m"</f>
        <v/>
      </c>
      <c r="FG1">
        <f>Inputs!83:83-"vlM!$n"</f>
        <v/>
      </c>
      <c r="FH1">
        <f>Inputs!84:84-"vlM!$o"</f>
        <v/>
      </c>
      <c r="FI1">
        <f>Inputs!85:85-"vlM!$p"</f>
        <v/>
      </c>
      <c r="FJ1">
        <f>Inputs!86:86-"vlM!$q"</f>
        <v/>
      </c>
      <c r="FK1">
        <f>Inputs!87:87-"vlM!$r"</f>
        <v/>
      </c>
      <c r="FL1">
        <f>Inputs!88:88-"vlM!$s"</f>
        <v/>
      </c>
      <c r="FM1">
        <f>Inputs!89:89-"vlM!$t"</f>
        <v/>
      </c>
      <c r="FN1">
        <f>Inputs!90:90-"vlM!$u"</f>
        <v/>
      </c>
      <c r="FO1">
        <f>Inputs!91:91-"vlM!$v"</f>
        <v/>
      </c>
      <c r="FP1">
        <f>Inputs!92:92-"vlM!$w"</f>
        <v/>
      </c>
      <c r="FQ1">
        <f>Inputs!93:93-"vlM!$x"</f>
        <v/>
      </c>
      <c r="FR1">
        <f>Inputs!94:94-"vlM!$y"</f>
        <v/>
      </c>
      <c r="FS1">
        <f>Inputs!95:95-"vlM!$z"</f>
        <v/>
      </c>
      <c r="FT1">
        <f>Inputs!96:96-"vlM!${"</f>
        <v/>
      </c>
      <c r="FU1">
        <f>Inputs!97:97-"vlM!$|"</f>
        <v/>
      </c>
      <c r="FV1">
        <f>Inputs!98:98-"vlM!$}"</f>
        <v/>
      </c>
      <c r="FW1">
        <f>Inputs!99:99-"vlM!$~"</f>
        <v/>
      </c>
      <c r="FX1">
        <f>Inputs!100:100-"vlM!%#"</f>
        <v/>
      </c>
      <c r="FY1">
        <f>Inputs!101:101-"vlM!%$"</f>
        <v/>
      </c>
      <c r="FZ1">
        <f>Inputs!102:102-"vlM!%%"</f>
        <v/>
      </c>
      <c r="GA1">
        <f>Inputs!103:103-"vlM!%&amp;"</f>
        <v/>
      </c>
      <c r="GB1">
        <f>Inputs!104:104-"vlM!%'"</f>
        <v/>
      </c>
      <c r="GC1">
        <f>Inputs!105:105-"vlM!%("</f>
        <v/>
      </c>
      <c r="GD1">
        <f>Inputs!106:106-"vlM!%)"</f>
        <v/>
      </c>
      <c r="GE1">
        <f>Inputs!107:107-"vlM!%."</f>
        <v/>
      </c>
      <c r="GF1">
        <f>Inputs!108:108-"vlM!%/"</f>
        <v/>
      </c>
      <c r="GG1">
        <f>Inputs!109:109-"vlM!%0"</f>
        <v/>
      </c>
      <c r="GH1">
        <f>Inputs!110:110-"vlM!%1"</f>
        <v/>
      </c>
      <c r="GI1">
        <f>Inputs!111:111-"vlM!%2"</f>
        <v/>
      </c>
      <c r="GJ1">
        <f>Inputs!112:112-"vlM!%3"</f>
        <v/>
      </c>
      <c r="GK1">
        <f>Inputs!113:113-"vlM!%4"</f>
        <v/>
      </c>
      <c r="GL1">
        <f>Inputs!114:114-"vlM!%5"</f>
        <v/>
      </c>
      <c r="GM1">
        <f>Inputs!115:115-"vlM!%6"</f>
        <v/>
      </c>
      <c r="GN1">
        <f>Inputs!116:116-"vlM!%7"</f>
        <v/>
      </c>
      <c r="GO1">
        <f>Inputs!117:117-"vlM!%8"</f>
        <v/>
      </c>
      <c r="GP1">
        <f>Inputs!118:118-"vlM!%9"</f>
        <v/>
      </c>
      <c r="GQ1">
        <f>Inputs!119:119-"vlM!%:"</f>
        <v/>
      </c>
      <c r="GR1">
        <f>Inputs!120:120-"vlM!%;"</f>
        <v/>
      </c>
      <c r="GS1">
        <f>Inputs!121:121-"vlM!%&lt;"</f>
        <v/>
      </c>
      <c r="GT1">
        <f>Inputs!122:122-"vlM!%="</f>
        <v/>
      </c>
      <c r="GU1">
        <f>Inputs!123:123-"vlM!%&gt;"</f>
        <v/>
      </c>
      <c r="GV1">
        <f>Inputs!124:124-"vlM!%?"</f>
        <v/>
      </c>
      <c r="GW1">
        <f>Inputs!125:125-"vlM!%@"</f>
        <v/>
      </c>
      <c r="GX1">
        <f>Inputs!126:126-"vlM!%A"</f>
        <v/>
      </c>
      <c r="GY1">
        <f>Inputs!127:127-"vlM!%B"</f>
        <v/>
      </c>
      <c r="GZ1">
        <f>Inputs!128:128-"vlM!%C"</f>
        <v/>
      </c>
      <c r="HA1">
        <f>Inputs!129:129-"vlM!%D"</f>
        <v/>
      </c>
      <c r="HB1">
        <f>Inputs!130:130-"vlM!%E"</f>
        <v/>
      </c>
      <c r="HC1">
        <f>Inputs!131:131-"vlM!%F"</f>
        <v/>
      </c>
      <c r="HD1">
        <f>Inputs!132:132-"vlM!%G"</f>
        <v/>
      </c>
      <c r="HE1">
        <f>Inputs!133:133-"vlM!%H"</f>
        <v/>
      </c>
      <c r="HF1">
        <f>Inputs!134:134-"vlM!%I"</f>
        <v/>
      </c>
      <c r="HG1">
        <f>Inputs!135:135-"vlM!%J"</f>
        <v/>
      </c>
      <c r="HH1">
        <f>Inputs!136:136-"vlM!%K"</f>
        <v/>
      </c>
      <c r="HI1">
        <f>Inputs!137:137-"vlM!%L"</f>
        <v/>
      </c>
      <c r="HJ1">
        <f>Inputs!138:138-"vlM!%M"</f>
        <v/>
      </c>
      <c r="HK1">
        <f>Inputs!139:139-"vlM!%N"</f>
        <v/>
      </c>
      <c r="HL1">
        <f>Inputs!140:140-"vlM!%O"</f>
        <v/>
      </c>
      <c r="HM1">
        <f>Inputs!141:141-"vlM!%P"</f>
        <v/>
      </c>
      <c r="HN1">
        <f>Inputs!142:142-"vlM!%Q"</f>
        <v/>
      </c>
      <c r="HO1">
        <f>Inputs!143:143-"vlM!%R"</f>
        <v/>
      </c>
      <c r="HP1">
        <f>Inputs!144:144-"vlM!%S"</f>
        <v/>
      </c>
      <c r="HQ1">
        <f>Inputs!145:145-"vlM!%T"</f>
        <v/>
      </c>
      <c r="HR1">
        <f>Inputs!146:146-"vlM!%U"</f>
        <v/>
      </c>
      <c r="HS1">
        <f>Inputs!147:147-"vlM!%V"</f>
        <v/>
      </c>
      <c r="HT1">
        <f>Inputs!148:148-"vlM!%W"</f>
        <v/>
      </c>
      <c r="HU1">
        <f>Inputs!149:149-"vlM!%X"</f>
        <v/>
      </c>
      <c r="HV1">
        <f>Inputs!150:150-"vlM!%Y"</f>
        <v/>
      </c>
      <c r="HW1">
        <f>Inputs!151:151-"vlM!%Z"</f>
        <v/>
      </c>
      <c r="HX1">
        <f>Inputs!152:152-"vlM!%["</f>
        <v/>
      </c>
      <c r="HY1">
        <f>Inputs!153:153-"vlM!%\"</f>
        <v/>
      </c>
      <c r="HZ1">
        <f>Inputs!154:154-"vlM!%]"</f>
        <v/>
      </c>
      <c r="IA1">
        <f>Inputs!155:155-"vlM!%^"</f>
        <v/>
      </c>
      <c r="IB1">
        <f>Inputs!156:156-"vlM!%_"</f>
        <v/>
      </c>
      <c r="IC1">
        <f>Inputs!157:157-"vlM!%`"</f>
        <v/>
      </c>
      <c r="ID1">
        <f>Inputs!158:158-"vlM!%a"</f>
        <v/>
      </c>
      <c r="IE1">
        <f>Inputs!159:159-"vlM!%b"</f>
        <v/>
      </c>
      <c r="IF1">
        <f>Inputs!160:160-"vlM!%c"</f>
        <v/>
      </c>
      <c r="IG1">
        <f>Inputs!161:161-"vlM!%d"</f>
        <v/>
      </c>
      <c r="IH1">
        <f>Inputs!162:162-"vlM!%e"</f>
        <v/>
      </c>
      <c r="II1">
        <f>Inputs!163:163-"vlM!%f"</f>
        <v/>
      </c>
      <c r="IJ1">
        <f>Inputs!164:164-"vlM!%g"</f>
        <v/>
      </c>
      <c r="IK1">
        <f>Inputs!165:165-"vlM!%h"</f>
        <v/>
      </c>
      <c r="IL1">
        <f>Inputs!166:166-"vlM!%i"</f>
        <v/>
      </c>
      <c r="IM1">
        <f>Inputs!167:167-"vlM!%j"</f>
        <v/>
      </c>
      <c r="IN1">
        <f>Inputs!168:168-"vlM!%k"</f>
        <v/>
      </c>
      <c r="IO1">
        <f>Inputs!169:169-"vlM!%l"</f>
        <v/>
      </c>
      <c r="IP1">
        <f>Inputs!170:170-"vlM!%m"</f>
        <v/>
      </c>
      <c r="IQ1">
        <f>Inputs!171:171-"vlM!%n"</f>
        <v/>
      </c>
      <c r="IR1">
        <f>Inputs!172:172-"vlM!%o"</f>
        <v/>
      </c>
      <c r="IS1">
        <f>Inputs!173:173-"vlM!%p"</f>
        <v/>
      </c>
      <c r="IT1">
        <f>Inputs!174:174-"vlM!%q"</f>
        <v/>
      </c>
      <c r="IU1">
        <f>Inputs!175:175-"vlM!%r"</f>
        <v/>
      </c>
      <c r="IV1">
        <f>Inputs!176:176-"vlM!%s"</f>
        <v/>
      </c>
    </row>
    <row r="2">
      <c r="A2" t="inlineStr">
        <is>
          <t>huhatvaz_6665_National Instruments_Windows (32-bit) NT 6.01_HUDEB273165_huhatvaz$$$08082013</t>
        </is>
      </c>
      <c r="F2">
        <f>Inputs!177:177-"vlM!%t"</f>
        <v/>
      </c>
      <c r="G2">
        <f>Inputs!178:178-"vlM!%u"</f>
        <v/>
      </c>
      <c r="H2">
        <f>Inputs!179:179-"vlM!%v"</f>
        <v/>
      </c>
      <c r="I2">
        <f>Inputs!180:180-"vlM!%w"</f>
        <v/>
      </c>
      <c r="J2">
        <f>Inputs!181:181-"vlM!%x"</f>
        <v/>
      </c>
      <c r="K2">
        <f>Inputs!182:182-"vlM!%y"</f>
        <v/>
      </c>
      <c r="L2">
        <f>Inputs!183:183-"vlM!%z"</f>
        <v/>
      </c>
      <c r="M2">
        <f>Inputs!184:184-"vlM!%{"</f>
        <v/>
      </c>
      <c r="N2">
        <f>Inputs!185:185-"vlM!%|"</f>
        <v/>
      </c>
      <c r="O2">
        <f>Inputs!186:186-"vlM!%}"</f>
        <v/>
      </c>
      <c r="P2">
        <f>Inputs!187:187-"vlM!%~"</f>
        <v/>
      </c>
      <c r="Q2">
        <f>Inputs!188:188-"vlM!&amp;#"</f>
        <v/>
      </c>
      <c r="R2">
        <f>Inputs!189:189-"vlM!&amp;$"</f>
        <v/>
      </c>
      <c r="S2">
        <f>Inputs!190:190-"vlM!&amp;%"</f>
        <v/>
      </c>
      <c r="T2">
        <f>Inputs!B2+"vlM!&amp;&amp;"</f>
        <v/>
      </c>
      <c r="U2">
        <f>Inputs!C2+"vlM!&amp;'"</f>
        <v/>
      </c>
      <c r="V2">
        <f>Inputs!#REF!+"vlM!&amp;("</f>
        <v/>
      </c>
      <c r="W2">
        <f>Inputs!#REF!+"vlM!&amp;)"</f>
        <v/>
      </c>
      <c r="X2">
        <f>Inputs!B3+"vlM!&amp;."</f>
        <v/>
      </c>
      <c r="Y2">
        <f>Inputs!C3+"vlM!&amp;/"</f>
        <v/>
      </c>
      <c r="Z2">
        <f>Inputs!B4+"vlM!&amp;0"</f>
        <v/>
      </c>
      <c r="AA2">
        <f>Inputs!C4+"vlM!&amp;1"</f>
        <v/>
      </c>
      <c r="AB2">
        <f>Inputs!#REF!+"vlM!&amp;2"</f>
        <v/>
      </c>
      <c r="AC2">
        <f>Inputs!#REF!+"vlM!&amp;3"</f>
        <v/>
      </c>
      <c r="AD2">
        <f>Inputs!#REF!+"vlM!&amp;4"</f>
        <v/>
      </c>
      <c r="AE2">
        <f>Inputs!#REF!+"vlM!&amp;5"</f>
        <v/>
      </c>
      <c r="AF2">
        <f>Inputs!#REF!+"vlM!&amp;6"</f>
        <v/>
      </c>
      <c r="AG2">
        <f>Inputs!#REF!+"vlM!&amp;7"</f>
        <v/>
      </c>
      <c r="AH2">
        <f>Inputs!#REF!+"vlM!&amp;8"</f>
        <v/>
      </c>
      <c r="AI2">
        <f>Inputs!#REF!+"vlM!&amp;9"</f>
        <v/>
      </c>
      <c r="AJ2">
        <f>Inputs!#REF!+"vlM!&amp;:"</f>
        <v/>
      </c>
      <c r="AK2">
        <f>Inputs!#REF!+"vlM!&amp;;"</f>
        <v/>
      </c>
      <c r="AL2">
        <f>Inputs!B6+"vlM!&amp;&lt;"</f>
        <v/>
      </c>
      <c r="AM2" s="14">
        <f>Inputs!C6+"vlM!&amp;="</f>
        <v/>
      </c>
      <c r="AN2">
        <f>Inputs!B7+"vlM!&amp;&gt;"</f>
        <v/>
      </c>
      <c r="AO2" s="1">
        <f>Inputs!C7+"vlM!&amp;?"</f>
        <v/>
      </c>
      <c r="AP2">
        <f>#REF!*"vlM!&amp;@"</f>
        <v/>
      </c>
      <c r="AQ2">
        <f>#REF!*"vlM!&amp;A"</f>
        <v/>
      </c>
      <c r="AR2">
        <f>#REF!*"vlM!&amp;B"</f>
        <v/>
      </c>
      <c r="AS2">
        <f>#REF!*"vlM!&amp;C"</f>
        <v/>
      </c>
      <c r="AT2">
        <f>#REF!*"vlM!&amp;D"</f>
        <v/>
      </c>
      <c r="AU2">
        <f>#REF!*"vlM!&amp;E"</f>
        <v/>
      </c>
      <c r="AV2">
        <f>#REF!*"vlM!&amp;F"</f>
        <v/>
      </c>
      <c r="AW2">
        <f>#REF!*"vlM!&amp;G"</f>
        <v/>
      </c>
      <c r="AX2">
        <f>#REF!*"vlM!&amp;H"</f>
        <v/>
      </c>
      <c r="AY2">
        <f>#REF!*"vlM!&amp;I"</f>
        <v/>
      </c>
      <c r="AZ2">
        <f>#REF!*"vlM!&amp;J"</f>
        <v/>
      </c>
      <c r="BA2">
        <f>#REF!*"vlM!&amp;K"</f>
        <v/>
      </c>
      <c r="BB2">
        <f>#REF!*"vlM!&amp;L"</f>
        <v/>
      </c>
      <c r="BC2">
        <f>#REF!*"vlM!&amp;M"</f>
        <v/>
      </c>
      <c r="BD2">
        <f>#REF!*"vlM!&amp;N"</f>
        <v/>
      </c>
      <c r="BE2">
        <f>#REF!*"vlM!&amp;O"</f>
        <v/>
      </c>
      <c r="BF2">
        <f>#REF!*"vlM!&amp;P"</f>
        <v/>
      </c>
      <c r="BG2">
        <f>#REF!*"vlM!&amp;Q"</f>
        <v/>
      </c>
      <c r="BH2">
        <f>#REF!*"vlM!&amp;R"</f>
        <v/>
      </c>
      <c r="BI2">
        <f>#REF!*"vlM!&amp;S"</f>
        <v/>
      </c>
      <c r="BJ2">
        <f>#REF!*"vlM!&amp;T"</f>
        <v/>
      </c>
      <c r="BK2">
        <f>#REF!*"vlM!&amp;U"</f>
        <v/>
      </c>
      <c r="BL2">
        <f>#REF!*"vlM!&amp;V"</f>
        <v/>
      </c>
      <c r="BM2">
        <f>#REF!*"vlM!&amp;W"</f>
        <v/>
      </c>
      <c r="BN2">
        <f>#REF!*"vlM!&amp;X"</f>
        <v/>
      </c>
      <c r="BO2">
        <f>#REF!*"vlM!&amp;Y"</f>
        <v/>
      </c>
      <c r="BP2">
        <f>#REF!*"vlM!&amp;Z"</f>
        <v/>
      </c>
      <c r="BQ2">
        <f>#REF!*"vlM!&amp;["</f>
        <v/>
      </c>
      <c r="BR2">
        <f>#REF!*"vlM!&amp;\"</f>
        <v/>
      </c>
      <c r="BS2">
        <f>#REF!*"vlM!&amp;]"</f>
        <v/>
      </c>
      <c r="BT2">
        <f>#REF!*"vlM!&amp;^"</f>
        <v/>
      </c>
      <c r="BU2">
        <f>#REF!*"vlM!&amp;_"</f>
        <v/>
      </c>
      <c r="BV2">
        <f>#REF!*"vlM!&amp;`"</f>
        <v/>
      </c>
      <c r="BW2">
        <f>#REF!*"vlM!&amp;a"</f>
        <v/>
      </c>
      <c r="BX2">
        <f>#REF!*"vlM!&amp;b"</f>
        <v/>
      </c>
      <c r="BY2">
        <f>#REF!*"vlM!&amp;c"</f>
        <v/>
      </c>
      <c r="BZ2">
        <f>#REF!*"vlM!&amp;d"</f>
        <v/>
      </c>
      <c r="CA2">
        <f>#REF!*"vlM!&amp;e"</f>
        <v/>
      </c>
      <c r="CB2">
        <f>#REF!*"vlM!&amp;f"</f>
        <v/>
      </c>
      <c r="CC2">
        <f>#REF!*"vlM!&amp;g"</f>
        <v/>
      </c>
      <c r="CD2">
        <f>#REF!*"vlM!&amp;h"</f>
        <v/>
      </c>
      <c r="CE2">
        <f>#REF!*"vlM!&amp;i"</f>
        <v/>
      </c>
      <c r="CF2">
        <f>#REF!*"vlM!&amp;j"</f>
        <v/>
      </c>
      <c r="CG2">
        <f>#REF!*"vlM!&amp;k"</f>
        <v/>
      </c>
      <c r="CH2">
        <f>#REF!*"vlM!&amp;l"</f>
        <v/>
      </c>
      <c r="CI2">
        <f>#REF!*"vlM!&amp;m"</f>
        <v/>
      </c>
      <c r="CJ2">
        <f>#REF!*"vlM!&amp;n"</f>
        <v/>
      </c>
      <c r="CK2">
        <f>#REF!*"vlM!&amp;o"</f>
        <v/>
      </c>
      <c r="CL2">
        <f>#REF!*"vlM!&amp;p"</f>
        <v/>
      </c>
      <c r="CM2">
        <f>#REF!*"vlM!&amp;q"</f>
        <v/>
      </c>
      <c r="CN2">
        <f>#REF!*"vlM!&amp;r"</f>
        <v/>
      </c>
      <c r="CO2">
        <f>#REF!*"vlM!&amp;s"</f>
        <v/>
      </c>
      <c r="CP2">
        <f>#REF!*"vlM!&amp;t"</f>
        <v/>
      </c>
      <c r="CQ2">
        <f>#REF!*"vlM!&amp;u"</f>
        <v/>
      </c>
      <c r="CR2">
        <f>#REF!*"vlM!&amp;v"</f>
        <v/>
      </c>
      <c r="CS2">
        <f>#REF!*"vlM!&amp;w"</f>
        <v/>
      </c>
      <c r="CT2">
        <f>#REF!*"vlM!&amp;x"</f>
        <v/>
      </c>
      <c r="CU2">
        <f>#REF!*"vlM!&amp;y"</f>
        <v/>
      </c>
      <c r="CV2">
        <f>#REF!*"vlM!&amp;z"</f>
        <v/>
      </c>
      <c r="CW2">
        <f>#REF!*"vlM!&amp;{"</f>
        <v/>
      </c>
      <c r="CX2">
        <f>#REF!*"vlM!&amp;|"</f>
        <v/>
      </c>
      <c r="CY2">
        <f>#REF!*"vlM!&amp;}"</f>
        <v/>
      </c>
      <c r="CZ2">
        <f>#REF!*"vlM!&amp;~"</f>
        <v/>
      </c>
      <c r="DA2">
        <f>#REF!*"vlM!'#"</f>
        <v/>
      </c>
      <c r="DB2">
        <f>#REF!*"vlM!'$"</f>
        <v/>
      </c>
      <c r="DC2">
        <f>#REF!*"vlM!'%"</f>
        <v/>
      </c>
      <c r="DD2">
        <f>#REF!*"vlM!'&amp;"</f>
        <v/>
      </c>
      <c r="DE2">
        <f>#REF!*"vlM!''"</f>
        <v/>
      </c>
      <c r="DF2">
        <f>#REF!*"vlM!'("</f>
        <v/>
      </c>
      <c r="DG2">
        <f>#REF!*"vlM!')"</f>
        <v/>
      </c>
      <c r="DH2">
        <f>#REF!*"vlM!'."</f>
        <v/>
      </c>
      <c r="DI2">
        <f>#REF!-"vlM!'/"</f>
        <v/>
      </c>
      <c r="DJ2">
        <f>#REF!-"vlM!'0"</f>
        <v/>
      </c>
      <c r="DK2">
        <f>#REF!-"vlM!'1"</f>
        <v/>
      </c>
      <c r="DL2">
        <f>#REF!-"vlM!'2"</f>
        <v/>
      </c>
      <c r="DM2">
        <f>#REF!-"vlM!'3"</f>
        <v/>
      </c>
      <c r="DN2">
        <f>#REF!-"vlM!'4"</f>
        <v/>
      </c>
      <c r="DO2">
        <f>#REF!-"vlM!'5"</f>
        <v/>
      </c>
      <c r="DP2">
        <f>#REF!-"vlM!'6"</f>
        <v/>
      </c>
      <c r="DQ2">
        <f>#REF!-"vlM!'7"</f>
        <v/>
      </c>
      <c r="DR2">
        <f>#REF!-"vlM!'8"</f>
        <v/>
      </c>
      <c r="DS2">
        <f>#REF!-"vlM!'9"</f>
        <v/>
      </c>
      <c r="DT2">
        <f>#REF!-"vlM!':"</f>
        <v/>
      </c>
      <c r="DU2">
        <f>#REF!-"vlM!';"</f>
        <v/>
      </c>
      <c r="DV2">
        <f>#REF!-"vlM!'&lt;"</f>
        <v/>
      </c>
      <c r="DW2">
        <f>#REF!-"vlM!'="</f>
        <v/>
      </c>
      <c r="DX2">
        <f>#REF!-"vlM!'&gt;"</f>
        <v/>
      </c>
      <c r="DY2">
        <f>#REF!-"vlM!'?"</f>
        <v/>
      </c>
      <c r="DZ2">
        <f>#REF!-"vlM!'@"</f>
        <v/>
      </c>
      <c r="EA2">
        <f>#REF!-"vlM!'A"</f>
        <v/>
      </c>
      <c r="EB2">
        <f>#REF!-"vlM!'B"</f>
        <v/>
      </c>
      <c r="EC2">
        <f>#REF!-"vlM!'C"</f>
        <v/>
      </c>
      <c r="ED2">
        <f>#REF!-"vlM!'D"</f>
        <v/>
      </c>
      <c r="EE2">
        <f>#REF!-"vlM!'E"</f>
        <v/>
      </c>
      <c r="EF2">
        <f>#REF!-"vlM!'F"</f>
        <v/>
      </c>
      <c r="EG2">
        <f>#REF!-"vlM!'G"</f>
        <v/>
      </c>
      <c r="EH2">
        <f>#REF!-"vlM!'H"</f>
        <v/>
      </c>
      <c r="EI2">
        <f>#REF!-"vlM!'I"</f>
        <v/>
      </c>
      <c r="EJ2">
        <f>#REF!-"vlM!'J"</f>
        <v/>
      </c>
      <c r="EK2">
        <f>#REF!-"vlM!'K"</f>
        <v/>
      </c>
      <c r="EL2">
        <f>#REF!-"vlM!'L"</f>
        <v/>
      </c>
      <c r="EM2">
        <f>#REF!-"vlM!'M"</f>
        <v/>
      </c>
      <c r="EN2">
        <f>#REF!-"vlM!'N"</f>
        <v/>
      </c>
      <c r="EO2">
        <f>#REF!-"vlM!'O"</f>
        <v/>
      </c>
      <c r="EP2">
        <f>#REF!-"vlM!'P"</f>
        <v/>
      </c>
      <c r="EQ2">
        <f>#REF!-"vlM!'Q"</f>
        <v/>
      </c>
      <c r="ER2">
        <f>#REF!-"vlM!'R"</f>
        <v/>
      </c>
      <c r="ES2">
        <f>#REF!-"vlM!'S"</f>
        <v/>
      </c>
      <c r="ET2">
        <f>#REF!-"vlM!'T"</f>
        <v/>
      </c>
      <c r="EU2">
        <f>#REF!-"vlM!'U"</f>
        <v/>
      </c>
      <c r="EV2">
        <f>#REF!-"vlM!'V"</f>
        <v/>
      </c>
      <c r="EW2">
        <f>#REF!-"vlM!'W"</f>
        <v/>
      </c>
      <c r="EX2">
        <f>#REF!-"vlM!'X"</f>
        <v/>
      </c>
      <c r="EY2">
        <f>#REF!-"vlM!'Y"</f>
        <v/>
      </c>
      <c r="EZ2">
        <f>#REF!-"vlM!'Z"</f>
        <v/>
      </c>
      <c r="FA2">
        <f>#REF!-"vlM!'["</f>
        <v/>
      </c>
      <c r="FB2">
        <f>#REF!-"vlM!'\"</f>
        <v/>
      </c>
      <c r="FC2">
        <f>#REF!-"vlM!']"</f>
        <v/>
      </c>
      <c r="FD2">
        <f>#REF!-"vlM!'^"</f>
        <v/>
      </c>
      <c r="FE2">
        <f>#REF!-"vlM!'_"</f>
        <v/>
      </c>
      <c r="FF2">
        <f>#REF!-"vlM!'`"</f>
        <v/>
      </c>
      <c r="FG2">
        <f>#REF!-"vlM!'a"</f>
        <v/>
      </c>
      <c r="FH2">
        <f>#REF!-"vlM!'b"</f>
        <v/>
      </c>
      <c r="FI2">
        <f>#REF!-"vlM!'c"</f>
        <v/>
      </c>
      <c r="FJ2">
        <f>#REF!-"vlM!'d"</f>
        <v/>
      </c>
      <c r="FK2">
        <f>#REF!-"vlM!'e"</f>
        <v/>
      </c>
      <c r="FL2">
        <f>#REF!-"vlM!'f"</f>
        <v/>
      </c>
      <c r="FM2">
        <f>#REF!-"vlM!'g"</f>
        <v/>
      </c>
      <c r="FN2">
        <f>#REF!-"vlM!'h"</f>
        <v/>
      </c>
      <c r="FO2">
        <f>#REF!-"vlM!'i"</f>
        <v/>
      </c>
      <c r="FP2">
        <f>#REF!-"vlM!'j"</f>
        <v/>
      </c>
      <c r="FQ2">
        <f>#REF!-"vlM!'k"</f>
        <v/>
      </c>
      <c r="FR2">
        <f>#REF!-"vlM!'l"</f>
        <v/>
      </c>
      <c r="FS2">
        <f>#REF!-"vlM!'m"</f>
        <v/>
      </c>
      <c r="FT2">
        <f>#REF!-"vlM!'n"</f>
        <v/>
      </c>
      <c r="FU2">
        <f>#REF!-"vlM!'o"</f>
        <v/>
      </c>
      <c r="FV2">
        <f>#REF!-"vlM!'p"</f>
        <v/>
      </c>
      <c r="FW2">
        <f>#REF!-"vlM!'q"</f>
        <v/>
      </c>
      <c r="FX2">
        <f>#REF!-"vlM!'r"</f>
        <v/>
      </c>
      <c r="FY2">
        <f>#REF!-"vlM!'s"</f>
        <v/>
      </c>
      <c r="FZ2">
        <f>#REF!-"vlM!'t"</f>
        <v/>
      </c>
      <c r="GA2">
        <f>#REF!-"vlM!'u"</f>
        <v/>
      </c>
      <c r="GB2">
        <f>#REF!-"vlM!'v"</f>
        <v/>
      </c>
      <c r="GC2">
        <f>#REF!-"vlM!'w"</f>
        <v/>
      </c>
      <c r="GD2">
        <f>#REF!-"vlM!'x"</f>
        <v/>
      </c>
      <c r="GE2">
        <f>#REF!-"vlM!'y"</f>
        <v/>
      </c>
      <c r="GF2">
        <f>#REF!-"vlM!'z"</f>
        <v/>
      </c>
      <c r="GG2">
        <f>#REF!-"vlM!'{"</f>
        <v/>
      </c>
      <c r="GH2">
        <f>#REF!-"vlM!'|"</f>
        <v/>
      </c>
      <c r="GI2">
        <f>#REF!-"vlM!'}"</f>
        <v/>
      </c>
      <c r="GJ2">
        <f>#REF!-"vlM!'~"</f>
        <v/>
      </c>
      <c r="GK2">
        <f>#REF!-"vlM!(#"</f>
        <v/>
      </c>
      <c r="GL2">
        <f>#REF!-"vlM!($"</f>
        <v/>
      </c>
      <c r="GM2">
        <f>#REF!-"vlM!(%"</f>
        <v/>
      </c>
      <c r="GN2">
        <f>#REF!-"vlM!(&amp;"</f>
        <v/>
      </c>
      <c r="GO2">
        <f>#REF!-"vlM!('"</f>
        <v/>
      </c>
      <c r="GP2">
        <f>#REF!-"vlM!(("</f>
        <v/>
      </c>
      <c r="GQ2">
        <f>#REF!-"vlM!()"</f>
        <v/>
      </c>
      <c r="GR2">
        <f>#REF!-"vlM!(."</f>
        <v/>
      </c>
      <c r="GS2">
        <f>#REF!-"vlM!(/"</f>
        <v/>
      </c>
      <c r="GT2">
        <f>#REF!-"vlM!(0"</f>
        <v/>
      </c>
      <c r="GU2">
        <f>#REF!-"vlM!(1"</f>
        <v/>
      </c>
      <c r="GV2">
        <f>#REF!-"vlM!(2"</f>
        <v/>
      </c>
      <c r="GW2">
        <f>#REF!-"vlM!(3"</f>
        <v/>
      </c>
      <c r="GX2">
        <f>#REF!-"vlM!(4"</f>
        <v/>
      </c>
      <c r="GY2">
        <f>#REF!-"vlM!(5"</f>
        <v/>
      </c>
      <c r="GZ2">
        <f>#REF!-"vlM!(6"</f>
        <v/>
      </c>
      <c r="HA2">
        <f>#REF!-"vlM!(7"</f>
        <v/>
      </c>
      <c r="HB2">
        <f>#REF!-"vlM!(8"</f>
        <v/>
      </c>
      <c r="HC2">
        <f>#REF!-"vlM!(9"</f>
        <v/>
      </c>
      <c r="HD2">
        <f>#REF!-"vlM!(:"</f>
        <v/>
      </c>
      <c r="HE2">
        <f>#REF!-"vlM!(;"</f>
        <v/>
      </c>
      <c r="HF2">
        <f>#REF!-"vlM!(&lt;"</f>
        <v/>
      </c>
      <c r="HG2">
        <f>#REF!-"vlM!(="</f>
        <v/>
      </c>
      <c r="HH2">
        <f>#REF!-"vlM!(&gt;"</f>
        <v/>
      </c>
      <c r="HI2">
        <f>#REF!-"vlM!(?"</f>
        <v/>
      </c>
      <c r="HJ2">
        <f>#REF!-"vlM!(@"</f>
        <v/>
      </c>
      <c r="HK2">
        <f>#REF!-"vlM!(A"</f>
        <v/>
      </c>
      <c r="HL2">
        <f>#REF!-"vlM!(B"</f>
        <v/>
      </c>
      <c r="HM2">
        <f>#REF!-"vlM!(C"</f>
        <v/>
      </c>
      <c r="HN2">
        <f>#REF!-"vlM!(D"</f>
        <v/>
      </c>
      <c r="HO2">
        <f>#REF!-"vlM!(E"</f>
        <v/>
      </c>
      <c r="HP2">
        <f>#REF!-"vlM!(F"</f>
        <v/>
      </c>
      <c r="HQ2">
        <f>#REF!-"vlM!(G"</f>
        <v/>
      </c>
      <c r="HR2">
        <f>#REF!-"vlM!(H"</f>
        <v/>
      </c>
      <c r="HS2">
        <f>#REF!-"vlM!(I"</f>
        <v/>
      </c>
      <c r="HT2">
        <f>#REF!-"vlM!(J"</f>
        <v/>
      </c>
      <c r="HU2">
        <f>#REF!-"vlM!(K"</f>
        <v/>
      </c>
      <c r="HV2">
        <f>#REF!-"vlM!(L"</f>
        <v/>
      </c>
      <c r="HW2">
        <f>#REF!-"vlM!(M"</f>
        <v/>
      </c>
      <c r="HX2">
        <f>#REF!-"vlM!(N"</f>
        <v/>
      </c>
      <c r="HY2">
        <f>#REF!-"vlM!(O"</f>
        <v/>
      </c>
      <c r="HZ2">
        <f>#REF!-"vlM!(P"</f>
        <v/>
      </c>
      <c r="IA2">
        <f>#REF!-"vlM!(Q"</f>
        <v/>
      </c>
      <c r="IB2">
        <f>#REF!-"vlM!(R"</f>
        <v/>
      </c>
      <c r="IC2">
        <f>#REF!-"vlM!(S"</f>
        <v/>
      </c>
      <c r="ID2">
        <f>#REF!-"vlM!(T"</f>
        <v/>
      </c>
      <c r="IE2">
        <f>#REF!-"vlM!(U"</f>
        <v/>
      </c>
      <c r="IF2">
        <f>#REF!-"vlM!(V"</f>
        <v/>
      </c>
      <c r="IG2">
        <f>#REF!-"vlM!(W"</f>
        <v/>
      </c>
      <c r="IH2">
        <f>#REF!-"vlM!(X"</f>
        <v/>
      </c>
      <c r="II2">
        <f>#REF!-"vlM!(Y"</f>
        <v/>
      </c>
      <c r="IJ2">
        <f>#REF!-"vlM!(Z"</f>
        <v/>
      </c>
      <c r="IK2">
        <f>#REF!-"vlM!(["</f>
        <v/>
      </c>
      <c r="IL2">
        <f>#REF!-"vlM!(\"</f>
        <v/>
      </c>
      <c r="IM2">
        <f>#REF!-"vlM!(]"</f>
        <v/>
      </c>
      <c r="IN2">
        <f>#REF!-"vlM!(^"</f>
        <v/>
      </c>
      <c r="IO2">
        <f>#REF!-"vlM!(_"</f>
        <v/>
      </c>
      <c r="IP2">
        <f>#REF!-"vlM!(`"</f>
        <v/>
      </c>
      <c r="IQ2">
        <f>#REF!-"vlM!(a"</f>
        <v/>
      </c>
      <c r="IR2">
        <f>#REF!-"vlM!(b"</f>
        <v/>
      </c>
      <c r="IS2">
        <f>#REF!-"vlM!(c"</f>
        <v/>
      </c>
      <c r="IT2">
        <f>#REF!-"vlM!(d"</f>
        <v/>
      </c>
      <c r="IU2">
        <f>#REF!-"vlM!(e"</f>
        <v/>
      </c>
      <c r="IV2">
        <f>#REF!-"vlM!(f"</f>
        <v/>
      </c>
    </row>
    <row r="3">
      <c r="A3" t="inlineStr">
        <is>
          <t>"vlM!12804"</t>
        </is>
      </c>
      <c r="F3">
        <f>#REF!-"vlM!(g"</f>
        <v/>
      </c>
      <c r="G3">
        <f>#REF!-"vlM!(h"</f>
        <v/>
      </c>
      <c r="H3">
        <f>#REF!-"vlM!(i"</f>
        <v/>
      </c>
      <c r="I3">
        <f>#REF!-"vlM!(j"</f>
        <v/>
      </c>
      <c r="J3">
        <f>#REF!-"vlM!(k"</f>
        <v/>
      </c>
      <c r="K3">
        <f>#REF!-"vlM!(l"</f>
        <v/>
      </c>
      <c r="L3">
        <f>#REF!-"vlM!(m"</f>
        <v/>
      </c>
      <c r="M3">
        <f>#REF!-"vlM!(n"</f>
        <v/>
      </c>
      <c r="N3">
        <f>#REF!-"vlM!(o"</f>
        <v/>
      </c>
      <c r="O3">
        <f>#REF!-"vlM!(p"</f>
        <v/>
      </c>
      <c r="P3">
        <f>#REF!-"vlM!(q"</f>
        <v/>
      </c>
      <c r="Q3">
        <f>#REF!-"vlM!(r"</f>
        <v/>
      </c>
      <c r="R3">
        <f>#REF!-"vlM!(s"</f>
        <v/>
      </c>
      <c r="S3">
        <f>#REF!-"vlM!(t"</f>
        <v/>
      </c>
      <c r="T3">
        <f>#REF!-"vlM!(u"</f>
        <v/>
      </c>
      <c r="U3">
        <f>#REF!-"vlM!(v"</f>
        <v/>
      </c>
      <c r="V3">
        <f>#REF!-"vlM!(w"</f>
        <v/>
      </c>
      <c r="W3">
        <f>#REF!-"vlM!(x"</f>
        <v/>
      </c>
      <c r="X3">
        <f>#REF!-"vlM!(y"</f>
        <v/>
      </c>
      <c r="Y3">
        <f>#REF!-"vlM!(z"</f>
        <v/>
      </c>
      <c r="Z3">
        <f>#REF!-"vlM!({"</f>
        <v/>
      </c>
      <c r="AA3">
        <f>#REF!-"vlM!(|"</f>
        <v/>
      </c>
      <c r="AB3">
        <f>#REF!-"vlM!(}"</f>
        <v/>
      </c>
      <c r="AC3">
        <f>#REF!-"vlM!(~"</f>
        <v/>
      </c>
      <c r="AD3">
        <f>#REF!-"vlM!)#"</f>
        <v/>
      </c>
      <c r="AE3">
        <f>#REF!-"vlM!)$"</f>
        <v/>
      </c>
      <c r="AF3">
        <f>#REF!-"vlM!)%"</f>
        <v/>
      </c>
      <c r="AG3">
        <f>#REF!-"vlM!)&amp;"</f>
        <v/>
      </c>
      <c r="AH3">
        <f>#REF!-"vlM!)'"</f>
        <v/>
      </c>
      <c r="AI3">
        <f>#REF!-"vlM!)("</f>
        <v/>
      </c>
      <c r="AJ3">
        <f>#REF!-"vlM!))"</f>
        <v/>
      </c>
      <c r="AK3">
        <f>#REF!-"vlM!)."</f>
        <v/>
      </c>
      <c r="AL3">
        <f>#REF!-"vlM!)/"</f>
        <v/>
      </c>
      <c r="AM3">
        <f>#REF!-"vlM!)0"</f>
        <v/>
      </c>
      <c r="AN3">
        <f>#REF!-"vlM!)1"</f>
        <v/>
      </c>
      <c r="AO3">
        <f>#REF!-"vlM!)2"</f>
        <v/>
      </c>
      <c r="AP3">
        <f>#REF!-"vlM!)3"</f>
        <v/>
      </c>
      <c r="AQ3">
        <f>#REF!-"vlM!)4"</f>
        <v/>
      </c>
      <c r="AR3">
        <f>#REF!-"vlM!)5"</f>
        <v/>
      </c>
      <c r="AS3">
        <f>#REF!-"vlM!)6"</f>
        <v/>
      </c>
      <c r="AT3">
        <f>#REF!-"vlM!)7"</f>
        <v/>
      </c>
      <c r="AU3">
        <f>#REF!-"vlM!)8"</f>
        <v/>
      </c>
      <c r="AV3">
        <f>#REF!-"vlM!)9"</f>
        <v/>
      </c>
      <c r="AW3">
        <f>#REF!-"vlM!):"</f>
        <v/>
      </c>
      <c r="AX3">
        <f>#REF!-"vlM!);"</f>
        <v/>
      </c>
      <c r="AY3">
        <f>#REF!-"vlM!)&lt;"</f>
        <v/>
      </c>
      <c r="AZ3">
        <f>#REF!-"vlM!)="</f>
        <v/>
      </c>
      <c r="BA3">
        <f>#REF!-"vlM!)&gt;"</f>
        <v/>
      </c>
      <c r="BB3">
        <f>#REF!-"vlM!)?"</f>
        <v/>
      </c>
      <c r="BC3">
        <f>#REF!-"vlM!)@"</f>
        <v/>
      </c>
      <c r="BD3">
        <f>#REF!-"vlM!)A"</f>
        <v/>
      </c>
      <c r="BE3">
        <f>#REF!-"vlM!)B"</f>
        <v/>
      </c>
      <c r="BF3">
        <f>#REF!-"vlM!)C"</f>
        <v/>
      </c>
      <c r="BG3">
        <f>#REF!-"vlM!)D"</f>
        <v/>
      </c>
      <c r="BH3">
        <f>#REF!-"vlM!)E"</f>
        <v/>
      </c>
      <c r="BI3">
        <f>#REF!-"vlM!)F"</f>
        <v/>
      </c>
      <c r="BJ3">
        <f>#REF!-"vlM!)G"</f>
        <v/>
      </c>
      <c r="BK3">
        <f>#REF!-"vlM!)H"</f>
        <v/>
      </c>
      <c r="BL3">
        <f>#REF!-"vlM!)I"</f>
        <v/>
      </c>
      <c r="BM3">
        <f>#REF!-"vlM!)J"</f>
        <v/>
      </c>
      <c r="BN3">
        <f>#REF!-"vlM!)K"</f>
        <v/>
      </c>
      <c r="BO3">
        <f>#REF!-"vlM!)L"</f>
        <v/>
      </c>
      <c r="BP3">
        <f>#REF!-"vlM!)M"</f>
        <v/>
      </c>
      <c r="BQ3">
        <f>#REF!-"vlM!)N"</f>
        <v/>
      </c>
      <c r="BR3">
        <f>#REF!-"vlM!)O"</f>
        <v/>
      </c>
      <c r="BS3">
        <f>#REF!-"vlM!)P"</f>
        <v/>
      </c>
      <c r="BT3">
        <f>#REF!-"vlM!)Q"</f>
        <v/>
      </c>
      <c r="BU3">
        <f>#REF!-"vlM!)R"</f>
        <v/>
      </c>
      <c r="BV3">
        <f>#REF!-"vlM!)S"</f>
        <v/>
      </c>
      <c r="BW3">
        <f>#REF!-"vlM!)T"</f>
        <v/>
      </c>
      <c r="BX3">
        <f>#REF!-"vlM!)U"</f>
        <v/>
      </c>
      <c r="BY3">
        <f>#REF!-"vlM!)V"</f>
        <v/>
      </c>
      <c r="BZ3">
        <f>#REF!-"vlM!)W"</f>
        <v/>
      </c>
      <c r="CA3">
        <f>#REF!-"vlM!)X"</f>
        <v/>
      </c>
      <c r="CB3">
        <f>#REF!-"vlM!)Y"</f>
        <v/>
      </c>
      <c r="CC3">
        <f>#REF!-"vlM!)Z"</f>
        <v/>
      </c>
      <c r="CD3">
        <f>#REF!-"vlM!)["</f>
        <v/>
      </c>
      <c r="CE3">
        <f>#REF!-"vlM!)\"</f>
        <v/>
      </c>
      <c r="CF3">
        <f>#REF!-"vlM!)]"</f>
        <v/>
      </c>
      <c r="CG3">
        <f>#REF!-"vlM!)^"</f>
        <v/>
      </c>
      <c r="CH3">
        <f>#REF!-"vlM!)_"</f>
        <v/>
      </c>
      <c r="CI3">
        <f>#REF!-"vlM!)`"</f>
        <v/>
      </c>
      <c r="CJ3">
        <f>#REF!-"vlM!)a"</f>
        <v/>
      </c>
      <c r="CK3">
        <f>#REF!-"vlM!)b"</f>
        <v/>
      </c>
      <c r="CL3">
        <f>#REF!-"vlM!)c"</f>
        <v/>
      </c>
      <c r="CM3">
        <f>#REF!-"vlM!)d"</f>
        <v/>
      </c>
      <c r="CN3">
        <f>#REF!-"vlM!)e"</f>
        <v/>
      </c>
      <c r="CO3">
        <f>#REF!-"vlM!)f"</f>
        <v/>
      </c>
      <c r="CP3">
        <f>#REF!-"vlM!)g"</f>
        <v/>
      </c>
      <c r="CQ3">
        <f>#REF!-"vlM!)h"</f>
        <v/>
      </c>
      <c r="CR3">
        <f>#REF!-"vlM!)i"</f>
        <v/>
      </c>
      <c r="CS3">
        <f>#REF!-"vlM!)j"</f>
        <v/>
      </c>
      <c r="CT3">
        <f>#REF!-"vlM!)k"</f>
        <v/>
      </c>
      <c r="CU3">
        <f>#REF!-"vlM!)l"</f>
        <v/>
      </c>
      <c r="CV3">
        <f>#REF!-"vlM!)m"</f>
        <v/>
      </c>
      <c r="CW3">
        <f>#REF!-"vlM!)n"</f>
        <v/>
      </c>
      <c r="CX3">
        <f>#REF!-"vlM!)o"</f>
        <v/>
      </c>
      <c r="CY3">
        <f>#REF!-"vlM!)p"</f>
        <v/>
      </c>
      <c r="CZ3">
        <f>#REF!-"vlM!)q"</f>
        <v/>
      </c>
      <c r="DA3">
        <f>#REF!-"vlM!)r"</f>
        <v/>
      </c>
      <c r="DB3">
        <f>#REF!-"vlM!)s"</f>
        <v/>
      </c>
      <c r="DC3">
        <f>#REF!-"vlM!)t"</f>
        <v/>
      </c>
      <c r="DD3">
        <f>#REF!-"vlM!)u"</f>
        <v/>
      </c>
      <c r="DE3">
        <f>#REF!-"vlM!)v"</f>
        <v/>
      </c>
      <c r="DF3">
        <f>#REF!-"vlM!)w"</f>
        <v/>
      </c>
      <c r="DG3">
        <f>#REF!-"vlM!)x"</f>
        <v/>
      </c>
      <c r="DH3">
        <f>#REF!-"vlM!)y"</f>
        <v/>
      </c>
      <c r="DI3">
        <f>#REF!-"vlM!)z"</f>
        <v/>
      </c>
      <c r="DJ3">
        <f>#REF!-"vlM!){"</f>
        <v/>
      </c>
      <c r="DK3">
        <f>#REF!-"vlM!)|"</f>
        <v/>
      </c>
      <c r="DL3">
        <f>#REF!-"vlM!)}"</f>
        <v/>
      </c>
      <c r="DM3">
        <f>#REF!-"vlM!)~"</f>
        <v/>
      </c>
      <c r="DN3">
        <f>#REF!-"vlM!.#"</f>
        <v/>
      </c>
      <c r="DO3">
        <f>#REF!-"vlM!.$"</f>
        <v/>
      </c>
      <c r="DP3">
        <f>#REF!-"vlM!.%"</f>
        <v/>
      </c>
      <c r="DQ3">
        <f>#REF!-"vlM!.&amp;"</f>
        <v/>
      </c>
      <c r="DR3">
        <f>#REF!-"vlM!.'"</f>
        <v/>
      </c>
      <c r="DS3">
        <f>#REF!-"vlM!.("</f>
        <v/>
      </c>
      <c r="DT3">
        <f>#REF!-"vlM!.)"</f>
        <v/>
      </c>
      <c r="DU3">
        <f>#REF!-"vlM!.."</f>
        <v/>
      </c>
      <c r="DV3">
        <f>#REF!-"vlM!./"</f>
        <v/>
      </c>
      <c r="DW3">
        <f>#REF!-"vlM!.0"</f>
        <v/>
      </c>
      <c r="DX3">
        <f>#REF!-"vlM!.1"</f>
        <v/>
      </c>
      <c r="DY3">
        <f>#REF!-"vlM!.2"</f>
        <v/>
      </c>
      <c r="DZ3">
        <f>#REF!-"vlM!.3"</f>
        <v/>
      </c>
      <c r="EA3">
        <f>#REF!-"vlM!.4"</f>
        <v/>
      </c>
      <c r="EB3">
        <f>#REF!-"vlM!.5"</f>
        <v/>
      </c>
      <c r="EC3">
        <f>#REF!-"vlM!.6"</f>
        <v/>
      </c>
      <c r="ED3">
        <f>#REF!-"vlM!.7"</f>
        <v/>
      </c>
      <c r="EE3">
        <f>#REF!-"vlM!.8"</f>
        <v/>
      </c>
      <c r="EF3">
        <f>#REF!-"vlM!.9"</f>
        <v/>
      </c>
      <c r="EG3">
        <f>#REF!-"vlM!.:"</f>
        <v/>
      </c>
      <c r="EH3">
        <f>#REF!-"vlM!.;"</f>
        <v/>
      </c>
      <c r="EI3">
        <f>#REF!-"vlM!.&lt;"</f>
        <v/>
      </c>
      <c r="EJ3">
        <f>#REF!-"vlM!.="</f>
        <v/>
      </c>
      <c r="EK3">
        <f>#REF!-"vlM!.&gt;"</f>
        <v/>
      </c>
      <c r="EL3">
        <f>#REF!-"vlM!.?"</f>
        <v/>
      </c>
      <c r="EM3">
        <f>#REF!-"vlM!.@"</f>
        <v/>
      </c>
      <c r="EN3">
        <f>#REF!-"vlM!.A"</f>
        <v/>
      </c>
      <c r="EO3">
        <f>#REF!-"vlM!.B"</f>
        <v/>
      </c>
      <c r="EP3">
        <f>#REF!-"vlM!.C"</f>
        <v/>
      </c>
      <c r="EQ3">
        <f>#REF!-"vlM!.D"</f>
        <v/>
      </c>
      <c r="ER3">
        <f>#REF!-"vlM!.E"</f>
        <v/>
      </c>
      <c r="ES3">
        <f>#REF!-"vlM!.F"</f>
        <v/>
      </c>
      <c r="ET3">
        <f>#REF!-"vlM!.G"</f>
        <v/>
      </c>
      <c r="EU3">
        <f>#REF!-"vlM!.H"</f>
        <v/>
      </c>
      <c r="EV3">
        <f>#REF!-"vlM!.I"</f>
        <v/>
      </c>
      <c r="EW3">
        <f>#REF!-"vlM!.J"</f>
        <v/>
      </c>
      <c r="EX3">
        <f>#REF!-"vlM!.K"</f>
        <v/>
      </c>
      <c r="EY3">
        <f>#REF!-"vlM!.L"</f>
        <v/>
      </c>
      <c r="EZ3">
        <f>#REF!-"vlM!.M"</f>
        <v/>
      </c>
      <c r="FA3">
        <f>#REF!-"vlM!.N"</f>
        <v/>
      </c>
      <c r="FB3">
        <f>#REF!-"vlM!.O"</f>
        <v/>
      </c>
      <c r="FC3">
        <f>#REF!-"vlM!.P"</f>
        <v/>
      </c>
      <c r="FD3">
        <f>#REF!-"vlM!.Q"</f>
        <v/>
      </c>
      <c r="FE3">
        <f>#REF!-"vlM!.R"</f>
        <v/>
      </c>
      <c r="FF3">
        <f>#REF!-"vlM!.S"</f>
        <v/>
      </c>
      <c r="FG3">
        <f>#REF!-"vlM!.T"</f>
        <v/>
      </c>
      <c r="FH3">
        <f>#REF!-"vlM!.U"</f>
        <v/>
      </c>
      <c r="FI3">
        <f>#REF!-"vlM!.V"</f>
        <v/>
      </c>
      <c r="FJ3">
        <f>#REF!-"vlM!.W"</f>
        <v/>
      </c>
      <c r="FK3">
        <f>#REF!-"vlM!.X"</f>
        <v/>
      </c>
      <c r="FL3">
        <f>#REF!-"vlM!.Y"</f>
        <v/>
      </c>
      <c r="FM3">
        <f>#REF!-"vlM!.Z"</f>
        <v/>
      </c>
      <c r="FN3">
        <f>#REF!-"vlM!.["</f>
        <v/>
      </c>
      <c r="FO3">
        <f>#REF!-"vlM!.\"</f>
        <v/>
      </c>
      <c r="FP3">
        <f>#REF!-"vlM!.]"</f>
        <v/>
      </c>
      <c r="FQ3">
        <f>#REF!-"vlM!.^"</f>
        <v/>
      </c>
      <c r="FR3">
        <f>#REF!-"vlM!._"</f>
        <v/>
      </c>
      <c r="FS3">
        <f>#REF!-"vlM!.`"</f>
        <v/>
      </c>
      <c r="FT3">
        <f>#REF!-"vlM!.a"</f>
        <v/>
      </c>
      <c r="FU3">
        <f>#REF!-"vlM!.b"</f>
        <v/>
      </c>
      <c r="FV3">
        <f>#REF!-"vlM!.c"</f>
        <v/>
      </c>
      <c r="FW3">
        <f>#REF!-"vlM!.d"</f>
        <v/>
      </c>
      <c r="FX3">
        <f>#REF!-"vlM!.e"</f>
        <v/>
      </c>
      <c r="FY3">
        <f>#REF!-"vlM!.f"</f>
        <v/>
      </c>
      <c r="FZ3">
        <f>#REF!-"vlM!.g"</f>
        <v/>
      </c>
      <c r="GA3">
        <f>#REF!-"vlM!.h"</f>
        <v/>
      </c>
      <c r="GB3">
        <f>#REF!-"vlM!.i"</f>
        <v/>
      </c>
      <c r="GC3">
        <f>#REF!-"vlM!.j"</f>
        <v/>
      </c>
      <c r="GD3">
        <f>#REF!-"vlM!.k"</f>
        <v/>
      </c>
      <c r="GE3">
        <f>#REF!-"vlM!.l"</f>
        <v/>
      </c>
      <c r="GF3">
        <f>#REF!-"vlM!.m"</f>
        <v/>
      </c>
      <c r="GG3">
        <f>#REF!-"vlM!.n"</f>
        <v/>
      </c>
      <c r="GH3">
        <f>#REF!-"vlM!.o"</f>
        <v/>
      </c>
      <c r="GI3">
        <f>#REF!-"vlM!.p"</f>
        <v/>
      </c>
      <c r="GJ3">
        <f>#REF!-"vlM!.q"</f>
        <v/>
      </c>
      <c r="GK3">
        <f>#REF!-"vlM!.r"</f>
        <v/>
      </c>
      <c r="GL3">
        <f>#REF!-"vlM!.s"</f>
        <v/>
      </c>
      <c r="GM3">
        <f>#REF!-"vlM!.t"</f>
        <v/>
      </c>
      <c r="GN3">
        <f>#REF!-"vlM!.u"</f>
        <v/>
      </c>
      <c r="GO3">
        <f>#REF!-"vlM!.v"</f>
        <v/>
      </c>
      <c r="GP3">
        <f>#REF!-"vlM!.w"</f>
        <v/>
      </c>
      <c r="GQ3">
        <f>#REF!-"vlM!.x"</f>
        <v/>
      </c>
      <c r="GR3">
        <f>#REF!-"vlM!.y"</f>
        <v/>
      </c>
      <c r="GS3">
        <f>#REF!-"vlM!.z"</f>
        <v/>
      </c>
      <c r="GT3">
        <f>#REF!-"vlM!.{"</f>
        <v/>
      </c>
      <c r="GU3">
        <f>#REF!-"vlM!.|"</f>
        <v/>
      </c>
      <c r="GV3">
        <f>#REF!-"vlM!.}"</f>
        <v/>
      </c>
      <c r="GW3">
        <f>#REF!-"vlM!.~"</f>
        <v/>
      </c>
      <c r="GX3">
        <f>#REF!-"vlM!/#"</f>
        <v/>
      </c>
      <c r="GY3">
        <f>#REF!-"vlM!/$"</f>
        <v/>
      </c>
      <c r="GZ3">
        <f>#REF!-"vlM!/%"</f>
        <v/>
      </c>
      <c r="HA3">
        <f>#REF!-"vlM!/&amp;"</f>
        <v/>
      </c>
      <c r="HB3">
        <f>#REF!-"vlM!/'"</f>
        <v/>
      </c>
      <c r="HC3">
        <f>#REF!-"vlM!/("</f>
        <v/>
      </c>
      <c r="HD3">
        <f>#REF!-"vlM!/)"</f>
        <v/>
      </c>
      <c r="HE3">
        <f>#REF!-"vlM!/."</f>
        <v/>
      </c>
      <c r="HF3">
        <f>#REF!-"vlM!//"</f>
        <v/>
      </c>
      <c r="HG3">
        <f>#REF!-"vlM!/0"</f>
        <v/>
      </c>
      <c r="HH3">
        <f>#REF!-"vlM!/1"</f>
        <v/>
      </c>
      <c r="HI3">
        <f>#REF!-"vlM!/2"</f>
        <v/>
      </c>
      <c r="HJ3">
        <f>#REF!-"vlM!/3"</f>
        <v/>
      </c>
      <c r="HK3">
        <f>#REF!-"vlM!/4"</f>
        <v/>
      </c>
      <c r="HL3">
        <f>#REF!-"vlM!/5"</f>
        <v/>
      </c>
      <c r="HM3">
        <f>#REF!-"vlM!/6"</f>
        <v/>
      </c>
      <c r="HN3">
        <f>#REF!-"vlM!/7"</f>
        <v/>
      </c>
      <c r="HO3">
        <f>#REF!-"vlM!/8"</f>
        <v/>
      </c>
      <c r="HP3">
        <f>#REF!-"vlM!/9"</f>
        <v/>
      </c>
      <c r="HQ3">
        <f>#REF!-"vlM!/:"</f>
        <v/>
      </c>
      <c r="HR3">
        <f>#REF!-"vlM!/;"</f>
        <v/>
      </c>
      <c r="HS3">
        <f>#REF!-"vlM!/&lt;"</f>
        <v/>
      </c>
      <c r="HT3">
        <f>#REF!-"vlM!/="</f>
        <v/>
      </c>
      <c r="HU3">
        <f>#REF!-"vlM!/&gt;"</f>
        <v/>
      </c>
      <c r="HV3">
        <f>#REF!-"vlM!/?"</f>
        <v/>
      </c>
      <c r="HW3">
        <f>#REF!-"vlM!/@"</f>
        <v/>
      </c>
      <c r="HX3">
        <f>#REF!-"vlM!/A"</f>
        <v/>
      </c>
      <c r="HY3">
        <f>#REF!-"vlM!/B"</f>
        <v/>
      </c>
      <c r="HZ3">
        <f>#REF!-"vlM!/C"</f>
        <v/>
      </c>
      <c r="IA3">
        <f>#REF!-"vlM!/D"</f>
        <v/>
      </c>
      <c r="IB3">
        <f>#REF!-"vlM!/E"</f>
        <v/>
      </c>
      <c r="IC3">
        <f>#REF!-"vlM!/F"</f>
        <v/>
      </c>
      <c r="ID3">
        <f>#REF!-"vlM!/G"</f>
        <v/>
      </c>
      <c r="IE3">
        <f>#REF!-"vlM!/H"</f>
        <v/>
      </c>
      <c r="IF3">
        <f>#REF!-"vlM!/I"</f>
        <v/>
      </c>
      <c r="IG3">
        <f>#REF!-"vlM!/J"</f>
        <v/>
      </c>
      <c r="IH3">
        <f>#REF!-"vlM!/K"</f>
        <v/>
      </c>
      <c r="II3">
        <f>#REF!-"vlM!/L"</f>
        <v/>
      </c>
      <c r="IJ3">
        <f>#REF!-"vlM!/M"</f>
        <v/>
      </c>
      <c r="IK3">
        <f>#REF!-"vlM!/N"</f>
        <v/>
      </c>
      <c r="IL3">
        <f>#REF!-"vlM!/O"</f>
        <v/>
      </c>
      <c r="IM3">
        <f>#REF!-"vlM!/P"</f>
        <v/>
      </c>
      <c r="IN3">
        <f>#REF!-"vlM!/Q"</f>
        <v/>
      </c>
      <c r="IO3">
        <f>#REF!-"vlM!/R"</f>
        <v/>
      </c>
      <c r="IP3">
        <f>#REF!-"vlM!/S"</f>
        <v/>
      </c>
      <c r="IQ3">
        <f>#REF!-"vlM!/T"</f>
        <v/>
      </c>
      <c r="IR3">
        <f>#REF!-"vlM!/U"</f>
        <v/>
      </c>
      <c r="IS3">
        <f>#REF!-"vlM!/V"</f>
        <v/>
      </c>
      <c r="IT3">
        <f>#REF!-"vlM!/W"</f>
        <v/>
      </c>
      <c r="IU3">
        <f>#REF!-"vlM!/X"</f>
        <v/>
      </c>
      <c r="IV3">
        <f>#REF!-"vlM!/Y"</f>
        <v/>
      </c>
    </row>
    <row r="4">
      <c r="F4">
        <f>#REF!-"vlM!/Z"</f>
        <v/>
      </c>
      <c r="G4">
        <f>#REF!-"vlM!/["</f>
        <v/>
      </c>
      <c r="H4">
        <f>#REF!-"vlM!/\"</f>
        <v/>
      </c>
      <c r="I4">
        <f>#REF!-"vlM!/]"</f>
        <v/>
      </c>
      <c r="J4">
        <f>#REF!-"vlM!/^"</f>
        <v/>
      </c>
      <c r="K4">
        <f>#REF!-"vlM!/_"</f>
        <v/>
      </c>
      <c r="L4">
        <f>#REF!-"vlM!/`"</f>
        <v/>
      </c>
      <c r="M4">
        <f>#REF!-"vlM!/a"</f>
        <v/>
      </c>
      <c r="N4">
        <f>#REF!-"vlM!/b"</f>
        <v/>
      </c>
      <c r="O4">
        <f>#REF!-"vlM!/c"</f>
        <v/>
      </c>
      <c r="P4">
        <f>#REF!-"vlM!/d"</f>
        <v/>
      </c>
      <c r="Q4">
        <f>#REF!-"vlM!/e"</f>
        <v/>
      </c>
      <c r="R4">
        <f>#REF!-"vlM!/f"</f>
        <v/>
      </c>
      <c r="S4">
        <f>#REF!-"vlM!/g"</f>
        <v/>
      </c>
      <c r="T4">
        <f>#REF!-"vlM!/h"</f>
        <v/>
      </c>
      <c r="U4">
        <f>#REF!-"vlM!/i"</f>
        <v/>
      </c>
      <c r="V4">
        <f>#REF!-"vlM!/j"</f>
        <v/>
      </c>
      <c r="W4">
        <f>#REF!-"vlM!/k"</f>
        <v/>
      </c>
      <c r="X4">
        <f>#REF!-"vlM!/l"</f>
        <v/>
      </c>
      <c r="Y4">
        <f>#REF!-"vlM!/m"</f>
        <v/>
      </c>
      <c r="Z4">
        <f>#REF!-"vlM!/n"</f>
        <v/>
      </c>
      <c r="AA4">
        <f>#REF!-"vlM!/o"</f>
        <v/>
      </c>
      <c r="AB4">
        <f>#REF!-"vlM!/p"</f>
        <v/>
      </c>
      <c r="AC4">
        <f>#REF!-"vlM!/q"</f>
        <v/>
      </c>
      <c r="AD4">
        <f>#REF!-"vlM!/r"</f>
        <v/>
      </c>
      <c r="AE4">
        <f>#REF!-"vlM!/s"</f>
        <v/>
      </c>
      <c r="AF4">
        <f>#REF!-"vlM!/t"</f>
        <v/>
      </c>
      <c r="AG4">
        <f>#REF!-"vlM!/u"</f>
        <v/>
      </c>
      <c r="AH4">
        <f>#REF!-"vlM!/v"</f>
        <v/>
      </c>
      <c r="AI4">
        <f>#REF!-"vlM!/w"</f>
        <v/>
      </c>
      <c r="AJ4">
        <f>#REF!-"vlM!/x"</f>
        <v/>
      </c>
      <c r="AK4">
        <f>#REF!-"vlM!/y"</f>
        <v/>
      </c>
      <c r="AL4">
        <f>#REF!-"vlM!/z"</f>
        <v/>
      </c>
      <c r="AM4">
        <f>#REF!-"vlM!/{"</f>
        <v/>
      </c>
      <c r="AN4">
        <f>#REF!-"vlM!/|"</f>
        <v/>
      </c>
      <c r="AO4">
        <f>#REF!-"vlM!/}"</f>
        <v/>
      </c>
      <c r="AP4">
        <f>#REF!-"vlM!/~"</f>
        <v/>
      </c>
      <c r="AQ4">
        <f>#REF!-"vlM!0#"</f>
        <v/>
      </c>
      <c r="AR4">
        <f>#REF!-"vlM!0$"</f>
        <v/>
      </c>
      <c r="AS4">
        <f>#REF!-"vlM!0%"</f>
        <v/>
      </c>
      <c r="AT4">
        <f>#REF!-"vlM!0&amp;"</f>
        <v/>
      </c>
      <c r="AU4">
        <f>#REF!-"vlM!0'"</f>
        <v/>
      </c>
      <c r="AV4">
        <f>#REF!-"vlM!0("</f>
        <v/>
      </c>
      <c r="AW4">
        <f>#REF!-"vlM!0)"</f>
        <v/>
      </c>
      <c r="AX4">
        <f>#REF!-"vlM!0."</f>
        <v/>
      </c>
      <c r="AY4">
        <f>#REF!-"vlM!0/"</f>
        <v/>
      </c>
      <c r="AZ4">
        <f>#REF!-"vlM!00"</f>
        <v/>
      </c>
      <c r="BA4">
        <f>#REF!-"vlM!01"</f>
        <v/>
      </c>
      <c r="BB4">
        <f>#REF!-"vlM!02"</f>
        <v/>
      </c>
      <c r="BC4">
        <f>#REF!-"vlM!03"</f>
        <v/>
      </c>
      <c r="BD4">
        <f>#REF!-"vlM!04"</f>
        <v/>
      </c>
      <c r="BE4">
        <f>#REF!-"vlM!05"</f>
        <v/>
      </c>
      <c r="BF4">
        <f>#REF!-"vlM!06"</f>
        <v/>
      </c>
      <c r="BG4">
        <f>#REF!-"vlM!07"</f>
        <v/>
      </c>
      <c r="BH4">
        <f>#REF!-"vlM!08"</f>
        <v/>
      </c>
      <c r="BI4">
        <f>#REF!-"vlM!09"</f>
        <v/>
      </c>
      <c r="BJ4">
        <f>#REF!-"vlM!0:"</f>
        <v/>
      </c>
      <c r="BK4">
        <f>#REF!-"vlM!0;"</f>
        <v/>
      </c>
      <c r="BL4">
        <f>#REF!-"vlM!0&lt;"</f>
        <v/>
      </c>
      <c r="BM4">
        <f>#REF!-"vlM!0="</f>
        <v/>
      </c>
      <c r="BN4">
        <f>#REF!-"vlM!0&gt;"</f>
        <v/>
      </c>
      <c r="BO4">
        <f>#REF!-"vlM!0?"</f>
        <v/>
      </c>
      <c r="BP4">
        <f>#REF!-"vlM!0@"</f>
        <v/>
      </c>
      <c r="BQ4">
        <f>#REF!-"vlM!0A"</f>
        <v/>
      </c>
      <c r="BR4">
        <f>#REF!-"vlM!0B"</f>
        <v/>
      </c>
      <c r="BS4">
        <f>#REF!-"vlM!0C"</f>
        <v/>
      </c>
      <c r="BT4">
        <f>#REF!-"vlM!0D"</f>
        <v/>
      </c>
      <c r="BU4">
        <f>#REF!-"vlM!0E"</f>
        <v/>
      </c>
      <c r="BV4">
        <f>#REF!-"vlM!0F"</f>
        <v/>
      </c>
      <c r="BW4">
        <f>#REF!-"vlM!0G"</f>
        <v/>
      </c>
      <c r="BX4">
        <f>#REF!-"vlM!0H"</f>
        <v/>
      </c>
      <c r="BY4">
        <f>#REF!-"vlM!0I"</f>
        <v/>
      </c>
      <c r="BZ4">
        <f>#REF!-"vlM!0J"</f>
        <v/>
      </c>
      <c r="CA4">
        <f>#REF!-"vlM!0K"</f>
        <v/>
      </c>
      <c r="CB4">
        <f>#REF!-"vlM!0L"</f>
        <v/>
      </c>
      <c r="CC4">
        <f>#REF!-"vlM!0M"</f>
        <v/>
      </c>
      <c r="CD4">
        <f>#REF!-"vlM!0N"</f>
        <v/>
      </c>
      <c r="CE4">
        <f>#REF!-"vlM!0O"</f>
        <v/>
      </c>
      <c r="CF4">
        <f>#REF!-"vlM!0P"</f>
        <v/>
      </c>
      <c r="CG4">
        <f>#REF!-"vlM!0Q"</f>
        <v/>
      </c>
      <c r="CH4">
        <f>#REF!-"vlM!0R"</f>
        <v/>
      </c>
      <c r="CI4">
        <f>#REF!-"vlM!0S"</f>
        <v/>
      </c>
      <c r="CJ4">
        <f>#REF!-"vlM!0T"</f>
        <v/>
      </c>
      <c r="CK4">
        <f>#REF!-"vlM!0U"</f>
        <v/>
      </c>
      <c r="CL4">
        <f>#REF!-"vlM!0V"</f>
        <v/>
      </c>
      <c r="CM4">
        <f>#REF!-"vlM!0W"</f>
        <v/>
      </c>
      <c r="CN4">
        <f>#REF!-"vlM!0X"</f>
        <v/>
      </c>
      <c r="CO4">
        <f>#REF!-"vlM!0Y"</f>
        <v/>
      </c>
      <c r="CP4">
        <f>#REF!-"vlM!0Z"</f>
        <v/>
      </c>
      <c r="CQ4">
        <f>#REF!-"vlM!0["</f>
        <v/>
      </c>
      <c r="CR4">
        <f>#REF!-"vlM!0\"</f>
        <v/>
      </c>
      <c r="CS4">
        <f>#REF!-"vlM!0]"</f>
        <v/>
      </c>
      <c r="CT4">
        <f>#REF!-"vlM!0^"</f>
        <v/>
      </c>
      <c r="CU4">
        <f>#REF!-"vlM!0_"</f>
        <v/>
      </c>
      <c r="CV4">
        <f>#REF!-"vlM!0`"</f>
        <v/>
      </c>
      <c r="CW4">
        <f>#REF!-"vlM!0a"</f>
        <v/>
      </c>
      <c r="CX4">
        <f>#REF!-"vlM!0b"</f>
        <v/>
      </c>
      <c r="CY4">
        <f>#REF!-"vlM!0c"</f>
        <v/>
      </c>
      <c r="CZ4">
        <f>#REF!-"vlM!0d"</f>
        <v/>
      </c>
      <c r="DA4">
        <f>#REF!-"vlM!0e"</f>
        <v/>
      </c>
      <c r="DB4">
        <f>#REF!-"vlM!0f"</f>
        <v/>
      </c>
      <c r="DC4">
        <f>#REF!-"vlM!0g"</f>
        <v/>
      </c>
      <c r="DD4">
        <f>#REF!-"vlM!0h"</f>
        <v/>
      </c>
      <c r="DE4">
        <f>#REF!-"vlM!0i"</f>
        <v/>
      </c>
      <c r="DF4">
        <f>#REF!-"vlM!0j"</f>
        <v/>
      </c>
      <c r="DG4">
        <f>#REF!-"vlM!0k"</f>
        <v/>
      </c>
      <c r="DH4">
        <f>#REF!-"vlM!0l"</f>
        <v/>
      </c>
      <c r="DI4">
        <f>#REF!-"vlM!0m"</f>
        <v/>
      </c>
      <c r="DJ4">
        <f>#REF!-"vlM!0n"</f>
        <v/>
      </c>
      <c r="DK4">
        <f>#REF!-"vlM!0o"</f>
        <v/>
      </c>
      <c r="DL4">
        <f>#REF!-"vlM!0p"</f>
        <v/>
      </c>
      <c r="DM4">
        <f>#REF!-"vlM!0q"</f>
        <v/>
      </c>
      <c r="DN4">
        <f>#REF!-"vlM!0r"</f>
        <v/>
      </c>
      <c r="DO4">
        <f>#REF!-"vlM!0s"</f>
        <v/>
      </c>
      <c r="DP4">
        <f>#REF!-"vlM!0t"</f>
        <v/>
      </c>
      <c r="DQ4">
        <f>#REF!-"vlM!0u"</f>
        <v/>
      </c>
      <c r="DR4">
        <f>#REF!-"vlM!0v"</f>
        <v/>
      </c>
      <c r="DS4">
        <f>#REF!-"vlM!0w"</f>
        <v/>
      </c>
      <c r="DT4">
        <f>#REF!-"vlM!0x"</f>
        <v/>
      </c>
      <c r="DU4">
        <f>#REF!-"vlM!0y"</f>
        <v/>
      </c>
      <c r="DV4">
        <f>#REF!-"vlM!0z"</f>
        <v/>
      </c>
      <c r="DW4">
        <f>#REF!-"vlM!0{"</f>
        <v/>
      </c>
      <c r="DX4">
        <f>#REF!-"vlM!0|"</f>
        <v/>
      </c>
      <c r="DY4">
        <f>#REF!-"vlM!0}"</f>
        <v/>
      </c>
      <c r="DZ4">
        <f>#REF!-"vlM!0~"</f>
        <v/>
      </c>
      <c r="EA4">
        <f>#REF!-"vlM!1#"</f>
        <v/>
      </c>
      <c r="EB4">
        <f>#REF!-"vlM!1$"</f>
        <v/>
      </c>
      <c r="EC4">
        <f>#REF!-"vlM!1%"</f>
        <v/>
      </c>
      <c r="ED4">
        <f>#REF!-"vlM!1&amp;"</f>
        <v/>
      </c>
      <c r="EE4">
        <f>#REF!-"vlM!1'"</f>
        <v/>
      </c>
      <c r="EF4">
        <f>#REF!-"vlM!1("</f>
        <v/>
      </c>
      <c r="EG4">
        <f>#REF!-"vlM!1)"</f>
        <v/>
      </c>
      <c r="EH4">
        <f>#REF!-"vlM!1."</f>
        <v/>
      </c>
      <c r="EI4">
        <f>#REF!-"vlM!1/"</f>
        <v/>
      </c>
      <c r="EJ4">
        <f>#REF!-"vlM!10"</f>
        <v/>
      </c>
      <c r="EK4">
        <f>#REF!-"vlM!11"</f>
        <v/>
      </c>
      <c r="EL4">
        <f>#REF!-"vlM!12"</f>
        <v/>
      </c>
      <c r="EM4">
        <f>#REF!-"vlM!13"</f>
        <v/>
      </c>
      <c r="EN4">
        <f>#REF!-"vlM!14"</f>
        <v/>
      </c>
      <c r="EO4">
        <f>#REF!-"vlM!15"</f>
        <v/>
      </c>
      <c r="EP4">
        <f>#REF!-"vlM!16"</f>
        <v/>
      </c>
      <c r="EQ4">
        <f>#REF!-"vlM!17"</f>
        <v/>
      </c>
      <c r="ER4">
        <f>#REF!-"vlM!18"</f>
        <v/>
      </c>
      <c r="ES4">
        <f>#REF!-"vlM!19"</f>
        <v/>
      </c>
      <c r="ET4">
        <f>#REF!-"vlM!1:"</f>
        <v/>
      </c>
      <c r="EU4">
        <f>#REF!-"vlM!1;"</f>
        <v/>
      </c>
      <c r="EV4">
        <f>#REF!-"vlM!1&lt;"</f>
        <v/>
      </c>
      <c r="EW4">
        <f>#REF!-"vlM!1="</f>
        <v/>
      </c>
      <c r="EX4">
        <f>#REF!-"vlM!1&gt;"</f>
        <v/>
      </c>
      <c r="EY4">
        <f>#REF!-"vlM!1?"</f>
        <v/>
      </c>
      <c r="EZ4">
        <f>#REF!-"vlM!1@"</f>
        <v/>
      </c>
      <c r="FA4">
        <f>#REF!-"vlM!1A"</f>
        <v/>
      </c>
      <c r="FB4">
        <f>#REF!-"vlM!1B"</f>
        <v/>
      </c>
      <c r="FC4">
        <f>#REF!-"vlM!1C"</f>
        <v/>
      </c>
      <c r="FD4">
        <f>#REF!-"vlM!1D"</f>
        <v/>
      </c>
      <c r="FE4">
        <f>#REF!-"vlM!1E"</f>
        <v/>
      </c>
      <c r="FF4">
        <f>#REF!-"vlM!1F"</f>
        <v/>
      </c>
      <c r="FG4">
        <f>#REF!-"vlM!1G"</f>
        <v/>
      </c>
      <c r="FH4">
        <f>#REF!-"vlM!1H"</f>
        <v/>
      </c>
      <c r="FI4">
        <f>#REF!-"vlM!1I"</f>
        <v/>
      </c>
      <c r="FJ4">
        <f>#REF!-"vlM!1J"</f>
        <v/>
      </c>
      <c r="FK4">
        <f>#REF!-"vlM!1K"</f>
        <v/>
      </c>
      <c r="FL4">
        <f>#REF!-"vlM!1L"</f>
        <v/>
      </c>
      <c r="FM4">
        <f>#REF!-"vlM!1M"</f>
        <v/>
      </c>
      <c r="FN4">
        <f>#REF!-"vlM!1N"</f>
        <v/>
      </c>
      <c r="FO4">
        <f>#REF!-"vlM!1O"</f>
        <v/>
      </c>
      <c r="FP4">
        <f>#REF!-"vlM!1P"</f>
        <v/>
      </c>
      <c r="FQ4">
        <f>#REF!-"vlM!1Q"</f>
        <v/>
      </c>
      <c r="FR4">
        <f>#REF!-"vlM!1R"</f>
        <v/>
      </c>
      <c r="FS4">
        <f>#REF!-"vlM!1S"</f>
        <v/>
      </c>
      <c r="FT4">
        <f>#REF!-"vlM!1T"</f>
        <v/>
      </c>
      <c r="FU4">
        <f>#REF!-"vlM!1U"</f>
        <v/>
      </c>
      <c r="FV4">
        <f>#REF!-"vlM!1V"</f>
        <v/>
      </c>
      <c r="FW4">
        <f>#REF!-"vlM!1W"</f>
        <v/>
      </c>
      <c r="FX4">
        <f>#REF!-"vlM!1X"</f>
        <v/>
      </c>
      <c r="FY4">
        <f>#REF!-"vlM!1Y"</f>
        <v/>
      </c>
      <c r="FZ4">
        <f>#REF!-"vlM!1Z"</f>
        <v/>
      </c>
      <c r="GA4">
        <f>#REF!-"vlM!1["</f>
        <v/>
      </c>
      <c r="GB4">
        <f>#REF!-"vlM!1\"</f>
        <v/>
      </c>
      <c r="GC4">
        <f>#REF!-"vlM!1]"</f>
        <v/>
      </c>
      <c r="GD4">
        <f>#REF!-"vlM!1^"</f>
        <v/>
      </c>
      <c r="GE4">
        <f>#REF!-"vlM!1_"</f>
        <v/>
      </c>
      <c r="GF4">
        <f>#REF!-"vlM!1`"</f>
        <v/>
      </c>
      <c r="GG4">
        <f>#REF!-"vlM!1a"</f>
        <v/>
      </c>
      <c r="GH4">
        <f>#REF!-"vlM!1b"</f>
        <v/>
      </c>
      <c r="GI4">
        <f>#REF!-"vlM!1c"</f>
        <v/>
      </c>
      <c r="GJ4">
        <f>#REF!-"vlM!1d"</f>
        <v/>
      </c>
      <c r="GK4">
        <f>#REF!-"vlM!1e"</f>
        <v/>
      </c>
      <c r="GL4">
        <f>#REF!-"vlM!1f"</f>
        <v/>
      </c>
      <c r="GM4">
        <f>#REF!-"vlM!1g"</f>
        <v/>
      </c>
      <c r="GN4">
        <f>#REF!-"vlM!1h"</f>
        <v/>
      </c>
      <c r="GO4">
        <f>#REF!-"vlM!1i"</f>
        <v/>
      </c>
      <c r="GP4">
        <f>#REF!-"vlM!1j"</f>
        <v/>
      </c>
      <c r="GQ4">
        <f>#REF!-"vlM!1k"</f>
        <v/>
      </c>
      <c r="GR4">
        <f>#REF!-"vlM!1l"</f>
        <v/>
      </c>
      <c r="GS4">
        <f>#REF!-"vlM!1m"</f>
        <v/>
      </c>
      <c r="GT4">
        <f>#REF!-"vlM!1n"</f>
        <v/>
      </c>
      <c r="GU4">
        <f>#REF!-"vlM!1o"</f>
        <v/>
      </c>
      <c r="GV4">
        <f>#REF!-"vlM!1p"</f>
        <v/>
      </c>
      <c r="GW4">
        <f>#REF!-"vlM!1q"</f>
        <v/>
      </c>
      <c r="GX4">
        <f>#REF!-"vlM!1r"</f>
        <v/>
      </c>
      <c r="GY4">
        <f>#REF!-"vlM!1s"</f>
        <v/>
      </c>
      <c r="GZ4">
        <f>#REF!-"vlM!1t"</f>
        <v/>
      </c>
      <c r="HA4">
        <f>#REF!-"vlM!1u"</f>
        <v/>
      </c>
      <c r="HB4">
        <f>#REF!-"vlM!1v"</f>
        <v/>
      </c>
      <c r="HC4">
        <f>#REF!-"vlM!1w"</f>
        <v/>
      </c>
      <c r="HD4">
        <f>#REF!-"vlM!1x"</f>
        <v/>
      </c>
      <c r="HE4">
        <f>#REF!-"vlM!1y"</f>
        <v/>
      </c>
      <c r="HF4">
        <f>#REF!-"vlM!1z"</f>
        <v/>
      </c>
      <c r="HG4">
        <f>#REF!-"vlM!1{"</f>
        <v/>
      </c>
      <c r="HH4">
        <f>#REF!-"vlM!1|"</f>
        <v/>
      </c>
      <c r="HI4">
        <f>#REF!-"vlM!1}"</f>
        <v/>
      </c>
      <c r="HJ4">
        <f>#REF!-"vlM!1~"</f>
        <v/>
      </c>
      <c r="HK4">
        <f>#REF!-"vlM!2#"</f>
        <v/>
      </c>
      <c r="HL4">
        <f>#REF!-"vlM!2$"</f>
        <v/>
      </c>
      <c r="HM4">
        <f>#REF!-"vlM!2%"</f>
        <v/>
      </c>
      <c r="HN4">
        <f>#REF!-"vlM!2&amp;"</f>
        <v/>
      </c>
      <c r="HO4">
        <f>#REF!-"vlM!2'"</f>
        <v/>
      </c>
      <c r="HP4">
        <f>#REF!-"vlM!2("</f>
        <v/>
      </c>
      <c r="HQ4">
        <f>#REF!-"vlM!2)"</f>
        <v/>
      </c>
      <c r="HR4">
        <f>#REF!-"vlM!2."</f>
        <v/>
      </c>
      <c r="HS4">
        <f>#REF!-"vlM!2/"</f>
        <v/>
      </c>
      <c r="HT4">
        <f>#REF!-"vlM!20"</f>
        <v/>
      </c>
      <c r="HU4">
        <f>#REF!-"vlM!21"</f>
        <v/>
      </c>
      <c r="HV4">
        <f>#REF!-"vlM!22"</f>
        <v/>
      </c>
      <c r="HW4">
        <f>#REF!-"vlM!23"</f>
        <v/>
      </c>
      <c r="HX4">
        <f>#REF!-"vlM!24"</f>
        <v/>
      </c>
      <c r="HY4">
        <f>#REF!-"vlM!25"</f>
        <v/>
      </c>
      <c r="HZ4">
        <f>#REF!-"vlM!26"</f>
        <v/>
      </c>
      <c r="IA4">
        <f>#REF!-"vlM!27"</f>
        <v/>
      </c>
      <c r="IB4">
        <f>#REF!-"vlM!28"</f>
        <v/>
      </c>
      <c r="IC4">
        <f>#REF!-"vlM!29"</f>
        <v/>
      </c>
      <c r="ID4">
        <f>#REF!-"vlM!2:"</f>
        <v/>
      </c>
      <c r="IE4">
        <f>#REF!-"vlM!2;"</f>
        <v/>
      </c>
      <c r="IF4">
        <f>#REF!-"vlM!2&lt;"</f>
        <v/>
      </c>
      <c r="IG4">
        <f>#REF!-"vlM!2="</f>
        <v/>
      </c>
      <c r="IH4">
        <f>#REF!-"vlM!2&gt;"</f>
        <v/>
      </c>
      <c r="II4">
        <f>#REF!-"vlM!2?"</f>
        <v/>
      </c>
      <c r="IJ4">
        <f>#REF!-"vlM!2@"</f>
        <v/>
      </c>
      <c r="IK4">
        <f>#REF!-"vlM!2A"</f>
        <v/>
      </c>
      <c r="IL4">
        <f>#REF!-"vlM!2B"</f>
        <v/>
      </c>
      <c r="IM4">
        <f>#REF!-"vlM!2C"</f>
        <v/>
      </c>
      <c r="IN4">
        <f>#REF!-"vlM!2D"</f>
        <v/>
      </c>
      <c r="IO4">
        <f>#REF!-"vlM!2E"</f>
        <v/>
      </c>
      <c r="IP4">
        <f>#REF!-"vlM!2F"</f>
        <v/>
      </c>
      <c r="IQ4">
        <f>#REF!-"vlM!2G"</f>
        <v/>
      </c>
      <c r="IR4">
        <f>#REF!-"vlM!2H"</f>
        <v/>
      </c>
      <c r="IS4">
        <f>#REF!-"vlM!2I"</f>
        <v/>
      </c>
      <c r="IT4">
        <f>#REF!-"vlM!2J"</f>
        <v/>
      </c>
      <c r="IU4">
        <f>#REF!-"vlM!2K"</f>
        <v/>
      </c>
      <c r="IV4">
        <f>#REF!-"vlM!2L"</f>
        <v/>
      </c>
    </row>
    <row r="5">
      <c r="F5">
        <f>#REF!-"vlM!2M"</f>
        <v/>
      </c>
      <c r="G5">
        <f>#REF!-"vlM!2N"</f>
        <v/>
      </c>
      <c r="H5">
        <f>#REF!-"vlM!2O"</f>
        <v/>
      </c>
      <c r="I5">
        <f>#REF!-"vlM!2P"</f>
        <v/>
      </c>
      <c r="J5">
        <f>#REF!-"vlM!2Q"</f>
        <v/>
      </c>
      <c r="K5">
        <f>#REF!-"vlM!2R"</f>
        <v/>
      </c>
      <c r="L5">
        <f>#REF!-"vlM!2S"</f>
        <v/>
      </c>
      <c r="M5">
        <f>#REF!-"vlM!2T"</f>
        <v/>
      </c>
      <c r="N5">
        <f>#REF!-"vlM!2U"</f>
        <v/>
      </c>
      <c r="O5">
        <f>#REF!-"vlM!2V"</f>
        <v/>
      </c>
      <c r="P5">
        <f>#REF!-"vlM!2W"</f>
        <v/>
      </c>
      <c r="Q5">
        <f>#REF!-"vlM!2X"</f>
        <v/>
      </c>
      <c r="R5">
        <f>#REF!-"vlM!2Y"</f>
        <v/>
      </c>
      <c r="S5">
        <f>#REF!-"vlM!2Z"</f>
        <v/>
      </c>
      <c r="T5">
        <f>#REF!-"vlM!2["</f>
        <v/>
      </c>
      <c r="U5">
        <f>#REF!-"vlM!2\"</f>
        <v/>
      </c>
      <c r="V5">
        <f>#REF!-"vlM!2]"</f>
        <v/>
      </c>
      <c r="W5">
        <f>#REF!-"vlM!2^"</f>
        <v/>
      </c>
      <c r="X5">
        <f>#REF!-"vlM!2_"</f>
        <v/>
      </c>
      <c r="Y5">
        <f>#REF!-"vlM!2`"</f>
        <v/>
      </c>
      <c r="Z5">
        <f>#REF!-"vlM!2a"</f>
        <v/>
      </c>
      <c r="AA5">
        <f>#REF!-"vlM!2b"</f>
        <v/>
      </c>
      <c r="AB5">
        <f>#REF!-"vlM!2c"</f>
        <v/>
      </c>
      <c r="AC5">
        <f>#REF!-"vlM!2d"</f>
        <v/>
      </c>
      <c r="AD5">
        <f>#REF!-"vlM!2e"</f>
        <v/>
      </c>
      <c r="AE5">
        <f>#REF!-"vlM!2f"</f>
        <v/>
      </c>
      <c r="AF5">
        <f>#REF!-"vlM!2g"</f>
        <v/>
      </c>
      <c r="AG5">
        <f>#REF!-"vlM!2h"</f>
        <v/>
      </c>
      <c r="AH5">
        <f>#REF!-"vlM!2i"</f>
        <v/>
      </c>
      <c r="AI5">
        <f>#REF!-"vlM!2j"</f>
        <v/>
      </c>
      <c r="AJ5">
        <f>#REF!-"vlM!2k"</f>
        <v/>
      </c>
      <c r="AK5">
        <f>#REF!-"vlM!2l"</f>
        <v/>
      </c>
      <c r="AL5">
        <f>#REF!-"vlM!2m"</f>
        <v/>
      </c>
      <c r="AM5">
        <f>#REF!-"vlM!2n"</f>
        <v/>
      </c>
      <c r="AN5">
        <f>#REF!-"vlM!2o"</f>
        <v/>
      </c>
      <c r="AO5">
        <f>#REF!-"vlM!2p"</f>
        <v/>
      </c>
      <c r="AP5">
        <f>#REF!-"vlM!2q"</f>
        <v/>
      </c>
      <c r="AQ5">
        <f>#REF!-"vlM!2r"</f>
        <v/>
      </c>
      <c r="AR5">
        <f>#REF!-"vlM!2s"</f>
        <v/>
      </c>
      <c r="AS5">
        <f>#REF!-"vlM!2t"</f>
        <v/>
      </c>
      <c r="AT5">
        <f>#REF!-"vlM!2u"</f>
        <v/>
      </c>
      <c r="AU5">
        <f>#REF!-"vlM!2v"</f>
        <v/>
      </c>
      <c r="AV5">
        <f>#REF!-"vlM!2w"</f>
        <v/>
      </c>
      <c r="AW5">
        <f>#REF!-"vlM!2x"</f>
        <v/>
      </c>
      <c r="AX5">
        <f>#REF!-"vlM!2y"</f>
        <v/>
      </c>
      <c r="AY5">
        <f>#REF!-"vlM!2z"</f>
        <v/>
      </c>
      <c r="AZ5">
        <f>#REF!-"vlM!2{"</f>
        <v/>
      </c>
      <c r="BA5">
        <f>#REF!-"vlM!2|"</f>
        <v/>
      </c>
      <c r="BB5">
        <f>#REF!-"vlM!2}"</f>
        <v/>
      </c>
      <c r="BC5">
        <f>#REF!-"vlM!2~"</f>
        <v/>
      </c>
      <c r="BD5">
        <f>#REF!-"vlM!3#"</f>
        <v/>
      </c>
      <c r="BE5">
        <f>#REF!-"vlM!3$"</f>
        <v/>
      </c>
      <c r="BF5">
        <f>#REF!-"vlM!3%"</f>
        <v/>
      </c>
      <c r="BG5">
        <f>#REF!-"vlM!3&amp;"</f>
        <v/>
      </c>
      <c r="BH5">
        <f>#REF!+"vlM!3'"</f>
        <v/>
      </c>
      <c r="BI5">
        <f>#REF!+"vlM!3("</f>
        <v/>
      </c>
      <c r="BJ5" s="1">
        <f>#REF!+"vlM!3)"</f>
        <v/>
      </c>
      <c r="BK5">
        <f>#REF!+"vlM!3."</f>
        <v/>
      </c>
      <c r="BL5">
        <f>#REF!+"vlM!3/"</f>
        <v/>
      </c>
      <c r="BM5">
        <f>#REF!+"vlM!30"</f>
        <v/>
      </c>
      <c r="BN5">
        <f>#REF!+"vlM!31"</f>
        <v/>
      </c>
      <c r="BO5">
        <f>#REF!+"vlM!32"</f>
        <v/>
      </c>
      <c r="BP5">
        <f>#REF!+"vlM!33"</f>
        <v/>
      </c>
      <c r="BQ5">
        <f>#REF!+"vlM!34"</f>
        <v/>
      </c>
      <c r="BR5">
        <f>#REF!+"vlM!35"</f>
        <v/>
      </c>
      <c r="BS5">
        <f>#REF!+"vlM!36"</f>
        <v/>
      </c>
      <c r="BT5">
        <f>#REF!+"vlM!37"</f>
        <v/>
      </c>
      <c r="BU5">
        <f>#REF!+"vlM!38"</f>
        <v/>
      </c>
      <c r="BV5">
        <f>#REF!+"vlM!39"</f>
        <v/>
      </c>
      <c r="BW5">
        <f>#REF!+"vlM!3:"</f>
        <v/>
      </c>
      <c r="BX5">
        <f>#REF!+"vlM!3;"</f>
        <v/>
      </c>
      <c r="BY5">
        <f>#REF!+"vlM!3&lt;"</f>
        <v/>
      </c>
      <c r="BZ5">
        <f>#REF!+"vlM!3="</f>
        <v/>
      </c>
      <c r="CA5">
        <f>#REF!+"vlM!3&gt;"</f>
        <v/>
      </c>
      <c r="CB5">
        <f>#REF!+"vlM!3?"</f>
        <v/>
      </c>
      <c r="CC5">
        <f>#REF!+"vlM!3@"</f>
        <v/>
      </c>
      <c r="CD5" s="1">
        <f>#REF!+"vlM!3A"</f>
        <v/>
      </c>
      <c r="CE5">
        <f>#REF!+"vlM!3B"</f>
        <v/>
      </c>
      <c r="CF5">
        <f>#REF!+"vlM!3C"</f>
        <v/>
      </c>
      <c r="CG5">
        <f>#REF!+"vlM!3D"</f>
        <v/>
      </c>
      <c r="CH5">
        <f>#REF!+"vlM!3E"</f>
        <v/>
      </c>
      <c r="CI5">
        <f>#REF!+"vlM!3F"</f>
        <v/>
      </c>
      <c r="CJ5">
        <f>#REF!+"vlM!3G"</f>
        <v/>
      </c>
      <c r="CK5">
        <f>#REF!+"vlM!3H"</f>
        <v/>
      </c>
      <c r="CL5">
        <f>#REF!+"vlM!3I"</f>
        <v/>
      </c>
      <c r="CM5">
        <f>#REF!+"vlM!3J"</f>
        <v/>
      </c>
      <c r="CN5">
        <f>#REF!+"vlM!3K"</f>
        <v/>
      </c>
      <c r="CO5">
        <f>#REF!+"vlM!3L"</f>
        <v/>
      </c>
      <c r="CP5">
        <f>#REF!+"vlM!3M"</f>
        <v/>
      </c>
      <c r="CQ5">
        <f>#REF!+"vlM!3N"</f>
        <v/>
      </c>
      <c r="CR5">
        <f>#REF!+"vlM!3O"</f>
        <v/>
      </c>
      <c r="CS5">
        <f>#REF!+"vlM!3P"</f>
        <v/>
      </c>
      <c r="CT5">
        <f>#REF!+"vlM!3Q"</f>
        <v/>
      </c>
      <c r="CU5">
        <f>#REF!+"vlM!3R"</f>
        <v/>
      </c>
      <c r="CV5">
        <f>#REF!+"vlM!3S"</f>
        <v/>
      </c>
      <c r="CW5" s="1">
        <f>#REF!+"vlM!3T"</f>
        <v/>
      </c>
      <c r="CX5">
        <f>#REF!+"vlM!3U"</f>
        <v/>
      </c>
      <c r="CY5">
        <f>#REF!+"vlM!3V"</f>
        <v/>
      </c>
      <c r="CZ5">
        <f>#REF!+"vlM!3W"</f>
        <v/>
      </c>
      <c r="DA5">
        <f>#REF!+"vlM!3X"</f>
        <v/>
      </c>
      <c r="DB5">
        <f>#REF!+"vlM!3Y"</f>
        <v/>
      </c>
      <c r="DC5">
        <f>#REF!+"vlM!3Z"</f>
        <v/>
      </c>
      <c r="DD5">
        <f>#REF!+"vlM!3["</f>
        <v/>
      </c>
      <c r="DE5">
        <f>#REF!+"vlM!3\"</f>
        <v/>
      </c>
      <c r="DF5">
        <f>#REF!+"vlM!3]"</f>
        <v/>
      </c>
      <c r="DG5">
        <f>#REF!+"vlM!3^"</f>
        <v/>
      </c>
      <c r="DH5">
        <f>#REF!+"vlM!3_"</f>
        <v/>
      </c>
      <c r="DI5">
        <f>#REF!+"vlM!3`"</f>
        <v/>
      </c>
      <c r="DJ5" s="1">
        <f>#REF!+"vlM!3a"</f>
        <v/>
      </c>
      <c r="DK5">
        <f>#REF!+"vlM!3b"</f>
        <v/>
      </c>
      <c r="DL5" s="14">
        <f>#REF!+"vlM!3c"</f>
        <v/>
      </c>
      <c r="DM5" s="15">
        <f>#REF!+"vlM!3d"</f>
        <v/>
      </c>
      <c r="DN5">
        <f>#REF!+"vlM!3e"</f>
        <v/>
      </c>
      <c r="DO5">
        <f>#REF!+"vlM!3f"</f>
        <v/>
      </c>
      <c r="DP5" s="1">
        <f>#REF!+"vlM!3g"</f>
        <v/>
      </c>
      <c r="DQ5">
        <f>#REF!+"vlM!3h"</f>
        <v/>
      </c>
      <c r="DR5">
        <f>#REF!+"vlM!3i"</f>
        <v/>
      </c>
      <c r="DS5">
        <f>#REF!+"vlM!3j"</f>
        <v/>
      </c>
      <c r="DT5">
        <f>#REF!+"vlM!3k"</f>
        <v/>
      </c>
      <c r="DU5">
        <f>#REF!+"vlM!3l"</f>
        <v/>
      </c>
      <c r="DV5">
        <f>#REF!+"vlM!3m"</f>
        <v/>
      </c>
      <c r="DW5">
        <f>#REF!+"vlM!3n"</f>
        <v/>
      </c>
      <c r="DX5">
        <f>#REF!+"vlM!3o"</f>
        <v/>
      </c>
      <c r="DY5">
        <f>#REF!+"vlM!3p"</f>
        <v/>
      </c>
      <c r="DZ5">
        <f>#REF!+"vlM!3q"</f>
        <v/>
      </c>
      <c r="EA5">
        <f>#REF!+"vlM!3r"</f>
        <v/>
      </c>
      <c r="EB5">
        <f>#REF!+"vlM!3s"</f>
        <v/>
      </c>
      <c r="EC5">
        <f>#REF!+"vlM!3t"</f>
        <v/>
      </c>
      <c r="ED5">
        <f>#REF!+"vlM!3u"</f>
        <v/>
      </c>
      <c r="EE5" s="1">
        <f>#REF!+"vlM!3v"</f>
        <v/>
      </c>
      <c r="EF5">
        <f>#REF!+"vlM!3w"</f>
        <v/>
      </c>
      <c r="EG5">
        <f>#REF!+"vlM!3x"</f>
        <v/>
      </c>
      <c r="EH5">
        <f>#REF!+"vlM!3y"</f>
        <v/>
      </c>
      <c r="EI5">
        <f>#REF!+"vlM!3z"</f>
        <v/>
      </c>
      <c r="EJ5">
        <f>#REF!+"vlM!3{"</f>
        <v/>
      </c>
      <c r="EK5">
        <f>#REF!+"vlM!3|"</f>
        <v/>
      </c>
      <c r="EL5">
        <f>#REF!+"vlM!3}"</f>
        <v/>
      </c>
      <c r="EM5">
        <f>#REF!+"vlM!3~"</f>
        <v/>
      </c>
      <c r="EN5">
        <f>#REF!+"vlM!4#"</f>
        <v/>
      </c>
      <c r="EO5">
        <f>#REF!+"vlM!4$"</f>
        <v/>
      </c>
      <c r="EP5">
        <f>#REF!+"vlM!4%"</f>
        <v/>
      </c>
      <c r="EQ5">
        <f>#REF!+"vlM!4&amp;"</f>
        <v/>
      </c>
      <c r="ER5">
        <f>#REF!+"vlM!4'"</f>
        <v/>
      </c>
      <c r="ES5">
        <f>#REF!+"vlM!4("</f>
        <v/>
      </c>
      <c r="ET5" s="1">
        <f>#REF!+"vlM!4)"</f>
        <v/>
      </c>
      <c r="EU5">
        <f>#REF!+"vlM!4."</f>
        <v/>
      </c>
      <c r="EV5">
        <f>#REF!+"vlM!4/"</f>
        <v/>
      </c>
      <c r="EW5">
        <f>#REF!+"vlM!40"</f>
        <v/>
      </c>
      <c r="EX5">
        <f>#REF!+"vlM!41"</f>
        <v/>
      </c>
      <c r="EY5">
        <f>#REF!+"vlM!42"</f>
        <v/>
      </c>
      <c r="EZ5">
        <f>#REF!+"vlM!43"</f>
        <v/>
      </c>
      <c r="FA5">
        <f>#REF!+"vlM!44"</f>
        <v/>
      </c>
      <c r="FB5">
        <f>#REF!+"vlM!45"</f>
        <v/>
      </c>
      <c r="FC5">
        <f>#REF!+"vlM!46"</f>
        <v/>
      </c>
      <c r="FD5">
        <f>#REF!+"vlM!47"</f>
        <v/>
      </c>
      <c r="FE5">
        <f>#REF!+"vlM!48"</f>
        <v/>
      </c>
      <c r="FF5">
        <f>#REF!+"vlM!49"</f>
        <v/>
      </c>
      <c r="FG5">
        <f>#REF!+"vlM!4:"</f>
        <v/>
      </c>
      <c r="FH5">
        <f>#REF!+"vlM!4;"</f>
        <v/>
      </c>
      <c r="FI5" s="1">
        <f>#REF!+"vlM!4&lt;"</f>
        <v/>
      </c>
      <c r="FJ5">
        <f>#REF!+"vlM!4="</f>
        <v/>
      </c>
      <c r="FK5">
        <f>#REF!+"vlM!4&gt;"</f>
        <v/>
      </c>
      <c r="FL5">
        <f>#REF!+"vlM!4?"</f>
        <v/>
      </c>
      <c r="FM5">
        <f>#REF!+"vlM!4@"</f>
        <v/>
      </c>
      <c r="FN5">
        <f>#REF!+"vlM!4A"</f>
        <v/>
      </c>
      <c r="FO5">
        <f>#REF!+"vlM!4B"</f>
        <v/>
      </c>
      <c r="FP5">
        <f>#REF!+"vlM!4C"</f>
        <v/>
      </c>
      <c r="FQ5">
        <f>#REF!+"vlM!4D"</f>
        <v/>
      </c>
      <c r="FR5">
        <f>#REF!+"vlM!4E"</f>
        <v/>
      </c>
      <c r="FS5">
        <f>#REF!+"vlM!4F"</f>
        <v/>
      </c>
      <c r="FT5">
        <f>#REF!+"vlM!4G"</f>
        <v/>
      </c>
      <c r="FU5">
        <f>#REF!+"vlM!4H"</f>
        <v/>
      </c>
      <c r="FV5">
        <f>#REF!+"vlM!4I"</f>
        <v/>
      </c>
      <c r="FW5">
        <f>#REF!+"vlM!4J"</f>
        <v/>
      </c>
      <c r="FX5">
        <f>#REF!+"vlM!4K"</f>
        <v/>
      </c>
      <c r="FY5" s="1">
        <f>#REF!+"vlM!4L"</f>
        <v/>
      </c>
      <c r="FZ5">
        <f>#REF!+"vlM!4M"</f>
        <v/>
      </c>
      <c r="GA5">
        <f>#REF!+"vlM!4N"</f>
        <v/>
      </c>
      <c r="GB5">
        <f>#REF!+"vlM!4O"</f>
        <v/>
      </c>
      <c r="GC5">
        <f>#REF!+"vlM!4P"</f>
        <v/>
      </c>
      <c r="GD5">
        <f>#REF!+"vlM!4Q"</f>
        <v/>
      </c>
      <c r="GE5">
        <f>#REF!+"vlM!4R"</f>
        <v/>
      </c>
      <c r="GF5">
        <f>#REF!+"vlM!4S"</f>
        <v/>
      </c>
      <c r="GG5">
        <f>#REF!+"vlM!4T"</f>
        <v/>
      </c>
      <c r="GH5">
        <f>#REF!+"vlM!4U"</f>
        <v/>
      </c>
      <c r="GI5">
        <f>#REF!+"vlM!4V"</f>
        <v/>
      </c>
      <c r="GJ5">
        <f>#REF!+"vlM!4W"</f>
        <v/>
      </c>
      <c r="GK5">
        <f>#REF!+"vlM!4X"</f>
        <v/>
      </c>
      <c r="GL5">
        <f>#REF!+"vlM!4Y"</f>
        <v/>
      </c>
      <c r="GM5">
        <f>#REF!+"vlM!4Z"</f>
        <v/>
      </c>
      <c r="GN5" s="1">
        <f>#REF!+"vlM!4["</f>
        <v/>
      </c>
      <c r="GO5">
        <f>#REF!+"vlM!4\"</f>
        <v/>
      </c>
      <c r="GP5">
        <f>#REF!+"vlM!4]"</f>
        <v/>
      </c>
      <c r="GQ5">
        <f>#REF!+"vlM!4^"</f>
        <v/>
      </c>
      <c r="GR5">
        <f>#REF!+"vlM!4_"</f>
        <v/>
      </c>
      <c r="GS5">
        <f>#REF!+"vlM!4`"</f>
        <v/>
      </c>
      <c r="GT5">
        <f>#REF!+"vlM!4a"</f>
        <v/>
      </c>
      <c r="GU5">
        <f>#REF!+"vlM!4b"</f>
        <v/>
      </c>
      <c r="GV5">
        <f>#REF!+"vlM!4c"</f>
        <v/>
      </c>
      <c r="GW5">
        <f>#REF!+"vlM!4d"</f>
        <v/>
      </c>
      <c r="GX5">
        <f>#REF!+"vlM!4e"</f>
        <v/>
      </c>
      <c r="GY5">
        <f>#REF!+"vlM!4f"</f>
        <v/>
      </c>
      <c r="GZ5">
        <f>#REF!+"vlM!4g"</f>
        <v/>
      </c>
      <c r="HA5">
        <f>#REF!+"vlM!4h"</f>
        <v/>
      </c>
      <c r="HB5">
        <f>#REF!+"vlM!4i"</f>
        <v/>
      </c>
      <c r="HC5" s="1">
        <f>#REF!+"vlM!4j"</f>
        <v/>
      </c>
      <c r="HD5">
        <f>#REF!+"vlM!4k"</f>
        <v/>
      </c>
      <c r="HE5">
        <f>#REF!+"vlM!4l"</f>
        <v/>
      </c>
      <c r="HF5">
        <f>#REF!+"vlM!4m"</f>
        <v/>
      </c>
      <c r="HG5">
        <f>#REF!+"vlM!4n"</f>
        <v/>
      </c>
      <c r="HH5">
        <f>#REF!+"vlM!4o"</f>
        <v/>
      </c>
      <c r="HI5">
        <f>#REF!+"vlM!4p"</f>
        <v/>
      </c>
      <c r="HJ5">
        <f>#REF!+"vlM!4q"</f>
        <v/>
      </c>
      <c r="HK5">
        <f>#REF!+"vlM!4r"</f>
        <v/>
      </c>
      <c r="HL5">
        <f>#REF!+"vlM!4s"</f>
        <v/>
      </c>
      <c r="HM5">
        <f>#REF!+"vlM!4t"</f>
        <v/>
      </c>
      <c r="HN5">
        <f>#REF!+"vlM!4u"</f>
        <v/>
      </c>
      <c r="HO5">
        <f>#REF!+"vlM!4v"</f>
        <v/>
      </c>
      <c r="HP5">
        <f>#REF!+"vlM!4w"</f>
        <v/>
      </c>
      <c r="HQ5">
        <f>#REF!+"vlM!4x"</f>
        <v/>
      </c>
      <c r="HR5" s="1">
        <f>#REF!+"vlM!4y"</f>
        <v/>
      </c>
      <c r="HS5">
        <f>#REF!+"vlM!4z"</f>
        <v/>
      </c>
      <c r="HT5">
        <f>#REF!+"vlM!4{"</f>
        <v/>
      </c>
      <c r="HU5">
        <f>#REF!+"vlM!4|"</f>
        <v/>
      </c>
      <c r="HV5">
        <f>#REF!+"vlM!4}"</f>
        <v/>
      </c>
      <c r="HW5">
        <f>#REF!+"vlM!4~"</f>
        <v/>
      </c>
      <c r="HX5">
        <f>#REF!+"vlM!5#"</f>
        <v/>
      </c>
      <c r="HY5">
        <f>#REF!+"vlM!5$"</f>
        <v/>
      </c>
      <c r="HZ5">
        <f>#REF!+"vlM!5%"</f>
        <v/>
      </c>
      <c r="IA5">
        <f>#REF!+"vlM!5&amp;"</f>
        <v/>
      </c>
      <c r="IB5">
        <f>#REF!+"vlM!5'"</f>
        <v/>
      </c>
      <c r="IC5">
        <f>#REF!+"vlM!5("</f>
        <v/>
      </c>
      <c r="ID5">
        <f>#REF!+"vlM!5)"</f>
        <v/>
      </c>
      <c r="IE5">
        <f>#REF!+"vlM!5."</f>
        <v/>
      </c>
      <c r="IF5">
        <f>#REF!+"vlM!5/"</f>
        <v/>
      </c>
      <c r="IG5" s="1">
        <f>#REF!+"vlM!50"</f>
        <v/>
      </c>
      <c r="IH5">
        <f>#REF!+"vlM!51"</f>
        <v/>
      </c>
      <c r="II5">
        <f>#REF!+"vlM!52"</f>
        <v/>
      </c>
      <c r="IJ5">
        <f>#REF!+"vlM!53"</f>
        <v/>
      </c>
      <c r="IK5">
        <f>#REF!+"vlM!54"</f>
        <v/>
      </c>
      <c r="IL5">
        <f>#REF!+"vlM!55"</f>
        <v/>
      </c>
      <c r="IM5">
        <f>#REF!+"vlM!56"</f>
        <v/>
      </c>
      <c r="IN5">
        <f>#REF!+"vlM!57"</f>
        <v/>
      </c>
      <c r="IO5">
        <f>#REF!+"vlM!58"</f>
        <v/>
      </c>
      <c r="IP5">
        <f>#REF!+"vlM!59"</f>
        <v/>
      </c>
      <c r="IQ5">
        <f>#REF!+"vlM!5:"</f>
        <v/>
      </c>
      <c r="IR5">
        <f>#REF!+"vlM!5;"</f>
        <v/>
      </c>
      <c r="IS5">
        <f>#REF!+"vlM!5&lt;"</f>
        <v/>
      </c>
      <c r="IT5">
        <f>#REF!+"vlM!5="</f>
        <v/>
      </c>
      <c r="IU5">
        <f>#REF!+"vlM!5&gt;"</f>
        <v/>
      </c>
      <c r="IV5" s="1">
        <f>#REF!+"vlM!5?"</f>
        <v/>
      </c>
    </row>
    <row r="6">
      <c r="F6">
        <f>#REF!+"vlM!5@"</f>
        <v/>
      </c>
      <c r="G6">
        <f>#REF!+"vlM!5A"</f>
        <v/>
      </c>
      <c r="H6">
        <f>#REF!+"vlM!5B"</f>
        <v/>
      </c>
      <c r="I6">
        <f>#REF!+"vlM!5C"</f>
        <v/>
      </c>
      <c r="J6">
        <f>#REF!+"vlM!5D"</f>
        <v/>
      </c>
      <c r="K6">
        <f>#REF!+"vlM!5E"</f>
        <v/>
      </c>
      <c r="L6">
        <f>#REF!+"vlM!5F"</f>
        <v/>
      </c>
      <c r="M6">
        <f>#REF!+"vlM!5G"</f>
        <v/>
      </c>
      <c r="N6">
        <f>#REF!+"vlM!5H"</f>
        <v/>
      </c>
      <c r="O6">
        <f>#REF!+"vlM!5I"</f>
        <v/>
      </c>
      <c r="P6">
        <f>#REF!+"vlM!5J"</f>
        <v/>
      </c>
      <c r="Q6">
        <f>#REF!+"vlM!5K"</f>
        <v/>
      </c>
      <c r="R6">
        <f>#REF!+"vlM!5L"</f>
        <v/>
      </c>
      <c r="S6">
        <f>#REF!+"vlM!5M"</f>
        <v/>
      </c>
      <c r="T6" s="1">
        <f>#REF!+"vlM!5N"</f>
        <v/>
      </c>
      <c r="U6">
        <f>#REF!+"vlM!5O"</f>
        <v/>
      </c>
      <c r="V6">
        <f>#REF!+"vlM!5P"</f>
        <v/>
      </c>
      <c r="W6">
        <f>#REF!+"vlM!5Q"</f>
        <v/>
      </c>
      <c r="X6">
        <f>#REF!+"vlM!5R"</f>
        <v/>
      </c>
      <c r="Y6">
        <f>#REF!+"vlM!5S"</f>
        <v/>
      </c>
      <c r="Z6">
        <f>#REF!+"vlM!5T"</f>
        <v/>
      </c>
      <c r="AA6">
        <f>#REF!+"vlM!5U"</f>
        <v/>
      </c>
      <c r="AB6">
        <f>#REF!+"vlM!5V"</f>
        <v/>
      </c>
      <c r="AC6">
        <f>#REF!+"vlM!5W"</f>
        <v/>
      </c>
      <c r="AD6">
        <f>#REF!+"vlM!5X"</f>
        <v/>
      </c>
      <c r="AE6">
        <f>#REF!+"vlM!5Y"</f>
        <v/>
      </c>
      <c r="AF6">
        <f>#REF!+"vlM!5Z"</f>
        <v/>
      </c>
      <c r="AG6">
        <f>#REF!+"vlM!5["</f>
        <v/>
      </c>
      <c r="AH6">
        <f>#REF!+"vlM!5\"</f>
        <v/>
      </c>
      <c r="AI6" s="1">
        <f>#REF!+"vlM!5]"</f>
        <v/>
      </c>
      <c r="AJ6">
        <f>#REF!+"vlM!5^"</f>
        <v/>
      </c>
      <c r="AK6">
        <f>#REF!+"vlM!5_"</f>
        <v/>
      </c>
      <c r="AL6">
        <f>#REF!+"vlM!5`"</f>
        <v/>
      </c>
      <c r="AM6">
        <f>#REF!+"vlM!5a"</f>
        <v/>
      </c>
      <c r="AN6">
        <f>#REF!+"vlM!5b"</f>
        <v/>
      </c>
      <c r="AO6">
        <f>#REF!+"vlM!5c"</f>
        <v/>
      </c>
      <c r="AP6">
        <f>#REF!+"vlM!5d"</f>
        <v/>
      </c>
      <c r="AQ6">
        <f>#REF!+"vlM!5e"</f>
        <v/>
      </c>
      <c r="AR6">
        <f>#REF!+"vlM!5f"</f>
        <v/>
      </c>
      <c r="AS6">
        <f>#REF!+"vlM!5g"</f>
        <v/>
      </c>
      <c r="AT6">
        <f>#REF!+"vlM!5h"</f>
        <v/>
      </c>
      <c r="AU6">
        <f>#REF!+"vlM!5i"</f>
        <v/>
      </c>
      <c r="AV6">
        <f>#REF!+"vlM!5j"</f>
        <v/>
      </c>
      <c r="AW6">
        <f>#REF!+"vlM!5k"</f>
        <v/>
      </c>
      <c r="AX6" s="1">
        <f>#REF!+"vlM!5l"</f>
        <v/>
      </c>
      <c r="AY6">
        <f>#REF!+"vlM!5m"</f>
        <v/>
      </c>
      <c r="AZ6">
        <f>#REF!+"vlM!5n"</f>
        <v/>
      </c>
      <c r="BA6">
        <f>#REF!+"vlM!5o"</f>
        <v/>
      </c>
      <c r="BB6">
        <f>#REF!+"vlM!5p"</f>
        <v/>
      </c>
      <c r="BC6">
        <f>#REF!+"vlM!5q"</f>
        <v/>
      </c>
      <c r="BD6">
        <f>#REF!+"vlM!5r"</f>
        <v/>
      </c>
      <c r="BE6">
        <f>#REF!+"vlM!5s"</f>
        <v/>
      </c>
      <c r="BF6">
        <f>#REF!+"vlM!5t"</f>
        <v/>
      </c>
      <c r="BG6">
        <f>#REF!+"vlM!5u"</f>
        <v/>
      </c>
      <c r="BH6">
        <f>#REF!+"vlM!5v"</f>
        <v/>
      </c>
      <c r="BI6">
        <f>#REF!+"vlM!5w"</f>
        <v/>
      </c>
      <c r="BJ6">
        <f>#REF!+"vlM!5x"</f>
        <v/>
      </c>
      <c r="BK6">
        <f>#REF!+"vlM!5y"</f>
        <v/>
      </c>
      <c r="BL6">
        <f>#REF!+"vlM!5z"</f>
        <v/>
      </c>
      <c r="BM6" s="1">
        <f>#REF!+"vlM!5{"</f>
        <v/>
      </c>
      <c r="BN6">
        <f>#REF!+"vlM!5|"</f>
        <v/>
      </c>
      <c r="BO6">
        <f>#REF!+"vlM!5}"</f>
        <v/>
      </c>
      <c r="BP6">
        <f>#REF!+"vlM!5~"</f>
        <v/>
      </c>
      <c r="BQ6">
        <f>#REF!+"vlM!6#"</f>
        <v/>
      </c>
      <c r="BR6">
        <f>#REF!+"vlM!6$"</f>
        <v/>
      </c>
      <c r="BS6">
        <f>#REF!+"vlM!6%"</f>
        <v/>
      </c>
      <c r="BT6">
        <f>#REF!+"vlM!6&amp;"</f>
        <v/>
      </c>
      <c r="BU6">
        <f>#REF!+"vlM!6'"</f>
        <v/>
      </c>
      <c r="BV6">
        <f>#REF!+"vlM!6("</f>
        <v/>
      </c>
      <c r="BW6">
        <f>#REF!+"vlM!6)"</f>
        <v/>
      </c>
      <c r="BX6">
        <f>#REF!+"vlM!6."</f>
        <v/>
      </c>
      <c r="BY6">
        <f>#REF!+"vlM!6/"</f>
        <v/>
      </c>
      <c r="BZ6">
        <f>#REF!+"vlM!60"</f>
        <v/>
      </c>
      <c r="CA6">
        <f>#REF!+"vlM!61"</f>
        <v/>
      </c>
      <c r="CB6" s="1">
        <f>#REF!+"vlM!62"</f>
        <v/>
      </c>
      <c r="CC6">
        <f>#REF!+"vlM!63"</f>
        <v/>
      </c>
      <c r="CD6">
        <f>#REF!+"vlM!64"</f>
        <v/>
      </c>
      <c r="CE6">
        <f>#REF!+"vlM!65"</f>
        <v/>
      </c>
      <c r="CF6">
        <f>#REF!+"vlM!66"</f>
        <v/>
      </c>
      <c r="CG6">
        <f>#REF!+"vlM!67"</f>
        <v/>
      </c>
      <c r="CH6">
        <f>#REF!+"vlM!68"</f>
        <v/>
      </c>
      <c r="CI6">
        <f>#REF!+"vlM!69"</f>
        <v/>
      </c>
      <c r="CJ6">
        <f>#REF!+"vlM!6:"</f>
        <v/>
      </c>
      <c r="CK6">
        <f>#REF!+"vlM!6;"</f>
        <v/>
      </c>
      <c r="CL6">
        <f>#REF!+"vlM!6&lt;"</f>
        <v/>
      </c>
      <c r="CM6">
        <f>#REF!+"vlM!6="</f>
        <v/>
      </c>
      <c r="CN6">
        <f>#REF!+"vlM!6&gt;"</f>
        <v/>
      </c>
      <c r="CO6">
        <f>#REF!+"vlM!6?"</f>
        <v/>
      </c>
      <c r="CP6">
        <f>#REF!+"vlM!6@"</f>
        <v/>
      </c>
      <c r="CQ6" s="1">
        <f>#REF!+"vlM!6A"</f>
        <v/>
      </c>
      <c r="CR6">
        <f>#REF!+"vlM!6B"</f>
        <v/>
      </c>
      <c r="CS6">
        <f>#REF!+"vlM!6C"</f>
        <v/>
      </c>
      <c r="CT6">
        <f>#REF!+"vlM!6D"</f>
        <v/>
      </c>
      <c r="CU6">
        <f>#REF!+"vlM!6E"</f>
        <v/>
      </c>
      <c r="CV6">
        <f>#REF!+"vlM!6F"</f>
        <v/>
      </c>
      <c r="CW6">
        <f>#REF!+"vlM!6G"</f>
        <v/>
      </c>
      <c r="CX6">
        <f>#REF!+"vlM!6H"</f>
        <v/>
      </c>
      <c r="CY6">
        <f>#REF!+"vlM!6I"</f>
        <v/>
      </c>
      <c r="CZ6">
        <f>#REF!+"vlM!6J"</f>
        <v/>
      </c>
      <c r="DA6">
        <f>#REF!+"vlM!6K"</f>
        <v/>
      </c>
      <c r="DB6">
        <f>#REF!+"vlM!6L"</f>
        <v/>
      </c>
      <c r="DC6">
        <f>#REF!+"vlM!6M"</f>
        <v/>
      </c>
      <c r="DD6">
        <f>#REF!+"vlM!6N"</f>
        <v/>
      </c>
      <c r="DE6">
        <f>#REF!+"vlM!6O"</f>
        <v/>
      </c>
      <c r="DF6" s="1">
        <f>#REF!+"vlM!6P"</f>
        <v/>
      </c>
      <c r="DG6">
        <f>#REF!+"vlM!6Q"</f>
        <v/>
      </c>
      <c r="DH6">
        <f>#REF!+"vlM!6R"</f>
        <v/>
      </c>
      <c r="DI6">
        <f>#REF!+"vlM!6S"</f>
        <v/>
      </c>
      <c r="DJ6">
        <f>#REF!+"vlM!6T"</f>
        <v/>
      </c>
      <c r="DK6">
        <f>#REF!+"vlM!6U"</f>
        <v/>
      </c>
      <c r="DL6">
        <f>#REF!+"vlM!6V"</f>
        <v/>
      </c>
      <c r="DM6">
        <f>#REF!+"vlM!6W"</f>
        <v/>
      </c>
      <c r="DN6">
        <f>#REF!+"vlM!6X"</f>
        <v/>
      </c>
      <c r="DO6">
        <f>#REF!+"vlM!6Y"</f>
        <v/>
      </c>
      <c r="DP6">
        <f>#REF!+"vlM!6Z"</f>
        <v/>
      </c>
      <c r="DQ6">
        <f>#REF!+"vlM!6["</f>
        <v/>
      </c>
      <c r="DR6">
        <f>#REF!+"vlM!6\"</f>
        <v/>
      </c>
      <c r="DS6">
        <f>#REF!+"vlM!6]"</f>
        <v/>
      </c>
      <c r="DT6">
        <f>#REF!+"vlM!6^"</f>
        <v/>
      </c>
      <c r="DU6" s="1">
        <f>#REF!+"vlM!6_"</f>
        <v/>
      </c>
      <c r="DV6">
        <f>#REF!+"vlM!6`"</f>
        <v/>
      </c>
      <c r="DW6">
        <f>#REF!+"vlM!6a"</f>
        <v/>
      </c>
      <c r="DX6">
        <f>#REF!+"vlM!6b"</f>
        <v/>
      </c>
      <c r="DY6">
        <f>#REF!+"vlM!6c"</f>
        <v/>
      </c>
      <c r="DZ6">
        <f>#REF!+"vlM!6d"</f>
        <v/>
      </c>
      <c r="EA6">
        <f>#REF!+"vlM!6e"</f>
        <v/>
      </c>
      <c r="EB6">
        <f>#REF!+"vlM!6f"</f>
        <v/>
      </c>
      <c r="EC6">
        <f>#REF!+"vlM!6g"</f>
        <v/>
      </c>
      <c r="ED6">
        <f>#REF!+"vlM!6h"</f>
        <v/>
      </c>
      <c r="EE6">
        <f>#REF!+"vlM!6i"</f>
        <v/>
      </c>
      <c r="EF6">
        <f>#REF!+"vlM!6j"</f>
        <v/>
      </c>
      <c r="EG6">
        <f>#REF!+"vlM!6k"</f>
        <v/>
      </c>
      <c r="EH6">
        <f>#REF!+"vlM!6l"</f>
        <v/>
      </c>
      <c r="EI6">
        <f>#REF!+"vlM!6m"</f>
        <v/>
      </c>
      <c r="EJ6" s="1">
        <f>#REF!+"vlM!6n"</f>
        <v/>
      </c>
      <c r="EK6">
        <f>#REF!+"vlM!6o"</f>
        <v/>
      </c>
      <c r="EL6">
        <f>#REF!+"vlM!6p"</f>
        <v/>
      </c>
      <c r="EM6">
        <f>#REF!+"vlM!6q"</f>
        <v/>
      </c>
      <c r="EN6">
        <f>#REF!+"vlM!6r"</f>
        <v/>
      </c>
      <c r="EO6">
        <f>#REF!+"vlM!6s"</f>
        <v/>
      </c>
      <c r="EP6">
        <f>#REF!+"vlM!6t"</f>
        <v/>
      </c>
      <c r="EQ6">
        <f>#REF!+"vlM!6u"</f>
        <v/>
      </c>
      <c r="ER6">
        <f>#REF!+"vlM!6v"</f>
        <v/>
      </c>
      <c r="ES6">
        <f>#REF!+"vlM!6w"</f>
        <v/>
      </c>
      <c r="ET6">
        <f>#REF!+"vlM!6x"</f>
        <v/>
      </c>
      <c r="EU6">
        <f>#REF!+"vlM!6y"</f>
        <v/>
      </c>
      <c r="EV6">
        <f>#REF!+"vlM!6z"</f>
        <v/>
      </c>
      <c r="EW6">
        <f>#REF!+"vlM!6{"</f>
        <v/>
      </c>
      <c r="EX6">
        <f>#REF!+"vlM!6|"</f>
        <v/>
      </c>
      <c r="EY6" s="1">
        <f>#REF!+"vlM!6}"</f>
        <v/>
      </c>
      <c r="EZ6">
        <f>#REF!+"vlM!6~"</f>
        <v/>
      </c>
      <c r="FA6">
        <f>#REF!+"vlM!7#"</f>
        <v/>
      </c>
      <c r="FB6">
        <f>#REF!+"vlM!7$"</f>
        <v/>
      </c>
      <c r="FC6">
        <f>#REF!+"vlM!7%"</f>
        <v/>
      </c>
      <c r="FD6">
        <f>#REF!+"vlM!7&amp;"</f>
        <v/>
      </c>
      <c r="FE6">
        <f>#REF!+"vlM!7'"</f>
        <v/>
      </c>
      <c r="FF6">
        <f>#REF!+"vlM!7("</f>
        <v/>
      </c>
      <c r="FG6">
        <f>#REF!+"vlM!7)"</f>
        <v/>
      </c>
      <c r="FH6">
        <f>#REF!+"vlM!7."</f>
        <v/>
      </c>
      <c r="FI6">
        <f>#REF!+"vlM!7/"</f>
        <v/>
      </c>
      <c r="FJ6">
        <f>#REF!+"vlM!70"</f>
        <v/>
      </c>
      <c r="FK6">
        <f>#REF!+"vlM!71"</f>
        <v/>
      </c>
      <c r="FL6">
        <f>#REF!+"vlM!72"</f>
        <v/>
      </c>
      <c r="FM6">
        <f>#REF!+"vlM!73"</f>
        <v/>
      </c>
      <c r="FN6" s="1">
        <f>#REF!+"vlM!74"</f>
        <v/>
      </c>
      <c r="FO6">
        <f>#REF!+"vlM!75"</f>
        <v/>
      </c>
      <c r="FP6">
        <f>#REF!+"vlM!76"</f>
        <v/>
      </c>
      <c r="FQ6">
        <f>#REF!+"vlM!77"</f>
        <v/>
      </c>
      <c r="FR6">
        <f>#REF!+"vlM!78"</f>
        <v/>
      </c>
      <c r="FS6">
        <f>#REF!+"vlM!79"</f>
        <v/>
      </c>
      <c r="FT6">
        <f>#REF!+"vlM!7:"</f>
        <v/>
      </c>
      <c r="FU6">
        <f>#REF!+"vlM!7;"</f>
        <v/>
      </c>
      <c r="FV6">
        <f>#REF!+"vlM!7&lt;"</f>
        <v/>
      </c>
      <c r="FW6">
        <f>#REF!+"vlM!7="</f>
        <v/>
      </c>
      <c r="FX6">
        <f>#REF!+"vlM!7&gt;"</f>
        <v/>
      </c>
      <c r="FY6">
        <f>#REF!+"vlM!7?"</f>
        <v/>
      </c>
      <c r="FZ6">
        <f>#REF!+"vlM!7@"</f>
        <v/>
      </c>
      <c r="GA6">
        <f>#REF!+"vlM!7A"</f>
        <v/>
      </c>
      <c r="GB6">
        <f>#REF!+"vlM!7B"</f>
        <v/>
      </c>
      <c r="GC6" s="1">
        <f>#REF!+"vlM!7C"</f>
        <v/>
      </c>
      <c r="GD6">
        <f>#REF!+"vlM!7D"</f>
        <v/>
      </c>
      <c r="GE6">
        <f>#REF!+"vlM!7E"</f>
        <v/>
      </c>
      <c r="GF6">
        <f>#REF!+"vlM!7F"</f>
        <v/>
      </c>
      <c r="GG6">
        <f>#REF!+"vlM!7G"</f>
        <v/>
      </c>
      <c r="GH6">
        <f>#REF!+"vlM!7H"</f>
        <v/>
      </c>
      <c r="GI6">
        <f>#REF!+"vlM!7I"</f>
        <v/>
      </c>
      <c r="GJ6">
        <f>#REF!+"vlM!7J"</f>
        <v/>
      </c>
      <c r="GK6">
        <f>#REF!+"vlM!7K"</f>
        <v/>
      </c>
      <c r="GL6">
        <f>#REF!+"vlM!7L"</f>
        <v/>
      </c>
      <c r="GM6">
        <f>#REF!+"vlM!7M"</f>
        <v/>
      </c>
      <c r="GN6">
        <f>#REF!+"vlM!7N"</f>
        <v/>
      </c>
      <c r="GO6">
        <f>#REF!+"vlM!7O"</f>
        <v/>
      </c>
      <c r="GP6">
        <f>#REF!+"vlM!7P"</f>
        <v/>
      </c>
      <c r="GQ6">
        <f>#REF!+"vlM!7Q"</f>
        <v/>
      </c>
      <c r="GR6" s="1">
        <f>#REF!+"vlM!7R"</f>
        <v/>
      </c>
      <c r="GS6">
        <f>#REF!+"vlM!7S"</f>
        <v/>
      </c>
      <c r="GT6">
        <f>#REF!+"vlM!7T"</f>
        <v/>
      </c>
      <c r="GU6">
        <f>#REF!+"vlM!7U"</f>
        <v/>
      </c>
      <c r="GV6">
        <f>#REF!+"vlM!7V"</f>
        <v/>
      </c>
      <c r="GW6">
        <f>#REF!+"vlM!7W"</f>
        <v/>
      </c>
      <c r="GX6">
        <f>#REF!+"vlM!7X"</f>
        <v/>
      </c>
      <c r="GY6">
        <f>#REF!+"vlM!7Y"</f>
        <v/>
      </c>
      <c r="GZ6">
        <f>#REF!+"vlM!7Z"</f>
        <v/>
      </c>
      <c r="HA6">
        <f>#REF!+"vlM!7["</f>
        <v/>
      </c>
      <c r="HB6">
        <f>#REF!+"vlM!7\"</f>
        <v/>
      </c>
      <c r="HC6">
        <f>#REF!+"vlM!7]"</f>
        <v/>
      </c>
      <c r="HD6">
        <f>#REF!+"vlM!7^"</f>
        <v/>
      </c>
      <c r="HE6">
        <f>#REF!+"vlM!7_"</f>
        <v/>
      </c>
      <c r="HF6">
        <f>#REF!+"vlM!7`"</f>
        <v/>
      </c>
      <c r="HG6" s="1">
        <f>#REF!+"vlM!7a"</f>
        <v/>
      </c>
      <c r="HH6">
        <f>#REF!+"vlM!7b"</f>
        <v/>
      </c>
      <c r="HI6">
        <f>#REF!+"vlM!7c"</f>
        <v/>
      </c>
      <c r="HJ6">
        <f>#REF!+"vlM!7d"</f>
        <v/>
      </c>
      <c r="HK6">
        <f>#REF!+"vlM!7e"</f>
        <v/>
      </c>
      <c r="HL6">
        <f>#REF!+"vlM!7f"</f>
        <v/>
      </c>
      <c r="HM6">
        <f>#REF!+"vlM!7g"</f>
        <v/>
      </c>
      <c r="HN6">
        <f>#REF!+"vlM!7h"</f>
        <v/>
      </c>
      <c r="HO6">
        <f>#REF!+"vlM!7i"</f>
        <v/>
      </c>
      <c r="HP6">
        <f>#REF!+"vlM!7j"</f>
        <v/>
      </c>
      <c r="HQ6">
        <f>#REF!+"vlM!7k"</f>
        <v/>
      </c>
      <c r="HR6">
        <f>#REF!+"vlM!7l"</f>
        <v/>
      </c>
      <c r="HS6">
        <f>#REF!+"vlM!7m"</f>
        <v/>
      </c>
      <c r="HT6">
        <f>#REF!+"vlM!7n"</f>
        <v/>
      </c>
      <c r="HU6">
        <f>#REF!+"vlM!7o"</f>
        <v/>
      </c>
      <c r="HV6" s="1">
        <f>#REF!+"vlM!7p"</f>
        <v/>
      </c>
      <c r="HW6">
        <f>#REF!+"vlM!7q"</f>
        <v/>
      </c>
      <c r="HX6">
        <f>#REF!+"vlM!7r"</f>
        <v/>
      </c>
      <c r="HY6">
        <f>#REF!+"vlM!7s"</f>
        <v/>
      </c>
      <c r="HZ6">
        <f>#REF!+"vlM!7t"</f>
        <v/>
      </c>
      <c r="IA6">
        <f>#REF!+"vlM!7u"</f>
        <v/>
      </c>
      <c r="IB6">
        <f>#REF!+"vlM!7v"</f>
        <v/>
      </c>
      <c r="IC6">
        <f>#REF!+"vlM!7w"</f>
        <v/>
      </c>
      <c r="ID6">
        <f>#REF!+"vlM!7x"</f>
        <v/>
      </c>
      <c r="IE6">
        <f>#REF!+"vlM!7y"</f>
        <v/>
      </c>
      <c r="IF6">
        <f>#REF!+"vlM!7z"</f>
        <v/>
      </c>
      <c r="IG6">
        <f>#REF!+"vlM!7{"</f>
        <v/>
      </c>
      <c r="IH6">
        <f>#REF!+"vlM!7|"</f>
        <v/>
      </c>
      <c r="II6">
        <f>#REF!+"vlM!7}"</f>
        <v/>
      </c>
      <c r="IJ6">
        <f>#REF!+"vlM!7~"</f>
        <v/>
      </c>
      <c r="IK6" s="1">
        <f>#REF!+"vlM!8#"</f>
        <v/>
      </c>
      <c r="IL6">
        <f>#REF!+"vlM!8$"</f>
        <v/>
      </c>
      <c r="IM6">
        <f>#REF!+"vlM!8%"</f>
        <v/>
      </c>
      <c r="IN6">
        <f>#REF!+"vlM!8&amp;"</f>
        <v/>
      </c>
      <c r="IO6">
        <f>#REF!+"vlM!8'"</f>
        <v/>
      </c>
      <c r="IP6">
        <f>#REF!+"vlM!8("</f>
        <v/>
      </c>
      <c r="IQ6">
        <f>#REF!+"vlM!8)"</f>
        <v/>
      </c>
      <c r="IR6">
        <f>#REF!+"vlM!8."</f>
        <v/>
      </c>
      <c r="IS6">
        <f>#REF!+"vlM!8/"</f>
        <v/>
      </c>
      <c r="IT6">
        <f>#REF!+"vlM!80"</f>
        <v/>
      </c>
      <c r="IU6">
        <f>#REF!+"vlM!81"</f>
        <v/>
      </c>
      <c r="IV6">
        <f>#REF!+"vlM!82"</f>
        <v/>
      </c>
    </row>
    <row r="7">
      <c r="F7">
        <f>#REF!+"vlM!83"</f>
        <v/>
      </c>
      <c r="G7">
        <f>#REF!+"vlM!84"</f>
        <v/>
      </c>
      <c r="H7">
        <f>#REF!+"vlM!85"</f>
        <v/>
      </c>
      <c r="I7" s="1">
        <f>#REF!+"vlM!86"</f>
        <v/>
      </c>
      <c r="J7">
        <f>#REF!+"vlM!87"</f>
        <v/>
      </c>
      <c r="K7">
        <f>#REF!+"vlM!88"</f>
        <v/>
      </c>
      <c r="L7">
        <f>#REF!+"vlM!89"</f>
        <v/>
      </c>
      <c r="M7">
        <f>#REF!+"vlM!8:"</f>
        <v/>
      </c>
      <c r="N7">
        <f>#REF!+"vlM!8;"</f>
        <v/>
      </c>
      <c r="O7">
        <f>#REF!+"vlM!8&lt;"</f>
        <v/>
      </c>
      <c r="P7">
        <f>#REF!+"vlM!8="</f>
        <v/>
      </c>
      <c r="Q7">
        <f>#REF!+"vlM!8&gt;"</f>
        <v/>
      </c>
      <c r="R7">
        <f>#REF!+"vlM!8?"</f>
        <v/>
      </c>
      <c r="S7">
        <f>#REF!+"vlM!8@"</f>
        <v/>
      </c>
      <c r="T7">
        <f>#REF!+"vlM!8A"</f>
        <v/>
      </c>
      <c r="U7">
        <f>#REF!+"vlM!8B"</f>
        <v/>
      </c>
      <c r="V7">
        <f>#REF!+"vlM!8C"</f>
        <v/>
      </c>
      <c r="W7">
        <f>#REF!+"vlM!8D"</f>
        <v/>
      </c>
      <c r="X7" s="1">
        <f>#REF!+"vlM!8E"</f>
        <v/>
      </c>
      <c r="Y7">
        <f>#REF!+"vlM!8F"</f>
        <v/>
      </c>
      <c r="Z7">
        <f>#REF!+"vlM!8G"</f>
        <v/>
      </c>
      <c r="AA7">
        <f>#REF!+"vlM!8H"</f>
        <v/>
      </c>
      <c r="AB7">
        <f>#REF!+"vlM!8I"</f>
        <v/>
      </c>
      <c r="AC7">
        <f>#REF!+"vlM!8J"</f>
        <v/>
      </c>
      <c r="AD7">
        <f>#REF!+"vlM!8K"</f>
        <v/>
      </c>
      <c r="AE7">
        <f>#REF!+"vlM!8L"</f>
        <v/>
      </c>
      <c r="AF7">
        <f>#REF!+"vlM!8M"</f>
        <v/>
      </c>
      <c r="AG7">
        <f>#REF!+"vlM!8N"</f>
        <v/>
      </c>
      <c r="AH7">
        <f>#REF!+"vlM!8O"</f>
        <v/>
      </c>
      <c r="AI7">
        <f>#REF!+"vlM!8P"</f>
        <v/>
      </c>
      <c r="AJ7">
        <f>#REF!+"vlM!8Q"</f>
        <v/>
      </c>
      <c r="AK7">
        <f>#REF!+"vlM!8R"</f>
        <v/>
      </c>
      <c r="AL7">
        <f>#REF!+"vlM!8S"</f>
        <v/>
      </c>
      <c r="AM7" s="1">
        <f>#REF!+"vlM!8T"</f>
        <v/>
      </c>
      <c r="AN7">
        <f>#REF!+"vlM!8U"</f>
        <v/>
      </c>
      <c r="AO7">
        <f>#REF!+"vlM!8V"</f>
        <v/>
      </c>
      <c r="AP7">
        <f>#REF!+"vlM!8W"</f>
        <v/>
      </c>
      <c r="AQ7">
        <f>#REF!+"vlM!8X"</f>
        <v/>
      </c>
      <c r="AR7">
        <f>#REF!+"vlM!8Y"</f>
        <v/>
      </c>
      <c r="AS7">
        <f>#REF!+"vlM!8Z"</f>
        <v/>
      </c>
      <c r="AT7">
        <f>#REF!+"vlM!8["</f>
        <v/>
      </c>
      <c r="AU7">
        <f>#REF!+"vlM!8\"</f>
        <v/>
      </c>
      <c r="AV7">
        <f>#REF!+"vlM!8]"</f>
        <v/>
      </c>
      <c r="AW7">
        <f>#REF!+"vlM!8^"</f>
        <v/>
      </c>
      <c r="AX7">
        <f>#REF!+"vlM!8_"</f>
        <v/>
      </c>
      <c r="AY7">
        <f>#REF!+"vlM!8`"</f>
        <v/>
      </c>
      <c r="AZ7">
        <f>#REF!+"vlM!8a"</f>
        <v/>
      </c>
      <c r="BA7">
        <f>#REF!+"vlM!8b"</f>
        <v/>
      </c>
      <c r="BB7" s="1">
        <f>#REF!+"vlM!8c"</f>
        <v/>
      </c>
      <c r="BC7">
        <f>#REF!+"vlM!8d"</f>
        <v/>
      </c>
      <c r="BD7">
        <f>#REF!+"vlM!8e"</f>
        <v/>
      </c>
      <c r="BE7">
        <f>#REF!+"vlM!8f"</f>
        <v/>
      </c>
      <c r="BF7">
        <f>#REF!+"vlM!8g"</f>
        <v/>
      </c>
      <c r="BG7">
        <f>#REF!+"vlM!8h"</f>
        <v/>
      </c>
      <c r="BH7">
        <f>#REF!+"vlM!8i"</f>
        <v/>
      </c>
      <c r="BI7">
        <f>#REF!+"vlM!8j"</f>
        <v/>
      </c>
      <c r="BJ7">
        <f>#REF!+"vlM!8k"</f>
        <v/>
      </c>
      <c r="BK7">
        <f>#REF!+"vlM!8l"</f>
        <v/>
      </c>
      <c r="BL7">
        <f>#REF!+"vlM!8m"</f>
        <v/>
      </c>
      <c r="BM7">
        <f>#REF!+"vlM!8n"</f>
        <v/>
      </c>
      <c r="BN7">
        <f>#REF!+"vlM!8o"</f>
        <v/>
      </c>
      <c r="BO7">
        <f>#REF!+"vlM!8p"</f>
        <v/>
      </c>
      <c r="BP7">
        <f>#REF!+"vlM!8q"</f>
        <v/>
      </c>
      <c r="BQ7" s="1">
        <f>#REF!+"vlM!8r"</f>
        <v/>
      </c>
      <c r="BR7">
        <f>#REF!+"vlM!8s"</f>
        <v/>
      </c>
      <c r="BS7">
        <f>#REF!+"vlM!8t"</f>
        <v/>
      </c>
      <c r="BT7">
        <f>#REF!+"vlM!8u"</f>
        <v/>
      </c>
      <c r="BU7">
        <f>#REF!+"vlM!8v"</f>
        <v/>
      </c>
      <c r="BV7">
        <f>#REF!+"vlM!8w"</f>
        <v/>
      </c>
      <c r="BW7">
        <f>#REF!+"vlM!8x"</f>
        <v/>
      </c>
      <c r="BX7">
        <f>#REF!+"vlM!8y"</f>
        <v/>
      </c>
      <c r="BY7">
        <f>#REF!+"vlM!8z"</f>
        <v/>
      </c>
      <c r="BZ7">
        <f>#REF!+"vlM!8{"</f>
        <v/>
      </c>
      <c r="CA7">
        <f>#REF!+"vlM!8|"</f>
        <v/>
      </c>
      <c r="CB7">
        <f>#REF!+"vlM!8}"</f>
        <v/>
      </c>
      <c r="CC7">
        <f>#REF!+"vlM!8~"</f>
        <v/>
      </c>
      <c r="CD7">
        <f>#REF!+"vlM!9#"</f>
        <v/>
      </c>
      <c r="CE7">
        <f>#REF!+"vlM!9$"</f>
        <v/>
      </c>
      <c r="CF7" s="1">
        <f>#REF!+"vlM!9%"</f>
        <v/>
      </c>
      <c r="CG7">
        <f>#REF!+"vlM!9&amp;"</f>
        <v/>
      </c>
      <c r="CH7">
        <f>#REF!+"vlM!9'"</f>
        <v/>
      </c>
      <c r="CI7">
        <f>#REF!+"vlM!9("</f>
        <v/>
      </c>
      <c r="CJ7">
        <f>#REF!+"vlM!9)"</f>
        <v/>
      </c>
      <c r="CK7">
        <f>#REF!+"vlM!9."</f>
        <v/>
      </c>
      <c r="CL7">
        <f>#REF!+"vlM!9/"</f>
        <v/>
      </c>
      <c r="CM7">
        <f>#REF!+"vlM!90"</f>
        <v/>
      </c>
      <c r="CN7">
        <f>#REF!+"vlM!91"</f>
        <v/>
      </c>
      <c r="CO7">
        <f>#REF!+"vlM!92"</f>
        <v/>
      </c>
      <c r="CP7">
        <f>#REF!+"vlM!93"</f>
        <v/>
      </c>
      <c r="CQ7">
        <f>#REF!+"vlM!94"</f>
        <v/>
      </c>
      <c r="CR7">
        <f>#REF!+"vlM!95"</f>
        <v/>
      </c>
      <c r="CS7">
        <f>#REF!+"vlM!96"</f>
        <v/>
      </c>
      <c r="CT7">
        <f>#REF!+"vlM!97"</f>
        <v/>
      </c>
      <c r="CU7" s="1">
        <f>#REF!+"vlM!98"</f>
        <v/>
      </c>
      <c r="CV7">
        <f>#REF!+"vlM!99"</f>
        <v/>
      </c>
      <c r="CW7">
        <f>#REF!+"vlM!9:"</f>
        <v/>
      </c>
      <c r="CX7">
        <f>#REF!+"vlM!9;"</f>
        <v/>
      </c>
      <c r="CY7">
        <f>#REF!+"vlM!9&lt;"</f>
        <v/>
      </c>
      <c r="CZ7">
        <f>#REF!+"vlM!9="</f>
        <v/>
      </c>
      <c r="DA7">
        <f>#REF!+"vlM!9&gt;"</f>
        <v/>
      </c>
      <c r="DB7">
        <f>#REF!+"vlM!9?"</f>
        <v/>
      </c>
      <c r="DC7">
        <f>#REF!+"vlM!9@"</f>
        <v/>
      </c>
      <c r="DD7">
        <f>#REF!+"vlM!9A"</f>
        <v/>
      </c>
      <c r="DE7">
        <f>#REF!+"vlM!9B"</f>
        <v/>
      </c>
      <c r="DF7">
        <f>#REF!+"vlM!9C"</f>
        <v/>
      </c>
      <c r="DG7">
        <f>#REF!+"vlM!9D"</f>
        <v/>
      </c>
      <c r="DH7">
        <f>#REF!+"vlM!9E"</f>
        <v/>
      </c>
      <c r="DI7">
        <f>#REF!+"vlM!9F"</f>
        <v/>
      </c>
      <c r="DJ7" s="1">
        <f>#REF!+"vlM!9G"</f>
        <v/>
      </c>
      <c r="DK7">
        <f>#REF!+"vlM!9H"</f>
        <v/>
      </c>
      <c r="DL7">
        <f>#REF!+"vlM!9I"</f>
        <v/>
      </c>
      <c r="DM7">
        <f>#REF!+"vlM!9J"</f>
        <v/>
      </c>
      <c r="DN7">
        <f>#REF!+"vlM!9K"</f>
        <v/>
      </c>
      <c r="DO7">
        <f>#REF!+"vlM!9L"</f>
        <v/>
      </c>
      <c r="DP7">
        <f>#REF!+"vlM!9M"</f>
        <v/>
      </c>
      <c r="DQ7">
        <f>#REF!+"vlM!9N"</f>
        <v/>
      </c>
      <c r="DR7">
        <f>#REF!+"vlM!9O"</f>
        <v/>
      </c>
      <c r="DS7">
        <f>#REF!+"vlM!9P"</f>
        <v/>
      </c>
      <c r="DT7">
        <f>#REF!+"vlM!9Q"</f>
        <v/>
      </c>
      <c r="DU7">
        <f>#REF!+"vlM!9R"</f>
        <v/>
      </c>
      <c r="DV7">
        <f>#REF!+"vlM!9S"</f>
        <v/>
      </c>
      <c r="DW7">
        <f>#REF!+"vlM!9T"</f>
        <v/>
      </c>
      <c r="DX7">
        <f>#REF!+"vlM!9U"</f>
        <v/>
      </c>
      <c r="DY7" s="1">
        <f>#REF!+"vlM!9V"</f>
        <v/>
      </c>
      <c r="DZ7">
        <f>#REF!+"vlM!9W"</f>
        <v/>
      </c>
      <c r="EA7">
        <f>#REF!+"vlM!9X"</f>
        <v/>
      </c>
      <c r="EB7">
        <f>#REF!+"vlM!9Y"</f>
        <v/>
      </c>
      <c r="EC7">
        <f>#REF!+"vlM!9Z"</f>
        <v/>
      </c>
      <c r="ED7">
        <f>#REF!+"vlM!9["</f>
        <v/>
      </c>
      <c r="EE7">
        <f>#REF!+"vlM!9\"</f>
        <v/>
      </c>
      <c r="EF7">
        <f>#REF!+"vlM!9]"</f>
        <v/>
      </c>
      <c r="EG7">
        <f>#REF!+"vlM!9^"</f>
        <v/>
      </c>
      <c r="EH7">
        <f>#REF!+"vlM!9_"</f>
        <v/>
      </c>
      <c r="EI7">
        <f>#REF!+"vlM!9`"</f>
        <v/>
      </c>
      <c r="EJ7">
        <f>#REF!+"vlM!9a"</f>
        <v/>
      </c>
      <c r="EK7">
        <f>#REF!+"vlM!9b"</f>
        <v/>
      </c>
      <c r="EL7">
        <f>#REF!+"vlM!9c"</f>
        <v/>
      </c>
      <c r="EM7">
        <f>#REF!+"vlM!9d"</f>
        <v/>
      </c>
      <c r="EN7" s="1">
        <f>#REF!+"vlM!9e"</f>
        <v/>
      </c>
      <c r="EO7">
        <f>#REF!+"vlM!9f"</f>
        <v/>
      </c>
      <c r="EP7">
        <f>#REF!+"vlM!9g"</f>
        <v/>
      </c>
      <c r="EQ7">
        <f>#REF!+"vlM!9h"</f>
        <v/>
      </c>
      <c r="ER7">
        <f>#REF!+"vlM!9i"</f>
        <v/>
      </c>
      <c r="ES7">
        <f>#REF!+"vlM!9j"</f>
        <v/>
      </c>
      <c r="ET7">
        <f>#REF!+"vlM!9k"</f>
        <v/>
      </c>
      <c r="EU7">
        <f>#REF!+"vlM!9l"</f>
        <v/>
      </c>
      <c r="EV7">
        <f>#REF!+"vlM!9m"</f>
        <v/>
      </c>
      <c r="EW7">
        <f>#REF!+"vlM!9n"</f>
        <v/>
      </c>
      <c r="EX7">
        <f>#REF!+"vlM!9o"</f>
        <v/>
      </c>
      <c r="EY7">
        <f>#REF!+"vlM!9p"</f>
        <v/>
      </c>
      <c r="EZ7">
        <f>#REF!+"vlM!9q"</f>
        <v/>
      </c>
      <c r="FA7">
        <f>#REF!+"vlM!9r"</f>
        <v/>
      </c>
      <c r="FB7">
        <f>#REF!+"vlM!9s"</f>
        <v/>
      </c>
      <c r="FC7" s="1">
        <f>#REF!+"vlM!9t"</f>
        <v/>
      </c>
      <c r="FD7">
        <f>#REF!+"vlM!9u"</f>
        <v/>
      </c>
      <c r="FE7">
        <f>#REF!+"vlM!9v"</f>
        <v/>
      </c>
      <c r="FF7">
        <f>#REF!+"vlM!9w"</f>
        <v/>
      </c>
      <c r="FG7">
        <f>#REF!+"vlM!9x"</f>
        <v/>
      </c>
      <c r="FH7">
        <f>#REF!+"vlM!9y"</f>
        <v/>
      </c>
      <c r="FI7">
        <f>#REF!+"vlM!9z"</f>
        <v/>
      </c>
      <c r="FJ7">
        <f>#REF!+"vlM!9{"</f>
        <v/>
      </c>
      <c r="FK7">
        <f>#REF!+"vlM!9|"</f>
        <v/>
      </c>
      <c r="FL7">
        <f>#REF!+"vlM!9}"</f>
        <v/>
      </c>
      <c r="FM7">
        <f>#REF!+"vlM!9~"</f>
        <v/>
      </c>
      <c r="FN7">
        <f>#REF!+"vlM!:#"</f>
        <v/>
      </c>
      <c r="FO7">
        <f>#REF!+"vlM!:$"</f>
        <v/>
      </c>
      <c r="FP7">
        <f>#REF!+"vlM!:%"</f>
        <v/>
      </c>
      <c r="FQ7">
        <f>#REF!+"vlM!:&amp;"</f>
        <v/>
      </c>
      <c r="FR7" s="1">
        <f>#REF!+"vlM!:'"</f>
        <v/>
      </c>
      <c r="FS7">
        <f>#REF!+"vlM!:("</f>
        <v/>
      </c>
      <c r="FT7">
        <f>#REF!+"vlM!:)"</f>
        <v/>
      </c>
      <c r="FU7">
        <f>#REF!+"vlM!:."</f>
        <v/>
      </c>
      <c r="FV7">
        <f>#REF!+"vlM!:/"</f>
        <v/>
      </c>
      <c r="FW7">
        <f>#REF!+"vlM!:0"</f>
        <v/>
      </c>
      <c r="FX7">
        <f>#REF!+"vlM!:1"</f>
        <v/>
      </c>
      <c r="FY7">
        <f>#REF!+"vlM!:2"</f>
        <v/>
      </c>
      <c r="FZ7">
        <f>#REF!+"vlM!:3"</f>
        <v/>
      </c>
      <c r="GA7">
        <f>#REF!+"vlM!:4"</f>
        <v/>
      </c>
      <c r="GB7">
        <f>#REF!+"vlM!:5"</f>
        <v/>
      </c>
      <c r="GC7">
        <f>#REF!+"vlM!:6"</f>
        <v/>
      </c>
      <c r="GD7">
        <f>#REF!+"vlM!:7"</f>
        <v/>
      </c>
      <c r="GE7">
        <f>#REF!+"vlM!:8"</f>
        <v/>
      </c>
      <c r="GF7">
        <f>#REF!+"vlM!:9"</f>
        <v/>
      </c>
      <c r="GG7" s="1">
        <f>#REF!+"vlM!::"</f>
        <v/>
      </c>
      <c r="GH7">
        <f>#REF!+"vlM!:;"</f>
        <v/>
      </c>
      <c r="GI7">
        <f>#REF!+"vlM!:&lt;"</f>
        <v/>
      </c>
      <c r="GJ7">
        <f>#REF!+"vlM!:="</f>
        <v/>
      </c>
      <c r="GK7">
        <f>#REF!+"vlM!:&gt;"</f>
        <v/>
      </c>
      <c r="GL7">
        <f>#REF!+"vlM!:?"</f>
        <v/>
      </c>
      <c r="GM7">
        <f>#REF!+"vlM!:@"</f>
        <v/>
      </c>
      <c r="GN7">
        <f>#REF!+"vlM!:A"</f>
        <v/>
      </c>
      <c r="GO7">
        <f>#REF!+"vlM!:B"</f>
        <v/>
      </c>
      <c r="GP7">
        <f>#REF!+"vlM!:C"</f>
        <v/>
      </c>
      <c r="GQ7">
        <f>#REF!+"vlM!:D"</f>
        <v/>
      </c>
      <c r="GR7">
        <f>#REF!+"vlM!:E"</f>
        <v/>
      </c>
      <c r="GS7">
        <f>#REF!+"vlM!:F"</f>
        <v/>
      </c>
      <c r="GT7">
        <f>#REF!+"vlM!:G"</f>
        <v/>
      </c>
      <c r="GU7">
        <f>#REF!+"vlM!:H"</f>
        <v/>
      </c>
      <c r="GV7" s="1">
        <f>#REF!+"vlM!:I"</f>
        <v/>
      </c>
      <c r="GW7">
        <f>#REF!+"vlM!:J"</f>
        <v/>
      </c>
      <c r="GX7">
        <f>#REF!+"vlM!:K"</f>
        <v/>
      </c>
      <c r="GY7">
        <f>#REF!+"vlM!:L"</f>
        <v/>
      </c>
      <c r="GZ7">
        <f>#REF!+"vlM!:M"</f>
        <v/>
      </c>
      <c r="HA7">
        <f>#REF!+"vlM!:N"</f>
        <v/>
      </c>
      <c r="HB7">
        <f>#REF!+"vlM!:O"</f>
        <v/>
      </c>
      <c r="HC7">
        <f>#REF!+"vlM!:P"</f>
        <v/>
      </c>
      <c r="HD7">
        <f>#REF!+"vlM!:Q"</f>
        <v/>
      </c>
      <c r="HE7">
        <f>#REF!+"vlM!:R"</f>
        <v/>
      </c>
      <c r="HF7">
        <f>#REF!+"vlM!:S"</f>
        <v/>
      </c>
      <c r="HG7">
        <f>#REF!+"vlM!:T"</f>
        <v/>
      </c>
      <c r="HH7">
        <f>#REF!+"vlM!:U"</f>
        <v/>
      </c>
      <c r="HI7">
        <f>#REF!+"vlM!:V"</f>
        <v/>
      </c>
      <c r="HJ7">
        <f>#REF!+"vlM!:W"</f>
        <v/>
      </c>
      <c r="HK7" s="1">
        <f>#REF!+"vlM!:X"</f>
        <v/>
      </c>
      <c r="HL7">
        <f>#REF!+"vlM!:Y"</f>
        <v/>
      </c>
      <c r="HM7">
        <f>#REF!+"vlM!:Z"</f>
        <v/>
      </c>
      <c r="HN7">
        <f>#REF!+"vlM!:["</f>
        <v/>
      </c>
      <c r="HO7">
        <f>#REF!+"vlM!:\"</f>
        <v/>
      </c>
      <c r="HP7">
        <f>#REF!+"vlM!:]"</f>
        <v/>
      </c>
      <c r="HQ7">
        <f>#REF!+"vlM!:^"</f>
        <v/>
      </c>
      <c r="HR7">
        <f>#REF!+"vlM!:_"</f>
        <v/>
      </c>
      <c r="HS7">
        <f>#REF!+"vlM!:`"</f>
        <v/>
      </c>
      <c r="HT7">
        <f>#REF!+"vlM!:a"</f>
        <v/>
      </c>
      <c r="HU7">
        <f>#REF!+"vlM!:b"</f>
        <v/>
      </c>
      <c r="HV7">
        <f>#REF!+"vlM!:c"</f>
        <v/>
      </c>
      <c r="HW7">
        <f>#REF!+"vlM!:d"</f>
        <v/>
      </c>
      <c r="HX7">
        <f>#REF!+"vlM!:e"</f>
        <v/>
      </c>
      <c r="HY7">
        <f>#REF!+"vlM!:f"</f>
        <v/>
      </c>
      <c r="HZ7" s="1">
        <f>#REF!+"vlM!:g"</f>
        <v/>
      </c>
      <c r="IA7">
        <f>#REF!+"vlM!:h"</f>
        <v/>
      </c>
      <c r="IB7">
        <f>#REF!+"vlM!:i"</f>
        <v/>
      </c>
      <c r="IC7">
        <f>#REF!+"vlM!:j"</f>
        <v/>
      </c>
      <c r="ID7">
        <f>#REF!+"vlM!:k"</f>
        <v/>
      </c>
      <c r="IE7">
        <f>#REF!+"vlM!:l"</f>
        <v/>
      </c>
      <c r="IF7">
        <f>#REF!+"vlM!:m"</f>
        <v/>
      </c>
      <c r="IG7">
        <f>#REF!+"vlM!:n"</f>
        <v/>
      </c>
      <c r="IH7">
        <f>#REF!+"vlM!:o"</f>
        <v/>
      </c>
      <c r="II7">
        <f>#REF!+"vlM!:p"</f>
        <v/>
      </c>
      <c r="IJ7">
        <f>#REF!+"vlM!:q"</f>
        <v/>
      </c>
      <c r="IK7">
        <f>#REF!+"vlM!:r"</f>
        <v/>
      </c>
      <c r="IL7">
        <f>#REF!+"vlM!:s"</f>
        <v/>
      </c>
      <c r="IM7">
        <f>#REF!+"vlM!:t"</f>
        <v/>
      </c>
      <c r="IN7">
        <f>#REF!+"vlM!:u"</f>
        <v/>
      </c>
      <c r="IO7" s="1">
        <f>#REF!+"vlM!:v"</f>
        <v/>
      </c>
      <c r="IP7">
        <f>#REF!+"vlM!:w"</f>
        <v/>
      </c>
      <c r="IQ7">
        <f>#REF!+"vlM!:x"</f>
        <v/>
      </c>
      <c r="IR7">
        <f>#REF!+"vlM!:y"</f>
        <v/>
      </c>
      <c r="IS7">
        <f>#REF!+"vlM!:z"</f>
        <v/>
      </c>
      <c r="IT7">
        <f>#REF!+"vlM!:{"</f>
        <v/>
      </c>
      <c r="IU7">
        <f>#REF!+"vlM!:|"</f>
        <v/>
      </c>
      <c r="IV7">
        <f>#REF!+"vlM!:}"</f>
        <v/>
      </c>
    </row>
    <row r="8">
      <c r="F8">
        <f>#REF!+"vlM!:~"</f>
        <v/>
      </c>
      <c r="G8">
        <f>#REF!+"vlM!;#"</f>
        <v/>
      </c>
      <c r="H8">
        <f>#REF!+"vlM!;$"</f>
        <v/>
      </c>
      <c r="I8">
        <f>#REF!+"vlM!;%"</f>
        <v/>
      </c>
      <c r="J8">
        <f>#REF!+"vlM!;&amp;"</f>
        <v/>
      </c>
      <c r="K8">
        <f>#REF!+"vlM!;'"</f>
        <v/>
      </c>
      <c r="L8">
        <f>#REF!+"vlM!;("</f>
        <v/>
      </c>
      <c r="M8" s="1">
        <f>#REF!+"vlM!;)"</f>
        <v/>
      </c>
      <c r="N8">
        <f>#REF!+"vlM!;."</f>
        <v/>
      </c>
      <c r="O8">
        <f>#REF!+"vlM!;/"</f>
        <v/>
      </c>
      <c r="P8">
        <f>#REF!+"vlM!;0"</f>
        <v/>
      </c>
      <c r="Q8">
        <f>#REF!+"vlM!;1"</f>
        <v/>
      </c>
      <c r="R8">
        <f>#REF!+"vlM!;2"</f>
        <v/>
      </c>
      <c r="S8">
        <f>#REF!+"vlM!;3"</f>
        <v/>
      </c>
      <c r="T8">
        <f>#REF!+"vlM!;4"</f>
        <v/>
      </c>
      <c r="U8">
        <f>#REF!+"vlM!;5"</f>
        <v/>
      </c>
      <c r="V8">
        <f>#REF!+"vlM!;6"</f>
        <v/>
      </c>
      <c r="W8">
        <f>#REF!+"vlM!;7"</f>
        <v/>
      </c>
      <c r="X8">
        <f>#REF!+"vlM!;8"</f>
        <v/>
      </c>
      <c r="Y8">
        <f>#REF!+"vlM!;9"</f>
        <v/>
      </c>
      <c r="Z8">
        <f>#REF!+"vlM!;:"</f>
        <v/>
      </c>
      <c r="AA8">
        <f>#REF!+"vlM!;;"</f>
        <v/>
      </c>
      <c r="AB8" s="1">
        <f>#REF!+"vlM!;&lt;"</f>
        <v/>
      </c>
      <c r="AC8">
        <f>#REF!+"vlM!;="</f>
        <v/>
      </c>
      <c r="AD8">
        <f>#REF!+"vlM!;&gt;"</f>
        <v/>
      </c>
      <c r="AE8">
        <f>#REF!+"vlM!;?"</f>
        <v/>
      </c>
      <c r="AF8">
        <f>#REF!+"vlM!;@"</f>
        <v/>
      </c>
      <c r="AG8">
        <f>#REF!+"vlM!;A"</f>
        <v/>
      </c>
      <c r="AH8">
        <f>#REF!+"vlM!;B"</f>
        <v/>
      </c>
      <c r="AI8">
        <f>#REF!+"vlM!;C"</f>
        <v/>
      </c>
      <c r="AJ8">
        <f>#REF!+"vlM!;D"</f>
        <v/>
      </c>
      <c r="AK8">
        <f>#REF!+"vlM!;E"</f>
        <v/>
      </c>
      <c r="AL8">
        <f>#REF!+"vlM!;F"</f>
        <v/>
      </c>
      <c r="AM8">
        <f>#REF!+"vlM!;G"</f>
        <v/>
      </c>
      <c r="AN8">
        <f>#REF!+"vlM!;H"</f>
        <v/>
      </c>
      <c r="AO8">
        <f>#REF!+"vlM!;I"</f>
        <v/>
      </c>
      <c r="AP8">
        <f>#REF!+"vlM!;J"</f>
        <v/>
      </c>
      <c r="AQ8" s="1">
        <f>#REF!+"vlM!;K"</f>
        <v/>
      </c>
      <c r="AR8">
        <f>#REF!+"vlM!;L"</f>
        <v/>
      </c>
      <c r="AS8">
        <f>#REF!+"vlM!;M"</f>
        <v/>
      </c>
      <c r="AT8">
        <f>#REF!+"vlM!;N"</f>
        <v/>
      </c>
      <c r="AU8">
        <f>#REF!+"vlM!;O"</f>
        <v/>
      </c>
      <c r="AV8">
        <f>#REF!+"vlM!;P"</f>
        <v/>
      </c>
      <c r="AW8">
        <f>#REF!+"vlM!;Q"</f>
        <v/>
      </c>
      <c r="AX8">
        <f>#REF!+"vlM!;R"</f>
        <v/>
      </c>
      <c r="AY8">
        <f>#REF!+"vlM!;S"</f>
        <v/>
      </c>
      <c r="AZ8">
        <f>#REF!+"vlM!;T"</f>
        <v/>
      </c>
      <c r="BA8">
        <f>#REF!+"vlM!;U"</f>
        <v/>
      </c>
      <c r="BB8">
        <f>#REF!+"vlM!;V"</f>
        <v/>
      </c>
      <c r="BC8">
        <f>#REF!+"vlM!;W"</f>
        <v/>
      </c>
      <c r="BD8">
        <f>#REF!+"vlM!;X"</f>
        <v/>
      </c>
      <c r="BE8">
        <f>#REF!+"vlM!;Y"</f>
        <v/>
      </c>
      <c r="BF8" s="1">
        <f>#REF!+"vlM!;Z"</f>
        <v/>
      </c>
      <c r="BG8">
        <f>#REF!+"vlM!;["</f>
        <v/>
      </c>
      <c r="BH8">
        <f>#REF!+"vlM!;\"</f>
        <v/>
      </c>
      <c r="BI8">
        <f>#REF!+"vlM!;]"</f>
        <v/>
      </c>
      <c r="BJ8">
        <f>#REF!+"vlM!;^"</f>
        <v/>
      </c>
      <c r="BK8">
        <f>#REF!+"vlM!;_"</f>
        <v/>
      </c>
      <c r="BL8">
        <f>#REF!+"vlM!;`"</f>
        <v/>
      </c>
      <c r="BM8">
        <f>#REF!+"vlM!;a"</f>
        <v/>
      </c>
      <c r="BN8">
        <f>#REF!+"vlM!;b"</f>
        <v/>
      </c>
      <c r="BO8">
        <f>#REF!+"vlM!;c"</f>
        <v/>
      </c>
      <c r="BP8">
        <f>#REF!+"vlM!;d"</f>
        <v/>
      </c>
      <c r="BQ8">
        <f>#REF!+"vlM!;e"</f>
        <v/>
      </c>
      <c r="BR8">
        <f>#REF!+"vlM!;f"</f>
        <v/>
      </c>
      <c r="BS8">
        <f>#REF!+"vlM!;g"</f>
        <v/>
      </c>
      <c r="BT8">
        <f>#REF!+"vlM!;h"</f>
        <v/>
      </c>
      <c r="BU8" s="1">
        <f>#REF!+"vlM!;i"</f>
        <v/>
      </c>
      <c r="BV8">
        <f>#REF!+"vlM!;j"</f>
        <v/>
      </c>
      <c r="BW8">
        <f>#REF!+"vlM!;k"</f>
        <v/>
      </c>
      <c r="BX8">
        <f>#REF!+"vlM!;l"</f>
        <v/>
      </c>
      <c r="BY8">
        <f>#REF!+"vlM!;m"</f>
        <v/>
      </c>
      <c r="BZ8">
        <f>#REF!+"vlM!;n"</f>
        <v/>
      </c>
      <c r="CA8">
        <f>#REF!+"vlM!;o"</f>
        <v/>
      </c>
      <c r="CB8">
        <f>#REF!+"vlM!;p"</f>
        <v/>
      </c>
      <c r="CC8">
        <f>#REF!+"vlM!;q"</f>
        <v/>
      </c>
      <c r="CD8">
        <f>#REF!+"vlM!;r"</f>
        <v/>
      </c>
      <c r="CE8">
        <f>#REF!+"vlM!;s"</f>
        <v/>
      </c>
      <c r="CF8">
        <f>#REF!+"vlM!;t"</f>
        <v/>
      </c>
      <c r="CG8">
        <f>#REF!+"vlM!;u"</f>
        <v/>
      </c>
      <c r="CH8">
        <f>#REF!+"vlM!;v"</f>
        <v/>
      </c>
      <c r="CI8">
        <f>#REF!+"vlM!;w"</f>
        <v/>
      </c>
      <c r="CJ8" s="1">
        <f>#REF!+"vlM!;x"</f>
        <v/>
      </c>
      <c r="CK8">
        <f>#REF!+"vlM!;y"</f>
        <v/>
      </c>
      <c r="CL8">
        <f>#REF!+"vlM!;z"</f>
        <v/>
      </c>
      <c r="CM8">
        <f>#REF!+"vlM!;{"</f>
        <v/>
      </c>
      <c r="CN8">
        <f>#REF!+"vlM!;|"</f>
        <v/>
      </c>
      <c r="CO8">
        <f>#REF!+"vlM!;}"</f>
        <v/>
      </c>
      <c r="CP8">
        <f>#REF!+"vlM!;~"</f>
        <v/>
      </c>
      <c r="CQ8">
        <f>#REF!+"vlM!&lt;#"</f>
        <v/>
      </c>
      <c r="CR8">
        <f>#REF!+"vlM!&lt;$"</f>
        <v/>
      </c>
      <c r="CS8">
        <f>#REF!+"vlM!&lt;%"</f>
        <v/>
      </c>
      <c r="CT8">
        <f>#REF!+"vlM!&lt;&amp;"</f>
        <v/>
      </c>
      <c r="CU8">
        <f>#REF!+"vlM!&lt;'"</f>
        <v/>
      </c>
      <c r="CV8">
        <f>#REF!+"vlM!&lt;("</f>
        <v/>
      </c>
      <c r="CW8">
        <f>#REF!+"vlM!&lt;)"</f>
        <v/>
      </c>
      <c r="CX8">
        <f>#REF!+"vlM!&lt;."</f>
        <v/>
      </c>
      <c r="CY8" s="1">
        <f>#REF!+"vlM!&lt;/"</f>
        <v/>
      </c>
      <c r="CZ8">
        <f>#REF!+"vlM!&lt;0"</f>
        <v/>
      </c>
      <c r="DA8">
        <f>#REF!+"vlM!&lt;1"</f>
        <v/>
      </c>
      <c r="DB8">
        <f>#REF!+"vlM!&lt;2"</f>
        <v/>
      </c>
      <c r="DC8">
        <f>#REF!+"vlM!&lt;3"</f>
        <v/>
      </c>
      <c r="DD8">
        <f>#REF!+"vlM!&lt;4"</f>
        <v/>
      </c>
      <c r="DE8">
        <f>#REF!+"vlM!&lt;5"</f>
        <v/>
      </c>
      <c r="DF8">
        <f>#REF!+"vlM!&lt;6"</f>
        <v/>
      </c>
      <c r="DG8">
        <f>#REF!+"vlM!&lt;7"</f>
        <v/>
      </c>
      <c r="DH8">
        <f>#REF!+"vlM!&lt;8"</f>
        <v/>
      </c>
      <c r="DI8">
        <f>#REF!+"vlM!&lt;9"</f>
        <v/>
      </c>
      <c r="DJ8">
        <f>#REF!+"vlM!&lt;:"</f>
        <v/>
      </c>
      <c r="DK8">
        <f>#REF!+"vlM!&lt;;"</f>
        <v/>
      </c>
      <c r="DL8">
        <f>#REF!+"vlM!&lt;&lt;"</f>
        <v/>
      </c>
      <c r="DM8">
        <f>#REF!+"vlM!&lt;="</f>
        <v/>
      </c>
      <c r="DN8" s="1">
        <f>#REF!+"vlM!&lt;&gt;"</f>
        <v/>
      </c>
      <c r="DO8">
        <f>#REF!+"vlM!&lt;?"</f>
        <v/>
      </c>
      <c r="DP8">
        <f>#REF!+"vlM!&lt;@"</f>
        <v/>
      </c>
      <c r="DQ8">
        <f>#REF!+"vlM!&lt;A"</f>
        <v/>
      </c>
      <c r="DR8">
        <f>#REF!+"vlM!&lt;B"</f>
        <v/>
      </c>
      <c r="DS8">
        <f>#REF!+"vlM!&lt;C"</f>
        <v/>
      </c>
      <c r="DT8">
        <f>#REF!+"vlM!&lt;D"</f>
        <v/>
      </c>
      <c r="DU8">
        <f>#REF!+"vlM!&lt;E"</f>
        <v/>
      </c>
      <c r="DV8">
        <f>#REF!+"vlM!&lt;F"</f>
        <v/>
      </c>
      <c r="DW8">
        <f>#REF!+"vlM!&lt;G"</f>
        <v/>
      </c>
      <c r="DX8">
        <f>#REF!+"vlM!&lt;H"</f>
        <v/>
      </c>
      <c r="DY8">
        <f>#REF!+"vlM!&lt;I"</f>
        <v/>
      </c>
      <c r="DZ8">
        <f>#REF!+"vlM!&lt;J"</f>
        <v/>
      </c>
      <c r="EA8">
        <f>#REF!+"vlM!&lt;K"</f>
        <v/>
      </c>
      <c r="EB8">
        <f>#REF!+"vlM!&lt;L"</f>
        <v/>
      </c>
      <c r="EC8" s="1">
        <f>#REF!+"vlM!&lt;M"</f>
        <v/>
      </c>
      <c r="ED8">
        <f>#REF!+"vlM!&lt;N"</f>
        <v/>
      </c>
      <c r="EE8">
        <f>#REF!+"vlM!&lt;O"</f>
        <v/>
      </c>
      <c r="EF8">
        <f>#REF!+"vlM!&lt;P"</f>
        <v/>
      </c>
      <c r="EG8">
        <f>#REF!+"vlM!&lt;Q"</f>
        <v/>
      </c>
      <c r="EH8">
        <f>#REF!+"vlM!&lt;R"</f>
        <v/>
      </c>
      <c r="EI8">
        <f>#REF!+"vlM!&lt;S"</f>
        <v/>
      </c>
      <c r="EJ8">
        <f>#REF!+"vlM!&lt;T"</f>
        <v/>
      </c>
      <c r="EK8">
        <f>#REF!+"vlM!&lt;U"</f>
        <v/>
      </c>
      <c r="EL8">
        <f>#REF!+"vlM!&lt;V"</f>
        <v/>
      </c>
      <c r="EM8">
        <f>#REF!+"vlM!&lt;W"</f>
        <v/>
      </c>
      <c r="EN8">
        <f>#REF!+"vlM!&lt;X"</f>
        <v/>
      </c>
      <c r="EO8">
        <f>#REF!+"vlM!&lt;Y"</f>
        <v/>
      </c>
      <c r="EP8">
        <f>#REF!+"vlM!&lt;Z"</f>
        <v/>
      </c>
      <c r="EQ8">
        <f>#REF!+"vlM!&lt;["</f>
        <v/>
      </c>
      <c r="ER8" s="1">
        <f>#REF!+"vlM!&lt;\"</f>
        <v/>
      </c>
      <c r="ES8">
        <f>#REF!+"vlM!&lt;]"</f>
        <v/>
      </c>
      <c r="ET8">
        <f>#REF!+"vlM!&lt;^"</f>
        <v/>
      </c>
      <c r="EU8">
        <f>#REF!+"vlM!&lt;_"</f>
        <v/>
      </c>
      <c r="EV8">
        <f>#REF!+"vlM!&lt;`"</f>
        <v/>
      </c>
      <c r="EW8">
        <f>#REF!+"vlM!&lt;a"</f>
        <v/>
      </c>
      <c r="EX8">
        <f>#REF!+"vlM!&lt;b"</f>
        <v/>
      </c>
      <c r="EY8">
        <f>#REF!+"vlM!&lt;c"</f>
        <v/>
      </c>
      <c r="EZ8">
        <f>#REF!+"vlM!&lt;d"</f>
        <v/>
      </c>
      <c r="FA8">
        <f>#REF!+"vlM!&lt;e"</f>
        <v/>
      </c>
      <c r="FB8">
        <f>#REF!+"vlM!&lt;f"</f>
        <v/>
      </c>
      <c r="FC8">
        <f>#REF!+"vlM!&lt;g"</f>
        <v/>
      </c>
      <c r="FD8">
        <f>#REF!+"vlM!&lt;h"</f>
        <v/>
      </c>
      <c r="FE8">
        <f>#REF!+"vlM!&lt;i"</f>
        <v/>
      </c>
      <c r="FF8">
        <f>#REF!+"vlM!&lt;j"</f>
        <v/>
      </c>
      <c r="FG8" s="1">
        <f>#REF!+"vlM!&lt;k"</f>
        <v/>
      </c>
      <c r="FH8">
        <f>#REF!+"vlM!&lt;l"</f>
        <v/>
      </c>
      <c r="FI8">
        <f>#REF!+"vlM!&lt;m"</f>
        <v/>
      </c>
      <c r="FJ8">
        <f>#REF!+"vlM!&lt;n"</f>
        <v/>
      </c>
      <c r="FK8">
        <f>#REF!+"vlM!&lt;o"</f>
        <v/>
      </c>
      <c r="FL8">
        <f>#REF!+"vlM!&lt;p"</f>
        <v/>
      </c>
      <c r="FM8">
        <f>#REF!+"vlM!&lt;q"</f>
        <v/>
      </c>
      <c r="FN8">
        <f>#REF!+"vlM!&lt;r"</f>
        <v/>
      </c>
      <c r="FO8">
        <f>#REF!+"vlM!&lt;s"</f>
        <v/>
      </c>
      <c r="FP8">
        <f>#REF!+"vlM!&lt;t"</f>
        <v/>
      </c>
      <c r="FQ8">
        <f>#REF!+"vlM!&lt;u"</f>
        <v/>
      </c>
      <c r="FR8">
        <f>#REF!+"vlM!&lt;v"</f>
        <v/>
      </c>
      <c r="FS8">
        <f>#REF!+"vlM!&lt;w"</f>
        <v/>
      </c>
      <c r="FT8">
        <f>#REF!+"vlM!&lt;x"</f>
        <v/>
      </c>
      <c r="FU8">
        <f>#REF!+"vlM!&lt;y"</f>
        <v/>
      </c>
      <c r="FV8" s="1">
        <f>#REF!+"vlM!&lt;z"</f>
        <v/>
      </c>
      <c r="FW8">
        <f>#REF!+"vlM!&lt;{"</f>
        <v/>
      </c>
      <c r="FX8">
        <f>#REF!+"vlM!&lt;|"</f>
        <v/>
      </c>
      <c r="FY8">
        <f>#REF!+"vlM!&lt;}"</f>
        <v/>
      </c>
      <c r="FZ8">
        <f>#REF!+"vlM!&lt;~"</f>
        <v/>
      </c>
      <c r="GA8">
        <f>#REF!+"vlM!=#"</f>
        <v/>
      </c>
      <c r="GB8">
        <f>#REF!+"vlM!=$"</f>
        <v/>
      </c>
      <c r="GC8">
        <f>#REF!+"vlM!=%"</f>
        <v/>
      </c>
      <c r="GD8">
        <f>#REF!+"vlM!=&amp;"</f>
        <v/>
      </c>
      <c r="GE8">
        <f>#REF!+"vlM!='"</f>
        <v/>
      </c>
      <c r="GF8">
        <f>#REF!+"vlM!=("</f>
        <v/>
      </c>
      <c r="GG8">
        <f>#REF!+"vlM!=)"</f>
        <v/>
      </c>
      <c r="GH8">
        <f>#REF!+"vlM!=."</f>
        <v/>
      </c>
      <c r="GI8">
        <f>#REF!+"vlM!=/"</f>
        <v/>
      </c>
      <c r="GJ8">
        <f>#REF!+"vlM!=0"</f>
        <v/>
      </c>
      <c r="GK8" s="1">
        <f>#REF!+"vlM!=1"</f>
        <v/>
      </c>
      <c r="GL8">
        <f>#REF!+"vlM!=2"</f>
        <v/>
      </c>
      <c r="GM8">
        <f>#REF!+"vlM!=3"</f>
        <v/>
      </c>
      <c r="GN8">
        <f>#REF!+"vlM!=4"</f>
        <v/>
      </c>
      <c r="GO8">
        <f>#REF!+"vlM!=5"</f>
        <v/>
      </c>
      <c r="GP8">
        <f>#REF!+"vlM!=6"</f>
        <v/>
      </c>
      <c r="GQ8">
        <f>#REF!+"vlM!=7"</f>
        <v/>
      </c>
      <c r="GR8">
        <f>#REF!+"vlM!=8"</f>
        <v/>
      </c>
      <c r="GS8">
        <f>#REF!+"vlM!=9"</f>
        <v/>
      </c>
      <c r="GT8">
        <f>#REF!+"vlM!=:"</f>
        <v/>
      </c>
      <c r="GU8">
        <f>#REF!+"vlM!=;"</f>
        <v/>
      </c>
      <c r="GV8">
        <f>#REF!+"vlM!=&lt;"</f>
        <v/>
      </c>
      <c r="GW8">
        <f>#REF!+"vlM!=="</f>
        <v/>
      </c>
      <c r="GX8">
        <f>#REF!+"vlM!=&gt;"</f>
        <v/>
      </c>
      <c r="GY8">
        <f>#REF!+"vlM!=?"</f>
        <v/>
      </c>
      <c r="GZ8" s="1">
        <f>#REF!+"vlM!=@"</f>
        <v/>
      </c>
      <c r="HA8">
        <f>#REF!+"vlM!=A"</f>
        <v/>
      </c>
      <c r="HB8">
        <f>#REF!+"vlM!=B"</f>
        <v/>
      </c>
      <c r="HC8">
        <f>#REF!+"vlM!=C"</f>
        <v/>
      </c>
      <c r="HD8">
        <f>#REF!+"vlM!=D"</f>
        <v/>
      </c>
      <c r="HE8">
        <f>#REF!+"vlM!=E"</f>
        <v/>
      </c>
      <c r="HF8">
        <f>#REF!+"vlM!=F"</f>
        <v/>
      </c>
      <c r="HG8">
        <f>#REF!+"vlM!=G"</f>
        <v/>
      </c>
      <c r="HH8">
        <f>#REF!+"vlM!=H"</f>
        <v/>
      </c>
      <c r="HI8">
        <f>#REF!+"vlM!=I"</f>
        <v/>
      </c>
      <c r="HJ8">
        <f>#REF!+"vlM!=J"</f>
        <v/>
      </c>
      <c r="HK8">
        <f>#REF!+"vlM!=K"</f>
        <v/>
      </c>
      <c r="HL8">
        <f>#REF!+"vlM!=L"</f>
        <v/>
      </c>
      <c r="HM8">
        <f>#REF!+"vlM!=M"</f>
        <v/>
      </c>
      <c r="HN8">
        <f>#REF!+"vlM!=N"</f>
        <v/>
      </c>
      <c r="HO8" s="1">
        <f>#REF!+"vlM!=O"</f>
        <v/>
      </c>
      <c r="HP8">
        <f>#REF!+"vlM!=P"</f>
        <v/>
      </c>
      <c r="HQ8">
        <f>#REF!+"vlM!=Q"</f>
        <v/>
      </c>
      <c r="HR8">
        <f>#REF!+"vlM!=R"</f>
        <v/>
      </c>
      <c r="HS8">
        <f>#REF!+"vlM!=S"</f>
        <v/>
      </c>
      <c r="HT8">
        <f>#REF!+"vlM!=T"</f>
        <v/>
      </c>
      <c r="HU8">
        <f>#REF!+"vlM!=U"</f>
        <v/>
      </c>
      <c r="HV8">
        <f>#REF!+"vlM!=V"</f>
        <v/>
      </c>
      <c r="HW8">
        <f>#REF!+"vlM!=W"</f>
        <v/>
      </c>
      <c r="HX8">
        <f>#REF!+"vlM!=X"</f>
        <v/>
      </c>
      <c r="HY8">
        <f>#REF!+"vlM!=Y"</f>
        <v/>
      </c>
      <c r="HZ8">
        <f>#REF!+"vlM!=Z"</f>
        <v/>
      </c>
      <c r="IA8">
        <f>#REF!+"vlM!=["</f>
        <v/>
      </c>
      <c r="IB8">
        <f>#REF!+"vlM!=\"</f>
        <v/>
      </c>
      <c r="IC8">
        <f>#REF!+"vlM!=]"</f>
        <v/>
      </c>
      <c r="ID8" s="1">
        <f>#REF!+"vlM!=^"</f>
        <v/>
      </c>
      <c r="IE8">
        <f>#REF!+"vlM!=_"</f>
        <v/>
      </c>
      <c r="IF8">
        <f>#REF!+"vlM!=`"</f>
        <v/>
      </c>
      <c r="IG8">
        <f>#REF!+"vlM!=a"</f>
        <v/>
      </c>
      <c r="IH8">
        <f>#REF!+"vlM!=b"</f>
        <v/>
      </c>
      <c r="II8">
        <f>#REF!+"vlM!=c"</f>
        <v/>
      </c>
      <c r="IJ8">
        <f>#REF!+"vlM!=d"</f>
        <v/>
      </c>
      <c r="IK8">
        <f>#REF!+"vlM!=e"</f>
        <v/>
      </c>
      <c r="IL8">
        <f>#REF!+"vlM!=f"</f>
        <v/>
      </c>
      <c r="IM8">
        <f>#REF!+"vlM!=g"</f>
        <v/>
      </c>
      <c r="IN8">
        <f>#REF!+"vlM!=h"</f>
        <v/>
      </c>
      <c r="IO8">
        <f>#REF!+"vlM!=i"</f>
        <v/>
      </c>
      <c r="IP8">
        <f>#REF!+"vlM!=j"</f>
        <v/>
      </c>
      <c r="IQ8">
        <f>#REF!+"vlM!=k"</f>
        <v/>
      </c>
      <c r="IR8">
        <f>#REF!+"vlM!=l"</f>
        <v/>
      </c>
      <c r="IS8" s="1">
        <f>#REF!+"vlM!=m"</f>
        <v/>
      </c>
      <c r="IT8">
        <f>#REF!+"vlM!=n"</f>
        <v/>
      </c>
      <c r="IU8">
        <f>#REF!+"vlM!=o"</f>
        <v/>
      </c>
      <c r="IV8">
        <f>#REF!+"vlM!=p"</f>
        <v/>
      </c>
    </row>
    <row r="9">
      <c r="F9">
        <f>#REF!+"vlM!=q"</f>
        <v/>
      </c>
      <c r="G9">
        <f>#REF!+"vlM!=r"</f>
        <v/>
      </c>
      <c r="H9">
        <f>#REF!+"vlM!=s"</f>
        <v/>
      </c>
      <c r="I9">
        <f>#REF!+"vlM!=t"</f>
        <v/>
      </c>
      <c r="J9">
        <f>#REF!+"vlM!=u"</f>
        <v/>
      </c>
      <c r="K9">
        <f>#REF!+"vlM!=v"</f>
        <v/>
      </c>
      <c r="L9">
        <f>#REF!+"vlM!=w"</f>
        <v/>
      </c>
      <c r="M9">
        <f>#REF!+"vlM!=x"</f>
        <v/>
      </c>
      <c r="N9">
        <f>#REF!+"vlM!=y"</f>
        <v/>
      </c>
      <c r="O9">
        <f>#REF!+"vlM!=z"</f>
        <v/>
      </c>
      <c r="P9">
        <f>#REF!+"vlM!={"</f>
        <v/>
      </c>
      <c r="Q9" s="1">
        <f>#REF!+"vlM!=|"</f>
        <v/>
      </c>
      <c r="R9">
        <f>#REF!+"vlM!=}"</f>
        <v/>
      </c>
      <c r="S9">
        <f>#REF!+"vlM!=~"</f>
        <v/>
      </c>
      <c r="T9">
        <f>#REF!+"vlM!&gt;#"</f>
        <v/>
      </c>
      <c r="U9">
        <f>#REF!+"vlM!&gt;$"</f>
        <v/>
      </c>
      <c r="V9">
        <f>#REF!+"vlM!&gt;%"</f>
        <v/>
      </c>
      <c r="W9">
        <f>#REF!+"vlM!&gt;&amp;"</f>
        <v/>
      </c>
      <c r="X9">
        <f>#REF!+"vlM!&gt;'"</f>
        <v/>
      </c>
      <c r="Y9">
        <f>#REF!+"vlM!&gt;("</f>
        <v/>
      </c>
      <c r="Z9">
        <f>#REF!+"vlM!&gt;)"</f>
        <v/>
      </c>
      <c r="AA9">
        <f>#REF!+"vlM!&gt;."</f>
        <v/>
      </c>
      <c r="AB9">
        <f>#REF!+"vlM!&gt;/"</f>
        <v/>
      </c>
      <c r="AC9">
        <f>#REF!+"vlM!&gt;0"</f>
        <v/>
      </c>
      <c r="AD9">
        <f>#REF!+"vlM!&gt;1"</f>
        <v/>
      </c>
      <c r="AE9">
        <f>#REF!+"vlM!&gt;2"</f>
        <v/>
      </c>
      <c r="AF9" s="1">
        <f>#REF!+"vlM!&gt;3"</f>
        <v/>
      </c>
      <c r="AG9">
        <f>#REF!+"vlM!&gt;4"</f>
        <v/>
      </c>
      <c r="AH9">
        <f>#REF!+"vlM!&gt;5"</f>
        <v/>
      </c>
      <c r="AI9">
        <f>#REF!+"vlM!&gt;6"</f>
        <v/>
      </c>
      <c r="AJ9">
        <f>#REF!+"vlM!&gt;7"</f>
        <v/>
      </c>
      <c r="AK9">
        <f>#REF!+"vlM!&gt;8"</f>
        <v/>
      </c>
      <c r="AL9">
        <f>#REF!+"vlM!&gt;9"</f>
        <v/>
      </c>
      <c r="AM9">
        <f>#REF!+"vlM!&gt;:"</f>
        <v/>
      </c>
      <c r="AN9">
        <f>#REF!+"vlM!&gt;;"</f>
        <v/>
      </c>
      <c r="AO9">
        <f>#REF!+"vlM!&gt;&lt;"</f>
        <v/>
      </c>
      <c r="AP9">
        <f>#REF!+"vlM!&gt;="</f>
        <v/>
      </c>
      <c r="AQ9">
        <f>#REF!+"vlM!&gt;&gt;"</f>
        <v/>
      </c>
      <c r="AR9">
        <f>#REF!+"vlM!&gt;?"</f>
        <v/>
      </c>
      <c r="AS9">
        <f>#REF!+"vlM!&gt;@"</f>
        <v/>
      </c>
      <c r="AT9">
        <f>#REF!+"vlM!&gt;A"</f>
        <v/>
      </c>
      <c r="AU9" s="1">
        <f>#REF!+"vlM!&gt;B"</f>
        <v/>
      </c>
      <c r="AV9">
        <f>#REF!+"vlM!&gt;C"</f>
        <v/>
      </c>
      <c r="AW9">
        <f>#REF!+"vlM!&gt;D"</f>
        <v/>
      </c>
      <c r="AX9">
        <f>#REF!+"vlM!&gt;E"</f>
        <v/>
      </c>
      <c r="AY9">
        <f>#REF!+"vlM!&gt;F"</f>
        <v/>
      </c>
      <c r="AZ9">
        <f>#REF!+"vlM!&gt;G"</f>
        <v/>
      </c>
      <c r="BA9">
        <f>#REF!+"vlM!&gt;H"</f>
        <v/>
      </c>
      <c r="BB9">
        <f>#REF!+"vlM!&gt;I"</f>
        <v/>
      </c>
      <c r="BC9">
        <f>#REF!+"vlM!&gt;J"</f>
        <v/>
      </c>
      <c r="BD9">
        <f>#REF!+"vlM!&gt;K"</f>
        <v/>
      </c>
      <c r="BE9">
        <f>#REF!+"vlM!&gt;L"</f>
        <v/>
      </c>
      <c r="BF9">
        <f>#REF!+"vlM!&gt;M"</f>
        <v/>
      </c>
      <c r="BG9">
        <f>#REF!+"vlM!&gt;N"</f>
        <v/>
      </c>
      <c r="BH9">
        <f>#REF!+"vlM!&gt;O"</f>
        <v/>
      </c>
      <c r="BI9">
        <f>#REF!+"vlM!&gt;P"</f>
        <v/>
      </c>
      <c r="BJ9" s="1">
        <f>#REF!+"vlM!&gt;Q"</f>
        <v/>
      </c>
      <c r="BK9">
        <f>#REF!+"vlM!&gt;R"</f>
        <v/>
      </c>
      <c r="BL9">
        <f>#REF!+"vlM!&gt;S"</f>
        <v/>
      </c>
      <c r="BM9">
        <f>#REF!+"vlM!&gt;T"</f>
        <v/>
      </c>
      <c r="BN9">
        <f>#REF!+"vlM!&gt;U"</f>
        <v/>
      </c>
      <c r="BO9">
        <f>#REF!+"vlM!&gt;V"</f>
        <v/>
      </c>
      <c r="BP9">
        <f>#REF!+"vlM!&gt;W"</f>
        <v/>
      </c>
      <c r="BQ9">
        <f>#REF!+"vlM!&gt;X"</f>
        <v/>
      </c>
      <c r="BR9">
        <f>#REF!+"vlM!&gt;Y"</f>
        <v/>
      </c>
      <c r="BS9">
        <f>#REF!+"vlM!&gt;Z"</f>
        <v/>
      </c>
      <c r="BT9">
        <f>#REF!+"vlM!&gt;["</f>
        <v/>
      </c>
      <c r="BU9">
        <f>#REF!+"vlM!&gt;\"</f>
        <v/>
      </c>
      <c r="BV9">
        <f>#REF!+"vlM!&gt;]"</f>
        <v/>
      </c>
      <c r="BW9">
        <f>#REF!+"vlM!&gt;^"</f>
        <v/>
      </c>
      <c r="BX9">
        <f>#REF!+"vlM!&gt;_"</f>
        <v/>
      </c>
      <c r="BY9" s="1">
        <f>#REF!+"vlM!&gt;`"</f>
        <v/>
      </c>
      <c r="BZ9">
        <f>#REF!+"vlM!&gt;a"</f>
        <v/>
      </c>
      <c r="CA9">
        <f>#REF!+"vlM!&gt;b"</f>
        <v/>
      </c>
      <c r="CB9">
        <f>#REF!+"vlM!&gt;c"</f>
        <v/>
      </c>
      <c r="CC9">
        <f>#REF!+"vlM!&gt;d"</f>
        <v/>
      </c>
      <c r="CD9">
        <f>#REF!+"vlM!&gt;e"</f>
        <v/>
      </c>
      <c r="CE9">
        <f>#REF!+"vlM!&gt;f"</f>
        <v/>
      </c>
      <c r="CF9">
        <f>#REF!+"vlM!&gt;g"</f>
        <v/>
      </c>
      <c r="CG9">
        <f>#REF!+"vlM!&gt;h"</f>
        <v/>
      </c>
      <c r="CH9">
        <f>#REF!+"vlM!&gt;i"</f>
        <v/>
      </c>
      <c r="CI9">
        <f>#REF!+"vlM!&gt;j"</f>
        <v/>
      </c>
      <c r="CJ9">
        <f>#REF!+"vlM!&gt;k"</f>
        <v/>
      </c>
      <c r="CK9">
        <f>#REF!+"vlM!&gt;l"</f>
        <v/>
      </c>
      <c r="CL9">
        <f>#REF!+"vlM!&gt;m"</f>
        <v/>
      </c>
      <c r="CM9">
        <f>#REF!+"vlM!&gt;n"</f>
        <v/>
      </c>
      <c r="CN9" s="1">
        <f>#REF!+"vlM!&gt;o"</f>
        <v/>
      </c>
      <c r="CO9">
        <f>#REF!+"vlM!&gt;p"</f>
        <v/>
      </c>
      <c r="CP9">
        <f>#REF!+"vlM!&gt;q"</f>
        <v/>
      </c>
      <c r="CQ9">
        <f>#REF!+"vlM!&gt;r"</f>
        <v/>
      </c>
      <c r="CR9">
        <f>#REF!+"vlM!&gt;s"</f>
        <v/>
      </c>
      <c r="CS9">
        <f>#REF!+"vlM!&gt;t"</f>
        <v/>
      </c>
      <c r="CT9">
        <f>#REF!+"vlM!&gt;u"</f>
        <v/>
      </c>
      <c r="CU9">
        <f>#REF!+"vlM!&gt;v"</f>
        <v/>
      </c>
      <c r="CV9">
        <f>#REF!+"vlM!&gt;w"</f>
        <v/>
      </c>
      <c r="CW9">
        <f>#REF!+"vlM!&gt;x"</f>
        <v/>
      </c>
      <c r="CX9">
        <f>#REF!+"vlM!&gt;y"</f>
        <v/>
      </c>
      <c r="CY9">
        <f>#REF!+"vlM!&gt;z"</f>
        <v/>
      </c>
      <c r="CZ9">
        <f>#REF!+"vlM!&gt;{"</f>
        <v/>
      </c>
      <c r="DA9">
        <f>#REF!+"vlM!&gt;|"</f>
        <v/>
      </c>
      <c r="DB9">
        <f>#REF!+"vlM!&gt;}"</f>
        <v/>
      </c>
      <c r="DC9" s="1">
        <f>#REF!+"vlM!&gt;~"</f>
        <v/>
      </c>
      <c r="DD9">
        <f>#REF!+"vlM!?#"</f>
        <v/>
      </c>
      <c r="DE9">
        <f>#REF!+"vlM!?$"</f>
        <v/>
      </c>
      <c r="DF9">
        <f>#REF!+"vlM!?%"</f>
        <v/>
      </c>
      <c r="DG9">
        <f>#REF!+"vlM!?&amp;"</f>
        <v/>
      </c>
      <c r="DH9">
        <f>#REF!+"vlM!?'"</f>
        <v/>
      </c>
      <c r="DI9">
        <f>#REF!+"vlM!?("</f>
        <v/>
      </c>
      <c r="DJ9">
        <f>#REF!+"vlM!?)"</f>
        <v/>
      </c>
      <c r="DK9">
        <f>#REF!+"vlM!?."</f>
        <v/>
      </c>
      <c r="DL9">
        <f>#REF!+"vlM!?/"</f>
        <v/>
      </c>
      <c r="DM9">
        <f>#REF!+"vlM!?0"</f>
        <v/>
      </c>
      <c r="DN9">
        <f>#REF!+"vlM!?1"</f>
        <v/>
      </c>
      <c r="DO9">
        <f>#REF!+"vlM!?2"</f>
        <v/>
      </c>
      <c r="DP9">
        <f>#REF!+"vlM!?3"</f>
        <v/>
      </c>
      <c r="DQ9">
        <f>#REF!+"vlM!?4"</f>
        <v/>
      </c>
      <c r="DR9" s="1">
        <f>#REF!+"vlM!?5"</f>
        <v/>
      </c>
      <c r="DS9">
        <f>#REF!+"vlM!?6"</f>
        <v/>
      </c>
      <c r="DT9">
        <f>#REF!+"vlM!?7"</f>
        <v/>
      </c>
      <c r="DU9">
        <f>#REF!+"vlM!?8"</f>
        <v/>
      </c>
      <c r="DV9">
        <f>#REF!+"vlM!?9"</f>
        <v/>
      </c>
      <c r="DW9">
        <f>#REF!+"vlM!?:"</f>
        <v/>
      </c>
      <c r="DX9">
        <f>#REF!+"vlM!?;"</f>
        <v/>
      </c>
      <c r="DY9">
        <f>#REF!+"vlM!?&lt;"</f>
        <v/>
      </c>
      <c r="DZ9">
        <f>#REF!+"vlM!?="</f>
        <v/>
      </c>
      <c r="EA9">
        <f>#REF!+"vlM!?&gt;"</f>
        <v/>
      </c>
      <c r="EB9">
        <f>#REF!+"vlM!??"</f>
        <v/>
      </c>
      <c r="EC9">
        <f>#REF!+"vlM!?@"</f>
        <v/>
      </c>
      <c r="ED9">
        <f>#REF!+"vlM!?A"</f>
        <v/>
      </c>
      <c r="EE9">
        <f>#REF!+"vlM!?B"</f>
        <v/>
      </c>
      <c r="EF9">
        <f>#REF!+"vlM!?C"</f>
        <v/>
      </c>
      <c r="EG9" s="1">
        <f>#REF!+"vlM!?D"</f>
        <v/>
      </c>
      <c r="EH9">
        <f>#REF!+"vlM!?E"</f>
        <v/>
      </c>
      <c r="EI9">
        <f>#REF!+"vlM!?F"</f>
        <v/>
      </c>
      <c r="EJ9">
        <f>#REF!+"vlM!?G"</f>
        <v/>
      </c>
      <c r="EK9">
        <f>#REF!+"vlM!?H"</f>
        <v/>
      </c>
      <c r="EL9">
        <f>#REF!+"vlM!?I"</f>
        <v/>
      </c>
      <c r="EM9">
        <f>#REF!+"vlM!?J"</f>
        <v/>
      </c>
      <c r="EN9">
        <f>#REF!+"vlM!?K"</f>
        <v/>
      </c>
      <c r="EO9">
        <f>#REF!+"vlM!?L"</f>
        <v/>
      </c>
      <c r="EP9">
        <f>#REF!+"vlM!?M"</f>
        <v/>
      </c>
      <c r="EQ9">
        <f>#REF!+"vlM!?N"</f>
        <v/>
      </c>
      <c r="ER9">
        <f>#REF!+"vlM!?O"</f>
        <v/>
      </c>
      <c r="ES9">
        <f>#REF!+"vlM!?P"</f>
        <v/>
      </c>
      <c r="ET9">
        <f>#REF!+"vlM!?Q"</f>
        <v/>
      </c>
      <c r="EU9">
        <f>#REF!+"vlM!?R"</f>
        <v/>
      </c>
      <c r="EV9" s="1">
        <f>#REF!+"vlM!?S"</f>
        <v/>
      </c>
      <c r="EW9">
        <f>#REF!+"vlM!?T"</f>
        <v/>
      </c>
      <c r="EX9">
        <f>#REF!+"vlM!?U"</f>
        <v/>
      </c>
      <c r="EY9">
        <f>#REF!+"vlM!?V"</f>
        <v/>
      </c>
      <c r="EZ9">
        <f>#REF!+"vlM!?W"</f>
        <v/>
      </c>
      <c r="FA9">
        <f>#REF!+"vlM!?X"</f>
        <v/>
      </c>
      <c r="FB9">
        <f>#REF!+"vlM!?Y"</f>
        <v/>
      </c>
      <c r="FC9">
        <f>#REF!+"vlM!?Z"</f>
        <v/>
      </c>
      <c r="FD9">
        <f>#REF!+"vlM!?["</f>
        <v/>
      </c>
      <c r="FE9">
        <f>#REF!+"vlM!?\"</f>
        <v/>
      </c>
      <c r="FF9">
        <f>#REF!+"vlM!?]"</f>
        <v/>
      </c>
      <c r="FG9">
        <f>#REF!+"vlM!?^"</f>
        <v/>
      </c>
      <c r="FH9">
        <f>#REF!+"vlM!?_"</f>
        <v/>
      </c>
      <c r="FI9">
        <f>#REF!+"vlM!?`"</f>
        <v/>
      </c>
      <c r="FJ9">
        <f>#REF!+"vlM!?a"</f>
        <v/>
      </c>
      <c r="FK9" s="1">
        <f>#REF!+"vlM!?b"</f>
        <v/>
      </c>
      <c r="FL9">
        <f>#REF!+"vlM!?c"</f>
        <v/>
      </c>
      <c r="FM9">
        <f>#REF!+"vlM!?d"</f>
        <v/>
      </c>
      <c r="FN9">
        <f>#REF!+"vlM!?e"</f>
        <v/>
      </c>
      <c r="FO9">
        <f>#REF!+"vlM!?f"</f>
        <v/>
      </c>
      <c r="FP9">
        <f>#REF!+"vlM!?g"</f>
        <v/>
      </c>
      <c r="FQ9">
        <f>#REF!+"vlM!?h"</f>
        <v/>
      </c>
      <c r="FR9">
        <f>#REF!+"vlM!?i"</f>
        <v/>
      </c>
      <c r="FS9">
        <f>#REF!+"vlM!?j"</f>
        <v/>
      </c>
      <c r="FT9">
        <f>#REF!+"vlM!?k"</f>
        <v/>
      </c>
      <c r="FU9">
        <f>#REF!+"vlM!?l"</f>
        <v/>
      </c>
      <c r="FV9">
        <f>#REF!+"vlM!?m"</f>
        <v/>
      </c>
      <c r="FW9">
        <f>#REF!+"vlM!?n"</f>
        <v/>
      </c>
      <c r="FX9">
        <f>#REF!+"vlM!?o"</f>
        <v/>
      </c>
      <c r="FY9">
        <f>#REF!+"vlM!?p"</f>
        <v/>
      </c>
      <c r="FZ9" s="1">
        <f>#REF!+"vlM!?q"</f>
        <v/>
      </c>
      <c r="GA9">
        <f>#REF!+"vlM!?r"</f>
        <v/>
      </c>
      <c r="GB9">
        <f>#REF!+"vlM!?s"</f>
        <v/>
      </c>
      <c r="GC9">
        <f>#REF!+"vlM!?t"</f>
        <v/>
      </c>
      <c r="GD9">
        <f>#REF!+"vlM!?u"</f>
        <v/>
      </c>
      <c r="GE9">
        <f>#REF!+"vlM!?v"</f>
        <v/>
      </c>
      <c r="GF9">
        <f>#REF!+"vlM!?w"</f>
        <v/>
      </c>
      <c r="GG9">
        <f>#REF!+"vlM!?x"</f>
        <v/>
      </c>
      <c r="GH9">
        <f>#REF!+"vlM!?y"</f>
        <v/>
      </c>
      <c r="GI9">
        <f>#REF!+"vlM!?z"</f>
        <v/>
      </c>
      <c r="GJ9">
        <f>#REF!+"vlM!?{"</f>
        <v/>
      </c>
      <c r="GK9">
        <f>#REF!+"vlM!?|"</f>
        <v/>
      </c>
      <c r="GL9">
        <f>#REF!+"vlM!?}"</f>
        <v/>
      </c>
      <c r="GM9">
        <f>#REF!+"vlM!?~"</f>
        <v/>
      </c>
      <c r="GN9">
        <f>#REF!+"vlM!@#"</f>
        <v/>
      </c>
      <c r="GO9" s="1">
        <f>#REF!+"vlM!@$"</f>
        <v/>
      </c>
      <c r="GP9">
        <f>#REF!+"vlM!@%"</f>
        <v/>
      </c>
      <c r="GQ9">
        <f>#REF!+"vlM!@&amp;"</f>
        <v/>
      </c>
      <c r="GR9">
        <f>#REF!+"vlM!@'"</f>
        <v/>
      </c>
      <c r="GS9">
        <f>#REF!+"vlM!@("</f>
        <v/>
      </c>
      <c r="GT9">
        <f>#REF!+"vlM!@)"</f>
        <v/>
      </c>
      <c r="GU9">
        <f>#REF!+"vlM!@."</f>
        <v/>
      </c>
      <c r="GV9">
        <f>#REF!+"vlM!@/"</f>
        <v/>
      </c>
      <c r="GW9">
        <f>#REF!+"vlM!@0"</f>
        <v/>
      </c>
      <c r="GX9">
        <f>#REF!+"vlM!@1"</f>
        <v/>
      </c>
      <c r="GY9">
        <f>#REF!+"vlM!@2"</f>
        <v/>
      </c>
      <c r="GZ9">
        <f>#REF!+"vlM!@3"</f>
        <v/>
      </c>
      <c r="HA9">
        <f>#REF!+"vlM!@4"</f>
        <v/>
      </c>
      <c r="HB9">
        <f>#REF!+"vlM!@5"</f>
        <v/>
      </c>
      <c r="HC9">
        <f>#REF!+"vlM!@6"</f>
        <v/>
      </c>
      <c r="HD9" s="1">
        <f>#REF!+"vlM!@7"</f>
        <v/>
      </c>
      <c r="HE9">
        <f>#REF!+"vlM!@8"</f>
        <v/>
      </c>
      <c r="HF9">
        <f>#REF!+"vlM!@9"</f>
        <v/>
      </c>
      <c r="HG9">
        <f>#REF!+"vlM!@:"</f>
        <v/>
      </c>
      <c r="HH9">
        <f>#REF!+"vlM!@;"</f>
        <v/>
      </c>
      <c r="HI9">
        <f>#REF!+"vlM!@&lt;"</f>
        <v/>
      </c>
      <c r="HJ9">
        <f>#REF!+"vlM!@="</f>
        <v/>
      </c>
      <c r="HK9">
        <f>#REF!+"vlM!@&gt;"</f>
        <v/>
      </c>
      <c r="HL9">
        <f>#REF!+"vlM!@?"</f>
        <v/>
      </c>
      <c r="HM9">
        <f>#REF!+"vlM!@@"</f>
        <v/>
      </c>
      <c r="HN9">
        <f>#REF!+"vlM!@A"</f>
        <v/>
      </c>
      <c r="HO9">
        <f>#REF!+"vlM!@B"</f>
        <v/>
      </c>
      <c r="HP9">
        <f>#REF!+"vlM!@C"</f>
        <v/>
      </c>
      <c r="HQ9">
        <f>#REF!+"vlM!@D"</f>
        <v/>
      </c>
      <c r="HR9">
        <f>#REF!+"vlM!@E"</f>
        <v/>
      </c>
      <c r="HS9" s="1">
        <f>#REF!+"vlM!@F"</f>
        <v/>
      </c>
      <c r="HT9">
        <f>#REF!+"vlM!@G"</f>
        <v/>
      </c>
      <c r="HU9">
        <f>#REF!+"vlM!@H"</f>
        <v/>
      </c>
      <c r="HV9">
        <f>#REF!+"vlM!@I"</f>
        <v/>
      </c>
      <c r="HW9">
        <f>#REF!+"vlM!@J"</f>
        <v/>
      </c>
      <c r="HX9">
        <f>#REF!+"vlM!@K"</f>
        <v/>
      </c>
      <c r="HY9">
        <f>#REF!+"vlM!@L"</f>
        <v/>
      </c>
      <c r="HZ9">
        <f>#REF!+"vlM!@M"</f>
        <v/>
      </c>
      <c r="IA9">
        <f>#REF!+"vlM!@N"</f>
        <v/>
      </c>
      <c r="IB9">
        <f>#REF!+"vlM!@O"</f>
        <v/>
      </c>
      <c r="IC9">
        <f>#REF!+"vlM!@P"</f>
        <v/>
      </c>
      <c r="ID9">
        <f>#REF!+"vlM!@Q"</f>
        <v/>
      </c>
      <c r="IE9">
        <f>#REF!+"vlM!@R"</f>
        <v/>
      </c>
      <c r="IF9">
        <f>#REF!+"vlM!@S"</f>
        <v/>
      </c>
      <c r="IG9">
        <f>#REF!+"vlM!@T"</f>
        <v/>
      </c>
      <c r="IH9" s="1">
        <f>#REF!+"vlM!@U"</f>
        <v/>
      </c>
      <c r="II9">
        <f>#REF!+"vlM!@V"</f>
        <v/>
      </c>
      <c r="IJ9">
        <f>#REF!+"vlM!@W"</f>
        <v/>
      </c>
      <c r="IK9">
        <f>#REF!+"vlM!@X"</f>
        <v/>
      </c>
      <c r="IL9">
        <f>#REF!+"vlM!@Y"</f>
        <v/>
      </c>
      <c r="IM9">
        <f>#REF!+"vlM!@Z"</f>
        <v/>
      </c>
      <c r="IN9">
        <f>#REF!+"vlM!@["</f>
        <v/>
      </c>
      <c r="IO9">
        <f>#REF!+"vlM!@\"</f>
        <v/>
      </c>
      <c r="IP9">
        <f>#REF!+"vlM!@]"</f>
        <v/>
      </c>
      <c r="IQ9">
        <f>#REF!+"vlM!@^"</f>
        <v/>
      </c>
      <c r="IR9">
        <f>#REF!+"vlM!@_"</f>
        <v/>
      </c>
      <c r="IS9">
        <f>#REF!+"vlM!@`"</f>
        <v/>
      </c>
      <c r="IT9">
        <f>#REF!+"vlM!@a"</f>
        <v/>
      </c>
      <c r="IU9">
        <f>#REF!+"vlM!@b"</f>
        <v/>
      </c>
      <c r="IV9">
        <f>#REF!+"vlM!@c"</f>
        <v/>
      </c>
    </row>
    <row r="10">
      <c r="F10" s="1">
        <f>#REF!+"vlM!@d"</f>
        <v/>
      </c>
      <c r="G10">
        <f>#REF!+"vlM!@e"</f>
        <v/>
      </c>
      <c r="H10">
        <f>#REF!+"vlM!@f"</f>
        <v/>
      </c>
      <c r="I10">
        <f>#REF!+"vlM!@g"</f>
        <v/>
      </c>
      <c r="J10">
        <f>#REF!+"vlM!@h"</f>
        <v/>
      </c>
      <c r="K10">
        <f>#REF!+"vlM!@i"</f>
        <v/>
      </c>
      <c r="L10">
        <f>#REF!+"vlM!@j"</f>
        <v/>
      </c>
      <c r="M10">
        <f>#REF!+"vlM!@k"</f>
        <v/>
      </c>
      <c r="N10">
        <f>#REF!+"vlM!@l"</f>
        <v/>
      </c>
      <c r="O10">
        <f>#REF!+"vlM!@m"</f>
        <v/>
      </c>
      <c r="P10">
        <f>#REF!+"vlM!@n"</f>
        <v/>
      </c>
      <c r="Q10">
        <f>#REF!+"vlM!@o"</f>
        <v/>
      </c>
      <c r="R10">
        <f>#REF!+"vlM!@p"</f>
        <v/>
      </c>
      <c r="S10">
        <f>#REF!+"vlM!@q"</f>
        <v/>
      </c>
      <c r="T10">
        <f>#REF!+"vlM!@r"</f>
        <v/>
      </c>
      <c r="U10" s="1">
        <f>#REF!+"vlM!@s"</f>
        <v/>
      </c>
      <c r="V10">
        <f>#REF!+"vlM!@t"</f>
        <v/>
      </c>
      <c r="W10">
        <f>#REF!+"vlM!@u"</f>
        <v/>
      </c>
      <c r="X10">
        <f>#REF!+"vlM!@v"</f>
        <v/>
      </c>
      <c r="Y10">
        <f>#REF!+"vlM!@w"</f>
        <v/>
      </c>
      <c r="Z10">
        <f>#REF!+"vlM!@x"</f>
        <v/>
      </c>
      <c r="AA10">
        <f>#REF!+"vlM!@y"</f>
        <v/>
      </c>
      <c r="AB10">
        <f>#REF!+"vlM!@z"</f>
        <v/>
      </c>
      <c r="AC10">
        <f>#REF!+"vlM!@{"</f>
        <v/>
      </c>
      <c r="AD10">
        <f>#REF!+"vlM!@|"</f>
        <v/>
      </c>
      <c r="AE10">
        <f>#REF!+"vlM!@}"</f>
        <v/>
      </c>
      <c r="AF10">
        <f>#REF!+"vlM!@~"</f>
        <v/>
      </c>
      <c r="AG10">
        <f>#REF!+"vlM!A#"</f>
        <v/>
      </c>
      <c r="AH10">
        <f>#REF!+"vlM!A$"</f>
        <v/>
      </c>
      <c r="AI10">
        <f>#REF!+"vlM!A%"</f>
        <v/>
      </c>
      <c r="AJ10" s="1">
        <f>#REF!+"vlM!A&amp;"</f>
        <v/>
      </c>
      <c r="AK10">
        <f>#REF!+"vlM!A'"</f>
        <v/>
      </c>
      <c r="AL10">
        <f>#REF!+"vlM!A("</f>
        <v/>
      </c>
      <c r="AM10">
        <f>#REF!+"vlM!A)"</f>
        <v/>
      </c>
      <c r="AN10">
        <f>#REF!+"vlM!A."</f>
        <v/>
      </c>
      <c r="AO10">
        <f>#REF!+"vlM!A/"</f>
        <v/>
      </c>
      <c r="AP10">
        <f>#REF!+"vlM!A0"</f>
        <v/>
      </c>
      <c r="AQ10">
        <f>#REF!+"vlM!A1"</f>
        <v/>
      </c>
      <c r="AR10">
        <f>#REF!+"vlM!A2"</f>
        <v/>
      </c>
      <c r="AS10">
        <f>#REF!+"vlM!A3"</f>
        <v/>
      </c>
      <c r="AT10">
        <f>#REF!+"vlM!A4"</f>
        <v/>
      </c>
      <c r="AU10">
        <f>#REF!+"vlM!A5"</f>
        <v/>
      </c>
      <c r="AV10">
        <f>#REF!+"vlM!A6"</f>
        <v/>
      </c>
      <c r="AW10">
        <f>#REF!+"vlM!A7"</f>
        <v/>
      </c>
      <c r="AX10">
        <f>#REF!+"vlM!A8"</f>
        <v/>
      </c>
      <c r="AY10" s="1">
        <f>#REF!+"vlM!A9"</f>
        <v/>
      </c>
      <c r="AZ10">
        <f>#REF!+"vlM!A:"</f>
        <v/>
      </c>
      <c r="BA10">
        <f>#REF!+"vlM!A;"</f>
        <v/>
      </c>
      <c r="BB10">
        <f>#REF!+"vlM!A&lt;"</f>
        <v/>
      </c>
      <c r="BC10">
        <f>#REF!+"vlM!A="</f>
        <v/>
      </c>
      <c r="BD10">
        <f>#REF!+"vlM!A&gt;"</f>
        <v/>
      </c>
      <c r="BE10">
        <f>#REF!+"vlM!A?"</f>
        <v/>
      </c>
      <c r="BF10">
        <f>#REF!+"vlM!A@"</f>
        <v/>
      </c>
      <c r="BG10">
        <f>#REF!+"vlM!AA"</f>
        <v/>
      </c>
      <c r="BH10">
        <f>#REF!+"vlM!AB"</f>
        <v/>
      </c>
      <c r="BI10">
        <f>#REF!+"vlM!AC"</f>
        <v/>
      </c>
      <c r="BJ10">
        <f>#REF!+"vlM!AD"</f>
        <v/>
      </c>
      <c r="BK10">
        <f>#REF!+"vlM!AE"</f>
        <v/>
      </c>
      <c r="BL10">
        <f>#REF!+"vlM!AF"</f>
        <v/>
      </c>
      <c r="BM10">
        <f>#REF!+"vlM!AG"</f>
        <v/>
      </c>
      <c r="BN10" s="1">
        <f>#REF!+"vlM!AH"</f>
        <v/>
      </c>
      <c r="BO10">
        <f>#REF!+"vlM!AI"</f>
        <v/>
      </c>
      <c r="BP10">
        <f>#REF!+"vlM!AJ"</f>
        <v/>
      </c>
      <c r="BQ10">
        <f>#REF!+"vlM!AK"</f>
        <v/>
      </c>
      <c r="BR10">
        <f>#REF!+"vlM!AL"</f>
        <v/>
      </c>
      <c r="BS10">
        <f>#REF!+"vlM!AM"</f>
        <v/>
      </c>
      <c r="BT10">
        <f>#REF!+"vlM!AN"</f>
        <v/>
      </c>
      <c r="BU10">
        <f>#REF!+"vlM!AO"</f>
        <v/>
      </c>
      <c r="BV10">
        <f>#REF!+"vlM!AP"</f>
        <v/>
      </c>
      <c r="BW10">
        <f>#REF!+"vlM!AQ"</f>
        <v/>
      </c>
      <c r="BX10">
        <f>#REF!+"vlM!AR"</f>
        <v/>
      </c>
      <c r="BY10">
        <f>#REF!+"vlM!AS"</f>
        <v/>
      </c>
      <c r="BZ10">
        <f>#REF!+"vlM!AT"</f>
        <v/>
      </c>
      <c r="CA10">
        <f>#REF!+"vlM!AU"</f>
        <v/>
      </c>
      <c r="CB10">
        <f>#REF!+"vlM!AV"</f>
        <v/>
      </c>
      <c r="CC10" s="1">
        <f>#REF!+"vlM!AW"</f>
        <v/>
      </c>
      <c r="CD10">
        <f>#REF!+"vlM!AX"</f>
        <v/>
      </c>
      <c r="CE10">
        <f>#REF!+"vlM!AY"</f>
        <v/>
      </c>
      <c r="CF10">
        <f>#REF!+"vlM!AZ"</f>
        <v/>
      </c>
      <c r="CG10">
        <f>#REF!+"vlM!A["</f>
        <v/>
      </c>
      <c r="CH10">
        <f>#REF!+"vlM!A\"</f>
        <v/>
      </c>
      <c r="CI10">
        <f>#REF!+"vlM!A]"</f>
        <v/>
      </c>
      <c r="CJ10">
        <f>#REF!+"vlM!A^"</f>
        <v/>
      </c>
      <c r="CK10">
        <f>#REF!+"vlM!A_"</f>
        <v/>
      </c>
      <c r="CL10">
        <f>#REF!+"vlM!A`"</f>
        <v/>
      </c>
      <c r="CM10">
        <f>#REF!+"vlM!Aa"</f>
        <v/>
      </c>
      <c r="CN10">
        <f>#REF!+"vlM!Ab"</f>
        <v/>
      </c>
      <c r="CO10">
        <f>#REF!+"vlM!Ac"</f>
        <v/>
      </c>
      <c r="CP10">
        <f>#REF!+"vlM!Ad"</f>
        <v/>
      </c>
      <c r="CQ10">
        <f>#REF!+"vlM!Ae"</f>
        <v/>
      </c>
      <c r="CR10" s="1">
        <f>#REF!+"vlM!Af"</f>
        <v/>
      </c>
      <c r="CS10">
        <f>#REF!+"vlM!Ag"</f>
        <v/>
      </c>
      <c r="CT10">
        <f>#REF!+"vlM!Ah"</f>
        <v/>
      </c>
      <c r="CU10">
        <f>#REF!+"vlM!Ai"</f>
        <v/>
      </c>
      <c r="CV10">
        <f>#REF!+"vlM!Aj"</f>
        <v/>
      </c>
      <c r="CW10">
        <f>#REF!+"vlM!Ak"</f>
        <v/>
      </c>
      <c r="CX10">
        <f>#REF!+"vlM!Al"</f>
        <v/>
      </c>
      <c r="CY10">
        <f>#REF!+"vlM!Am"</f>
        <v/>
      </c>
      <c r="CZ10">
        <f>#REF!+"vlM!An"</f>
        <v/>
      </c>
      <c r="DA10">
        <f>#REF!+"vlM!Ao"</f>
        <v/>
      </c>
      <c r="DB10">
        <f>#REF!+"vlM!Ap"</f>
        <v/>
      </c>
      <c r="DC10">
        <f>#REF!+"vlM!Aq"</f>
        <v/>
      </c>
      <c r="DD10">
        <f>#REF!+"vlM!Ar"</f>
        <v/>
      </c>
      <c r="DE10">
        <f>#REF!+"vlM!As"</f>
        <v/>
      </c>
      <c r="DF10">
        <f>#REF!+"vlM!At"</f>
        <v/>
      </c>
      <c r="DG10" s="1">
        <f>#REF!+"vlM!Au"</f>
        <v/>
      </c>
      <c r="DH10">
        <f>#REF!+"vlM!Av"</f>
        <v/>
      </c>
      <c r="DI10">
        <f>#REF!+"vlM!Aw"</f>
        <v/>
      </c>
      <c r="DJ10">
        <f>#REF!+"vlM!Ax"</f>
        <v/>
      </c>
      <c r="DK10">
        <f>#REF!+"vlM!Ay"</f>
        <v/>
      </c>
      <c r="DL10">
        <f>#REF!+"vlM!Az"</f>
        <v/>
      </c>
      <c r="DM10">
        <f>#REF!+"vlM!A{"</f>
        <v/>
      </c>
      <c r="DN10">
        <f>#REF!+"vlM!A|"</f>
        <v/>
      </c>
      <c r="DO10">
        <f>#REF!+"vlM!A}"</f>
        <v/>
      </c>
      <c r="DP10">
        <f>#REF!+"vlM!A~"</f>
        <v/>
      </c>
      <c r="DQ10">
        <f>#REF!+"vlM!B#"</f>
        <v/>
      </c>
      <c r="DR10">
        <f>#REF!+"vlM!B$"</f>
        <v/>
      </c>
      <c r="DS10">
        <f>#REF!+"vlM!B%"</f>
        <v/>
      </c>
      <c r="DT10">
        <f>#REF!+"vlM!B&amp;"</f>
        <v/>
      </c>
      <c r="DU10">
        <f>#REF!+"vlM!B'"</f>
        <v/>
      </c>
      <c r="DV10" s="1">
        <f>#REF!+"vlM!B("</f>
        <v/>
      </c>
      <c r="DW10">
        <f>#REF!+"vlM!B)"</f>
        <v/>
      </c>
      <c r="DX10">
        <f>#REF!+"vlM!B."</f>
        <v/>
      </c>
      <c r="DY10">
        <f>#REF!+"vlM!B/"</f>
        <v/>
      </c>
      <c r="DZ10">
        <f>#REF!+"vlM!B0"</f>
        <v/>
      </c>
      <c r="EA10">
        <f>#REF!+"vlM!B1"</f>
        <v/>
      </c>
      <c r="EB10">
        <f>#REF!+"vlM!B2"</f>
        <v/>
      </c>
      <c r="EC10">
        <f>#REF!+"vlM!B3"</f>
        <v/>
      </c>
      <c r="ED10">
        <f>#REF!+"vlM!B4"</f>
        <v/>
      </c>
      <c r="EE10">
        <f>#REF!+"vlM!B5"</f>
        <v/>
      </c>
      <c r="EF10">
        <f>#REF!+"vlM!B6"</f>
        <v/>
      </c>
      <c r="EG10">
        <f>#REF!+"vlM!B7"</f>
        <v/>
      </c>
      <c r="EH10">
        <f>#REF!+"vlM!B8"</f>
        <v/>
      </c>
      <c r="EI10">
        <f>#REF!+"vlM!B9"</f>
        <v/>
      </c>
      <c r="EJ10">
        <f>#REF!+"vlM!B:"</f>
        <v/>
      </c>
      <c r="EK10" s="1">
        <f>#REF!+"vlM!B;"</f>
        <v/>
      </c>
      <c r="EL10">
        <f>#REF!+"vlM!B&lt;"</f>
        <v/>
      </c>
      <c r="EM10">
        <f>#REF!+"vlM!B="</f>
        <v/>
      </c>
      <c r="EN10">
        <f>#REF!+"vlM!B&gt;"</f>
        <v/>
      </c>
      <c r="EO10">
        <f>#REF!+"vlM!B?"</f>
        <v/>
      </c>
      <c r="EP10">
        <f>#REF!+"vlM!B@"</f>
        <v/>
      </c>
      <c r="EQ10">
        <f>#REF!+"vlM!BA"</f>
        <v/>
      </c>
      <c r="ER10">
        <f>#REF!+"vlM!BB"</f>
        <v/>
      </c>
      <c r="ES10">
        <f>#REF!+"vlM!BC"</f>
        <v/>
      </c>
      <c r="ET10">
        <f>#REF!+"vlM!BD"</f>
        <v/>
      </c>
      <c r="EU10">
        <f>#REF!+"vlM!BE"</f>
        <v/>
      </c>
      <c r="EV10">
        <f>#REF!+"vlM!BF"</f>
        <v/>
      </c>
      <c r="EW10">
        <f>#REF!+"vlM!BG"</f>
        <v/>
      </c>
      <c r="EX10">
        <f>#REF!+"vlM!BH"</f>
        <v/>
      </c>
      <c r="EY10">
        <f>#REF!+"vlM!BI"</f>
        <v/>
      </c>
      <c r="EZ10" s="1">
        <f>#REF!+"vlM!BJ"</f>
        <v/>
      </c>
      <c r="FA10">
        <f>#REF!+"vlM!BK"</f>
        <v/>
      </c>
      <c r="FB10">
        <f>#REF!+"vlM!BL"</f>
        <v/>
      </c>
      <c r="FC10">
        <f>#REF!+"vlM!BM"</f>
        <v/>
      </c>
      <c r="FD10">
        <f>#REF!+"vlM!BN"</f>
        <v/>
      </c>
      <c r="FE10">
        <f>#REF!+"vlM!BO"</f>
        <v/>
      </c>
      <c r="FF10">
        <f>#REF!+"vlM!BP"</f>
        <v/>
      </c>
      <c r="FG10">
        <f>#REF!+"vlM!BQ"</f>
        <v/>
      </c>
      <c r="FH10">
        <f>#REF!+"vlM!BR"</f>
        <v/>
      </c>
      <c r="FI10">
        <f>#REF!+"vlM!BS"</f>
        <v/>
      </c>
      <c r="FJ10">
        <f>#REF!+"vlM!BT"</f>
        <v/>
      </c>
      <c r="FK10">
        <f>#REF!+"vlM!BU"</f>
        <v/>
      </c>
      <c r="FL10">
        <f>#REF!+"vlM!BV"</f>
        <v/>
      </c>
      <c r="FM10">
        <f>#REF!+"vlM!BW"</f>
        <v/>
      </c>
      <c r="FN10">
        <f>#REF!+"vlM!BX"</f>
        <v/>
      </c>
      <c r="FO10" s="1">
        <f>#REF!+"vlM!BY"</f>
        <v/>
      </c>
      <c r="FP10">
        <f>#REF!+"vlM!BZ"</f>
        <v/>
      </c>
      <c r="FQ10">
        <f>#REF!+"vlM!B["</f>
        <v/>
      </c>
      <c r="FR10">
        <f>#REF!+"vlM!B\"</f>
        <v/>
      </c>
      <c r="FS10">
        <f>#REF!+"vlM!B]"</f>
        <v/>
      </c>
      <c r="FT10">
        <f>#REF!+"vlM!B^"</f>
        <v/>
      </c>
      <c r="FU10">
        <f>#REF!+"vlM!B_"</f>
        <v/>
      </c>
      <c r="FV10">
        <f>#REF!+"vlM!B`"</f>
        <v/>
      </c>
      <c r="FW10">
        <f>#REF!+"vlM!Ba"</f>
        <v/>
      </c>
      <c r="FX10">
        <f>#REF!+"vlM!Bb"</f>
        <v/>
      </c>
      <c r="FY10">
        <f>#REF!+"vlM!Bc"</f>
        <v/>
      </c>
      <c r="FZ10">
        <f>#REF!+"vlM!Bd"</f>
        <v/>
      </c>
      <c r="GA10">
        <f>#REF!+"vlM!Be"</f>
        <v/>
      </c>
      <c r="GB10">
        <f>#REF!+"vlM!Bf"</f>
        <v/>
      </c>
      <c r="GC10">
        <f>#REF!+"vlM!Bg"</f>
        <v/>
      </c>
      <c r="GD10" s="1">
        <f>#REF!+"vlM!Bh"</f>
        <v/>
      </c>
      <c r="GE10">
        <f>#REF!+"vlM!Bi"</f>
        <v/>
      </c>
      <c r="GF10">
        <f>#REF!+"vlM!Bj"</f>
        <v/>
      </c>
      <c r="GG10">
        <f>#REF!+"vlM!Bk"</f>
        <v/>
      </c>
      <c r="GH10">
        <f>#REF!+"vlM!Bl"</f>
        <v/>
      </c>
      <c r="GI10">
        <f>#REF!+"vlM!Bm"</f>
        <v/>
      </c>
      <c r="GJ10">
        <f>#REF!+"vlM!Bn"</f>
        <v/>
      </c>
      <c r="GK10">
        <f>#REF!+"vlM!Bo"</f>
        <v/>
      </c>
      <c r="GL10">
        <f>#REF!+"vlM!Bp"</f>
        <v/>
      </c>
      <c r="GM10">
        <f>#REF!+"vlM!Bq"</f>
        <v/>
      </c>
      <c r="GN10">
        <f>#REF!+"vlM!Br"</f>
        <v/>
      </c>
      <c r="GO10">
        <f>#REF!+"vlM!Bs"</f>
        <v/>
      </c>
      <c r="GP10">
        <f>#REF!+"vlM!Bt"</f>
        <v/>
      </c>
      <c r="GQ10">
        <f>#REF!+"vlM!Bu"</f>
        <v/>
      </c>
      <c r="GR10">
        <f>#REF!+"vlM!Bv"</f>
        <v/>
      </c>
      <c r="GS10" s="1">
        <f>#REF!+"vlM!Bw"</f>
        <v/>
      </c>
      <c r="GT10">
        <f>#REF!+"vlM!Bx"</f>
        <v/>
      </c>
      <c r="GU10">
        <f>#REF!+"vlM!By"</f>
        <v/>
      </c>
      <c r="GV10">
        <f>#REF!+"vlM!Bz"</f>
        <v/>
      </c>
      <c r="GW10">
        <f>#REF!+"vlM!B{"</f>
        <v/>
      </c>
      <c r="GX10">
        <f>#REF!+"vlM!B|"</f>
        <v/>
      </c>
      <c r="GY10">
        <f>#REF!+"vlM!B}"</f>
        <v/>
      </c>
      <c r="GZ10">
        <f>#REF!+"vlM!B~"</f>
        <v/>
      </c>
      <c r="HA10">
        <f>#REF!+"vlM!C#"</f>
        <v/>
      </c>
      <c r="HB10">
        <f>#REF!+"vlM!C$"</f>
        <v/>
      </c>
      <c r="HC10">
        <f>#REF!+"vlM!C%"</f>
        <v/>
      </c>
      <c r="HD10">
        <f>#REF!+"vlM!C&amp;"</f>
        <v/>
      </c>
      <c r="HE10">
        <f>#REF!+"vlM!C'"</f>
        <v/>
      </c>
      <c r="HF10">
        <f>#REF!+"vlM!C("</f>
        <v/>
      </c>
      <c r="HG10">
        <f>#REF!+"vlM!C)"</f>
        <v/>
      </c>
      <c r="HH10" s="1">
        <f>#REF!+"vlM!C."</f>
        <v/>
      </c>
      <c r="HI10">
        <f>#REF!+"vlM!C/"</f>
        <v/>
      </c>
      <c r="HJ10">
        <f>#REF!+"vlM!C0"</f>
        <v/>
      </c>
      <c r="HK10">
        <f>#REF!+"vlM!C1"</f>
        <v/>
      </c>
      <c r="HL10">
        <f>#REF!+"vlM!C2"</f>
        <v/>
      </c>
      <c r="HM10">
        <f>#REF!+"vlM!C3"</f>
        <v/>
      </c>
      <c r="HN10">
        <f>#REF!+"vlM!C4"</f>
        <v/>
      </c>
      <c r="HO10">
        <f>#REF!+"vlM!C5"</f>
        <v/>
      </c>
      <c r="HP10">
        <f>#REF!+"vlM!C6"</f>
        <v/>
      </c>
      <c r="HQ10">
        <f>#REF!+"vlM!C7"</f>
        <v/>
      </c>
      <c r="HR10">
        <f>#REF!+"vlM!C8"</f>
        <v/>
      </c>
      <c r="HS10">
        <f>#REF!+"vlM!C9"</f>
        <v/>
      </c>
      <c r="HT10">
        <f>#REF!+"vlM!C:"</f>
        <v/>
      </c>
      <c r="HU10">
        <f>#REF!+"vlM!C;"</f>
        <v/>
      </c>
      <c r="HV10">
        <f>#REF!+"vlM!C&lt;"</f>
        <v/>
      </c>
      <c r="HW10" s="1">
        <f>#REF!+"vlM!C="</f>
        <v/>
      </c>
      <c r="HX10">
        <f>#REF!+"vlM!C&gt;"</f>
        <v/>
      </c>
      <c r="HY10">
        <f>#REF!+"vlM!C?"</f>
        <v/>
      </c>
      <c r="HZ10">
        <f>#REF!+"vlM!C@"</f>
        <v/>
      </c>
      <c r="IA10">
        <f>#REF!+"vlM!CA"</f>
        <v/>
      </c>
      <c r="IB10">
        <f>#REF!+"vlM!CB"</f>
        <v/>
      </c>
      <c r="IC10">
        <f>#REF!+"vlM!CC"</f>
        <v/>
      </c>
      <c r="ID10">
        <f>#REF!+"vlM!CD"</f>
        <v/>
      </c>
      <c r="IE10">
        <f>#REF!+"vlM!CE"</f>
        <v/>
      </c>
      <c r="IF10">
        <f>#REF!+"vlM!CF"</f>
        <v/>
      </c>
      <c r="IG10">
        <f>#REF!+"vlM!CG"</f>
        <v/>
      </c>
      <c r="IH10">
        <f>#REF!+"vlM!CH"</f>
        <v/>
      </c>
      <c r="II10">
        <f>#REF!+"vlM!CI"</f>
        <v/>
      </c>
      <c r="IJ10">
        <f>#REF!+"vlM!CJ"</f>
        <v/>
      </c>
      <c r="IK10">
        <f>#REF!+"vlM!CK"</f>
        <v/>
      </c>
      <c r="IL10" s="1">
        <f>#REF!+"vlM!CL"</f>
        <v/>
      </c>
      <c r="IM10">
        <f>#REF!+"vlM!CM"</f>
        <v/>
      </c>
      <c r="IN10">
        <f>#REF!+"vlM!CN"</f>
        <v/>
      </c>
      <c r="IO10">
        <f>#REF!+"vlM!CO"</f>
        <v/>
      </c>
      <c r="IP10">
        <f>#REF!+"vlM!CP"</f>
        <v/>
      </c>
      <c r="IQ10">
        <f>#REF!+"vlM!CQ"</f>
        <v/>
      </c>
      <c r="IR10">
        <f>#REF!+"vlM!CR"</f>
        <v/>
      </c>
      <c r="IS10">
        <f>#REF!+"vlM!CS"</f>
        <v/>
      </c>
      <c r="IT10">
        <f>#REF!+"vlM!CT"</f>
        <v/>
      </c>
      <c r="IU10">
        <f>#REF!+"vlM!CU"</f>
        <v/>
      </c>
      <c r="IV10">
        <f>#REF!+"vlM!CV"</f>
        <v/>
      </c>
    </row>
    <row r="11">
      <c r="F11">
        <f>#REF!+"vlM!CW"</f>
        <v/>
      </c>
      <c r="G11">
        <f>#REF!+"vlM!CX"</f>
        <v/>
      </c>
      <c r="H11">
        <f>#REF!+"vlM!CY"</f>
        <v/>
      </c>
      <c r="I11">
        <f>#REF!+"vlM!CZ"</f>
        <v/>
      </c>
      <c r="J11" s="1">
        <f>#REF!+"vlM!C["</f>
        <v/>
      </c>
      <c r="K11">
        <f>#REF!+"vlM!C\"</f>
        <v/>
      </c>
      <c r="L11">
        <f>#REF!+"vlM!C]"</f>
        <v/>
      </c>
      <c r="M11">
        <f>#REF!+"vlM!C^"</f>
        <v/>
      </c>
      <c r="N11">
        <f>#REF!+"vlM!C_"</f>
        <v/>
      </c>
      <c r="O11">
        <f>#REF!+"vlM!C`"</f>
        <v/>
      </c>
      <c r="P11">
        <f>#REF!+"vlM!Ca"</f>
        <v/>
      </c>
      <c r="Q11">
        <f>#REF!+"vlM!Cb"</f>
        <v/>
      </c>
      <c r="R11">
        <f>#REF!+"vlM!Cc"</f>
        <v/>
      </c>
      <c r="S11">
        <f>#REF!+"vlM!Cd"</f>
        <v/>
      </c>
      <c r="T11">
        <f>#REF!+"vlM!Ce"</f>
        <v/>
      </c>
      <c r="U11">
        <f>#REF!+"vlM!Cf"</f>
        <v/>
      </c>
      <c r="V11">
        <f>#REF!+"vlM!Cg"</f>
        <v/>
      </c>
      <c r="W11">
        <f>#REF!+"vlM!Ch"</f>
        <v/>
      </c>
      <c r="X11">
        <f>#REF!+"vlM!Ci"</f>
        <v/>
      </c>
      <c r="Y11" s="1">
        <f>#REF!+"vlM!Cj"</f>
        <v/>
      </c>
      <c r="Z11">
        <f>#REF!+"vlM!Ck"</f>
        <v/>
      </c>
      <c r="AA11">
        <f>#REF!+"vlM!Cl"</f>
        <v/>
      </c>
      <c r="AB11">
        <f>#REF!+"vlM!Cm"</f>
        <v/>
      </c>
      <c r="AC11">
        <f>#REF!+"vlM!Cn"</f>
        <v/>
      </c>
      <c r="AD11">
        <f>#REF!+"vlM!Co"</f>
        <v/>
      </c>
      <c r="AE11">
        <f>#REF!+"vlM!Cp"</f>
        <v/>
      </c>
      <c r="AF11">
        <f>#REF!+"vlM!Cq"</f>
        <v/>
      </c>
      <c r="AG11">
        <f>#REF!+"vlM!Cr"</f>
        <v/>
      </c>
      <c r="AH11">
        <f>#REF!+"vlM!Cs"</f>
        <v/>
      </c>
      <c r="AI11">
        <f>#REF!+"vlM!Ct"</f>
        <v/>
      </c>
      <c r="AJ11">
        <f>#REF!+"vlM!Cu"</f>
        <v/>
      </c>
      <c r="AK11">
        <f>#REF!+"vlM!Cv"</f>
        <v/>
      </c>
      <c r="AL11">
        <f>#REF!+"vlM!Cw"</f>
        <v/>
      </c>
      <c r="AM11">
        <f>#REF!+"vlM!Cx"</f>
        <v/>
      </c>
      <c r="AN11" s="1">
        <f>#REF!+"vlM!Cy"</f>
        <v/>
      </c>
      <c r="AO11">
        <f>#REF!+"vlM!Cz"</f>
        <v/>
      </c>
      <c r="AP11">
        <f>#REF!+"vlM!C{"</f>
        <v/>
      </c>
      <c r="AQ11">
        <f>#REF!+"vlM!C|"</f>
        <v/>
      </c>
      <c r="AR11">
        <f>#REF!+"vlM!C}"</f>
        <v/>
      </c>
      <c r="AS11">
        <f>#REF!+"vlM!C~"</f>
        <v/>
      </c>
      <c r="AT11">
        <f>#REF!+"vlM!D#"</f>
        <v/>
      </c>
      <c r="AU11">
        <f>#REF!+"vlM!D$"</f>
        <v/>
      </c>
      <c r="AV11">
        <f>#REF!+"vlM!D%"</f>
        <v/>
      </c>
      <c r="AW11">
        <f>#REF!+"vlM!D&amp;"</f>
        <v/>
      </c>
      <c r="AX11">
        <f>#REF!+"vlM!D'"</f>
        <v/>
      </c>
      <c r="AY11">
        <f>#REF!+"vlM!D("</f>
        <v/>
      </c>
      <c r="AZ11">
        <f>#REF!+"vlM!D)"</f>
        <v/>
      </c>
      <c r="BA11">
        <f>#REF!+"vlM!D."</f>
        <v/>
      </c>
      <c r="BB11">
        <f>#REF!+"vlM!D/"</f>
        <v/>
      </c>
      <c r="BC11" s="1">
        <f>#REF!+"vlM!D0"</f>
        <v/>
      </c>
      <c r="BD11">
        <f>#REF!+"vlM!D1"</f>
        <v/>
      </c>
      <c r="BE11">
        <f>#REF!+"vlM!D2"</f>
        <v/>
      </c>
      <c r="BF11">
        <f>#REF!+"vlM!D3"</f>
        <v/>
      </c>
      <c r="BG11">
        <f>#REF!+"vlM!D4"</f>
        <v/>
      </c>
      <c r="BH11">
        <f>#REF!+"vlM!D5"</f>
        <v/>
      </c>
      <c r="BI11">
        <f>#REF!+"vlM!D6"</f>
        <v/>
      </c>
      <c r="BJ11">
        <f>#REF!+"vlM!D7"</f>
        <v/>
      </c>
      <c r="BK11">
        <f>#REF!+"vlM!D8"</f>
        <v/>
      </c>
      <c r="BL11">
        <f>#REF!+"vlM!D9"</f>
        <v/>
      </c>
      <c r="BM11">
        <f>#REF!+"vlM!D:"</f>
        <v/>
      </c>
      <c r="BN11">
        <f>#REF!+"vlM!D;"</f>
        <v/>
      </c>
      <c r="BO11">
        <f>#REF!+"vlM!D&lt;"</f>
        <v/>
      </c>
      <c r="BP11">
        <f>#REF!+"vlM!D="</f>
        <v/>
      </c>
      <c r="BQ11">
        <f>#REF!+"vlM!D&gt;"</f>
        <v/>
      </c>
      <c r="BR11" s="1">
        <f>#REF!+"vlM!D?"</f>
        <v/>
      </c>
      <c r="BS11">
        <f>#REF!+"vlM!D@"</f>
        <v/>
      </c>
      <c r="BT11">
        <f>#REF!+"vlM!DA"</f>
        <v/>
      </c>
      <c r="BU11">
        <f>#REF!+"vlM!DB"</f>
        <v/>
      </c>
      <c r="BV11">
        <f>#REF!+"vlM!DC"</f>
        <v/>
      </c>
      <c r="BW11">
        <f>#REF!+"vlM!DD"</f>
        <v/>
      </c>
      <c r="BX11">
        <f>#REF!+"vlM!DE"</f>
        <v/>
      </c>
      <c r="BY11">
        <f>#REF!+"vlM!DF"</f>
        <v/>
      </c>
      <c r="BZ11">
        <f>#REF!+"vlM!DG"</f>
        <v/>
      </c>
      <c r="CA11">
        <f>#REF!+"vlM!DH"</f>
        <v/>
      </c>
      <c r="CB11">
        <f>#REF!+"vlM!DI"</f>
        <v/>
      </c>
      <c r="CC11">
        <f>#REF!+"vlM!DJ"</f>
        <v/>
      </c>
      <c r="CD11">
        <f>#REF!+"vlM!DK"</f>
        <v/>
      </c>
      <c r="CE11">
        <f>#REF!+"vlM!DL"</f>
        <v/>
      </c>
      <c r="CF11">
        <f>#REF!+"vlM!DM"</f>
        <v/>
      </c>
      <c r="CG11" s="1">
        <f>#REF!+"vlM!DN"</f>
        <v/>
      </c>
      <c r="CH11">
        <f>#REF!+"vlM!DO"</f>
        <v/>
      </c>
      <c r="CI11">
        <f>#REF!+"vlM!DP"</f>
        <v/>
      </c>
      <c r="CJ11">
        <f>#REF!+"vlM!DQ"</f>
        <v/>
      </c>
      <c r="CK11">
        <f>#REF!+"vlM!DR"</f>
        <v/>
      </c>
      <c r="CL11">
        <f>#REF!+"vlM!DS"</f>
        <v/>
      </c>
      <c r="CM11">
        <f>#REF!+"vlM!DT"</f>
        <v/>
      </c>
      <c r="CN11">
        <f>#REF!+"vlM!DU"</f>
        <v/>
      </c>
      <c r="CO11">
        <f>#REF!+"vlM!DV"</f>
        <v/>
      </c>
      <c r="CP11">
        <f>#REF!+"vlM!DW"</f>
        <v/>
      </c>
      <c r="CQ11">
        <f>#REF!+"vlM!DX"</f>
        <v/>
      </c>
      <c r="CR11">
        <f>#REF!+"vlM!DY"</f>
        <v/>
      </c>
      <c r="CS11">
        <f>#REF!+"vlM!DZ"</f>
        <v/>
      </c>
      <c r="CT11">
        <f>#REF!+"vlM!D["</f>
        <v/>
      </c>
      <c r="CU11">
        <f>#REF!+"vlM!D\"</f>
        <v/>
      </c>
      <c r="CV11" s="1">
        <f>#REF!+"vlM!D]"</f>
        <v/>
      </c>
      <c r="CW11">
        <f>#REF!+"vlM!D^"</f>
        <v/>
      </c>
      <c r="CX11">
        <f>#REF!+"vlM!D_"</f>
        <v/>
      </c>
      <c r="CY11">
        <f>#REF!+"vlM!D`"</f>
        <v/>
      </c>
      <c r="CZ11">
        <f>#REF!+"vlM!Da"</f>
        <v/>
      </c>
      <c r="DA11">
        <f>#REF!+"vlM!Db"</f>
        <v/>
      </c>
      <c r="DB11">
        <f>#REF!+"vlM!Dc"</f>
        <v/>
      </c>
      <c r="DC11">
        <f>#REF!+"vlM!Dd"</f>
        <v/>
      </c>
      <c r="DD11">
        <f>#REF!+"vlM!De"</f>
        <v/>
      </c>
      <c r="DE11">
        <f>#REF!+"vlM!Df"</f>
        <v/>
      </c>
      <c r="DF11">
        <f>#REF!+"vlM!Dg"</f>
        <v/>
      </c>
      <c r="DG11">
        <f>#REF!+"vlM!Dh"</f>
        <v/>
      </c>
      <c r="DH11">
        <f>#REF!+"vlM!Di"</f>
        <v/>
      </c>
      <c r="DI11">
        <f>#REF!+"vlM!Dj"</f>
        <v/>
      </c>
      <c r="DJ11">
        <f>#REF!+"vlM!Dk"</f>
        <v/>
      </c>
      <c r="DK11" s="1">
        <f>#REF!+"vlM!Dl"</f>
        <v/>
      </c>
      <c r="DL11">
        <f>#REF!+"vlM!Dm"</f>
        <v/>
      </c>
      <c r="DM11">
        <f>#REF!+"vlM!Dn"</f>
        <v/>
      </c>
      <c r="DN11">
        <f>#REF!+"vlM!Do"</f>
        <v/>
      </c>
      <c r="DO11">
        <f>#REF!+"vlM!Dp"</f>
        <v/>
      </c>
      <c r="DP11">
        <f>#REF!+"vlM!Dq"</f>
        <v/>
      </c>
      <c r="DQ11">
        <f>#REF!+"vlM!Dr"</f>
        <v/>
      </c>
      <c r="DR11">
        <f>#REF!+"vlM!Ds"</f>
        <v/>
      </c>
      <c r="DS11">
        <f>#REF!+"vlM!Dt"</f>
        <v/>
      </c>
      <c r="DT11">
        <f>#REF!+"vlM!Du"</f>
        <v/>
      </c>
      <c r="DU11">
        <f>#REF!+"vlM!Dv"</f>
        <v/>
      </c>
      <c r="DV11">
        <f>#REF!+"vlM!Dw"</f>
        <v/>
      </c>
      <c r="DW11">
        <f>#REF!+"vlM!Dx"</f>
        <v/>
      </c>
      <c r="DX11">
        <f>#REF!+"vlM!Dy"</f>
        <v/>
      </c>
      <c r="DY11">
        <f>#REF!+"vlM!Dz"</f>
        <v/>
      </c>
      <c r="DZ11" s="1">
        <f>#REF!+"vlM!D{"</f>
        <v/>
      </c>
      <c r="EA11">
        <f>#REF!+"vlM!D|"</f>
        <v/>
      </c>
      <c r="EB11">
        <f>#REF!+"vlM!D}"</f>
        <v/>
      </c>
      <c r="EC11">
        <f>#REF!+"vlM!D~"</f>
        <v/>
      </c>
      <c r="ED11">
        <f>#REF!+"vlM!E#"</f>
        <v/>
      </c>
      <c r="EE11">
        <f>#REF!+"vlM!E$"</f>
        <v/>
      </c>
      <c r="EF11">
        <f>#REF!+"vlM!E%"</f>
        <v/>
      </c>
      <c r="EG11">
        <f>#REF!+"vlM!E&amp;"</f>
        <v/>
      </c>
      <c r="EH11">
        <f>#REF!+"vlM!E'"</f>
        <v/>
      </c>
      <c r="EI11">
        <f>#REF!+"vlM!E("</f>
        <v/>
      </c>
      <c r="EJ11">
        <f>#REF!+"vlM!E)"</f>
        <v/>
      </c>
      <c r="EK11">
        <f>#REF!+"vlM!E."</f>
        <v/>
      </c>
      <c r="EL11">
        <f>#REF!+"vlM!E/"</f>
        <v/>
      </c>
      <c r="EM11">
        <f>#REF!+"vlM!E0"</f>
        <v/>
      </c>
      <c r="EN11">
        <f>#REF!+"vlM!E1"</f>
        <v/>
      </c>
      <c r="EO11" s="1">
        <f>#REF!+"vlM!E2"</f>
        <v/>
      </c>
      <c r="EP11">
        <f>#REF!+"vlM!E3"</f>
        <v/>
      </c>
      <c r="EQ11">
        <f>#REF!+"vlM!E4"</f>
        <v/>
      </c>
      <c r="ER11">
        <f>#REF!+"vlM!E5"</f>
        <v/>
      </c>
      <c r="ES11">
        <f>#REF!+"vlM!E6"</f>
        <v/>
      </c>
      <c r="ET11">
        <f>#REF!+"vlM!E7"</f>
        <v/>
      </c>
      <c r="EU11">
        <f>#REF!+"vlM!E8"</f>
        <v/>
      </c>
      <c r="EV11">
        <f>#REF!+"vlM!E9"</f>
        <v/>
      </c>
      <c r="EW11">
        <f>#REF!+"vlM!E:"</f>
        <v/>
      </c>
      <c r="EX11">
        <f>#REF!+"vlM!E;"</f>
        <v/>
      </c>
      <c r="EY11">
        <f>#REF!+"vlM!E&lt;"</f>
        <v/>
      </c>
      <c r="EZ11">
        <f>#REF!+"vlM!E="</f>
        <v/>
      </c>
      <c r="FA11">
        <f>#REF!+"vlM!E&gt;"</f>
        <v/>
      </c>
      <c r="FB11">
        <f>#REF!+"vlM!E?"</f>
        <v/>
      </c>
      <c r="FC11">
        <f>#REF!+"vlM!E@"</f>
        <v/>
      </c>
      <c r="FD11" s="1">
        <f>#REF!+"vlM!EA"</f>
        <v/>
      </c>
      <c r="FE11">
        <f>#REF!+"vlM!EB"</f>
        <v/>
      </c>
      <c r="FF11">
        <f>#REF!+"vlM!EC"</f>
        <v/>
      </c>
      <c r="FG11">
        <f>#REF!+"vlM!ED"</f>
        <v/>
      </c>
      <c r="FH11">
        <f>#REF!+"vlM!EE"</f>
        <v/>
      </c>
      <c r="FI11">
        <f>#REF!+"vlM!EF"</f>
        <v/>
      </c>
      <c r="FJ11">
        <f>#REF!+"vlM!EG"</f>
        <v/>
      </c>
      <c r="FK11">
        <f>#REF!+"vlM!EH"</f>
        <v/>
      </c>
      <c r="FL11">
        <f>#REF!+"vlM!EI"</f>
        <v/>
      </c>
      <c r="FM11">
        <f>#REF!+"vlM!EJ"</f>
        <v/>
      </c>
      <c r="FN11">
        <f>#REF!+"vlM!EK"</f>
        <v/>
      </c>
      <c r="FO11">
        <f>#REF!+"vlM!EL"</f>
        <v/>
      </c>
      <c r="FP11">
        <f>#REF!+"vlM!EM"</f>
        <v/>
      </c>
      <c r="FQ11">
        <f>#REF!+"vlM!EN"</f>
        <v/>
      </c>
      <c r="FR11">
        <f>#REF!+"vlM!EO"</f>
        <v/>
      </c>
      <c r="FS11" s="1">
        <f>#REF!+"vlM!EP"</f>
        <v/>
      </c>
      <c r="FT11">
        <f>#REF!+"vlM!EQ"</f>
        <v/>
      </c>
      <c r="FU11">
        <f>#REF!+"vlM!ER"</f>
        <v/>
      </c>
      <c r="FV11">
        <f>#REF!+"vlM!ES"</f>
        <v/>
      </c>
      <c r="FW11">
        <f>#REF!+"vlM!ET"</f>
        <v/>
      </c>
      <c r="FX11">
        <f>#REF!+"vlM!EU"</f>
        <v/>
      </c>
      <c r="FY11">
        <f>#REF!+"vlM!EV"</f>
        <v/>
      </c>
      <c r="FZ11">
        <f>#REF!+"vlM!EW"</f>
        <v/>
      </c>
      <c r="GA11">
        <f>#REF!+"vlM!EX"</f>
        <v/>
      </c>
      <c r="GB11">
        <f>#REF!+"vlM!EY"</f>
        <v/>
      </c>
      <c r="GC11">
        <f>#REF!+"vlM!EZ"</f>
        <v/>
      </c>
      <c r="GD11">
        <f>#REF!+"vlM!E["</f>
        <v/>
      </c>
      <c r="GE11">
        <f>#REF!+"vlM!E\"</f>
        <v/>
      </c>
      <c r="GF11">
        <f>#REF!+"vlM!E]"</f>
        <v/>
      </c>
      <c r="GG11">
        <f>#REF!+"vlM!E^"</f>
        <v/>
      </c>
      <c r="GH11" s="1">
        <f>#REF!+"vlM!E_"</f>
        <v/>
      </c>
      <c r="GI11">
        <f>#REF!+"vlM!E`"</f>
        <v/>
      </c>
      <c r="GJ11">
        <f>#REF!+"vlM!Ea"</f>
        <v/>
      </c>
      <c r="GK11">
        <f>#REF!+"vlM!Eb"</f>
        <v/>
      </c>
      <c r="GL11">
        <f>#REF!+"vlM!Ec"</f>
        <v/>
      </c>
      <c r="GM11">
        <f>#REF!+"vlM!Ed"</f>
        <v/>
      </c>
      <c r="GN11">
        <f>#REF!+"vlM!Ee"</f>
        <v/>
      </c>
      <c r="GO11">
        <f>#REF!+"vlM!Ef"</f>
        <v/>
      </c>
      <c r="GP11">
        <f>#REF!+"vlM!Eg"</f>
        <v/>
      </c>
      <c r="GQ11">
        <f>#REF!+"vlM!Eh"</f>
        <v/>
      </c>
      <c r="GR11">
        <f>#REF!+"vlM!Ei"</f>
        <v/>
      </c>
      <c r="GS11">
        <f>#REF!+"vlM!Ej"</f>
        <v/>
      </c>
      <c r="GT11">
        <f>#REF!+"vlM!Ek"</f>
        <v/>
      </c>
      <c r="GU11">
        <f>#REF!+"vlM!El"</f>
        <v/>
      </c>
      <c r="GV11">
        <f>#REF!+"vlM!Em"</f>
        <v/>
      </c>
      <c r="GW11" s="1">
        <f>#REF!+"vlM!En"</f>
        <v/>
      </c>
      <c r="GX11">
        <f>#REF!+"vlM!Eo"</f>
        <v/>
      </c>
      <c r="GY11">
        <f>#REF!+"vlM!Ep"</f>
        <v/>
      </c>
      <c r="GZ11">
        <f>#REF!+"vlM!Eq"</f>
        <v/>
      </c>
      <c r="HA11">
        <f>#REF!+"vlM!Er"</f>
        <v/>
      </c>
      <c r="HB11">
        <f>#REF!+"vlM!Es"</f>
        <v/>
      </c>
      <c r="HC11">
        <f>#REF!+"vlM!Et"</f>
        <v/>
      </c>
      <c r="HD11">
        <f>#REF!+"vlM!Eu"</f>
        <v/>
      </c>
      <c r="HE11">
        <f>#REF!+"vlM!Ev"</f>
        <v/>
      </c>
      <c r="HF11">
        <f>#REF!+"vlM!Ew"</f>
        <v/>
      </c>
      <c r="HG11">
        <f>#REF!+"vlM!Ex"</f>
        <v/>
      </c>
      <c r="HH11">
        <f>#REF!+"vlM!Ey"</f>
        <v/>
      </c>
      <c r="HI11">
        <f>#REF!+"vlM!Ez"</f>
        <v/>
      </c>
      <c r="HJ11">
        <f>#REF!+"vlM!E{"</f>
        <v/>
      </c>
      <c r="HK11">
        <f>#REF!+"vlM!E|"</f>
        <v/>
      </c>
      <c r="HL11" s="1">
        <f>#REF!+"vlM!E}"</f>
        <v/>
      </c>
      <c r="HM11">
        <f>#REF!+"vlM!E~"</f>
        <v/>
      </c>
      <c r="HN11">
        <f>#REF!+"vlM!F#"</f>
        <v/>
      </c>
      <c r="HO11">
        <f>#REF!+"vlM!F$"</f>
        <v/>
      </c>
      <c r="HP11">
        <f>#REF!+"vlM!F%"</f>
        <v/>
      </c>
      <c r="HQ11">
        <f>#REF!+"vlM!F&amp;"</f>
        <v/>
      </c>
      <c r="HR11">
        <f>#REF!+"vlM!F'"</f>
        <v/>
      </c>
      <c r="HS11">
        <f>#REF!+"vlM!F("</f>
        <v/>
      </c>
      <c r="HT11">
        <f>#REF!+"vlM!F)"</f>
        <v/>
      </c>
      <c r="HU11">
        <f>#REF!+"vlM!F."</f>
        <v/>
      </c>
      <c r="HV11">
        <f>#REF!+"vlM!F/"</f>
        <v/>
      </c>
      <c r="HW11">
        <f>#REF!+"vlM!F0"</f>
        <v/>
      </c>
      <c r="HX11">
        <f>#REF!+"vlM!F1"</f>
        <v/>
      </c>
      <c r="HY11">
        <f>#REF!+"vlM!F2"</f>
        <v/>
      </c>
      <c r="HZ11">
        <f>#REF!+"vlM!F3"</f>
        <v/>
      </c>
      <c r="IA11" s="1">
        <f>#REF!+"vlM!F4"</f>
        <v/>
      </c>
      <c r="IB11">
        <f>#REF!+"vlM!F5"</f>
        <v/>
      </c>
      <c r="IC11">
        <f>#REF!+"vlM!F6"</f>
        <v/>
      </c>
      <c r="ID11">
        <f>#REF!+"vlM!F7"</f>
        <v/>
      </c>
      <c r="IE11">
        <f>#REF!+"vlM!F8"</f>
        <v/>
      </c>
      <c r="IF11">
        <f>#REF!+"vlM!F9"</f>
        <v/>
      </c>
      <c r="IG11">
        <f>#REF!+"vlM!F:"</f>
        <v/>
      </c>
      <c r="IH11">
        <f>#REF!+"vlM!F;"</f>
        <v/>
      </c>
      <c r="II11">
        <f>#REF!+"vlM!F&lt;"</f>
        <v/>
      </c>
      <c r="IJ11">
        <f>#REF!+"vlM!F="</f>
        <v/>
      </c>
      <c r="IK11">
        <f>#REF!+"vlM!F&gt;"</f>
        <v/>
      </c>
      <c r="IL11">
        <f>#REF!+"vlM!F?"</f>
        <v/>
      </c>
      <c r="IM11">
        <f>#REF!+"vlM!F@"</f>
        <v/>
      </c>
      <c r="IN11">
        <f>#REF!+"vlM!FA"</f>
        <v/>
      </c>
      <c r="IO11">
        <f>#REF!+"vlM!FB"</f>
        <v/>
      </c>
      <c r="IP11" s="1">
        <f>#REF!+"vlM!FC"</f>
        <v/>
      </c>
      <c r="IQ11">
        <f>#REF!+"vlM!FD"</f>
        <v/>
      </c>
      <c r="IR11">
        <f>#REF!+"vlM!FE"</f>
        <v/>
      </c>
      <c r="IS11">
        <f>#REF!+"vlM!FF"</f>
        <v/>
      </c>
      <c r="IT11">
        <f>#REF!+"vlM!FG"</f>
        <v/>
      </c>
      <c r="IU11">
        <f>#REF!+"vlM!FH"</f>
        <v/>
      </c>
      <c r="IV11">
        <f>#REF!+"vlM!FI"</f>
        <v/>
      </c>
    </row>
    <row r="12">
      <c r="F12">
        <f>#REF!+"vlM!FJ"</f>
        <v/>
      </c>
      <c r="G12">
        <f>#REF!+"vlM!FK"</f>
        <v/>
      </c>
      <c r="H12">
        <f>#REF!+"vlM!FL"</f>
        <v/>
      </c>
      <c r="I12">
        <f>#REF!+"vlM!FM"</f>
        <v/>
      </c>
      <c r="J12">
        <f>#REF!+"vlM!FN"</f>
        <v/>
      </c>
      <c r="K12">
        <f>#REF!+"vlM!FO"</f>
        <v/>
      </c>
      <c r="L12">
        <f>#REF!+"vlM!FP"</f>
        <v/>
      </c>
      <c r="M12">
        <f>#REF!+"vlM!FQ"</f>
        <v/>
      </c>
      <c r="N12" s="1">
        <f>#REF!+"vlM!FR"</f>
        <v/>
      </c>
      <c r="O12">
        <f>#REF!+"vlM!FS"</f>
        <v/>
      </c>
      <c r="P12">
        <f>#REF!+"vlM!FT"</f>
        <v/>
      </c>
      <c r="Q12">
        <f>#REF!+"vlM!FU"</f>
        <v/>
      </c>
      <c r="R12">
        <f>#REF!+"vlM!FV"</f>
        <v/>
      </c>
      <c r="S12">
        <f>#REF!+"vlM!FW"</f>
        <v/>
      </c>
      <c r="T12">
        <f>#REF!+"vlM!FX"</f>
        <v/>
      </c>
      <c r="U12">
        <f>#REF!+"vlM!FY"</f>
        <v/>
      </c>
      <c r="V12">
        <f>#REF!+"vlM!FZ"</f>
        <v/>
      </c>
      <c r="W12">
        <f>#REF!+"vlM!F["</f>
        <v/>
      </c>
      <c r="X12">
        <f>#REF!+"vlM!F\"</f>
        <v/>
      </c>
      <c r="Y12">
        <f>#REF!+"vlM!F]"</f>
        <v/>
      </c>
      <c r="Z12">
        <f>#REF!+"vlM!F^"</f>
        <v/>
      </c>
      <c r="AA12">
        <f>#REF!+"vlM!F_"</f>
        <v/>
      </c>
      <c r="AB12">
        <f>#REF!+"vlM!F`"</f>
        <v/>
      </c>
      <c r="AC12" s="1">
        <f>#REF!+"vlM!Fa"</f>
        <v/>
      </c>
      <c r="AD12">
        <f>#REF!+"vlM!Fb"</f>
        <v/>
      </c>
      <c r="AE12">
        <f>#REF!+"vlM!Fc"</f>
        <v/>
      </c>
      <c r="AF12">
        <f>#REF!+"vlM!Fd"</f>
        <v/>
      </c>
      <c r="AG12">
        <f>#REF!+"vlM!Fe"</f>
        <v/>
      </c>
      <c r="AH12">
        <f>#REF!+"vlM!Ff"</f>
        <v/>
      </c>
      <c r="AI12">
        <f>#REF!+"vlM!Fg"</f>
        <v/>
      </c>
      <c r="AJ12">
        <f>#REF!+"vlM!Fh"</f>
        <v/>
      </c>
      <c r="AK12">
        <f>#REF!+"vlM!Fi"</f>
        <v/>
      </c>
      <c r="AL12">
        <f>#REF!+"vlM!Fj"</f>
        <v/>
      </c>
      <c r="AM12">
        <f>#REF!+"vlM!Fk"</f>
        <v/>
      </c>
      <c r="AN12">
        <f>#REF!+"vlM!Fl"</f>
        <v/>
      </c>
      <c r="AO12">
        <f>#REF!+"vlM!Fm"</f>
        <v/>
      </c>
      <c r="AP12">
        <f>#REF!+"vlM!Fn"</f>
        <v/>
      </c>
      <c r="AQ12">
        <f>#REF!+"vlM!Fo"</f>
        <v/>
      </c>
      <c r="AR12" s="1">
        <f>#REF!+"vlM!Fp"</f>
        <v/>
      </c>
      <c r="AS12">
        <f>#REF!+"vlM!Fq"</f>
        <v/>
      </c>
      <c r="AT12">
        <f>#REF!+"vlM!Fr"</f>
        <v/>
      </c>
      <c r="AU12">
        <f>#REF!+"vlM!Fs"</f>
        <v/>
      </c>
      <c r="AV12">
        <f>#REF!+"vlM!Ft"</f>
        <v/>
      </c>
      <c r="AW12">
        <f>#REF!+"vlM!Fu"</f>
        <v/>
      </c>
      <c r="AX12">
        <f>#REF!+"vlM!Fv"</f>
        <v/>
      </c>
      <c r="AY12">
        <f>#REF!+"vlM!Fw"</f>
        <v/>
      </c>
      <c r="AZ12">
        <f>#REF!+"vlM!Fx"</f>
        <v/>
      </c>
      <c r="BA12">
        <f>#REF!+"vlM!Fy"</f>
        <v/>
      </c>
      <c r="BB12">
        <f>#REF!+"vlM!Fz"</f>
        <v/>
      </c>
      <c r="BC12">
        <f>#REF!+"vlM!F{"</f>
        <v/>
      </c>
      <c r="BD12">
        <f>#REF!+"vlM!F|"</f>
        <v/>
      </c>
      <c r="BE12">
        <f>#REF!+"vlM!F}"</f>
        <v/>
      </c>
      <c r="BF12">
        <f>#REF!+"vlM!F~"</f>
        <v/>
      </c>
      <c r="BG12" s="1">
        <f>#REF!+"vlM!G#"</f>
        <v/>
      </c>
      <c r="BH12">
        <f>#REF!+"vlM!G$"</f>
        <v/>
      </c>
      <c r="BI12">
        <f>#REF!+"vlM!G%"</f>
        <v/>
      </c>
      <c r="BJ12">
        <f>#REF!+"vlM!G&amp;"</f>
        <v/>
      </c>
      <c r="BK12">
        <f>#REF!+"vlM!G'"</f>
        <v/>
      </c>
      <c r="BL12">
        <f>#REF!+"vlM!G("</f>
        <v/>
      </c>
      <c r="BM12">
        <f>#REF!+"vlM!G)"</f>
        <v/>
      </c>
      <c r="BN12">
        <f>#REF!+"vlM!G."</f>
        <v/>
      </c>
      <c r="BO12">
        <f>#REF!+"vlM!G/"</f>
        <v/>
      </c>
      <c r="BP12">
        <f>#REF!+"vlM!G0"</f>
        <v/>
      </c>
      <c r="BQ12">
        <f>#REF!+"vlM!G1"</f>
        <v/>
      </c>
      <c r="BR12">
        <f>#REF!+"vlM!G2"</f>
        <v/>
      </c>
      <c r="BS12">
        <f>#REF!+"vlM!G3"</f>
        <v/>
      </c>
      <c r="BT12">
        <f>#REF!+"vlM!G4"</f>
        <v/>
      </c>
      <c r="BU12">
        <f>#REF!+"vlM!G5"</f>
        <v/>
      </c>
      <c r="BV12" s="1">
        <f>#REF!+"vlM!G6"</f>
        <v/>
      </c>
      <c r="BW12">
        <f>#REF!+"vlM!G7"</f>
        <v/>
      </c>
      <c r="BX12">
        <f>#REF!+"vlM!G8"</f>
        <v/>
      </c>
      <c r="BY12">
        <f>#REF!+"vlM!G9"</f>
        <v/>
      </c>
      <c r="BZ12">
        <f>#REF!+"vlM!G:"</f>
        <v/>
      </c>
      <c r="CA12">
        <f>#REF!+"vlM!G;"</f>
        <v/>
      </c>
      <c r="CB12">
        <f>#REF!+"vlM!G&lt;"</f>
        <v/>
      </c>
      <c r="CC12">
        <f>#REF!+"vlM!G="</f>
        <v/>
      </c>
      <c r="CD12">
        <f>#REF!+"vlM!G&gt;"</f>
        <v/>
      </c>
      <c r="CE12">
        <f>#REF!+"vlM!G?"</f>
        <v/>
      </c>
      <c r="CF12">
        <f>#REF!+"vlM!G@"</f>
        <v/>
      </c>
      <c r="CG12">
        <f>#REF!+"vlM!GA"</f>
        <v/>
      </c>
      <c r="CH12">
        <f>#REF!+"vlM!GB"</f>
        <v/>
      </c>
      <c r="CI12">
        <f>#REF!+"vlM!GC"</f>
        <v/>
      </c>
      <c r="CJ12">
        <f>#REF!+"vlM!GD"</f>
        <v/>
      </c>
      <c r="CK12" s="1">
        <f>#REF!+"vlM!GE"</f>
        <v/>
      </c>
      <c r="CL12">
        <f>#REF!+"vlM!GF"</f>
        <v/>
      </c>
      <c r="CM12">
        <f>#REF!+"vlM!GG"</f>
        <v/>
      </c>
      <c r="CN12">
        <f>#REF!+"vlM!GH"</f>
        <v/>
      </c>
      <c r="CO12">
        <f>#REF!+"vlM!GI"</f>
        <v/>
      </c>
      <c r="CP12">
        <f>#REF!+"vlM!GJ"</f>
        <v/>
      </c>
      <c r="CQ12">
        <f>#REF!+"vlM!GK"</f>
        <v/>
      </c>
      <c r="CR12">
        <f>#REF!+"vlM!GL"</f>
        <v/>
      </c>
      <c r="CS12">
        <f>#REF!+"vlM!GM"</f>
        <v/>
      </c>
      <c r="CT12">
        <f>#REF!+"vlM!GN"</f>
        <v/>
      </c>
      <c r="CU12">
        <f>#REF!+"vlM!GO"</f>
        <v/>
      </c>
      <c r="CV12">
        <f>#REF!+"vlM!GP"</f>
        <v/>
      </c>
      <c r="CW12">
        <f>#REF!+"vlM!GQ"</f>
        <v/>
      </c>
      <c r="CX12">
        <f>#REF!+"vlM!GR"</f>
        <v/>
      </c>
      <c r="CY12">
        <f>#REF!+"vlM!GS"</f>
        <v/>
      </c>
      <c r="CZ12" s="1">
        <f>#REF!+"vlM!GT"</f>
        <v/>
      </c>
      <c r="DA12">
        <f>#REF!+"vlM!GU"</f>
        <v/>
      </c>
      <c r="DB12">
        <f>#REF!+"vlM!GV"</f>
        <v/>
      </c>
      <c r="DC12">
        <f>#REF!+"vlM!GW"</f>
        <v/>
      </c>
      <c r="DD12">
        <f>#REF!+"vlM!GX"</f>
        <v/>
      </c>
      <c r="DE12">
        <f>#REF!+"vlM!GY"</f>
        <v/>
      </c>
      <c r="DF12">
        <f>#REF!+"vlM!GZ"</f>
        <v/>
      </c>
      <c r="DG12">
        <f>#REF!+"vlM!G["</f>
        <v/>
      </c>
      <c r="DH12">
        <f>#REF!+"vlM!G\"</f>
        <v/>
      </c>
      <c r="DI12">
        <f>#REF!+"vlM!G]"</f>
        <v/>
      </c>
      <c r="DJ12">
        <f>#REF!+"vlM!G^"</f>
        <v/>
      </c>
      <c r="DK12">
        <f>#REF!+"vlM!G_"</f>
        <v/>
      </c>
      <c r="DL12">
        <f>#REF!+"vlM!G`"</f>
        <v/>
      </c>
      <c r="DM12">
        <f>#REF!+"vlM!Ga"</f>
        <v/>
      </c>
      <c r="DN12">
        <f>#REF!+"vlM!Gb"</f>
        <v/>
      </c>
      <c r="DO12" s="1">
        <f>#REF!+"vlM!Gc"</f>
        <v/>
      </c>
      <c r="DP12">
        <f>#REF!+"vlM!Gd"</f>
        <v/>
      </c>
      <c r="DQ12">
        <f>#REF!+"vlM!Ge"</f>
        <v/>
      </c>
      <c r="DR12">
        <f>#REF!+"vlM!Gf"</f>
        <v/>
      </c>
      <c r="DS12">
        <f>#REF!+"vlM!Gg"</f>
        <v/>
      </c>
      <c r="DT12">
        <f>#REF!+"vlM!Gh"</f>
        <v/>
      </c>
      <c r="DU12">
        <f>#REF!+"vlM!Gi"</f>
        <v/>
      </c>
      <c r="DV12">
        <f>#REF!+"vlM!Gj"</f>
        <v/>
      </c>
      <c r="DW12">
        <f>#REF!+"vlM!Gk"</f>
        <v/>
      </c>
      <c r="DX12">
        <f>#REF!+"vlM!Gl"</f>
        <v/>
      </c>
      <c r="DY12">
        <f>#REF!+"vlM!Gm"</f>
        <v/>
      </c>
      <c r="DZ12">
        <f>#REF!+"vlM!Gn"</f>
        <v/>
      </c>
      <c r="EA12">
        <f>#REF!+"vlM!Go"</f>
        <v/>
      </c>
      <c r="EB12">
        <f>#REF!+"vlM!Gp"</f>
        <v/>
      </c>
      <c r="EC12">
        <f>#REF!+"vlM!Gq"</f>
        <v/>
      </c>
      <c r="ED12" s="1">
        <f>#REF!+"vlM!Gr"</f>
        <v/>
      </c>
      <c r="EE12">
        <f>#REF!+"vlM!Gs"</f>
        <v/>
      </c>
      <c r="EF12">
        <f>#REF!+"vlM!Gt"</f>
        <v/>
      </c>
      <c r="EG12">
        <f>#REF!+"vlM!Gu"</f>
        <v/>
      </c>
      <c r="EH12">
        <f>#REF!+"vlM!Gv"</f>
        <v/>
      </c>
      <c r="EI12">
        <f>#REF!+"vlM!Gw"</f>
        <v/>
      </c>
      <c r="EJ12">
        <f>#REF!+"vlM!Gx"</f>
        <v/>
      </c>
      <c r="EK12">
        <f>#REF!+"vlM!Gy"</f>
        <v/>
      </c>
      <c r="EL12">
        <f>#REF!+"vlM!Gz"</f>
        <v/>
      </c>
      <c r="EM12">
        <f>#REF!+"vlM!G{"</f>
        <v/>
      </c>
      <c r="EN12">
        <f>#REF!+"vlM!G|"</f>
        <v/>
      </c>
      <c r="EO12">
        <f>#REF!+"vlM!G}"</f>
        <v/>
      </c>
      <c r="EP12">
        <f>#REF!+"vlM!G~"</f>
        <v/>
      </c>
      <c r="EQ12">
        <f>#REF!+"vlM!H#"</f>
        <v/>
      </c>
      <c r="ER12">
        <f>#REF!+"vlM!H$"</f>
        <v/>
      </c>
      <c r="ES12" s="1">
        <f>#REF!+"vlM!H%"</f>
        <v/>
      </c>
      <c r="ET12">
        <f>#REF!+"vlM!H&amp;"</f>
        <v/>
      </c>
      <c r="EU12">
        <f>#REF!+"vlM!H'"</f>
        <v/>
      </c>
      <c r="EV12">
        <f>#REF!+"vlM!H("</f>
        <v/>
      </c>
      <c r="EW12">
        <f>#REF!+"vlM!H)"</f>
        <v/>
      </c>
      <c r="EX12">
        <f>#REF!+"vlM!H."</f>
        <v/>
      </c>
      <c r="EY12">
        <f>#REF!+"vlM!H/"</f>
        <v/>
      </c>
      <c r="EZ12">
        <f>#REF!+"vlM!H0"</f>
        <v/>
      </c>
      <c r="FA12">
        <f>#REF!+"vlM!H1"</f>
        <v/>
      </c>
      <c r="FB12">
        <f>#REF!+"vlM!H2"</f>
        <v/>
      </c>
      <c r="FC12">
        <f>#REF!+"vlM!H3"</f>
        <v/>
      </c>
      <c r="FD12">
        <f>#REF!+"vlM!H4"</f>
        <v/>
      </c>
      <c r="FE12">
        <f>#REF!+"vlM!H5"</f>
        <v/>
      </c>
      <c r="FF12">
        <f>#REF!+"vlM!H6"</f>
        <v/>
      </c>
      <c r="FG12">
        <f>#REF!+"vlM!H7"</f>
        <v/>
      </c>
      <c r="FH12" s="1">
        <f>#REF!+"vlM!H8"</f>
        <v/>
      </c>
      <c r="FI12">
        <f>#REF!+"vlM!H9"</f>
        <v/>
      </c>
      <c r="FJ12">
        <f>#REF!+"vlM!H:"</f>
        <v/>
      </c>
      <c r="FK12">
        <f>#REF!+"vlM!H;"</f>
        <v/>
      </c>
      <c r="FL12">
        <f>#REF!+"vlM!H&lt;"</f>
        <v/>
      </c>
      <c r="FM12">
        <f>#REF!+"vlM!H="</f>
        <v/>
      </c>
      <c r="FN12">
        <f>#REF!+"vlM!H&gt;"</f>
        <v/>
      </c>
      <c r="FO12">
        <f>#REF!+"vlM!H?"</f>
        <v/>
      </c>
      <c r="FP12">
        <f>#REF!+"vlM!H@"</f>
        <v/>
      </c>
      <c r="FQ12">
        <f>#REF!+"vlM!HA"</f>
        <v/>
      </c>
      <c r="FR12">
        <f>#REF!+"vlM!HB"</f>
        <v/>
      </c>
      <c r="FS12">
        <f>#REF!+"vlM!HC"</f>
        <v/>
      </c>
      <c r="FT12">
        <f>#REF!+"vlM!HD"</f>
        <v/>
      </c>
      <c r="FU12">
        <f>#REF!+"vlM!HE"</f>
        <v/>
      </c>
      <c r="FV12">
        <f>#REF!+"vlM!HF"</f>
        <v/>
      </c>
      <c r="FW12" s="1">
        <f>#REF!+"vlM!HG"</f>
        <v/>
      </c>
      <c r="FX12">
        <f>#REF!+"vlM!HH"</f>
        <v/>
      </c>
      <c r="FY12">
        <f>#REF!+"vlM!HI"</f>
        <v/>
      </c>
      <c r="FZ12">
        <f>#REF!+"vlM!HJ"</f>
        <v/>
      </c>
      <c r="GA12">
        <f>#REF!+"vlM!HK"</f>
        <v/>
      </c>
      <c r="GB12">
        <f>#REF!+"vlM!HL"</f>
        <v/>
      </c>
      <c r="GC12">
        <f>#REF!+"vlM!HM"</f>
        <v/>
      </c>
      <c r="GD12">
        <f>#REF!+"vlM!HN"</f>
        <v/>
      </c>
      <c r="GE12">
        <f>#REF!+"vlM!HO"</f>
        <v/>
      </c>
      <c r="GF12">
        <f>#REF!+"vlM!HP"</f>
        <v/>
      </c>
      <c r="GG12">
        <f>#REF!+"vlM!HQ"</f>
        <v/>
      </c>
      <c r="GH12">
        <f>#REF!+"vlM!HR"</f>
        <v/>
      </c>
      <c r="GI12">
        <f>#REF!+"vlM!HS"</f>
        <v/>
      </c>
      <c r="GJ12">
        <f>#REF!+"vlM!HT"</f>
        <v/>
      </c>
      <c r="GK12">
        <f>#REF!+"vlM!HU"</f>
        <v/>
      </c>
      <c r="GL12" s="1">
        <f>#REF!+"vlM!HV"</f>
        <v/>
      </c>
      <c r="GM12">
        <f>#REF!+"vlM!HW"</f>
        <v/>
      </c>
      <c r="GN12">
        <f>#REF!+"vlM!HX"</f>
        <v/>
      </c>
      <c r="GO12">
        <f>#REF!+"vlM!HY"</f>
        <v/>
      </c>
      <c r="GP12">
        <f>#REF!+"vlM!HZ"</f>
        <v/>
      </c>
      <c r="GQ12">
        <f>#REF!+"vlM!H["</f>
        <v/>
      </c>
      <c r="GR12">
        <f>#REF!+"vlM!H\"</f>
        <v/>
      </c>
      <c r="GS12">
        <f>#REF!+"vlM!H]"</f>
        <v/>
      </c>
      <c r="GT12">
        <f>#REF!+"vlM!H^"</f>
        <v/>
      </c>
      <c r="GU12">
        <f>#REF!+"vlM!H_"</f>
        <v/>
      </c>
      <c r="GV12">
        <f>#REF!+"vlM!H`"</f>
        <v/>
      </c>
      <c r="GW12">
        <f>#REF!+"vlM!Ha"</f>
        <v/>
      </c>
      <c r="GX12">
        <f>#REF!+"vlM!Hb"</f>
        <v/>
      </c>
      <c r="GY12">
        <f>#REF!+"vlM!Hc"</f>
        <v/>
      </c>
      <c r="GZ12">
        <f>#REF!+"vlM!Hd"</f>
        <v/>
      </c>
      <c r="HA12" s="1">
        <f>#REF!+"vlM!He"</f>
        <v/>
      </c>
      <c r="HB12">
        <f>#REF!+"vlM!Hf"</f>
        <v/>
      </c>
      <c r="HC12">
        <f>#REF!+"vlM!Hg"</f>
        <v/>
      </c>
      <c r="HD12">
        <f>#REF!+"vlM!Hh"</f>
        <v/>
      </c>
      <c r="HE12">
        <f>#REF!+"vlM!Hi"</f>
        <v/>
      </c>
      <c r="HF12">
        <f>#REF!+"vlM!Hj"</f>
        <v/>
      </c>
      <c r="HG12">
        <f>#REF!+"vlM!Hk"</f>
        <v/>
      </c>
      <c r="HH12">
        <f>#REF!+"vlM!Hl"</f>
        <v/>
      </c>
      <c r="HI12">
        <f>#REF!+"vlM!Hm"</f>
        <v/>
      </c>
      <c r="HJ12">
        <f>#REF!+"vlM!Hn"</f>
        <v/>
      </c>
      <c r="HK12">
        <f>#REF!+"vlM!Ho"</f>
        <v/>
      </c>
      <c r="HL12">
        <f>#REF!+"vlM!Hp"</f>
        <v/>
      </c>
      <c r="HM12">
        <f>#REF!+"vlM!Hq"</f>
        <v/>
      </c>
      <c r="HN12">
        <f>#REF!+"vlM!Hr"</f>
        <v/>
      </c>
      <c r="HO12">
        <f>#REF!+"vlM!Hs"</f>
        <v/>
      </c>
      <c r="HP12" s="1">
        <f>#REF!+"vlM!Ht"</f>
        <v/>
      </c>
      <c r="HQ12">
        <f>#REF!+"vlM!Hu"</f>
        <v/>
      </c>
      <c r="HR12">
        <f>#REF!+"vlM!Hv"</f>
        <v/>
      </c>
      <c r="HS12">
        <f>#REF!+"vlM!Hw"</f>
        <v/>
      </c>
      <c r="HT12">
        <f>#REF!+"vlM!Hx"</f>
        <v/>
      </c>
      <c r="HU12">
        <f>#REF!+"vlM!Hy"</f>
        <v/>
      </c>
      <c r="HV12">
        <f>#REF!+"vlM!Hz"</f>
        <v/>
      </c>
      <c r="HW12">
        <f>#REF!+"vlM!H{"</f>
        <v/>
      </c>
      <c r="HX12">
        <f>#REF!+"vlM!H|"</f>
        <v/>
      </c>
      <c r="HY12">
        <f>#REF!+"vlM!H}"</f>
        <v/>
      </c>
      <c r="HZ12">
        <f>#REF!+"vlM!H~"</f>
        <v/>
      </c>
      <c r="IA12">
        <f>#REF!+"vlM!I#"</f>
        <v/>
      </c>
      <c r="IB12">
        <f>#REF!+"vlM!I$"</f>
        <v/>
      </c>
      <c r="IC12">
        <f>#REF!+"vlM!I%"</f>
        <v/>
      </c>
      <c r="ID12">
        <f>#REF!+"vlM!I&amp;"</f>
        <v/>
      </c>
      <c r="IE12" s="1">
        <f>#REF!+"vlM!I'"</f>
        <v/>
      </c>
      <c r="IF12">
        <f>#REF!+"vlM!I("</f>
        <v/>
      </c>
      <c r="IG12">
        <f>#REF!+"vlM!I)"</f>
        <v/>
      </c>
      <c r="IH12">
        <f>#REF!+"vlM!I."</f>
        <v/>
      </c>
      <c r="II12">
        <f>#REF!+"vlM!I/"</f>
        <v/>
      </c>
      <c r="IJ12">
        <f>#REF!+"vlM!I0"</f>
        <v/>
      </c>
      <c r="IK12">
        <f>#REF!+"vlM!I1"</f>
        <v/>
      </c>
      <c r="IL12">
        <f>#REF!+"vlM!I2"</f>
        <v/>
      </c>
      <c r="IM12">
        <f>#REF!+"vlM!I3"</f>
        <v/>
      </c>
      <c r="IN12">
        <f>#REF!+"vlM!I4"</f>
        <v/>
      </c>
      <c r="IO12">
        <f>#REF!+"vlM!I5"</f>
        <v/>
      </c>
      <c r="IP12">
        <f>#REF!+"vlM!I6"</f>
        <v/>
      </c>
      <c r="IQ12">
        <f>#REF!+"vlM!I7"</f>
        <v/>
      </c>
      <c r="IR12">
        <f>#REF!+"vlM!I8"</f>
        <v/>
      </c>
      <c r="IS12">
        <f>#REF!+"vlM!I9"</f>
        <v/>
      </c>
      <c r="IT12" s="1">
        <f>#REF!+"vlM!I:"</f>
        <v/>
      </c>
      <c r="IU12">
        <f>#REF!+"vlM!I;"</f>
        <v/>
      </c>
      <c r="IV12">
        <f>#REF!+"vlM!I&lt;"</f>
        <v/>
      </c>
    </row>
    <row r="13">
      <c r="F13">
        <f>#REF!+"vlM!I="</f>
        <v/>
      </c>
      <c r="G13">
        <f>#REF!+"vlM!I&gt;"</f>
        <v/>
      </c>
      <c r="H13">
        <f>#REF!+"vlM!I?"</f>
        <v/>
      </c>
      <c r="I13">
        <f>#REF!+"vlM!I@"</f>
        <v/>
      </c>
      <c r="J13">
        <f>#REF!+"vlM!IA"</f>
        <v/>
      </c>
      <c r="K13">
        <f>#REF!+"vlM!IB"</f>
        <v/>
      </c>
      <c r="L13">
        <f>#REF!+"vlM!IC"</f>
        <v/>
      </c>
      <c r="M13">
        <f>#REF!+"vlM!ID"</f>
        <v/>
      </c>
      <c r="N13">
        <f>#REF!+"vlM!IE"</f>
        <v/>
      </c>
      <c r="O13">
        <f>#REF!+"vlM!IF"</f>
        <v/>
      </c>
      <c r="P13">
        <f>#REF!+"vlM!IG"</f>
        <v/>
      </c>
      <c r="Q13">
        <f>#REF!+"vlM!IH"</f>
        <v/>
      </c>
      <c r="R13" s="1">
        <f>#REF!+"vlM!II"</f>
        <v/>
      </c>
      <c r="S13">
        <f>#REF!+"vlM!IJ"</f>
        <v/>
      </c>
      <c r="T13">
        <f>#REF!+"vlM!IK"</f>
        <v/>
      </c>
      <c r="U13">
        <f>#REF!+"vlM!IL"</f>
        <v/>
      </c>
      <c r="V13">
        <f>#REF!+"vlM!IM"</f>
        <v/>
      </c>
      <c r="W13">
        <f>#REF!+"vlM!IN"</f>
        <v/>
      </c>
      <c r="X13">
        <f>#REF!+"vlM!IO"</f>
        <v/>
      </c>
      <c r="Y13">
        <f>#REF!+"vlM!IP"</f>
        <v/>
      </c>
      <c r="Z13">
        <f>#REF!+"vlM!IQ"</f>
        <v/>
      </c>
      <c r="AA13">
        <f>#REF!+"vlM!IR"</f>
        <v/>
      </c>
      <c r="AB13">
        <f>#REF!+"vlM!IS"</f>
        <v/>
      </c>
      <c r="AC13">
        <f>#REF!+"vlM!IT"</f>
        <v/>
      </c>
      <c r="AD13">
        <f>#REF!+"vlM!IU"</f>
        <v/>
      </c>
      <c r="AE13">
        <f>#REF!+"vlM!IV"</f>
        <v/>
      </c>
      <c r="AF13">
        <f>#REF!+"vlM!IW"</f>
        <v/>
      </c>
      <c r="AG13" s="1">
        <f>#REF!+"vlM!IX"</f>
        <v/>
      </c>
      <c r="AH13">
        <f>#REF!+"vlM!IY"</f>
        <v/>
      </c>
      <c r="AI13">
        <f>#REF!+"vlM!IZ"</f>
        <v/>
      </c>
      <c r="AJ13">
        <f>#REF!+"vlM!I["</f>
        <v/>
      </c>
      <c r="AK13">
        <f>#REF!+"vlM!I\"</f>
        <v/>
      </c>
      <c r="AL13">
        <f>#REF!+"vlM!I]"</f>
        <v/>
      </c>
      <c r="AM13">
        <f>#REF!+"vlM!I^"</f>
        <v/>
      </c>
      <c r="AN13">
        <f>#REF!+"vlM!I_"</f>
        <v/>
      </c>
      <c r="AO13">
        <f>#REF!+"vlM!I`"</f>
        <v/>
      </c>
      <c r="AP13">
        <f>#REF!+"vlM!Ia"</f>
        <v/>
      </c>
      <c r="AQ13">
        <f>#REF!+"vlM!Ib"</f>
        <v/>
      </c>
      <c r="AR13">
        <f>#REF!+"vlM!Ic"</f>
        <v/>
      </c>
      <c r="AS13">
        <f>#REF!+"vlM!Id"</f>
        <v/>
      </c>
      <c r="AT13">
        <f>#REF!+"vlM!Ie"</f>
        <v/>
      </c>
      <c r="AU13">
        <f>#REF!+"vlM!If"</f>
        <v/>
      </c>
      <c r="AV13" s="1">
        <f>#REF!+"vlM!Ig"</f>
        <v/>
      </c>
      <c r="AW13">
        <f>#REF!+"vlM!Ih"</f>
        <v/>
      </c>
      <c r="AX13">
        <f>#REF!+"vlM!Ii"</f>
        <v/>
      </c>
      <c r="AY13">
        <f>#REF!+"vlM!Ij"</f>
        <v/>
      </c>
      <c r="AZ13">
        <f>#REF!+"vlM!Ik"</f>
        <v/>
      </c>
      <c r="BA13">
        <f>#REF!+"vlM!Il"</f>
        <v/>
      </c>
      <c r="BB13">
        <f>#REF!+"vlM!Im"</f>
        <v/>
      </c>
      <c r="BC13">
        <f>#REF!+"vlM!In"</f>
        <v/>
      </c>
      <c r="BD13">
        <f>#REF!+"vlM!Io"</f>
        <v/>
      </c>
      <c r="BE13">
        <f>#REF!+"vlM!Ip"</f>
        <v/>
      </c>
      <c r="BF13">
        <f>#REF!+"vlM!Iq"</f>
        <v/>
      </c>
      <c r="BG13">
        <f>#REF!+"vlM!Ir"</f>
        <v/>
      </c>
      <c r="BH13">
        <f>#REF!+"vlM!Is"</f>
        <v/>
      </c>
      <c r="BI13">
        <f>#REF!+"vlM!It"</f>
        <v/>
      </c>
      <c r="BJ13">
        <f>#REF!+"vlM!Iu"</f>
        <v/>
      </c>
      <c r="BK13" s="1">
        <f>#REF!+"vlM!Iv"</f>
        <v/>
      </c>
      <c r="BL13">
        <f>#REF!+"vlM!Iw"</f>
        <v/>
      </c>
      <c r="BM13">
        <f>#REF!+"vlM!Ix"</f>
        <v/>
      </c>
      <c r="BN13">
        <f>#REF!+"vlM!Iy"</f>
        <v/>
      </c>
      <c r="BO13">
        <f>#REF!+"vlM!Iz"</f>
        <v/>
      </c>
      <c r="BP13">
        <f>#REF!+"vlM!I{"</f>
        <v/>
      </c>
      <c r="BQ13">
        <f>#REF!+"vlM!I|"</f>
        <v/>
      </c>
      <c r="BR13">
        <f>#REF!+"vlM!I}"</f>
        <v/>
      </c>
      <c r="BS13">
        <f>#REF!+"vlM!I~"</f>
        <v/>
      </c>
      <c r="BT13">
        <f>#REF!+"vlM!J#"</f>
        <v/>
      </c>
      <c r="BU13">
        <f>#REF!+"vlM!J$"</f>
        <v/>
      </c>
      <c r="BV13">
        <f>#REF!+"vlM!J%"</f>
        <v/>
      </c>
      <c r="BW13">
        <f>#REF!+"vlM!J&amp;"</f>
        <v/>
      </c>
      <c r="BX13">
        <f>#REF!+"vlM!J'"</f>
        <v/>
      </c>
      <c r="BY13">
        <f>#REF!+"vlM!J("</f>
        <v/>
      </c>
      <c r="BZ13" s="1">
        <f>#REF!+"vlM!J)"</f>
        <v/>
      </c>
      <c r="CA13">
        <f>#REF!+"vlM!J."</f>
        <v/>
      </c>
      <c r="CB13">
        <f>#REF!+"vlM!J/"</f>
        <v/>
      </c>
      <c r="CC13">
        <f>#REF!+"vlM!J0"</f>
        <v/>
      </c>
      <c r="CD13">
        <f>#REF!+"vlM!J1"</f>
        <v/>
      </c>
      <c r="CE13">
        <f>#REF!+"vlM!J2"</f>
        <v/>
      </c>
      <c r="CF13">
        <f>#REF!+"vlM!J3"</f>
        <v/>
      </c>
      <c r="CG13">
        <f>#REF!+"vlM!J4"</f>
        <v/>
      </c>
      <c r="CH13">
        <f>#REF!+"vlM!J5"</f>
        <v/>
      </c>
      <c r="CI13">
        <f>#REF!+"vlM!J6"</f>
        <v/>
      </c>
      <c r="CJ13">
        <f>#REF!+"vlM!J7"</f>
        <v/>
      </c>
      <c r="CK13">
        <f>#REF!+"vlM!J8"</f>
        <v/>
      </c>
      <c r="CL13">
        <f>#REF!+"vlM!J9"</f>
        <v/>
      </c>
      <c r="CM13">
        <f>#REF!+"vlM!J:"</f>
        <v/>
      </c>
      <c r="CN13">
        <f>#REF!+"vlM!J;"</f>
        <v/>
      </c>
      <c r="CO13" s="1">
        <f>#REF!+"vlM!J&lt;"</f>
        <v/>
      </c>
      <c r="CP13">
        <f>#REF!+"vlM!J="</f>
        <v/>
      </c>
      <c r="CQ13">
        <f>#REF!+"vlM!J&gt;"</f>
        <v/>
      </c>
      <c r="CR13">
        <f>#REF!+"vlM!J?"</f>
        <v/>
      </c>
      <c r="CS13">
        <f>#REF!+"vlM!J@"</f>
        <v/>
      </c>
      <c r="CT13">
        <f>#REF!+"vlM!JA"</f>
        <v/>
      </c>
      <c r="CU13">
        <f>#REF!+"vlM!JB"</f>
        <v/>
      </c>
      <c r="CV13">
        <f>#REF!+"vlM!JC"</f>
        <v/>
      </c>
      <c r="CW13">
        <f>#REF!+"vlM!JD"</f>
        <v/>
      </c>
      <c r="CX13">
        <f>#REF!+"vlM!JE"</f>
        <v/>
      </c>
      <c r="CY13">
        <f>#REF!+"vlM!JF"</f>
        <v/>
      </c>
      <c r="CZ13">
        <f>#REF!+"vlM!JG"</f>
        <v/>
      </c>
      <c r="DA13">
        <f>#REF!+"vlM!JH"</f>
        <v/>
      </c>
      <c r="DB13">
        <f>#REF!+"vlM!JI"</f>
        <v/>
      </c>
      <c r="DC13">
        <f>#REF!+"vlM!JJ"</f>
        <v/>
      </c>
      <c r="DD13" s="1">
        <f>#REF!+"vlM!JK"</f>
        <v/>
      </c>
      <c r="DE13">
        <f>#REF!+"vlM!JL"</f>
        <v/>
      </c>
      <c r="DF13">
        <f>#REF!+"vlM!JM"</f>
        <v/>
      </c>
      <c r="DG13">
        <f>#REF!+"vlM!JN"</f>
        <v/>
      </c>
      <c r="DH13">
        <f>#REF!+"vlM!JO"</f>
        <v/>
      </c>
      <c r="DI13">
        <f>#REF!+"vlM!JP"</f>
        <v/>
      </c>
      <c r="DJ13">
        <f>#REF!+"vlM!JQ"</f>
        <v/>
      </c>
      <c r="DK13">
        <f>#REF!+"vlM!JR"</f>
        <v/>
      </c>
      <c r="DL13">
        <f>#REF!+"vlM!JS"</f>
        <v/>
      </c>
      <c r="DM13">
        <f>#REF!+"vlM!JT"</f>
        <v/>
      </c>
      <c r="DN13">
        <f>#REF!+"vlM!JU"</f>
        <v/>
      </c>
      <c r="DO13">
        <f>#REF!+"vlM!JV"</f>
        <v/>
      </c>
      <c r="DP13">
        <f>#REF!+"vlM!JW"</f>
        <v/>
      </c>
      <c r="DQ13">
        <f>#REF!+"vlM!JX"</f>
        <v/>
      </c>
      <c r="DR13">
        <f>#REF!+"vlM!JY"</f>
        <v/>
      </c>
      <c r="DS13" s="1">
        <f>#REF!+"vlM!JZ"</f>
        <v/>
      </c>
      <c r="DT13">
        <f>#REF!+"vlM!J["</f>
        <v/>
      </c>
      <c r="DU13">
        <f>#REF!+"vlM!J\"</f>
        <v/>
      </c>
      <c r="DV13">
        <f>#REF!+"vlM!J]"</f>
        <v/>
      </c>
      <c r="DW13">
        <f>#REF!+"vlM!J^"</f>
        <v/>
      </c>
      <c r="DX13">
        <f>#REF!+"vlM!J_"</f>
        <v/>
      </c>
      <c r="DY13">
        <f>#REF!+"vlM!J`"</f>
        <v/>
      </c>
      <c r="DZ13">
        <f>#REF!+"vlM!Ja"</f>
        <v/>
      </c>
      <c r="EA13">
        <f>#REF!+"vlM!Jb"</f>
        <v/>
      </c>
      <c r="EB13">
        <f>#REF!+"vlM!Jc"</f>
        <v/>
      </c>
      <c r="EC13">
        <f>#REF!+"vlM!Jd"</f>
        <v/>
      </c>
      <c r="ED13">
        <f>#REF!+"vlM!Je"</f>
        <v/>
      </c>
      <c r="EE13">
        <f>#REF!+"vlM!Jf"</f>
        <v/>
      </c>
      <c r="EF13">
        <f>#REF!+"vlM!Jg"</f>
        <v/>
      </c>
      <c r="EG13">
        <f>#REF!+"vlM!Jh"</f>
        <v/>
      </c>
      <c r="EH13" s="1">
        <f>#REF!+"vlM!Ji"</f>
        <v/>
      </c>
      <c r="EI13">
        <f>#REF!+"vlM!Jj"</f>
        <v/>
      </c>
      <c r="EJ13">
        <f>#REF!+"vlM!Jk"</f>
        <v/>
      </c>
      <c r="EK13">
        <f>#REF!+"vlM!Jl"</f>
        <v/>
      </c>
      <c r="EL13">
        <f>#REF!+"vlM!Jm"</f>
        <v/>
      </c>
      <c r="EM13">
        <f>#REF!+"vlM!Jn"</f>
        <v/>
      </c>
      <c r="EN13">
        <f>#REF!+"vlM!Jo"</f>
        <v/>
      </c>
      <c r="EO13">
        <f>#REF!+"vlM!Jp"</f>
        <v/>
      </c>
      <c r="EP13">
        <f>#REF!+"vlM!Jq"</f>
        <v/>
      </c>
      <c r="EQ13">
        <f>#REF!+"vlM!Jr"</f>
        <v/>
      </c>
      <c r="ER13">
        <f>#REF!+"vlM!Js"</f>
        <v/>
      </c>
      <c r="ES13">
        <f>#REF!+"vlM!Jt"</f>
        <v/>
      </c>
      <c r="ET13">
        <f>#REF!+"vlM!Ju"</f>
        <v/>
      </c>
      <c r="EU13">
        <f>#REF!+"vlM!Jv"</f>
        <v/>
      </c>
      <c r="EV13">
        <f>#REF!+"vlM!Jw"</f>
        <v/>
      </c>
      <c r="EW13" s="1">
        <f>#REF!+"vlM!Jx"</f>
        <v/>
      </c>
      <c r="EX13">
        <f>#REF!+"vlM!Jy"</f>
        <v/>
      </c>
      <c r="EY13">
        <f>#REF!+"vlM!Jz"</f>
        <v/>
      </c>
      <c r="EZ13">
        <f>#REF!+"vlM!J{"</f>
        <v/>
      </c>
      <c r="FA13">
        <f>#REF!+"vlM!J|"</f>
        <v/>
      </c>
      <c r="FB13">
        <f>#REF!+"vlM!J}"</f>
        <v/>
      </c>
      <c r="FC13">
        <f>#REF!+"vlM!J~"</f>
        <v/>
      </c>
      <c r="FD13">
        <f>#REF!+"vlM!K#"</f>
        <v/>
      </c>
      <c r="FE13">
        <f>#REF!+"vlM!K$"</f>
        <v/>
      </c>
      <c r="FF13">
        <f>#REF!+"vlM!K%"</f>
        <v/>
      </c>
      <c r="FG13">
        <f>#REF!+"vlM!K&amp;"</f>
        <v/>
      </c>
      <c r="FH13">
        <f>#REF!+"vlM!K'"</f>
        <v/>
      </c>
      <c r="FI13">
        <f>#REF!+"vlM!K("</f>
        <v/>
      </c>
      <c r="FJ13">
        <f>#REF!+"vlM!K)"</f>
        <v/>
      </c>
      <c r="FK13">
        <f>#REF!+"vlM!K."</f>
        <v/>
      </c>
      <c r="FL13" s="1">
        <f>#REF!+"vlM!K/"</f>
        <v/>
      </c>
      <c r="FM13">
        <f>#REF!+"vlM!K0"</f>
        <v/>
      </c>
      <c r="FN13">
        <f>#REF!+"vlM!K1"</f>
        <v/>
      </c>
      <c r="FO13">
        <f>#REF!+"vlM!K2"</f>
        <v/>
      </c>
      <c r="FP13">
        <f>#REF!+"vlM!K3"</f>
        <v/>
      </c>
      <c r="FQ13">
        <f>#REF!+"vlM!K4"</f>
        <v/>
      </c>
      <c r="FR13">
        <f>#REF!+"vlM!K5"</f>
        <v/>
      </c>
      <c r="FS13">
        <f>#REF!+"vlM!K6"</f>
        <v/>
      </c>
      <c r="FT13">
        <f>#REF!+"vlM!K7"</f>
        <v/>
      </c>
      <c r="FU13">
        <f>#REF!+"vlM!K8"</f>
        <v/>
      </c>
      <c r="FV13">
        <f>#REF!+"vlM!K9"</f>
        <v/>
      </c>
      <c r="FW13">
        <f>#REF!+"vlM!K:"</f>
        <v/>
      </c>
      <c r="FX13">
        <f>#REF!+"vlM!K;"</f>
        <v/>
      </c>
      <c r="FY13">
        <f>#REF!+"vlM!K&lt;"</f>
        <v/>
      </c>
      <c r="FZ13">
        <f>#REF!+"vlM!K="</f>
        <v/>
      </c>
      <c r="GA13" s="1">
        <f>#REF!+"vlM!K&gt;"</f>
        <v/>
      </c>
      <c r="GB13">
        <f>#REF!+"vlM!K?"</f>
        <v/>
      </c>
      <c r="GC13">
        <f>#REF!+"vlM!K@"</f>
        <v/>
      </c>
      <c r="GD13">
        <f>#REF!+"vlM!KA"</f>
        <v/>
      </c>
      <c r="GE13">
        <f>#REF!+"vlM!KB"</f>
        <v/>
      </c>
      <c r="GF13">
        <f>#REF!+"vlM!KC"</f>
        <v/>
      </c>
      <c r="GG13">
        <f>#REF!+"vlM!KD"</f>
        <v/>
      </c>
      <c r="GH13">
        <f>#REF!+"vlM!KE"</f>
        <v/>
      </c>
      <c r="GI13">
        <f>#REF!+"vlM!KF"</f>
        <v/>
      </c>
      <c r="GJ13">
        <f>#REF!+"vlM!KG"</f>
        <v/>
      </c>
      <c r="GK13">
        <f>#REF!+"vlM!KH"</f>
        <v/>
      </c>
      <c r="GL13">
        <f>#REF!+"vlM!KI"</f>
        <v/>
      </c>
      <c r="GM13">
        <f>#REF!+"vlM!KJ"</f>
        <v/>
      </c>
      <c r="GN13">
        <f>#REF!+"vlM!KK"</f>
        <v/>
      </c>
      <c r="GO13">
        <f>#REF!+"vlM!KL"</f>
        <v/>
      </c>
      <c r="GP13" s="1">
        <f>#REF!+"vlM!KM"</f>
        <v/>
      </c>
      <c r="GQ13">
        <f>#REF!+"vlM!KN"</f>
        <v/>
      </c>
      <c r="GR13">
        <f>#REF!+"vlM!KO"</f>
        <v/>
      </c>
      <c r="GS13">
        <f>#REF!+"vlM!KP"</f>
        <v/>
      </c>
      <c r="GT13">
        <f>#REF!+"vlM!KQ"</f>
        <v/>
      </c>
      <c r="GU13">
        <f>#REF!+"vlM!KR"</f>
        <v/>
      </c>
      <c r="GV13">
        <f>#REF!+"vlM!KS"</f>
        <v/>
      </c>
      <c r="GW13">
        <f>#REF!+"vlM!KT"</f>
        <v/>
      </c>
      <c r="GX13">
        <f>#REF!+"vlM!KU"</f>
        <v/>
      </c>
      <c r="GY13">
        <f>#REF!+"vlM!KV"</f>
        <v/>
      </c>
      <c r="GZ13">
        <f>#REF!+"vlM!KW"</f>
        <v/>
      </c>
      <c r="HA13">
        <f>#REF!+"vlM!KX"</f>
        <v/>
      </c>
      <c r="HB13">
        <f>#REF!+"vlM!KY"</f>
        <v/>
      </c>
      <c r="HC13">
        <f>#REF!+"vlM!KZ"</f>
        <v/>
      </c>
      <c r="HD13">
        <f>#REF!+"vlM!K["</f>
        <v/>
      </c>
      <c r="HE13" s="1">
        <f>#REF!+"vlM!K\"</f>
        <v/>
      </c>
      <c r="HF13">
        <f>#REF!+"vlM!K]"</f>
        <v/>
      </c>
      <c r="HG13">
        <f>#REF!+"vlM!K^"</f>
        <v/>
      </c>
      <c r="HH13">
        <f>#REF!+"vlM!K_"</f>
        <v/>
      </c>
      <c r="HI13">
        <f>#REF!+"vlM!K`"</f>
        <v/>
      </c>
      <c r="HJ13">
        <f>#REF!+"vlM!Ka"</f>
        <v/>
      </c>
      <c r="HK13">
        <f>#REF!+"vlM!Kb"</f>
        <v/>
      </c>
      <c r="HL13">
        <f>#REF!+"vlM!Kc"</f>
        <v/>
      </c>
      <c r="HM13">
        <f>#REF!+"vlM!Kd"</f>
        <v/>
      </c>
      <c r="HN13">
        <f>#REF!+"vlM!Ke"</f>
        <v/>
      </c>
      <c r="HO13">
        <f>#REF!+"vlM!Kf"</f>
        <v/>
      </c>
      <c r="HP13">
        <f>#REF!+"vlM!Kg"</f>
        <v/>
      </c>
      <c r="HQ13">
        <f>#REF!+"vlM!Kh"</f>
        <v/>
      </c>
      <c r="HR13">
        <f>#REF!+"vlM!Ki"</f>
        <v/>
      </c>
      <c r="HS13">
        <f>#REF!+"vlM!Kj"</f>
        <v/>
      </c>
      <c r="HT13" s="1">
        <f>#REF!+"vlM!Kk"</f>
        <v/>
      </c>
      <c r="HU13">
        <f>#REF!+"vlM!Kl"</f>
        <v/>
      </c>
      <c r="HV13">
        <f>#REF!+"vlM!Km"</f>
        <v/>
      </c>
      <c r="HW13">
        <f>#REF!+"vlM!Kn"</f>
        <v/>
      </c>
      <c r="HX13">
        <f>#REF!+"vlM!Ko"</f>
        <v/>
      </c>
      <c r="HY13">
        <f>#REF!+"vlM!Kp"</f>
        <v/>
      </c>
      <c r="HZ13">
        <f>#REF!+"vlM!Kq"</f>
        <v/>
      </c>
      <c r="IA13">
        <f>#REF!+"vlM!Kr"</f>
        <v/>
      </c>
      <c r="IB13">
        <f>#REF!+"vlM!Ks"</f>
        <v/>
      </c>
      <c r="IC13">
        <f>#REF!+"vlM!Kt"</f>
        <v/>
      </c>
      <c r="ID13">
        <f>#REF!+"vlM!Ku"</f>
        <v/>
      </c>
      <c r="IE13">
        <f>#REF!+"vlM!Kv"</f>
        <v/>
      </c>
      <c r="IF13">
        <f>#REF!+"vlM!Kw"</f>
        <v/>
      </c>
      <c r="IG13">
        <f>#REF!+"vlM!Kx"</f>
        <v/>
      </c>
      <c r="IH13">
        <f>#REF!+"vlM!Ky"</f>
        <v/>
      </c>
      <c r="II13" s="1">
        <f>#REF!+"vlM!Kz"</f>
        <v/>
      </c>
      <c r="IJ13">
        <f>#REF!+"vlM!K{"</f>
        <v/>
      </c>
      <c r="IK13">
        <f>#REF!+"vlM!K|"</f>
        <v/>
      </c>
      <c r="IL13">
        <f>#REF!+"vlM!K}"</f>
        <v/>
      </c>
      <c r="IM13">
        <f>#REF!+"vlM!K~"</f>
        <v/>
      </c>
      <c r="IN13">
        <f>#REF!+"vlM!L#"</f>
        <v/>
      </c>
      <c r="IO13">
        <f>#REF!+"vlM!L$"</f>
        <v/>
      </c>
      <c r="IP13">
        <f>#REF!+"vlM!L%"</f>
        <v/>
      </c>
      <c r="IQ13">
        <f>#REF!+"vlM!L&amp;"</f>
        <v/>
      </c>
      <c r="IR13">
        <f>#REF!+"vlM!L'"</f>
        <v/>
      </c>
      <c r="IS13">
        <f>#REF!+"vlM!L("</f>
        <v/>
      </c>
      <c r="IT13">
        <f>#REF!+"vlM!L)"</f>
        <v/>
      </c>
      <c r="IU13">
        <f>#REF!+"vlM!L."</f>
        <v/>
      </c>
      <c r="IV13">
        <f>#REF!+"vlM!L/"</f>
        <v/>
      </c>
    </row>
    <row r="14">
      <c r="F14">
        <f>#REF!+"vlM!L0"</f>
        <v/>
      </c>
      <c r="G14" s="1">
        <f>#REF!+"vlM!L1"</f>
        <v/>
      </c>
      <c r="H14">
        <f>#REF!+"vlM!L2"</f>
        <v/>
      </c>
      <c r="I14">
        <f>#REF!+"vlM!L3"</f>
        <v/>
      </c>
      <c r="J14">
        <f>#REF!+"vlM!L4"</f>
        <v/>
      </c>
      <c r="K14">
        <f>#REF!+"vlM!L5"</f>
        <v/>
      </c>
      <c r="L14">
        <f>#REF!+"vlM!L6"</f>
        <v/>
      </c>
      <c r="M14">
        <f>#REF!+"vlM!L7"</f>
        <v/>
      </c>
      <c r="N14">
        <f>#REF!+"vlM!L8"</f>
        <v/>
      </c>
      <c r="O14">
        <f>#REF!+"vlM!L9"</f>
        <v/>
      </c>
      <c r="P14">
        <f>#REF!+"vlM!L:"</f>
        <v/>
      </c>
      <c r="Q14">
        <f>#REF!+"vlM!L;"</f>
        <v/>
      </c>
      <c r="R14">
        <f>#REF!+"vlM!L&lt;"</f>
        <v/>
      </c>
      <c r="S14">
        <f>#REF!+"vlM!L="</f>
        <v/>
      </c>
      <c r="T14">
        <f>#REF!+"vlM!L&gt;"</f>
        <v/>
      </c>
      <c r="U14">
        <f>#REF!+"vlM!L?"</f>
        <v/>
      </c>
      <c r="V14" s="1">
        <f>#REF!+"vlM!L@"</f>
        <v/>
      </c>
      <c r="W14">
        <f>#REF!+"vlM!LA"</f>
        <v/>
      </c>
      <c r="X14">
        <f>#REF!+"vlM!LB"</f>
        <v/>
      </c>
      <c r="Y14">
        <f>#REF!+"vlM!LC"</f>
        <v/>
      </c>
      <c r="Z14">
        <f>#REF!+"vlM!LD"</f>
        <v/>
      </c>
      <c r="AA14">
        <f>#REF!+"vlM!LE"</f>
        <v/>
      </c>
      <c r="AB14">
        <f>#REF!+"vlM!LF"</f>
        <v/>
      </c>
      <c r="AC14">
        <f>#REF!+"vlM!LG"</f>
        <v/>
      </c>
      <c r="AD14">
        <f>#REF!+"vlM!LH"</f>
        <v/>
      </c>
      <c r="AE14">
        <f>#REF!+"vlM!LI"</f>
        <v/>
      </c>
      <c r="AF14">
        <f>#REF!+"vlM!LJ"</f>
        <v/>
      </c>
      <c r="AG14">
        <f>#REF!+"vlM!LK"</f>
        <v/>
      </c>
      <c r="AH14">
        <f>#REF!+"vlM!LL"</f>
        <v/>
      </c>
      <c r="AI14">
        <f>#REF!+"vlM!LM"</f>
        <v/>
      </c>
      <c r="AJ14">
        <f>#REF!+"vlM!LN"</f>
        <v/>
      </c>
      <c r="AK14" s="1">
        <f>#REF!+"vlM!LO"</f>
        <v/>
      </c>
      <c r="AL14">
        <f>#REF!+"vlM!LP"</f>
        <v/>
      </c>
      <c r="AM14">
        <f>#REF!+"vlM!LQ"</f>
        <v/>
      </c>
      <c r="AN14">
        <f>#REF!+"vlM!LR"</f>
        <v/>
      </c>
      <c r="AO14">
        <f>#REF!+"vlM!LS"</f>
        <v/>
      </c>
      <c r="AP14">
        <f>#REF!+"vlM!LT"</f>
        <v/>
      </c>
      <c r="AQ14">
        <f>#REF!+"vlM!LU"</f>
        <v/>
      </c>
      <c r="AR14">
        <f>#REF!+"vlM!LV"</f>
        <v/>
      </c>
      <c r="AS14">
        <f>#REF!+"vlM!LW"</f>
        <v/>
      </c>
      <c r="AT14">
        <f>#REF!+"vlM!LX"</f>
        <v/>
      </c>
      <c r="AU14">
        <f>#REF!+"vlM!LY"</f>
        <v/>
      </c>
      <c r="AV14">
        <f>#REF!+"vlM!LZ"</f>
        <v/>
      </c>
      <c r="AW14">
        <f>#REF!+"vlM!L["</f>
        <v/>
      </c>
      <c r="AX14">
        <f>#REF!+"vlM!L\"</f>
        <v/>
      </c>
      <c r="AY14">
        <f>#REF!+"vlM!L]"</f>
        <v/>
      </c>
      <c r="AZ14" s="1">
        <f>#REF!+"vlM!L^"</f>
        <v/>
      </c>
      <c r="BA14">
        <f>#REF!+"vlM!L_"</f>
        <v/>
      </c>
      <c r="BB14">
        <f>#REF!+"vlM!L`"</f>
        <v/>
      </c>
      <c r="BC14">
        <f>#REF!+"vlM!La"</f>
        <v/>
      </c>
      <c r="BD14">
        <f>#REF!+"vlM!Lb"</f>
        <v/>
      </c>
      <c r="BE14">
        <f>#REF!+"vlM!Lc"</f>
        <v/>
      </c>
      <c r="BF14">
        <f>#REF!+"vlM!Ld"</f>
        <v/>
      </c>
      <c r="BG14">
        <f>#REF!+"vlM!Le"</f>
        <v/>
      </c>
      <c r="BH14">
        <f>#REF!+"vlM!Lf"</f>
        <v/>
      </c>
      <c r="BI14">
        <f>#REF!+"vlM!Lg"</f>
        <v/>
      </c>
      <c r="BJ14">
        <f>#REF!+"vlM!Lh"</f>
        <v/>
      </c>
      <c r="BK14">
        <f>#REF!+"vlM!Li"</f>
        <v/>
      </c>
      <c r="BL14">
        <f>#REF!+"vlM!Lj"</f>
        <v/>
      </c>
      <c r="BM14">
        <f>#REF!+"vlM!Lk"</f>
        <v/>
      </c>
      <c r="BN14">
        <f>#REF!+"vlM!Ll"</f>
        <v/>
      </c>
      <c r="BO14" s="1">
        <f>#REF!+"vlM!Lm"</f>
        <v/>
      </c>
      <c r="BP14">
        <f>#REF!+"vlM!Ln"</f>
        <v/>
      </c>
      <c r="BQ14">
        <f>#REF!+"vlM!Lo"</f>
        <v/>
      </c>
      <c r="BR14">
        <f>#REF!+"vlM!Lp"</f>
        <v/>
      </c>
      <c r="BS14">
        <f>#REF!+"vlM!Lq"</f>
        <v/>
      </c>
      <c r="BT14">
        <f>#REF!+"vlM!Lr"</f>
        <v/>
      </c>
      <c r="BU14">
        <f>#REF!+"vlM!Ls"</f>
        <v/>
      </c>
      <c r="BV14">
        <f>#REF!+"vlM!Lt"</f>
        <v/>
      </c>
      <c r="BW14">
        <f>#REF!+"vlM!Lu"</f>
        <v/>
      </c>
      <c r="BX14">
        <f>#REF!+"vlM!Lv"</f>
        <v/>
      </c>
      <c r="BY14">
        <f>#REF!+"vlM!Lw"</f>
        <v/>
      </c>
      <c r="BZ14">
        <f>#REF!+"vlM!Lx"</f>
        <v/>
      </c>
      <c r="CA14">
        <f>#REF!+"vlM!Ly"</f>
        <v/>
      </c>
      <c r="CB14">
        <f>#REF!+"vlM!Lz"</f>
        <v/>
      </c>
      <c r="CC14">
        <f>#REF!+"vlM!L{"</f>
        <v/>
      </c>
      <c r="CD14" s="1">
        <f>#REF!+"vlM!L|"</f>
        <v/>
      </c>
      <c r="CE14">
        <f>#REF!+"vlM!L}"</f>
        <v/>
      </c>
      <c r="CF14">
        <f>#REF!+"vlM!L~"</f>
        <v/>
      </c>
      <c r="CG14">
        <f>#REF!+"vlM!M#"</f>
        <v/>
      </c>
      <c r="CH14">
        <f>#REF!+"vlM!M$"</f>
        <v/>
      </c>
      <c r="CI14">
        <f>#REF!+"vlM!M%"</f>
        <v/>
      </c>
      <c r="CJ14">
        <f>#REF!+"vlM!M&amp;"</f>
        <v/>
      </c>
      <c r="CK14">
        <f>#REF!+"vlM!M'"</f>
        <v/>
      </c>
      <c r="CL14">
        <f>#REF!+"vlM!M("</f>
        <v/>
      </c>
      <c r="CM14">
        <f>#REF!+"vlM!M)"</f>
        <v/>
      </c>
      <c r="CN14">
        <f>#REF!+"vlM!M."</f>
        <v/>
      </c>
      <c r="CO14">
        <f>#REF!+"vlM!M/"</f>
        <v/>
      </c>
      <c r="CP14">
        <f>#REF!+"vlM!M0"</f>
        <v/>
      </c>
      <c r="CQ14">
        <f>#REF!+"vlM!M1"</f>
        <v/>
      </c>
      <c r="CR14">
        <f>#REF!+"vlM!M2"</f>
        <v/>
      </c>
      <c r="CS14" s="1">
        <f>#REF!+"vlM!M3"</f>
        <v/>
      </c>
      <c r="CT14">
        <f>#REF!+"vlM!M4"</f>
        <v/>
      </c>
      <c r="CU14">
        <f>#REF!+"vlM!M5"</f>
        <v/>
      </c>
      <c r="CV14">
        <f>#REF!+"vlM!M6"</f>
        <v/>
      </c>
      <c r="CW14">
        <f>#REF!+"vlM!M7"</f>
        <v/>
      </c>
      <c r="CX14">
        <f>#REF!+"vlM!M8"</f>
        <v/>
      </c>
      <c r="CY14">
        <f>#REF!+"vlM!M9"</f>
        <v/>
      </c>
      <c r="CZ14">
        <f>#REF!+"vlM!M:"</f>
        <v/>
      </c>
      <c r="DA14">
        <f>#REF!+"vlM!M;"</f>
        <v/>
      </c>
      <c r="DB14">
        <f>#REF!+"vlM!M&lt;"</f>
        <v/>
      </c>
      <c r="DC14">
        <f>#REF!+"vlM!M="</f>
        <v/>
      </c>
      <c r="DD14">
        <f>#REF!+"vlM!M&gt;"</f>
        <v/>
      </c>
      <c r="DE14">
        <f>#REF!+"vlM!M?"</f>
        <v/>
      </c>
      <c r="DF14">
        <f>#REF!+"vlM!M@"</f>
        <v/>
      </c>
      <c r="DG14">
        <f>#REF!+"vlM!MA"</f>
        <v/>
      </c>
      <c r="DH14" s="1">
        <f>#REF!+"vlM!MB"</f>
        <v/>
      </c>
      <c r="DI14">
        <f>#REF!+"vlM!MC"</f>
        <v/>
      </c>
      <c r="DJ14">
        <f>#REF!+"vlM!MD"</f>
        <v/>
      </c>
      <c r="DK14">
        <f>#REF!+"vlM!ME"</f>
        <v/>
      </c>
      <c r="DL14">
        <f>#REF!+"vlM!MF"</f>
        <v/>
      </c>
      <c r="DM14">
        <f>#REF!+"vlM!MG"</f>
        <v/>
      </c>
      <c r="DN14">
        <f>#REF!+"vlM!MH"</f>
        <v/>
      </c>
      <c r="DO14">
        <f>#REF!+"vlM!MI"</f>
        <v/>
      </c>
      <c r="DP14">
        <f>#REF!+"vlM!MJ"</f>
        <v/>
      </c>
      <c r="DQ14">
        <f>#REF!+"vlM!MK"</f>
        <v/>
      </c>
      <c r="DR14">
        <f>#REF!+"vlM!ML"</f>
        <v/>
      </c>
      <c r="DS14">
        <f>#REF!+"vlM!MM"</f>
        <v/>
      </c>
      <c r="DT14">
        <f>#REF!+"vlM!MN"</f>
        <v/>
      </c>
      <c r="DU14">
        <f>#REF!+"vlM!MO"</f>
        <v/>
      </c>
      <c r="DV14">
        <f>#REF!+"vlM!MP"</f>
        <v/>
      </c>
      <c r="DW14" s="1">
        <f>#REF!+"vlM!MQ"</f>
        <v/>
      </c>
      <c r="DX14">
        <f>#REF!+"vlM!MR"</f>
        <v/>
      </c>
      <c r="DY14">
        <f>#REF!+"vlM!MS"</f>
        <v/>
      </c>
      <c r="DZ14">
        <f>#REF!+"vlM!MT"</f>
        <v/>
      </c>
      <c r="EA14">
        <f>#REF!+"vlM!MU"</f>
        <v/>
      </c>
      <c r="EB14">
        <f>#REF!+"vlM!MV"</f>
        <v/>
      </c>
      <c r="EC14">
        <f>#REF!+"vlM!MW"</f>
        <v/>
      </c>
      <c r="ED14">
        <f>#REF!+"vlM!MX"</f>
        <v/>
      </c>
      <c r="EE14">
        <f>#REF!+"vlM!MY"</f>
        <v/>
      </c>
      <c r="EF14">
        <f>#REF!+"vlM!MZ"</f>
        <v/>
      </c>
      <c r="EG14">
        <f>#REF!+"vlM!M["</f>
        <v/>
      </c>
      <c r="EH14">
        <f>#REF!+"vlM!M\"</f>
        <v/>
      </c>
      <c r="EI14">
        <f>#REF!+"vlM!M]"</f>
        <v/>
      </c>
      <c r="EJ14">
        <f>#REF!+"vlM!M^"</f>
        <v/>
      </c>
      <c r="EK14">
        <f>#REF!+"vlM!M_"</f>
        <v/>
      </c>
      <c r="EL14" s="1">
        <f>#REF!+"vlM!M`"</f>
        <v/>
      </c>
      <c r="EM14">
        <f>#REF!+"vlM!Ma"</f>
        <v/>
      </c>
      <c r="EN14">
        <f>#REF!+"vlM!Mb"</f>
        <v/>
      </c>
      <c r="EO14">
        <f>#REF!+"vlM!Mc"</f>
        <v/>
      </c>
      <c r="EP14">
        <f>#REF!+"vlM!Md"</f>
        <v/>
      </c>
      <c r="EQ14">
        <f>#REF!+"vlM!Me"</f>
        <v/>
      </c>
      <c r="ER14">
        <f>#REF!+"vlM!Mf"</f>
        <v/>
      </c>
      <c r="ES14">
        <f>#REF!+"vlM!Mg"</f>
        <v/>
      </c>
      <c r="ET14">
        <f>#REF!+"vlM!Mh"</f>
        <v/>
      </c>
      <c r="EU14">
        <f>#REF!+"vlM!Mi"</f>
        <v/>
      </c>
      <c r="EV14">
        <f>#REF!+"vlM!Mj"</f>
        <v/>
      </c>
      <c r="EW14">
        <f>#REF!+"vlM!Mk"</f>
        <v/>
      </c>
      <c r="EX14">
        <f>#REF!+"vlM!Ml"</f>
        <v/>
      </c>
      <c r="EY14">
        <f>#REF!+"vlM!Mm"</f>
        <v/>
      </c>
      <c r="EZ14">
        <f>#REF!+"vlM!Mn"</f>
        <v/>
      </c>
      <c r="FA14" s="1">
        <f>#REF!+"vlM!Mo"</f>
        <v/>
      </c>
      <c r="FB14">
        <f>#REF!+"vlM!Mp"</f>
        <v/>
      </c>
      <c r="FC14">
        <f>#REF!+"vlM!Mq"</f>
        <v/>
      </c>
      <c r="FD14">
        <f>#REF!+"vlM!Mr"</f>
        <v/>
      </c>
      <c r="FE14">
        <f>#REF!+"vlM!Ms"</f>
        <v/>
      </c>
      <c r="FF14">
        <f>#REF!+"vlM!Mt"</f>
        <v/>
      </c>
      <c r="FG14">
        <f>#REF!+"vlM!Mu"</f>
        <v/>
      </c>
      <c r="FH14">
        <f>#REF!+"vlM!Mv"</f>
        <v/>
      </c>
      <c r="FI14">
        <f>#REF!+"vlM!Mw"</f>
        <v/>
      </c>
      <c r="FJ14">
        <f>#REF!+"vlM!Mx"</f>
        <v/>
      </c>
      <c r="FK14">
        <f>#REF!+"vlM!My"</f>
        <v/>
      </c>
      <c r="FL14">
        <f>#REF!+"vlM!Mz"</f>
        <v/>
      </c>
      <c r="FM14">
        <f>#REF!+"vlM!M{"</f>
        <v/>
      </c>
      <c r="FN14">
        <f>#REF!+"vlM!M|"</f>
        <v/>
      </c>
      <c r="FO14">
        <f>#REF!+"vlM!M}"</f>
        <v/>
      </c>
      <c r="FP14" s="1">
        <f>#REF!+"vlM!M~"</f>
        <v/>
      </c>
      <c r="FQ14">
        <f>#REF!+"vlM!N#"</f>
        <v/>
      </c>
      <c r="FR14">
        <f>#REF!+"vlM!N$"</f>
        <v/>
      </c>
      <c r="FS14">
        <f>#REF!+"vlM!N%"</f>
        <v/>
      </c>
      <c r="FT14">
        <f>#REF!+"vlM!N&amp;"</f>
        <v/>
      </c>
      <c r="FU14">
        <f>#REF!+"vlM!N'"</f>
        <v/>
      </c>
      <c r="FV14">
        <f>#REF!+"vlM!N("</f>
        <v/>
      </c>
      <c r="FW14">
        <f>#REF!+"vlM!N)"</f>
        <v/>
      </c>
      <c r="FX14">
        <f>#REF!+"vlM!N."</f>
        <v/>
      </c>
      <c r="FY14">
        <f>#REF!+"vlM!N/"</f>
        <v/>
      </c>
      <c r="FZ14">
        <f>#REF!+"vlM!N0"</f>
        <v/>
      </c>
      <c r="GA14">
        <f>#REF!+"vlM!N1"</f>
        <v/>
      </c>
      <c r="GB14">
        <f>#REF!+"vlM!N2"</f>
        <v/>
      </c>
      <c r="GC14">
        <f>#REF!+"vlM!N3"</f>
        <v/>
      </c>
      <c r="GD14">
        <f>#REF!+"vlM!N4"</f>
        <v/>
      </c>
      <c r="GE14" s="1">
        <f>#REF!+"vlM!N5"</f>
        <v/>
      </c>
      <c r="GF14">
        <f>#REF!+"vlM!N6"</f>
        <v/>
      </c>
      <c r="GG14">
        <f>#REF!+"vlM!N7"</f>
        <v/>
      </c>
      <c r="GH14">
        <f>#REF!+"vlM!N8"</f>
        <v/>
      </c>
      <c r="GI14">
        <f>#REF!+"vlM!N9"</f>
        <v/>
      </c>
      <c r="GJ14">
        <f>#REF!+"vlM!N:"</f>
        <v/>
      </c>
      <c r="GK14">
        <f>#REF!+"vlM!N;"</f>
        <v/>
      </c>
      <c r="GL14">
        <f>#REF!+"vlM!N&lt;"</f>
        <v/>
      </c>
      <c r="GM14">
        <f>#REF!+"vlM!N="</f>
        <v/>
      </c>
      <c r="GN14">
        <f>#REF!+"vlM!N&gt;"</f>
        <v/>
      </c>
      <c r="GO14">
        <f>#REF!+"vlM!N?"</f>
        <v/>
      </c>
      <c r="GP14">
        <f>#REF!+"vlM!N@"</f>
        <v/>
      </c>
      <c r="GQ14">
        <f>#REF!+"vlM!NA"</f>
        <v/>
      </c>
      <c r="GR14">
        <f>#REF!+"vlM!NB"</f>
        <v/>
      </c>
      <c r="GS14">
        <f>#REF!+"vlM!NC"</f>
        <v/>
      </c>
      <c r="GT14" s="1">
        <f>#REF!+"vlM!ND"</f>
        <v/>
      </c>
      <c r="GU14">
        <f>#REF!+"vlM!NE"</f>
        <v/>
      </c>
      <c r="GV14">
        <f>#REF!+"vlM!NF"</f>
        <v/>
      </c>
      <c r="GW14">
        <f>#REF!+"vlM!NG"</f>
        <v/>
      </c>
      <c r="GX14">
        <f>#REF!+"vlM!NH"</f>
        <v/>
      </c>
      <c r="GY14">
        <f>#REF!+"vlM!NI"</f>
        <v/>
      </c>
      <c r="GZ14">
        <f>#REF!+"vlM!NJ"</f>
        <v/>
      </c>
      <c r="HA14">
        <f>#REF!+"vlM!NK"</f>
        <v/>
      </c>
      <c r="HB14">
        <f>#REF!+"vlM!NL"</f>
        <v/>
      </c>
      <c r="HC14">
        <f>#REF!+"vlM!NM"</f>
        <v/>
      </c>
      <c r="HD14">
        <f>#REF!+"vlM!NN"</f>
        <v/>
      </c>
      <c r="HE14">
        <f>#REF!+"vlM!NO"</f>
        <v/>
      </c>
      <c r="HF14">
        <f>#REF!+"vlM!NP"</f>
        <v/>
      </c>
      <c r="HG14">
        <f>#REF!+"vlM!NQ"</f>
        <v/>
      </c>
      <c r="HH14">
        <f>#REF!+"vlM!NR"</f>
        <v/>
      </c>
      <c r="HI14" s="1">
        <f>#REF!+"vlM!NS"</f>
        <v/>
      </c>
      <c r="HJ14">
        <f>#REF!+"vlM!NT"</f>
        <v/>
      </c>
      <c r="HK14">
        <f>#REF!+"vlM!NU"</f>
        <v/>
      </c>
      <c r="HL14">
        <f>#REF!+"vlM!NV"</f>
        <v/>
      </c>
      <c r="HM14">
        <f>#REF!+"vlM!NW"</f>
        <v/>
      </c>
      <c r="HN14">
        <f>#REF!+"vlM!NX"</f>
        <v/>
      </c>
      <c r="HO14">
        <f>#REF!+"vlM!NY"</f>
        <v/>
      </c>
      <c r="HP14">
        <f>#REF!+"vlM!NZ"</f>
        <v/>
      </c>
      <c r="HQ14">
        <f>#REF!+"vlM!N["</f>
        <v/>
      </c>
      <c r="HR14">
        <f>#REF!+"vlM!N\"</f>
        <v/>
      </c>
      <c r="HS14">
        <f>#REF!+"vlM!N]"</f>
        <v/>
      </c>
      <c r="HT14">
        <f>#REF!+"vlM!N^"</f>
        <v/>
      </c>
      <c r="HU14">
        <f>#REF!+"vlM!N_"</f>
        <v/>
      </c>
      <c r="HV14">
        <f>#REF!+"vlM!N`"</f>
        <v/>
      </c>
      <c r="HW14">
        <f>#REF!+"vlM!Na"</f>
        <v/>
      </c>
      <c r="HX14" s="1">
        <f>#REF!+"vlM!Nb"</f>
        <v/>
      </c>
      <c r="HY14">
        <f>#REF!+"vlM!Nc"</f>
        <v/>
      </c>
      <c r="HZ14">
        <f>#REF!+"vlM!Nd"</f>
        <v/>
      </c>
      <c r="IA14">
        <f>#REF!+"vlM!Ne"</f>
        <v/>
      </c>
      <c r="IB14">
        <f>#REF!+"vlM!Nf"</f>
        <v/>
      </c>
      <c r="IC14">
        <f>#REF!+"vlM!Ng"</f>
        <v/>
      </c>
      <c r="ID14">
        <f>#REF!+"vlM!Nh"</f>
        <v/>
      </c>
      <c r="IE14">
        <f>#REF!+"vlM!Ni"</f>
        <v/>
      </c>
      <c r="IF14">
        <f>#REF!+"vlM!Nj"</f>
        <v/>
      </c>
      <c r="IG14">
        <f>#REF!+"vlM!Nk"</f>
        <v/>
      </c>
      <c r="IH14">
        <f>#REF!+"vlM!Nl"</f>
        <v/>
      </c>
      <c r="II14">
        <f>#REF!+"vlM!Nm"</f>
        <v/>
      </c>
      <c r="IJ14">
        <f>#REF!+"vlM!Nn"</f>
        <v/>
      </c>
      <c r="IK14">
        <f>#REF!+"vlM!No"</f>
        <v/>
      </c>
      <c r="IL14">
        <f>#REF!+"vlM!Np"</f>
        <v/>
      </c>
      <c r="IM14" s="1">
        <f>#REF!+"vlM!Nq"</f>
        <v/>
      </c>
      <c r="IN14">
        <f>#REF!+"vlM!Nr"</f>
        <v/>
      </c>
      <c r="IO14">
        <f>#REF!+"vlM!Ns"</f>
        <v/>
      </c>
      <c r="IP14">
        <f>#REF!+"vlM!Nt"</f>
        <v/>
      </c>
      <c r="IQ14">
        <f>#REF!+"vlM!Nu"</f>
        <v/>
      </c>
      <c r="IR14">
        <f>#REF!+"vlM!Nv"</f>
        <v/>
      </c>
      <c r="IS14">
        <f>#REF!+"vlM!Nw"</f>
        <v/>
      </c>
      <c r="IT14">
        <f>#REF!+"vlM!Nx"</f>
        <v/>
      </c>
      <c r="IU14">
        <f>#REF!+"vlM!Ny"</f>
        <v/>
      </c>
      <c r="IV14">
        <f>#REF!+"vlM!Nz"</f>
        <v/>
      </c>
    </row>
    <row r="15">
      <c r="F15">
        <f>#REF!+"vlM!N{"</f>
        <v/>
      </c>
      <c r="G15">
        <f>#REF!+"vlM!N|"</f>
        <v/>
      </c>
      <c r="H15">
        <f>#REF!+"vlM!N}"</f>
        <v/>
      </c>
      <c r="I15">
        <f>#REF!+"vlM!N~"</f>
        <v/>
      </c>
      <c r="J15">
        <f>#REF!+"vlM!O#"</f>
        <v/>
      </c>
      <c r="K15" s="1">
        <f>#REF!+"vlM!O$"</f>
        <v/>
      </c>
      <c r="L15">
        <f>#REF!+"vlM!O%"</f>
        <v/>
      </c>
      <c r="M15">
        <f>#REF!+"vlM!O&amp;"</f>
        <v/>
      </c>
      <c r="N15">
        <f>#REF!+"vlM!O'"</f>
        <v/>
      </c>
      <c r="O15">
        <f>#REF!+"vlM!O("</f>
        <v/>
      </c>
      <c r="P15">
        <f>#REF!+"vlM!O)"</f>
        <v/>
      </c>
      <c r="Q15">
        <f>#REF!+"vlM!O."</f>
        <v/>
      </c>
      <c r="R15">
        <f>#REF!+"vlM!O/"</f>
        <v/>
      </c>
      <c r="S15">
        <f>#REF!+"vlM!O0"</f>
        <v/>
      </c>
      <c r="T15">
        <f>#REF!+"vlM!O1"</f>
        <v/>
      </c>
      <c r="U15">
        <f>#REF!+"vlM!O2"</f>
        <v/>
      </c>
      <c r="V15">
        <f>#REF!+"vlM!O3"</f>
        <v/>
      </c>
      <c r="W15">
        <f>#REF!+"vlM!O4"</f>
        <v/>
      </c>
      <c r="X15">
        <f>#REF!+"vlM!O5"</f>
        <v/>
      </c>
      <c r="Y15">
        <f>#REF!+"vlM!O6"</f>
        <v/>
      </c>
      <c r="Z15" s="1">
        <f>#REF!+"vlM!O7"</f>
        <v/>
      </c>
      <c r="AA15">
        <f>#REF!+"vlM!O8"</f>
        <v/>
      </c>
      <c r="AB15">
        <f>#REF!+"vlM!O9"</f>
        <v/>
      </c>
      <c r="AC15">
        <f>#REF!+"vlM!O:"</f>
        <v/>
      </c>
      <c r="AD15">
        <f>#REF!+"vlM!O;"</f>
        <v/>
      </c>
      <c r="AE15">
        <f>#REF!+"vlM!O&lt;"</f>
        <v/>
      </c>
      <c r="AF15">
        <f>#REF!+"vlM!O="</f>
        <v/>
      </c>
      <c r="AG15">
        <f>#REF!+"vlM!O&gt;"</f>
        <v/>
      </c>
      <c r="AH15">
        <f>#REF!+"vlM!O?"</f>
        <v/>
      </c>
      <c r="AI15">
        <f>#REF!+"vlM!O@"</f>
        <v/>
      </c>
      <c r="AJ15">
        <f>#REF!+"vlM!OA"</f>
        <v/>
      </c>
      <c r="AK15">
        <f>#REF!+"vlM!OB"</f>
        <v/>
      </c>
      <c r="AL15">
        <f>#REF!+"vlM!OC"</f>
        <v/>
      </c>
      <c r="AM15">
        <f>#REF!+"vlM!OD"</f>
        <v/>
      </c>
      <c r="AN15">
        <f>#REF!+"vlM!OE"</f>
        <v/>
      </c>
      <c r="AO15" s="1">
        <f>#REF!+"vlM!OF"</f>
        <v/>
      </c>
      <c r="AP15">
        <f>#REF!+"vlM!OG"</f>
        <v/>
      </c>
      <c r="AQ15">
        <f>#REF!+"vlM!OH"</f>
        <v/>
      </c>
      <c r="AR15">
        <f>#REF!+"vlM!OI"</f>
        <v/>
      </c>
      <c r="AS15">
        <f>#REF!+"vlM!OJ"</f>
        <v/>
      </c>
      <c r="AT15">
        <f>#REF!+"vlM!OK"</f>
        <v/>
      </c>
      <c r="AU15">
        <f>#REF!+"vlM!OL"</f>
        <v/>
      </c>
      <c r="AV15">
        <f>#REF!+"vlM!OM"</f>
        <v/>
      </c>
      <c r="AW15">
        <f>#REF!+"vlM!ON"</f>
        <v/>
      </c>
      <c r="AX15">
        <f>#REF!+"vlM!OO"</f>
        <v/>
      </c>
      <c r="AY15">
        <f>#REF!+"vlM!OP"</f>
        <v/>
      </c>
      <c r="AZ15">
        <f>#REF!+"vlM!OQ"</f>
        <v/>
      </c>
      <c r="BA15">
        <f>#REF!+"vlM!OR"</f>
        <v/>
      </c>
      <c r="BB15">
        <f>#REF!+"vlM!OS"</f>
        <v/>
      </c>
      <c r="BC15">
        <f>#REF!+"vlM!OT"</f>
        <v/>
      </c>
      <c r="BD15" s="1">
        <f>#REF!+"vlM!OU"</f>
        <v/>
      </c>
      <c r="BE15">
        <f>#REF!+"vlM!OV"</f>
        <v/>
      </c>
      <c r="BF15">
        <f>#REF!+"vlM!OW"</f>
        <v/>
      </c>
      <c r="BG15">
        <f>#REF!+"vlM!OX"</f>
        <v/>
      </c>
      <c r="BH15">
        <f>#REF!+"vlM!OY"</f>
        <v/>
      </c>
      <c r="BI15">
        <f>#REF!+"vlM!OZ"</f>
        <v/>
      </c>
      <c r="BJ15">
        <f>#REF!+"vlM!O["</f>
        <v/>
      </c>
      <c r="BK15">
        <f>#REF!+"vlM!O\"</f>
        <v/>
      </c>
      <c r="BL15">
        <f>#REF!+"vlM!O]"</f>
        <v/>
      </c>
      <c r="BM15">
        <f>#REF!+"vlM!O^"</f>
        <v/>
      </c>
      <c r="BN15">
        <f>#REF!+"vlM!O_"</f>
        <v/>
      </c>
      <c r="BO15">
        <f>#REF!+"vlM!O`"</f>
        <v/>
      </c>
      <c r="BP15">
        <f>#REF!+"vlM!Oa"</f>
        <v/>
      </c>
      <c r="BQ15">
        <f>#REF!+"vlM!Ob"</f>
        <v/>
      </c>
      <c r="BR15">
        <f>#REF!+"vlM!Oc"</f>
        <v/>
      </c>
      <c r="BS15" s="1">
        <f>#REF!+"vlM!Od"</f>
        <v/>
      </c>
      <c r="BT15">
        <f>#REF!+"vlM!Oe"</f>
        <v/>
      </c>
      <c r="BU15">
        <f>#REF!+"vlM!Of"</f>
        <v/>
      </c>
      <c r="BV15">
        <f>#REF!+"vlM!Og"</f>
        <v/>
      </c>
      <c r="BW15">
        <f>#REF!+"vlM!Oh"</f>
        <v/>
      </c>
      <c r="BX15">
        <f>#REF!+"vlM!Oi"</f>
        <v/>
      </c>
      <c r="BY15">
        <f>#REF!+"vlM!Oj"</f>
        <v/>
      </c>
      <c r="BZ15">
        <f>#REF!+"vlM!Ok"</f>
        <v/>
      </c>
      <c r="CA15">
        <f>#REF!+"vlM!Ol"</f>
        <v/>
      </c>
      <c r="CB15">
        <f>#REF!+"vlM!Om"</f>
        <v/>
      </c>
      <c r="CC15">
        <f>#REF!+"vlM!On"</f>
        <v/>
      </c>
      <c r="CD15">
        <f>#REF!+"vlM!Oo"</f>
        <v/>
      </c>
      <c r="CE15">
        <f>#REF!+"vlM!Op"</f>
        <v/>
      </c>
      <c r="CF15">
        <f>#REF!+"vlM!Oq"</f>
        <v/>
      </c>
      <c r="CG15">
        <f>#REF!+"vlM!Or"</f>
        <v/>
      </c>
      <c r="CH15" s="1">
        <f>#REF!+"vlM!Os"</f>
        <v/>
      </c>
      <c r="CI15">
        <f>#REF!+"vlM!Ot"</f>
        <v/>
      </c>
      <c r="CJ15">
        <f>#REF!+"vlM!Ou"</f>
        <v/>
      </c>
      <c r="CK15">
        <f>#REF!+"vlM!Ov"</f>
        <v/>
      </c>
      <c r="CL15">
        <f>#REF!+"vlM!Ow"</f>
        <v/>
      </c>
      <c r="CM15">
        <f>#REF!+"vlM!Ox"</f>
        <v/>
      </c>
      <c r="CN15">
        <f>#REF!+"vlM!Oy"</f>
        <v/>
      </c>
      <c r="CO15">
        <f>#REF!+"vlM!Oz"</f>
        <v/>
      </c>
      <c r="CP15">
        <f>#REF!+"vlM!O{"</f>
        <v/>
      </c>
      <c r="CQ15">
        <f>#REF!+"vlM!O|"</f>
        <v/>
      </c>
      <c r="CR15">
        <f>#REF!+"vlM!O}"</f>
        <v/>
      </c>
      <c r="CS15">
        <f>#REF!+"vlM!O~"</f>
        <v/>
      </c>
      <c r="CT15">
        <f>#REF!+"vlM!P#"</f>
        <v/>
      </c>
      <c r="CU15">
        <f>#REF!+"vlM!P$"</f>
        <v/>
      </c>
      <c r="CV15">
        <f>#REF!+"vlM!P%"</f>
        <v/>
      </c>
      <c r="CW15" s="1">
        <f>#REF!+"vlM!P&amp;"</f>
        <v/>
      </c>
      <c r="CX15">
        <f>#REF!+"vlM!P'"</f>
        <v/>
      </c>
      <c r="CY15">
        <f>#REF!+"vlM!P("</f>
        <v/>
      </c>
      <c r="CZ15">
        <f>#REF!+"vlM!P)"</f>
        <v/>
      </c>
      <c r="DA15">
        <f>#REF!+"vlM!P."</f>
        <v/>
      </c>
      <c r="DB15">
        <f>#REF!+"vlM!P/"</f>
        <v/>
      </c>
      <c r="DC15">
        <f>#REF!+"vlM!P0"</f>
        <v/>
      </c>
      <c r="DD15">
        <f>#REF!+"vlM!P1"</f>
        <v/>
      </c>
      <c r="DE15">
        <f>#REF!+"vlM!P2"</f>
        <v/>
      </c>
      <c r="DF15">
        <f>#REF!+"vlM!P3"</f>
        <v/>
      </c>
      <c r="DG15">
        <f>#REF!+"vlM!P4"</f>
        <v/>
      </c>
      <c r="DH15">
        <f>#REF!+"vlM!P5"</f>
        <v/>
      </c>
      <c r="DI15">
        <f>#REF!+"vlM!P6"</f>
        <v/>
      </c>
      <c r="DJ15">
        <f>#REF!+"vlM!P7"</f>
        <v/>
      </c>
      <c r="DK15">
        <f>#REF!+"vlM!P8"</f>
        <v/>
      </c>
      <c r="DL15" s="1">
        <f>#REF!+"vlM!P9"</f>
        <v/>
      </c>
      <c r="DM15">
        <f>#REF!+"vlM!P:"</f>
        <v/>
      </c>
      <c r="DN15">
        <f>#REF!+"vlM!P;"</f>
        <v/>
      </c>
      <c r="DO15">
        <f>#REF!+"vlM!P&lt;"</f>
        <v/>
      </c>
      <c r="DP15">
        <f>#REF!+"vlM!P="</f>
        <v/>
      </c>
      <c r="DQ15">
        <f>#REF!+"vlM!P&gt;"</f>
        <v/>
      </c>
      <c r="DR15">
        <f>#REF!+"vlM!P?"</f>
        <v/>
      </c>
      <c r="DS15">
        <f>#REF!+"vlM!P@"</f>
        <v/>
      </c>
      <c r="DT15">
        <f>#REF!+"vlM!PA"</f>
        <v/>
      </c>
      <c r="DU15">
        <f>#REF!+"vlM!PB"</f>
        <v/>
      </c>
      <c r="DV15">
        <f>#REF!+"vlM!PC"</f>
        <v/>
      </c>
      <c r="DW15">
        <f>#REF!+"vlM!PD"</f>
        <v/>
      </c>
      <c r="DX15">
        <f>#REF!+"vlM!PE"</f>
        <v/>
      </c>
      <c r="DY15">
        <f>#REF!+"vlM!PF"</f>
        <v/>
      </c>
      <c r="DZ15">
        <f>#REF!+"vlM!PG"</f>
        <v/>
      </c>
      <c r="EA15" s="1">
        <f>#REF!+"vlM!PH"</f>
        <v/>
      </c>
      <c r="EB15">
        <f>#REF!+"vlM!PI"</f>
        <v/>
      </c>
      <c r="EC15">
        <f>#REF!+"vlM!PJ"</f>
        <v/>
      </c>
      <c r="ED15">
        <f>#REF!+"vlM!PK"</f>
        <v/>
      </c>
      <c r="EE15">
        <f>#REF!+"vlM!PL"</f>
        <v/>
      </c>
      <c r="EF15">
        <f>#REF!+"vlM!PM"</f>
        <v/>
      </c>
      <c r="EG15">
        <f>#REF!+"vlM!PN"</f>
        <v/>
      </c>
      <c r="EH15">
        <f>#REF!+"vlM!PO"</f>
        <v/>
      </c>
      <c r="EI15">
        <f>#REF!+"vlM!PP"</f>
        <v/>
      </c>
      <c r="EJ15">
        <f>#REF!+"vlM!PQ"</f>
        <v/>
      </c>
      <c r="EK15">
        <f>#REF!+"vlM!PR"</f>
        <v/>
      </c>
      <c r="EL15">
        <f>#REF!+"vlM!PS"</f>
        <v/>
      </c>
      <c r="EM15">
        <f>#REF!+"vlM!PT"</f>
        <v/>
      </c>
      <c r="EN15">
        <f>#REF!+"vlM!PU"</f>
        <v/>
      </c>
      <c r="EO15">
        <f>#REF!+"vlM!PV"</f>
        <v/>
      </c>
      <c r="EP15" s="1">
        <f>#REF!+"vlM!PW"</f>
        <v/>
      </c>
      <c r="EQ15">
        <f>#REF!+"vlM!PX"</f>
        <v/>
      </c>
      <c r="ER15">
        <f>#REF!+"vlM!PY"</f>
        <v/>
      </c>
      <c r="ES15">
        <f>#REF!+"vlM!PZ"</f>
        <v/>
      </c>
      <c r="ET15">
        <f>#REF!+"vlM!P["</f>
        <v/>
      </c>
      <c r="EU15">
        <f>#REF!+"vlM!P\"</f>
        <v/>
      </c>
      <c r="EV15">
        <f>#REF!+"vlM!P]"</f>
        <v/>
      </c>
      <c r="EW15">
        <f>#REF!+"vlM!P^"</f>
        <v/>
      </c>
      <c r="EX15">
        <f>#REF!+"vlM!P_"</f>
        <v/>
      </c>
      <c r="EY15">
        <f>#REF!+"vlM!P`"</f>
        <v/>
      </c>
      <c r="EZ15">
        <f>#REF!+"vlM!Pa"</f>
        <v/>
      </c>
      <c r="FA15">
        <f>#REF!+"vlM!Pb"</f>
        <v/>
      </c>
      <c r="FB15">
        <f>#REF!+"vlM!Pc"</f>
        <v/>
      </c>
      <c r="FC15">
        <f>#REF!+"vlM!Pd"</f>
        <v/>
      </c>
      <c r="FD15">
        <f>#REF!+"vlM!Pe"</f>
        <v/>
      </c>
      <c r="FE15" s="1">
        <f>#REF!+"vlM!Pf"</f>
        <v/>
      </c>
      <c r="FF15">
        <f>#REF!+"vlM!Pg"</f>
        <v/>
      </c>
      <c r="FG15">
        <f>#REF!+"vlM!Ph"</f>
        <v/>
      </c>
      <c r="FH15">
        <f>#REF!+"vlM!Pi"</f>
        <v/>
      </c>
      <c r="FI15">
        <f>#REF!+"vlM!Pj"</f>
        <v/>
      </c>
      <c r="FJ15">
        <f>#REF!+"vlM!Pk"</f>
        <v/>
      </c>
      <c r="FK15">
        <f>#REF!+"vlM!Pl"</f>
        <v/>
      </c>
      <c r="FL15">
        <f>#REF!+"vlM!Pm"</f>
        <v/>
      </c>
      <c r="FM15">
        <f>#REF!+"vlM!Pn"</f>
        <v/>
      </c>
      <c r="FN15">
        <f>#REF!+"vlM!Po"</f>
        <v/>
      </c>
      <c r="FO15">
        <f>#REF!+"vlM!Pp"</f>
        <v/>
      </c>
      <c r="FP15">
        <f>#REF!+"vlM!Pq"</f>
        <v/>
      </c>
      <c r="FQ15">
        <f>#REF!+"vlM!Pr"</f>
        <v/>
      </c>
      <c r="FR15">
        <f>#REF!+"vlM!Ps"</f>
        <v/>
      </c>
      <c r="FS15">
        <f>#REF!+"vlM!Pt"</f>
        <v/>
      </c>
      <c r="FT15" s="1">
        <f>#REF!+"vlM!Pu"</f>
        <v/>
      </c>
      <c r="FU15">
        <f>#REF!+"vlM!Pv"</f>
        <v/>
      </c>
      <c r="FV15">
        <f>#REF!+"vlM!Pw"</f>
        <v/>
      </c>
      <c r="FW15">
        <f>#REF!+"vlM!Px"</f>
        <v/>
      </c>
      <c r="FX15">
        <f>#REF!+"vlM!Py"</f>
        <v/>
      </c>
      <c r="FY15">
        <f>#REF!+"vlM!Pz"</f>
        <v/>
      </c>
      <c r="FZ15">
        <f>#REF!+"vlM!P{"</f>
        <v/>
      </c>
      <c r="GA15">
        <f>#REF!+"vlM!P|"</f>
        <v/>
      </c>
      <c r="GB15">
        <f>#REF!+"vlM!P}"</f>
        <v/>
      </c>
      <c r="GC15">
        <f>#REF!+"vlM!P~"</f>
        <v/>
      </c>
      <c r="GD15">
        <f>#REF!+"vlM!Q#"</f>
        <v/>
      </c>
      <c r="GE15">
        <f>#REF!+"vlM!Q$"</f>
        <v/>
      </c>
      <c r="GF15">
        <f>#REF!+"vlM!Q%"</f>
        <v/>
      </c>
      <c r="GG15">
        <f>#REF!+"vlM!Q&amp;"</f>
        <v/>
      </c>
      <c r="GH15">
        <f>#REF!+"vlM!Q'"</f>
        <v/>
      </c>
      <c r="GI15" s="1">
        <f>#REF!+"vlM!Q("</f>
        <v/>
      </c>
      <c r="GJ15">
        <f>#REF!+"vlM!Q)"</f>
        <v/>
      </c>
      <c r="GK15">
        <f>#REF!+"vlM!Q."</f>
        <v/>
      </c>
      <c r="GL15">
        <f>#REF!+"vlM!Q/"</f>
        <v/>
      </c>
      <c r="GM15">
        <f>#REF!+"vlM!Q0"</f>
        <v/>
      </c>
      <c r="GN15">
        <f>#REF!+"vlM!Q1"</f>
        <v/>
      </c>
      <c r="GO15">
        <f>#REF!+"vlM!Q2"</f>
        <v/>
      </c>
      <c r="GP15">
        <f>#REF!+"vlM!Q3"</f>
        <v/>
      </c>
      <c r="GQ15">
        <f>#REF!+"vlM!Q4"</f>
        <v/>
      </c>
      <c r="GR15">
        <f>#REF!+"vlM!Q5"</f>
        <v/>
      </c>
      <c r="GS15">
        <f>#REF!+"vlM!Q6"</f>
        <v/>
      </c>
      <c r="GT15">
        <f>#REF!+"vlM!Q7"</f>
        <v/>
      </c>
      <c r="GU15">
        <f>#REF!+"vlM!Q8"</f>
        <v/>
      </c>
      <c r="GV15">
        <f>#REF!+"vlM!Q9"</f>
        <v/>
      </c>
      <c r="GW15">
        <f>#REF!+"vlM!Q:"</f>
        <v/>
      </c>
      <c r="GX15" s="1">
        <f>#REF!+"vlM!Q;"</f>
        <v/>
      </c>
      <c r="GY15">
        <f>#REF!+"vlM!Q&lt;"</f>
        <v/>
      </c>
      <c r="GZ15">
        <f>#REF!+"vlM!Q="</f>
        <v/>
      </c>
      <c r="HA15">
        <f>#REF!+"vlM!Q&gt;"</f>
        <v/>
      </c>
      <c r="HB15">
        <f>#REF!+"vlM!Q?"</f>
        <v/>
      </c>
      <c r="HC15">
        <f>#REF!+"vlM!Q@"</f>
        <v/>
      </c>
      <c r="HD15">
        <f>#REF!+"vlM!QA"</f>
        <v/>
      </c>
      <c r="HE15">
        <f>#REF!+"vlM!QB"</f>
        <v/>
      </c>
      <c r="HF15">
        <f>#REF!+"vlM!QC"</f>
        <v/>
      </c>
      <c r="HG15">
        <f>#REF!+"vlM!QD"</f>
        <v/>
      </c>
      <c r="HH15">
        <f>#REF!+"vlM!QE"</f>
        <v/>
      </c>
      <c r="HI15">
        <f>#REF!+"vlM!QF"</f>
        <v/>
      </c>
      <c r="HJ15">
        <f>#REF!+"vlM!QG"</f>
        <v/>
      </c>
      <c r="HK15">
        <f>#REF!+"vlM!QH"</f>
        <v/>
      </c>
      <c r="HL15">
        <f>#REF!+"vlM!QI"</f>
        <v/>
      </c>
      <c r="HM15" s="1">
        <f>#REF!+"vlM!QJ"</f>
        <v/>
      </c>
      <c r="HN15">
        <f>#REF!+"vlM!QK"</f>
        <v/>
      </c>
      <c r="HO15">
        <f>#REF!+"vlM!QL"</f>
        <v/>
      </c>
      <c r="HP15">
        <f>#REF!+"vlM!QM"</f>
        <v/>
      </c>
      <c r="HQ15">
        <f>#REF!+"vlM!QN"</f>
        <v/>
      </c>
      <c r="HR15">
        <f>#REF!+"vlM!QO"</f>
        <v/>
      </c>
      <c r="HS15">
        <f>#REF!+"vlM!QP"</f>
        <v/>
      </c>
      <c r="HT15">
        <f>#REF!+"vlM!QQ"</f>
        <v/>
      </c>
      <c r="HU15">
        <f>#REF!+"vlM!QR"</f>
        <v/>
      </c>
      <c r="HV15">
        <f>#REF!+"vlM!QS"</f>
        <v/>
      </c>
      <c r="HW15">
        <f>#REF!+"vlM!QT"</f>
        <v/>
      </c>
      <c r="HX15">
        <f>#REF!+"vlM!QU"</f>
        <v/>
      </c>
      <c r="HY15">
        <f>#REF!+"vlM!QV"</f>
        <v/>
      </c>
      <c r="HZ15">
        <f>#REF!+"vlM!QW"</f>
        <v/>
      </c>
      <c r="IA15">
        <f>#REF!+"vlM!QX"</f>
        <v/>
      </c>
      <c r="IB15" s="1">
        <f>#REF!+"vlM!QY"</f>
        <v/>
      </c>
      <c r="IC15">
        <f>#REF!+"vlM!QZ"</f>
        <v/>
      </c>
      <c r="ID15">
        <f>#REF!+"vlM!Q["</f>
        <v/>
      </c>
      <c r="IE15">
        <f>#REF!+"vlM!Q\"</f>
        <v/>
      </c>
      <c r="IF15">
        <f>#REF!+"vlM!Q]"</f>
        <v/>
      </c>
      <c r="IG15">
        <f>#REF!+"vlM!Q^"</f>
        <v/>
      </c>
      <c r="IH15">
        <f>#REF!+"vlM!Q_"</f>
        <v/>
      </c>
      <c r="II15">
        <f>#REF!+"vlM!Q`"</f>
        <v/>
      </c>
      <c r="IJ15">
        <f>#REF!+"vlM!Qa"</f>
        <v/>
      </c>
      <c r="IK15">
        <f>#REF!+"vlM!Qb"</f>
        <v/>
      </c>
      <c r="IL15">
        <f>#REF!+"vlM!Qc"</f>
        <v/>
      </c>
      <c r="IM15">
        <f>#REF!+"vlM!Qd"</f>
        <v/>
      </c>
      <c r="IN15">
        <f>#REF!+"vlM!Qe"</f>
        <v/>
      </c>
      <c r="IO15">
        <f>#REF!+"vlM!Qf"</f>
        <v/>
      </c>
      <c r="IP15">
        <f>#REF!+"vlM!Qg"</f>
        <v/>
      </c>
      <c r="IQ15" s="1">
        <f>#REF!+"vlM!Qh"</f>
        <v/>
      </c>
      <c r="IR15">
        <f>#REF!+"vlM!Qi"</f>
        <v/>
      </c>
      <c r="IS15">
        <f>#REF!+"vlM!Qj"</f>
        <v/>
      </c>
      <c r="IT15">
        <f>#REF!+"vlM!Qk"</f>
        <v/>
      </c>
      <c r="IU15">
        <f>#REF!+"vlM!Ql"</f>
        <v/>
      </c>
      <c r="IV15">
        <f>#REF!+"vlM!Qm"</f>
        <v/>
      </c>
    </row>
    <row r="16">
      <c r="F16">
        <f>#REF!+"vlM!Qn"</f>
        <v/>
      </c>
      <c r="G16">
        <f>#REF!+"vlM!Qo"</f>
        <v/>
      </c>
      <c r="H16">
        <f>#REF!+"vlM!Qp"</f>
        <v/>
      </c>
      <c r="I16">
        <f>#REF!+"vlM!Qq"</f>
        <v/>
      </c>
      <c r="J16">
        <f>#REF!+"vlM!Qr"</f>
        <v/>
      </c>
      <c r="K16">
        <f>#REF!+"vlM!Qs"</f>
        <v/>
      </c>
      <c r="L16">
        <f>#REF!+"vlM!Qt"</f>
        <v/>
      </c>
      <c r="M16">
        <f>#REF!+"vlM!Qu"</f>
        <v/>
      </c>
      <c r="N16">
        <f>#REF!+"vlM!Qv"</f>
        <v/>
      </c>
      <c r="O16" s="1">
        <f>#REF!+"vlM!Qw"</f>
        <v/>
      </c>
      <c r="P16">
        <f>#REF!+"vlM!Qx"</f>
        <v/>
      </c>
      <c r="Q16">
        <f>#REF!+"vlM!Qy"</f>
        <v/>
      </c>
      <c r="R16">
        <f>#REF!+"vlM!Qz"</f>
        <v/>
      </c>
      <c r="S16">
        <f>#REF!+"vlM!Q{"</f>
        <v/>
      </c>
      <c r="T16">
        <f>#REF!+"vlM!Q|"</f>
        <v/>
      </c>
      <c r="U16">
        <f>#REF!+"vlM!Q}"</f>
        <v/>
      </c>
      <c r="V16">
        <f>#REF!+"vlM!Q~"</f>
        <v/>
      </c>
      <c r="W16">
        <f>#REF!+"vlM!R#"</f>
        <v/>
      </c>
      <c r="X16">
        <f>#REF!+"vlM!R$"</f>
        <v/>
      </c>
      <c r="Y16">
        <f>#REF!+"vlM!R%"</f>
        <v/>
      </c>
      <c r="Z16">
        <f>#REF!+"vlM!R&amp;"</f>
        <v/>
      </c>
      <c r="AA16">
        <f>#REF!+"vlM!R'"</f>
        <v/>
      </c>
      <c r="AB16">
        <f>#REF!+"vlM!R("</f>
        <v/>
      </c>
      <c r="AC16">
        <f>#REF!+"vlM!R)"</f>
        <v/>
      </c>
      <c r="AD16" s="1">
        <f>#REF!+"vlM!R."</f>
        <v/>
      </c>
      <c r="AE16">
        <f>#REF!+"vlM!R/"</f>
        <v/>
      </c>
      <c r="AF16">
        <f>#REF!+"vlM!R0"</f>
        <v/>
      </c>
      <c r="AG16">
        <f>#REF!+"vlM!R1"</f>
        <v/>
      </c>
      <c r="AH16">
        <f>#REF!+"vlM!R2"</f>
        <v/>
      </c>
      <c r="AI16">
        <f>#REF!+"vlM!R3"</f>
        <v/>
      </c>
      <c r="AJ16">
        <f>#REF!+"vlM!R4"</f>
        <v/>
      </c>
      <c r="AK16">
        <f>#REF!+"vlM!R5"</f>
        <v/>
      </c>
      <c r="AL16">
        <f>#REF!+"vlM!R6"</f>
        <v/>
      </c>
      <c r="AM16">
        <f>#REF!+"vlM!R7"</f>
        <v/>
      </c>
      <c r="AN16">
        <f>#REF!+"vlM!R8"</f>
        <v/>
      </c>
      <c r="AO16">
        <f>#REF!+"vlM!R9"</f>
        <v/>
      </c>
      <c r="AP16">
        <f>#REF!+"vlM!R:"</f>
        <v/>
      </c>
      <c r="AQ16">
        <f>#REF!+"vlM!R;"</f>
        <v/>
      </c>
      <c r="AR16">
        <f>#REF!+"vlM!R&lt;"</f>
        <v/>
      </c>
      <c r="AS16" s="1">
        <f>#REF!+"vlM!R="</f>
        <v/>
      </c>
      <c r="AT16">
        <f>#REF!+"vlM!R&gt;"</f>
        <v/>
      </c>
      <c r="AU16">
        <f>#REF!+"vlM!R?"</f>
        <v/>
      </c>
      <c r="AV16">
        <f>#REF!+"vlM!R@"</f>
        <v/>
      </c>
      <c r="AW16">
        <f>#REF!+"vlM!RA"</f>
        <v/>
      </c>
      <c r="AX16">
        <f>#REF!+"vlM!RB"</f>
        <v/>
      </c>
      <c r="AY16">
        <f>#REF!+"vlM!RC"</f>
        <v/>
      </c>
      <c r="AZ16">
        <f>#REF!+"vlM!RD"</f>
        <v/>
      </c>
      <c r="BA16">
        <f>#REF!+"vlM!RE"</f>
        <v/>
      </c>
      <c r="BB16">
        <f>#REF!+"vlM!RF"</f>
        <v/>
      </c>
      <c r="BC16">
        <f>#REF!+"vlM!RG"</f>
        <v/>
      </c>
      <c r="BD16">
        <f>#REF!+"vlM!RH"</f>
        <v/>
      </c>
      <c r="BE16">
        <f>#REF!+"vlM!RI"</f>
        <v/>
      </c>
      <c r="BF16">
        <f>#REF!+"vlM!RJ"</f>
        <v/>
      </c>
      <c r="BG16">
        <f>#REF!+"vlM!RK"</f>
        <v/>
      </c>
      <c r="BH16" s="1">
        <f>#REF!+"vlM!RL"</f>
        <v/>
      </c>
      <c r="BI16">
        <f>#REF!+"vlM!RM"</f>
        <v/>
      </c>
      <c r="BJ16">
        <f>#REF!+"vlM!RN"</f>
        <v/>
      </c>
      <c r="BK16">
        <f>#REF!+"vlM!RO"</f>
        <v/>
      </c>
      <c r="BL16">
        <f>#REF!+"vlM!RP"</f>
        <v/>
      </c>
      <c r="BM16">
        <f>#REF!+"vlM!RQ"</f>
        <v/>
      </c>
      <c r="BN16">
        <f>#REF!+"vlM!RR"</f>
        <v/>
      </c>
      <c r="BO16">
        <f>#REF!+"vlM!RS"</f>
        <v/>
      </c>
      <c r="BP16">
        <f>#REF!+"vlM!RT"</f>
        <v/>
      </c>
      <c r="BQ16">
        <f>#REF!+"vlM!RU"</f>
        <v/>
      </c>
      <c r="BR16">
        <f>#REF!+"vlM!RV"</f>
        <v/>
      </c>
      <c r="BS16">
        <f>#REF!+"vlM!RW"</f>
        <v/>
      </c>
      <c r="BT16">
        <f>#REF!+"vlM!RX"</f>
        <v/>
      </c>
      <c r="BU16">
        <f>#REF!+"vlM!RY"</f>
        <v/>
      </c>
      <c r="BV16">
        <f>#REF!+"vlM!RZ"</f>
        <v/>
      </c>
      <c r="BW16" s="1">
        <f>#REF!+"vlM!R["</f>
        <v/>
      </c>
      <c r="BX16">
        <f>#REF!+"vlM!R\"</f>
        <v/>
      </c>
      <c r="BY16">
        <f>#REF!+"vlM!R]"</f>
        <v/>
      </c>
      <c r="BZ16">
        <f>#REF!+"vlM!R^"</f>
        <v/>
      </c>
      <c r="CA16">
        <f>#REF!+"vlM!R_"</f>
        <v/>
      </c>
      <c r="CB16">
        <f>#REF!+"vlM!R`"</f>
        <v/>
      </c>
      <c r="CC16">
        <f>#REF!+"vlM!Ra"</f>
        <v/>
      </c>
      <c r="CD16">
        <f>#REF!+"vlM!Rb"</f>
        <v/>
      </c>
      <c r="CE16">
        <f>#REF!+"vlM!Rc"</f>
        <v/>
      </c>
      <c r="CF16">
        <f>#REF!+"vlM!Rd"</f>
        <v/>
      </c>
      <c r="CG16">
        <f>#REF!+"vlM!Re"</f>
        <v/>
      </c>
      <c r="CH16">
        <f>#REF!+"vlM!Rf"</f>
        <v/>
      </c>
      <c r="CI16">
        <f>#REF!+"vlM!Rg"</f>
        <v/>
      </c>
      <c r="CJ16">
        <f>#REF!+"vlM!Rh"</f>
        <v/>
      </c>
      <c r="CK16">
        <f>#REF!+"vlM!Ri"</f>
        <v/>
      </c>
      <c r="CL16" s="1">
        <f>#REF!+"vlM!Rj"</f>
        <v/>
      </c>
      <c r="CM16">
        <f>#REF!+"vlM!Rk"</f>
        <v/>
      </c>
      <c r="CN16">
        <f>#REF!+"vlM!Rl"</f>
        <v/>
      </c>
      <c r="CO16">
        <f>#REF!+"vlM!Rm"</f>
        <v/>
      </c>
      <c r="CP16">
        <f>#REF!+"vlM!Rn"</f>
        <v/>
      </c>
      <c r="CQ16">
        <f>#REF!+"vlM!Ro"</f>
        <v/>
      </c>
      <c r="CR16">
        <f>#REF!+"vlM!Rp"</f>
        <v/>
      </c>
      <c r="CS16">
        <f>#REF!+"vlM!Rq"</f>
        <v/>
      </c>
      <c r="CT16">
        <f>#REF!+"vlM!Rr"</f>
        <v/>
      </c>
      <c r="CU16">
        <f>#REF!+"vlM!Rs"</f>
        <v/>
      </c>
      <c r="CV16">
        <f>#REF!+"vlM!Rt"</f>
        <v/>
      </c>
      <c r="CW16">
        <f>#REF!+"vlM!Ru"</f>
        <v/>
      </c>
      <c r="CX16">
        <f>#REF!+"vlM!Rv"</f>
        <v/>
      </c>
      <c r="CY16">
        <f>#REF!+"vlM!Rw"</f>
        <v/>
      </c>
      <c r="CZ16">
        <f>#REF!+"vlM!Rx"</f>
        <v/>
      </c>
      <c r="DA16" s="1">
        <f>#REF!+"vlM!Ry"</f>
        <v/>
      </c>
      <c r="DB16">
        <f>#REF!+"vlM!Rz"</f>
        <v/>
      </c>
      <c r="DC16">
        <f>#REF!+"vlM!R{"</f>
        <v/>
      </c>
      <c r="DD16">
        <f>#REF!+"vlM!R|"</f>
        <v/>
      </c>
      <c r="DE16">
        <f>#REF!+"vlM!R}"</f>
        <v/>
      </c>
      <c r="DF16">
        <f>#REF!+"vlM!R~"</f>
        <v/>
      </c>
      <c r="DG16">
        <f>#REF!+"vlM!S#"</f>
        <v/>
      </c>
      <c r="DH16">
        <f>#REF!+"vlM!S$"</f>
        <v/>
      </c>
      <c r="DI16">
        <f>#REF!+"vlM!S%"</f>
        <v/>
      </c>
      <c r="DJ16">
        <f>#REF!+"vlM!S&amp;"</f>
        <v/>
      </c>
      <c r="DK16">
        <f>#REF!+"vlM!S'"</f>
        <v/>
      </c>
      <c r="DL16">
        <f>#REF!+"vlM!S("</f>
        <v/>
      </c>
      <c r="DM16">
        <f>#REF!+"vlM!S)"</f>
        <v/>
      </c>
      <c r="DN16">
        <f>#REF!+"vlM!S."</f>
        <v/>
      </c>
      <c r="DO16">
        <f>#REF!+"vlM!S/"</f>
        <v/>
      </c>
      <c r="DP16" s="1">
        <f>#REF!+"vlM!S0"</f>
        <v/>
      </c>
      <c r="DQ16">
        <f>#REF!+"vlM!S1"</f>
        <v/>
      </c>
      <c r="DR16">
        <f>#REF!+"vlM!S2"</f>
        <v/>
      </c>
      <c r="DS16">
        <f>#REF!+"vlM!S3"</f>
        <v/>
      </c>
      <c r="DT16">
        <f>#REF!+"vlM!S4"</f>
        <v/>
      </c>
      <c r="DU16">
        <f>#REF!+"vlM!S5"</f>
        <v/>
      </c>
      <c r="DV16">
        <f>#REF!+"vlM!S6"</f>
        <v/>
      </c>
      <c r="DW16">
        <f>#REF!+"vlM!S7"</f>
        <v/>
      </c>
      <c r="DX16">
        <f>#REF!+"vlM!S8"</f>
        <v/>
      </c>
      <c r="DY16">
        <f>#REF!+"vlM!S9"</f>
        <v/>
      </c>
      <c r="DZ16">
        <f>#REF!+"vlM!S:"</f>
        <v/>
      </c>
      <c r="EA16">
        <f>#REF!+"vlM!S;"</f>
        <v/>
      </c>
      <c r="EB16">
        <f>#REF!+"vlM!S&lt;"</f>
        <v/>
      </c>
      <c r="EC16">
        <f>#REF!+"vlM!S="</f>
        <v/>
      </c>
      <c r="ED16">
        <f>#REF!+"vlM!S&gt;"</f>
        <v/>
      </c>
      <c r="EE16" s="1">
        <f>#REF!+"vlM!S?"</f>
        <v/>
      </c>
      <c r="EF16">
        <f>#REF!+"vlM!S@"</f>
        <v/>
      </c>
      <c r="EG16">
        <f>#REF!+"vlM!SA"</f>
        <v/>
      </c>
      <c r="EH16">
        <f>#REF!+"vlM!SB"</f>
        <v/>
      </c>
      <c r="EI16">
        <f>#REF!+"vlM!SC"</f>
        <v/>
      </c>
      <c r="EJ16">
        <f>#REF!+"vlM!SD"</f>
        <v/>
      </c>
      <c r="EK16">
        <f>#REF!+"vlM!SE"</f>
        <v/>
      </c>
      <c r="EL16">
        <f>#REF!+"vlM!SF"</f>
        <v/>
      </c>
      <c r="EM16">
        <f>#REF!+"vlM!SG"</f>
        <v/>
      </c>
      <c r="EN16">
        <f>#REF!+"vlM!SH"</f>
        <v/>
      </c>
      <c r="EO16">
        <f>#REF!+"vlM!SI"</f>
        <v/>
      </c>
      <c r="EP16">
        <f>#REF!+"vlM!SJ"</f>
        <v/>
      </c>
      <c r="EQ16">
        <f>#REF!+"vlM!SK"</f>
        <v/>
      </c>
      <c r="ER16">
        <f>#REF!+"vlM!SL"</f>
        <v/>
      </c>
      <c r="ES16">
        <f>#REF!+"vlM!SM"</f>
        <v/>
      </c>
      <c r="ET16" s="1">
        <f>#REF!+"vlM!SN"</f>
        <v/>
      </c>
      <c r="EU16">
        <f>#REF!+"vlM!SO"</f>
        <v/>
      </c>
      <c r="EV16">
        <f>#REF!+"vlM!SP"</f>
        <v/>
      </c>
      <c r="EW16">
        <f>#REF!+"vlM!SQ"</f>
        <v/>
      </c>
      <c r="EX16">
        <f>#REF!+"vlM!SR"</f>
        <v/>
      </c>
      <c r="EY16">
        <f>#REF!+"vlM!SS"</f>
        <v/>
      </c>
      <c r="EZ16">
        <f>#REF!+"vlM!ST"</f>
        <v/>
      </c>
      <c r="FA16">
        <f>#REF!+"vlM!SU"</f>
        <v/>
      </c>
      <c r="FB16">
        <f>#REF!+"vlM!SV"</f>
        <v/>
      </c>
      <c r="FC16">
        <f>#REF!+"vlM!SW"</f>
        <v/>
      </c>
      <c r="FD16">
        <f>#REF!+"vlM!SX"</f>
        <v/>
      </c>
      <c r="FE16">
        <f>#REF!+"vlM!SY"</f>
        <v/>
      </c>
      <c r="FF16">
        <f>#REF!+"vlM!SZ"</f>
        <v/>
      </c>
      <c r="FG16">
        <f>#REF!+"vlM!S["</f>
        <v/>
      </c>
      <c r="FH16">
        <f>#REF!+"vlM!S\"</f>
        <v/>
      </c>
      <c r="FI16" s="1">
        <f>#REF!+"vlM!S]"</f>
        <v/>
      </c>
      <c r="FJ16">
        <f>#REF!+"vlM!S^"</f>
        <v/>
      </c>
      <c r="FK16">
        <f>#REF!+"vlM!S_"</f>
        <v/>
      </c>
      <c r="FL16">
        <f>#REF!+"vlM!S`"</f>
        <v/>
      </c>
      <c r="FM16">
        <f>#REF!+"vlM!Sa"</f>
        <v/>
      </c>
      <c r="FN16">
        <f>#REF!+"vlM!Sb"</f>
        <v/>
      </c>
      <c r="FO16">
        <f>#REF!+"vlM!Sc"</f>
        <v/>
      </c>
      <c r="FP16">
        <f>#REF!+"vlM!Sd"</f>
        <v/>
      </c>
      <c r="FQ16">
        <f>#REF!+"vlM!Se"</f>
        <v/>
      </c>
      <c r="FR16">
        <f>#REF!+"vlM!Sf"</f>
        <v/>
      </c>
      <c r="FS16">
        <f>#REF!+"vlM!Sg"</f>
        <v/>
      </c>
      <c r="FT16">
        <f>#REF!+"vlM!Sh"</f>
        <v/>
      </c>
      <c r="FU16">
        <f>#REF!+"vlM!Si"</f>
        <v/>
      </c>
      <c r="FV16">
        <f>#REF!+"vlM!Sj"</f>
        <v/>
      </c>
      <c r="FW16">
        <f>#REF!+"vlM!Sk"</f>
        <v/>
      </c>
      <c r="FX16" s="1">
        <f>#REF!+"vlM!Sl"</f>
        <v/>
      </c>
      <c r="FY16">
        <f>#REF!+"vlM!Sm"</f>
        <v/>
      </c>
      <c r="FZ16">
        <f>#REF!+"vlM!Sn"</f>
        <v/>
      </c>
      <c r="GA16">
        <f>#REF!+"vlM!So"</f>
        <v/>
      </c>
      <c r="GB16">
        <f>#REF!+"vlM!Sp"</f>
        <v/>
      </c>
      <c r="GC16">
        <f>#REF!+"vlM!Sq"</f>
        <v/>
      </c>
      <c r="GD16">
        <f>#REF!+"vlM!Sr"</f>
        <v/>
      </c>
      <c r="GE16">
        <f>#REF!+"vlM!Ss"</f>
        <v/>
      </c>
      <c r="GF16">
        <f>#REF!+"vlM!St"</f>
        <v/>
      </c>
      <c r="GG16">
        <f>#REF!+"vlM!Su"</f>
        <v/>
      </c>
      <c r="GH16">
        <f>#REF!+"vlM!Sv"</f>
        <v/>
      </c>
      <c r="GI16">
        <f>#REF!+"vlM!Sw"</f>
        <v/>
      </c>
      <c r="GJ16">
        <f>#REF!+"vlM!Sx"</f>
        <v/>
      </c>
      <c r="GK16">
        <f>#REF!+"vlM!Sy"</f>
        <v/>
      </c>
      <c r="GL16">
        <f>#REF!+"vlM!Sz"</f>
        <v/>
      </c>
      <c r="GM16" s="1">
        <f>#REF!+"vlM!S{"</f>
        <v/>
      </c>
      <c r="GN16">
        <f>#REF!+"vlM!S|"</f>
        <v/>
      </c>
      <c r="GO16">
        <f>#REF!+"vlM!S}"</f>
        <v/>
      </c>
      <c r="GP16">
        <f>#REF!+"vlM!S~"</f>
        <v/>
      </c>
      <c r="GQ16">
        <f>#REF!+"vlM!T#"</f>
        <v/>
      </c>
      <c r="GR16">
        <f>#REF!+"vlM!T$"</f>
        <v/>
      </c>
      <c r="GS16">
        <f>#REF!+"vlM!T%"</f>
        <v/>
      </c>
      <c r="GT16">
        <f>#REF!+"vlM!T&amp;"</f>
        <v/>
      </c>
      <c r="GU16">
        <f>#REF!+"vlM!T'"</f>
        <v/>
      </c>
      <c r="GV16">
        <f>#REF!+"vlM!T("</f>
        <v/>
      </c>
      <c r="GW16">
        <f>#REF!+"vlM!T)"</f>
        <v/>
      </c>
      <c r="GX16">
        <f>#REF!+"vlM!T."</f>
        <v/>
      </c>
      <c r="GY16">
        <f>#REF!+"vlM!T/"</f>
        <v/>
      </c>
      <c r="GZ16">
        <f>#REF!+"vlM!T0"</f>
        <v/>
      </c>
      <c r="HA16">
        <f>#REF!+"vlM!T1"</f>
        <v/>
      </c>
      <c r="HB16" s="1">
        <f>#REF!+"vlM!T2"</f>
        <v/>
      </c>
      <c r="HC16">
        <f>#REF!+"vlM!T3"</f>
        <v/>
      </c>
      <c r="HD16">
        <f>#REF!+"vlM!T4"</f>
        <v/>
      </c>
      <c r="HE16">
        <f>#REF!+"vlM!T5"</f>
        <v/>
      </c>
      <c r="HF16">
        <f>#REF!+"vlM!T6"</f>
        <v/>
      </c>
      <c r="HG16">
        <f>#REF!+"vlM!T7"</f>
        <v/>
      </c>
      <c r="HH16">
        <f>#REF!+"vlM!T8"</f>
        <v/>
      </c>
      <c r="HI16">
        <f>#REF!+"vlM!T9"</f>
        <v/>
      </c>
      <c r="HJ16">
        <f>#REF!+"vlM!T:"</f>
        <v/>
      </c>
      <c r="HK16">
        <f>#REF!+"vlM!T;"</f>
        <v/>
      </c>
      <c r="HL16">
        <f>#REF!+"vlM!T&lt;"</f>
        <v/>
      </c>
      <c r="HM16">
        <f>#REF!+"vlM!T="</f>
        <v/>
      </c>
      <c r="HN16">
        <f>#REF!+"vlM!T&gt;"</f>
        <v/>
      </c>
      <c r="HO16">
        <f>#REF!+"vlM!T?"</f>
        <v/>
      </c>
      <c r="HP16">
        <f>#REF!+"vlM!T@"</f>
        <v/>
      </c>
      <c r="HQ16" s="1">
        <f>#REF!+"vlM!TA"</f>
        <v/>
      </c>
      <c r="HR16">
        <f>#REF!+"vlM!TB"</f>
        <v/>
      </c>
      <c r="HS16">
        <f>#REF!+"vlM!TC"</f>
        <v/>
      </c>
      <c r="HT16">
        <f>#REF!+"vlM!TD"</f>
        <v/>
      </c>
      <c r="HU16">
        <f>#REF!+"vlM!TE"</f>
        <v/>
      </c>
      <c r="HV16">
        <f>#REF!+"vlM!TF"</f>
        <v/>
      </c>
      <c r="HW16">
        <f>#REF!+"vlM!TG"</f>
        <v/>
      </c>
      <c r="HX16">
        <f>#REF!+"vlM!TH"</f>
        <v/>
      </c>
      <c r="HY16">
        <f>#REF!+"vlM!TI"</f>
        <v/>
      </c>
      <c r="HZ16">
        <f>#REF!+"vlM!TJ"</f>
        <v/>
      </c>
      <c r="IA16">
        <f>#REF!+"vlM!TK"</f>
        <v/>
      </c>
      <c r="IB16">
        <f>#REF!+"vlM!TL"</f>
        <v/>
      </c>
      <c r="IC16">
        <f>#REF!+"vlM!TM"</f>
        <v/>
      </c>
      <c r="ID16">
        <f>#REF!+"vlM!TN"</f>
        <v/>
      </c>
      <c r="IE16">
        <f>#REF!+"vlM!TO"</f>
        <v/>
      </c>
      <c r="IF16" s="1">
        <f>#REF!+"vlM!TP"</f>
        <v/>
      </c>
      <c r="IG16">
        <f>#REF!+"vlM!TQ"</f>
        <v/>
      </c>
      <c r="IH16">
        <f>#REF!+"vlM!TR"</f>
        <v/>
      </c>
      <c r="II16">
        <f>#REF!+"vlM!TS"</f>
        <v/>
      </c>
      <c r="IJ16">
        <f>#REF!+"vlM!TT"</f>
        <v/>
      </c>
      <c r="IK16">
        <f>#REF!+"vlM!TU"</f>
        <v/>
      </c>
      <c r="IL16">
        <f>#REF!+"vlM!TV"</f>
        <v/>
      </c>
      <c r="IM16">
        <f>#REF!+"vlM!TW"</f>
        <v/>
      </c>
      <c r="IN16">
        <f>#REF!+"vlM!TX"</f>
        <v/>
      </c>
      <c r="IO16">
        <f>#REF!+"vlM!TY"</f>
        <v/>
      </c>
      <c r="IP16">
        <f>#REF!+"vlM!TZ"</f>
        <v/>
      </c>
      <c r="IQ16">
        <f>#REF!+"vlM!T["</f>
        <v/>
      </c>
      <c r="IR16">
        <f>#REF!+"vlM!T\"</f>
        <v/>
      </c>
      <c r="IS16">
        <f>#REF!+"vlM!T]"</f>
        <v/>
      </c>
      <c r="IT16">
        <f>#REF!+"vlM!T^"</f>
        <v/>
      </c>
      <c r="IU16" s="1">
        <f>#REF!+"vlM!T_"</f>
        <v/>
      </c>
      <c r="IV16">
        <f>#REF!+"vlM!T`"</f>
        <v/>
      </c>
    </row>
    <row r="17">
      <c r="F17">
        <f>#REF!+"vlM!Ta"</f>
        <v/>
      </c>
      <c r="G17">
        <f>#REF!+"vlM!Tb"</f>
        <v/>
      </c>
      <c r="H17">
        <f>#REF!+"vlM!Tc"</f>
        <v/>
      </c>
      <c r="I17">
        <f>#REF!+"vlM!Td"</f>
        <v/>
      </c>
      <c r="J17">
        <f>#REF!+"vlM!Te"</f>
        <v/>
      </c>
      <c r="K17">
        <f>#REF!+"vlM!Tf"</f>
        <v/>
      </c>
      <c r="L17">
        <f>#REF!+"vlM!Tg"</f>
        <v/>
      </c>
      <c r="M17">
        <f>#REF!+"vlM!Th"</f>
        <v/>
      </c>
      <c r="N17">
        <f>#REF!+"vlM!Ti"</f>
        <v/>
      </c>
      <c r="O17">
        <f>#REF!+"vlM!Tj"</f>
        <v/>
      </c>
      <c r="P17">
        <f>#REF!+"vlM!Tk"</f>
        <v/>
      </c>
      <c r="Q17">
        <f>#REF!+"vlM!Tl"</f>
        <v/>
      </c>
      <c r="R17">
        <f>#REF!+"vlM!Tm"</f>
        <v/>
      </c>
      <c r="S17" s="1">
        <f>#REF!+"vlM!Tn"</f>
        <v/>
      </c>
      <c r="T17">
        <f>#REF!+"vlM!To"</f>
        <v/>
      </c>
      <c r="U17">
        <f>#REF!+"vlM!Tp"</f>
        <v/>
      </c>
      <c r="V17">
        <f>#REF!+"vlM!Tq"</f>
        <v/>
      </c>
      <c r="W17">
        <f>#REF!+"vlM!Tr"</f>
        <v/>
      </c>
      <c r="X17">
        <f>#REF!+"vlM!Ts"</f>
        <v/>
      </c>
      <c r="Y17">
        <f>#REF!+"vlM!Tt"</f>
        <v/>
      </c>
      <c r="Z17">
        <f>#REF!+"vlM!Tu"</f>
        <v/>
      </c>
      <c r="AA17">
        <f>#REF!+"vlM!Tv"</f>
        <v/>
      </c>
      <c r="AB17">
        <f>#REF!+"vlM!Tw"</f>
        <v/>
      </c>
      <c r="AC17">
        <f>#REF!+"vlM!Tx"</f>
        <v/>
      </c>
      <c r="AD17">
        <f>#REF!+"vlM!Ty"</f>
        <v/>
      </c>
      <c r="AE17">
        <f>#REF!+"vlM!Tz"</f>
        <v/>
      </c>
      <c r="AF17">
        <f>#REF!+"vlM!T{"</f>
        <v/>
      </c>
      <c r="AG17">
        <f>#REF!+"vlM!T|"</f>
        <v/>
      </c>
      <c r="AH17" s="1">
        <f>#REF!+"vlM!T}"</f>
        <v/>
      </c>
      <c r="AI17">
        <f>#REF!+"vlM!T~"</f>
        <v/>
      </c>
      <c r="AJ17">
        <f>#REF!+"vlM!U#"</f>
        <v/>
      </c>
      <c r="AK17">
        <f>#REF!+"vlM!U$"</f>
        <v/>
      </c>
      <c r="AL17">
        <f>#REF!+"vlM!U%"</f>
        <v/>
      </c>
      <c r="AM17">
        <f>#REF!+"vlM!U&amp;"</f>
        <v/>
      </c>
      <c r="AN17">
        <f>#REF!+"vlM!U'"</f>
        <v/>
      </c>
      <c r="AO17">
        <f>#REF!+"vlM!U("</f>
        <v/>
      </c>
      <c r="AP17">
        <f>#REF!+"vlM!U)"</f>
        <v/>
      </c>
      <c r="AQ17">
        <f>#REF!+"vlM!U."</f>
        <v/>
      </c>
      <c r="AR17">
        <f>#REF!+"vlM!U/"</f>
        <v/>
      </c>
      <c r="AS17">
        <f>#REF!+"vlM!U0"</f>
        <v/>
      </c>
      <c r="AT17">
        <f>#REF!+"vlM!U1"</f>
        <v/>
      </c>
      <c r="AU17">
        <f>#REF!+"vlM!U2"</f>
        <v/>
      </c>
      <c r="AV17">
        <f>#REF!+"vlM!U3"</f>
        <v/>
      </c>
      <c r="AW17" s="1">
        <f>#REF!+"vlM!U4"</f>
        <v/>
      </c>
      <c r="AX17">
        <f>#REF!+"vlM!U5"</f>
        <v/>
      </c>
      <c r="AY17">
        <f>#REF!+"vlM!U6"</f>
        <v/>
      </c>
      <c r="AZ17">
        <f>#REF!+"vlM!U7"</f>
        <v/>
      </c>
      <c r="BA17">
        <f>#REF!+"vlM!U8"</f>
        <v/>
      </c>
      <c r="BB17">
        <f>#REF!+"vlM!U9"</f>
        <v/>
      </c>
      <c r="BC17">
        <f>#REF!+"vlM!U:"</f>
        <v/>
      </c>
      <c r="BD17">
        <f>#REF!+"vlM!U;"</f>
        <v/>
      </c>
      <c r="BE17">
        <f>#REF!+"vlM!U&lt;"</f>
        <v/>
      </c>
      <c r="BF17">
        <f>#REF!+"vlM!U="</f>
        <v/>
      </c>
      <c r="BG17">
        <f>#REF!+"vlM!U&gt;"</f>
        <v/>
      </c>
      <c r="BH17">
        <f>#REF!+"vlM!U?"</f>
        <v/>
      </c>
      <c r="BI17">
        <f>#REF!+"vlM!U@"</f>
        <v/>
      </c>
      <c r="BJ17">
        <f>#REF!+"vlM!UA"</f>
        <v/>
      </c>
      <c r="BK17">
        <f>#REF!+"vlM!UB"</f>
        <v/>
      </c>
      <c r="BL17" s="1">
        <f>#REF!+"vlM!UC"</f>
        <v/>
      </c>
      <c r="BM17">
        <f>#REF!+"vlM!UD"</f>
        <v/>
      </c>
      <c r="BN17">
        <f>#REF!+"vlM!UE"</f>
        <v/>
      </c>
      <c r="BO17">
        <f>#REF!+"vlM!UF"</f>
        <v/>
      </c>
      <c r="BP17">
        <f>#REF!+"vlM!UG"</f>
        <v/>
      </c>
      <c r="BQ17">
        <f>#REF!+"vlM!UH"</f>
        <v/>
      </c>
      <c r="BR17">
        <f>#REF!+"vlM!UI"</f>
        <v/>
      </c>
      <c r="BS17">
        <f>#REF!+"vlM!UJ"</f>
        <v/>
      </c>
      <c r="BT17">
        <f>#REF!+"vlM!UK"</f>
        <v/>
      </c>
      <c r="BU17">
        <f>#REF!+"vlM!UL"</f>
        <v/>
      </c>
      <c r="BV17">
        <f>#REF!+"vlM!UM"</f>
        <v/>
      </c>
      <c r="BW17">
        <f>#REF!+"vlM!UN"</f>
        <v/>
      </c>
      <c r="BX17">
        <f>#REF!+"vlM!UO"</f>
        <v/>
      </c>
      <c r="BY17">
        <f>#REF!+"vlM!UP"</f>
        <v/>
      </c>
      <c r="BZ17">
        <f>#REF!+"vlM!UQ"</f>
        <v/>
      </c>
      <c r="CA17" s="1">
        <f>#REF!+"vlM!UR"</f>
        <v/>
      </c>
      <c r="CB17">
        <f>#REF!+"vlM!US"</f>
        <v/>
      </c>
      <c r="CC17">
        <f>#REF!+"vlM!UT"</f>
        <v/>
      </c>
      <c r="CD17">
        <f>#REF!+"vlM!UU"</f>
        <v/>
      </c>
      <c r="CE17">
        <f>#REF!+"vlM!UV"</f>
        <v/>
      </c>
      <c r="CF17">
        <f>#REF!+"vlM!UW"</f>
        <v/>
      </c>
      <c r="CG17">
        <f>#REF!+"vlM!UX"</f>
        <v/>
      </c>
      <c r="CH17">
        <f>#REF!+"vlM!UY"</f>
        <v/>
      </c>
      <c r="CI17">
        <f>#REF!+"vlM!UZ"</f>
        <v/>
      </c>
      <c r="CJ17">
        <f>#REF!+"vlM!U["</f>
        <v/>
      </c>
      <c r="CK17">
        <f>#REF!+"vlM!U\"</f>
        <v/>
      </c>
      <c r="CL17">
        <f>#REF!+"vlM!U]"</f>
        <v/>
      </c>
      <c r="CM17">
        <f>#REF!+"vlM!U^"</f>
        <v/>
      </c>
      <c r="CN17">
        <f>#REF!+"vlM!U_"</f>
        <v/>
      </c>
      <c r="CO17">
        <f>#REF!+"vlM!U`"</f>
        <v/>
      </c>
      <c r="CP17" s="1">
        <f>#REF!+"vlM!Ua"</f>
        <v/>
      </c>
      <c r="CQ17">
        <f>#REF!+"vlM!Ub"</f>
        <v/>
      </c>
      <c r="CR17">
        <f>#REF!+"vlM!Uc"</f>
        <v/>
      </c>
      <c r="CS17">
        <f>#REF!+"vlM!Ud"</f>
        <v/>
      </c>
      <c r="CT17">
        <f>#REF!+"vlM!Ue"</f>
        <v/>
      </c>
      <c r="CU17">
        <f>#REF!+"vlM!Uf"</f>
        <v/>
      </c>
      <c r="CV17">
        <f>#REF!+"vlM!Ug"</f>
        <v/>
      </c>
      <c r="CW17">
        <f>#REF!+"vlM!Uh"</f>
        <v/>
      </c>
      <c r="CX17">
        <f>#REF!+"vlM!Ui"</f>
        <v/>
      </c>
      <c r="CY17">
        <f>#REF!+"vlM!Uj"</f>
        <v/>
      </c>
      <c r="CZ17">
        <f>#REF!+"vlM!Uk"</f>
        <v/>
      </c>
      <c r="DA17">
        <f>#REF!+"vlM!Ul"</f>
        <v/>
      </c>
      <c r="DB17">
        <f>#REF!+"vlM!Um"</f>
        <v/>
      </c>
      <c r="DC17">
        <f>#REF!+"vlM!Un"</f>
        <v/>
      </c>
      <c r="DD17">
        <f>#REF!+"vlM!Uo"</f>
        <v/>
      </c>
      <c r="DE17" s="1">
        <f>#REF!+"vlM!Up"</f>
        <v/>
      </c>
      <c r="DF17">
        <f>#REF!+"vlM!Uq"</f>
        <v/>
      </c>
      <c r="DG17">
        <f>#REF!+"vlM!Ur"</f>
        <v/>
      </c>
      <c r="DH17">
        <f>#REF!+"vlM!Us"</f>
        <v/>
      </c>
      <c r="DI17">
        <f>#REF!+"vlM!Ut"</f>
        <v/>
      </c>
      <c r="DJ17">
        <f>#REF!+"vlM!Uu"</f>
        <v/>
      </c>
      <c r="DK17">
        <f>#REF!+"vlM!Uv"</f>
        <v/>
      </c>
      <c r="DL17">
        <f>#REF!+"vlM!Uw"</f>
        <v/>
      </c>
      <c r="DM17">
        <f>#REF!+"vlM!Ux"</f>
        <v/>
      </c>
      <c r="DN17">
        <f>#REF!+"vlM!Uy"</f>
        <v/>
      </c>
      <c r="DO17">
        <f>#REF!+"vlM!Uz"</f>
        <v/>
      </c>
      <c r="DP17">
        <f>#REF!+"vlM!U{"</f>
        <v/>
      </c>
      <c r="DQ17">
        <f>#REF!+"vlM!U|"</f>
        <v/>
      </c>
      <c r="DR17">
        <f>#REF!+"vlM!U}"</f>
        <v/>
      </c>
      <c r="DS17">
        <f>#REF!+"vlM!U~"</f>
        <v/>
      </c>
      <c r="DT17" s="1">
        <f>#REF!+"vlM!V#"</f>
        <v/>
      </c>
      <c r="DU17">
        <f>#REF!+"vlM!V$"</f>
        <v/>
      </c>
      <c r="DV17">
        <f>#REF!+"vlM!V%"</f>
        <v/>
      </c>
      <c r="DW17">
        <f>#REF!+"vlM!V&amp;"</f>
        <v/>
      </c>
      <c r="DX17">
        <f>#REF!+"vlM!V'"</f>
        <v/>
      </c>
      <c r="DY17">
        <f>#REF!+"vlM!V("</f>
        <v/>
      </c>
      <c r="DZ17">
        <f>#REF!+"vlM!V)"</f>
        <v/>
      </c>
      <c r="EA17">
        <f>#REF!+"vlM!V."</f>
        <v/>
      </c>
      <c r="EB17">
        <f>#REF!+"vlM!V/"</f>
        <v/>
      </c>
      <c r="EC17">
        <f>#REF!+"vlM!V0"</f>
        <v/>
      </c>
      <c r="ED17">
        <f>#REF!+"vlM!V1"</f>
        <v/>
      </c>
      <c r="EE17">
        <f>#REF!+"vlM!V2"</f>
        <v/>
      </c>
      <c r="EF17">
        <f>#REF!+"vlM!V3"</f>
        <v/>
      </c>
      <c r="EG17">
        <f>#REF!+"vlM!V4"</f>
        <v/>
      </c>
      <c r="EH17">
        <f>#REF!+"vlM!V5"</f>
        <v/>
      </c>
      <c r="EI17" s="1">
        <f>#REF!+"vlM!V6"</f>
        <v/>
      </c>
      <c r="EJ17">
        <f>#REF!+"vlM!V7"</f>
        <v/>
      </c>
      <c r="EK17">
        <f>#REF!+"vlM!V8"</f>
        <v/>
      </c>
      <c r="EL17">
        <f>#REF!+"vlM!V9"</f>
        <v/>
      </c>
      <c r="EM17">
        <f>#REF!+"vlM!V:"</f>
        <v/>
      </c>
      <c r="EN17">
        <f>#REF!+"vlM!V;"</f>
        <v/>
      </c>
      <c r="EO17">
        <f>#REF!+"vlM!V&lt;"</f>
        <v/>
      </c>
      <c r="EP17">
        <f>#REF!+"vlM!V="</f>
        <v/>
      </c>
      <c r="EQ17">
        <f>#REF!+"vlM!V&gt;"</f>
        <v/>
      </c>
      <c r="ER17">
        <f>#REF!+"vlM!V?"</f>
        <v/>
      </c>
      <c r="ES17">
        <f>#REF!+"vlM!V@"</f>
        <v/>
      </c>
      <c r="ET17">
        <f>#REF!+"vlM!VA"</f>
        <v/>
      </c>
      <c r="EU17">
        <f>#REF!+"vlM!VB"</f>
        <v/>
      </c>
      <c r="EV17">
        <f>#REF!+"vlM!VC"</f>
        <v/>
      </c>
      <c r="EW17">
        <f>#REF!+"vlM!VD"</f>
        <v/>
      </c>
      <c r="EX17" s="1">
        <f>#REF!+"vlM!VE"</f>
        <v/>
      </c>
      <c r="EY17">
        <f>#REF!+"vlM!VF"</f>
        <v/>
      </c>
      <c r="EZ17">
        <f>#REF!+"vlM!VG"</f>
        <v/>
      </c>
      <c r="FA17">
        <f>#REF!+"vlM!VH"</f>
        <v/>
      </c>
      <c r="FB17">
        <f>#REF!+"vlM!VI"</f>
        <v/>
      </c>
      <c r="FC17">
        <f>#REF!+"vlM!VJ"</f>
        <v/>
      </c>
      <c r="FD17">
        <f>#REF!+"vlM!VK"</f>
        <v/>
      </c>
      <c r="FE17">
        <f>#REF!+"vlM!VL"</f>
        <v/>
      </c>
      <c r="FF17">
        <f>#REF!+"vlM!VM"</f>
        <v/>
      </c>
      <c r="FG17">
        <f>#REF!+"vlM!VN"</f>
        <v/>
      </c>
      <c r="FH17">
        <f>#REF!+"vlM!VO"</f>
        <v/>
      </c>
      <c r="FI17">
        <f>#REF!+"vlM!VP"</f>
        <v/>
      </c>
      <c r="FJ17">
        <f>#REF!+"vlM!VQ"</f>
        <v/>
      </c>
      <c r="FK17">
        <f>#REF!+"vlM!VR"</f>
        <v/>
      </c>
      <c r="FL17">
        <f>#REF!+"vlM!VS"</f>
        <v/>
      </c>
      <c r="FM17" s="1">
        <f>#REF!+"vlM!VT"</f>
        <v/>
      </c>
      <c r="FN17">
        <f>#REF!+"vlM!VU"</f>
        <v/>
      </c>
      <c r="FO17">
        <f>#REF!+"vlM!VV"</f>
        <v/>
      </c>
      <c r="FP17">
        <f>#REF!+"vlM!VW"</f>
        <v/>
      </c>
      <c r="FQ17">
        <f>#REF!+"vlM!VX"</f>
        <v/>
      </c>
      <c r="FR17">
        <f>#REF!+"vlM!VY"</f>
        <v/>
      </c>
      <c r="FS17">
        <f>#REF!+"vlM!VZ"</f>
        <v/>
      </c>
      <c r="FT17">
        <f>#REF!+"vlM!V["</f>
        <v/>
      </c>
      <c r="FU17">
        <f>#REF!+"vlM!V\"</f>
        <v/>
      </c>
      <c r="FV17">
        <f>#REF!+"vlM!V]"</f>
        <v/>
      </c>
      <c r="FW17">
        <f>#REF!+"vlM!V^"</f>
        <v/>
      </c>
      <c r="FX17">
        <f>#REF!+"vlM!V_"</f>
        <v/>
      </c>
      <c r="FY17">
        <f>#REF!+"vlM!V`"</f>
        <v/>
      </c>
      <c r="FZ17">
        <f>#REF!+"vlM!Va"</f>
        <v/>
      </c>
      <c r="GA17">
        <f>#REF!+"vlM!Vb"</f>
        <v/>
      </c>
      <c r="GB17" s="1">
        <f>#REF!+"vlM!Vc"</f>
        <v/>
      </c>
      <c r="GC17">
        <f>#REF!+"vlM!Vd"</f>
        <v/>
      </c>
      <c r="GD17">
        <f>#REF!+"vlM!Ve"</f>
        <v/>
      </c>
      <c r="GE17">
        <f>#REF!+"vlM!Vf"</f>
        <v/>
      </c>
      <c r="GF17">
        <f>#REF!+"vlM!Vg"</f>
        <v/>
      </c>
      <c r="GG17">
        <f>#REF!+"vlM!Vh"</f>
        <v/>
      </c>
      <c r="GH17">
        <f>#REF!+"vlM!Vi"</f>
        <v/>
      </c>
      <c r="GI17">
        <f>#REF!+"vlM!Vj"</f>
        <v/>
      </c>
      <c r="GJ17">
        <f>#REF!+"vlM!Vk"</f>
        <v/>
      </c>
      <c r="GK17">
        <f>#REF!+"vlM!Vl"</f>
        <v/>
      </c>
      <c r="GL17">
        <f>#REF!+"vlM!Vm"</f>
        <v/>
      </c>
      <c r="GM17">
        <f>#REF!+"vlM!Vn"</f>
        <v/>
      </c>
      <c r="GN17">
        <f>#REF!+"vlM!Vo"</f>
        <v/>
      </c>
      <c r="GO17">
        <f>#REF!+"vlM!Vp"</f>
        <v/>
      </c>
      <c r="GP17">
        <f>#REF!+"vlM!Vq"</f>
        <v/>
      </c>
      <c r="GQ17" s="1">
        <f>#REF!+"vlM!Vr"</f>
        <v/>
      </c>
      <c r="GR17">
        <f>#REF!+"vlM!Vs"</f>
        <v/>
      </c>
      <c r="GS17">
        <f>#REF!+"vlM!Vt"</f>
        <v/>
      </c>
      <c r="GT17">
        <f>#REF!+"vlM!Vu"</f>
        <v/>
      </c>
      <c r="GU17">
        <f>#REF!+"vlM!Vv"</f>
        <v/>
      </c>
      <c r="GV17">
        <f>#REF!+"vlM!Vw"</f>
        <v/>
      </c>
      <c r="GW17">
        <f>#REF!+"vlM!Vx"</f>
        <v/>
      </c>
      <c r="GX17">
        <f>#REF!+"vlM!Vy"</f>
        <v/>
      </c>
      <c r="GY17">
        <f>#REF!+"vlM!Vz"</f>
        <v/>
      </c>
      <c r="GZ17">
        <f>#REF!+"vlM!V{"</f>
        <v/>
      </c>
      <c r="HA17">
        <f>#REF!+"vlM!V|"</f>
        <v/>
      </c>
      <c r="HB17">
        <f>#REF!+"vlM!V}"</f>
        <v/>
      </c>
      <c r="HC17">
        <f>#REF!+"vlM!V~"</f>
        <v/>
      </c>
      <c r="HD17">
        <f>#REF!+"vlM!W#"</f>
        <v/>
      </c>
      <c r="HE17">
        <f>#REF!+"vlM!W$"</f>
        <v/>
      </c>
      <c r="HF17" s="1">
        <f>#REF!+"vlM!W%"</f>
        <v/>
      </c>
      <c r="HG17">
        <f>#REF!+"vlM!W&amp;"</f>
        <v/>
      </c>
      <c r="HH17">
        <f>#REF!+"vlM!W'"</f>
        <v/>
      </c>
      <c r="HI17">
        <f>#REF!+"vlM!W("</f>
        <v/>
      </c>
      <c r="HJ17">
        <f>#REF!+"vlM!W)"</f>
        <v/>
      </c>
      <c r="HK17">
        <f>#REF!+"vlM!W."</f>
        <v/>
      </c>
      <c r="HL17">
        <f>#REF!+"vlM!W/"</f>
        <v/>
      </c>
      <c r="HM17">
        <f>#REF!+"vlM!W0"</f>
        <v/>
      </c>
      <c r="HN17">
        <f>#REF!+"vlM!W1"</f>
        <v/>
      </c>
      <c r="HO17">
        <f>#REF!+"vlM!W2"</f>
        <v/>
      </c>
      <c r="HP17">
        <f>#REF!+"vlM!W3"</f>
        <v/>
      </c>
      <c r="HQ17">
        <f>#REF!+"vlM!W4"</f>
        <v/>
      </c>
      <c r="HR17">
        <f>#REF!+"vlM!W5"</f>
        <v/>
      </c>
      <c r="HS17">
        <f>#REF!+"vlM!W6"</f>
        <v/>
      </c>
      <c r="HT17">
        <f>#REF!+"vlM!W7"</f>
        <v/>
      </c>
      <c r="HU17" s="1">
        <f>#REF!+"vlM!W8"</f>
        <v/>
      </c>
      <c r="HV17">
        <f>#REF!+"vlM!W9"</f>
        <v/>
      </c>
      <c r="HW17">
        <f>#REF!+"vlM!W:"</f>
        <v/>
      </c>
      <c r="HX17">
        <f>#REF!+"vlM!W;"</f>
        <v/>
      </c>
      <c r="HY17">
        <f>#REF!+"vlM!W&lt;"</f>
        <v/>
      </c>
      <c r="HZ17">
        <f>#REF!+"vlM!W="</f>
        <v/>
      </c>
      <c r="IA17">
        <f>#REF!+"vlM!W&gt;"</f>
        <v/>
      </c>
      <c r="IB17">
        <f>#REF!+"vlM!W?"</f>
        <v/>
      </c>
      <c r="IC17">
        <f>#REF!+"vlM!W@"</f>
        <v/>
      </c>
      <c r="ID17">
        <f>#REF!+"vlM!WA"</f>
        <v/>
      </c>
      <c r="IE17">
        <f>#REF!+"vlM!WB"</f>
        <v/>
      </c>
      <c r="IF17">
        <f>#REF!+"vlM!WC"</f>
        <v/>
      </c>
      <c r="IG17">
        <f>#REF!+"vlM!WD"</f>
        <v/>
      </c>
      <c r="IH17">
        <f>#REF!+"vlM!WE"</f>
        <v/>
      </c>
      <c r="II17">
        <f>#REF!+"vlM!WF"</f>
        <v/>
      </c>
      <c r="IJ17" s="1">
        <f>#REF!+"vlM!WG"</f>
        <v/>
      </c>
      <c r="IK17">
        <f>#REF!+"vlM!WH"</f>
        <v/>
      </c>
      <c r="IL17">
        <f>#REF!+"vlM!WI"</f>
        <v/>
      </c>
      <c r="IM17">
        <f>#REF!+"vlM!WJ"</f>
        <v/>
      </c>
      <c r="IN17">
        <f>#REF!+"vlM!WK"</f>
        <v/>
      </c>
      <c r="IO17">
        <f>#REF!+"vlM!WL"</f>
        <v/>
      </c>
      <c r="IP17">
        <f>#REF!+"vlM!WM"</f>
        <v/>
      </c>
      <c r="IQ17">
        <f>#REF!+"vlM!WN"</f>
        <v/>
      </c>
      <c r="IR17">
        <f>#REF!+"vlM!WO"</f>
        <v/>
      </c>
      <c r="IS17">
        <f>#REF!+"vlM!WP"</f>
        <v/>
      </c>
      <c r="IT17">
        <f>#REF!+"vlM!WQ"</f>
        <v/>
      </c>
      <c r="IU17">
        <f>#REF!+"vlM!WR"</f>
        <v/>
      </c>
      <c r="IV17">
        <f>#REF!+"vlM!WS"</f>
        <v/>
      </c>
    </row>
    <row r="18">
      <c r="F18">
        <f>#REF!+"vlM!WT"</f>
        <v/>
      </c>
      <c r="G18">
        <f>#REF!+"vlM!WU"</f>
        <v/>
      </c>
      <c r="H18" s="1">
        <f>#REF!+"vlM!WV"</f>
        <v/>
      </c>
      <c r="I18">
        <f>#REF!+"vlM!WW"</f>
        <v/>
      </c>
      <c r="J18">
        <f>#REF!+"vlM!WX"</f>
        <v/>
      </c>
      <c r="K18">
        <f>#REF!+"vlM!WY"</f>
        <v/>
      </c>
      <c r="L18">
        <f>#REF!+"vlM!WZ"</f>
        <v/>
      </c>
      <c r="M18">
        <f>#REF!+"vlM!W["</f>
        <v/>
      </c>
      <c r="N18">
        <f>#REF!+"vlM!W\"</f>
        <v/>
      </c>
      <c r="O18">
        <f>#REF!+"vlM!W]"</f>
        <v/>
      </c>
      <c r="P18">
        <f>#REF!+"vlM!W^"</f>
        <v/>
      </c>
      <c r="Q18">
        <f>#REF!+"vlM!W_"</f>
        <v/>
      </c>
      <c r="R18">
        <f>#REF!+"vlM!W`"</f>
        <v/>
      </c>
      <c r="S18">
        <f>#REF!+"vlM!Wa"</f>
        <v/>
      </c>
      <c r="T18">
        <f>#REF!+"vlM!Wb"</f>
        <v/>
      </c>
      <c r="U18">
        <f>#REF!+"vlM!Wc"</f>
        <v/>
      </c>
      <c r="V18">
        <f>#REF!+"vlM!Wd"</f>
        <v/>
      </c>
      <c r="W18" s="1">
        <f>#REF!+"vlM!We"</f>
        <v/>
      </c>
      <c r="X18">
        <f>#REF!+"vlM!Wf"</f>
        <v/>
      </c>
      <c r="Y18">
        <f>#REF!+"vlM!Wg"</f>
        <v/>
      </c>
      <c r="Z18">
        <f>#REF!+"vlM!Wh"</f>
        <v/>
      </c>
      <c r="AA18">
        <f>#REF!+"vlM!Wi"</f>
        <v/>
      </c>
      <c r="AB18">
        <f>#REF!+"vlM!Wj"</f>
        <v/>
      </c>
      <c r="AC18">
        <f>#REF!+"vlM!Wk"</f>
        <v/>
      </c>
      <c r="AD18">
        <f>#REF!+"vlM!Wl"</f>
        <v/>
      </c>
      <c r="AE18">
        <f>#REF!+"vlM!Wm"</f>
        <v/>
      </c>
      <c r="AF18">
        <f>#REF!+"vlM!Wn"</f>
        <v/>
      </c>
      <c r="AG18">
        <f>#REF!+"vlM!Wo"</f>
        <v/>
      </c>
      <c r="AH18">
        <f>#REF!+"vlM!Wp"</f>
        <v/>
      </c>
      <c r="AI18">
        <f>#REF!+"vlM!Wq"</f>
        <v/>
      </c>
      <c r="AJ18">
        <f>#REF!+"vlM!Wr"</f>
        <v/>
      </c>
      <c r="AK18">
        <f>#REF!+"vlM!Ws"</f>
        <v/>
      </c>
      <c r="AL18" s="1">
        <f>#REF!+"vlM!Wt"</f>
        <v/>
      </c>
      <c r="AM18">
        <f>#REF!+"vlM!Wu"</f>
        <v/>
      </c>
      <c r="AN18">
        <f>#REF!+"vlM!Wv"</f>
        <v/>
      </c>
      <c r="AO18">
        <f>#REF!+"vlM!Ww"</f>
        <v/>
      </c>
      <c r="AP18">
        <f>#REF!+"vlM!Wx"</f>
        <v/>
      </c>
      <c r="AQ18">
        <f>#REF!+"vlM!Wy"</f>
        <v/>
      </c>
      <c r="AR18">
        <f>#REF!+"vlM!Wz"</f>
        <v/>
      </c>
      <c r="AS18">
        <f>#REF!+"vlM!W{"</f>
        <v/>
      </c>
      <c r="AT18">
        <f>#REF!+"vlM!W|"</f>
        <v/>
      </c>
      <c r="AU18">
        <f>#REF!+"vlM!W}"</f>
        <v/>
      </c>
      <c r="AV18">
        <f>#REF!+"vlM!W~"</f>
        <v/>
      </c>
      <c r="AW18">
        <f>#REF!+"vlM!X#"</f>
        <v/>
      </c>
      <c r="AX18">
        <f>#REF!+"vlM!X$"</f>
        <v/>
      </c>
      <c r="AY18">
        <f>#REF!+"vlM!X%"</f>
        <v/>
      </c>
      <c r="AZ18">
        <f>#REF!+"vlM!X&amp;"</f>
        <v/>
      </c>
      <c r="BA18" s="1">
        <f>#REF!+"vlM!X'"</f>
        <v/>
      </c>
      <c r="BB18">
        <f>#REF!+"vlM!X("</f>
        <v/>
      </c>
      <c r="BC18">
        <f>#REF!+"vlM!X)"</f>
        <v/>
      </c>
      <c r="BD18">
        <f>#REF!+"vlM!X."</f>
        <v/>
      </c>
      <c r="BE18">
        <f>#REF!+"vlM!X/"</f>
        <v/>
      </c>
      <c r="BF18">
        <f>#REF!+"vlM!X0"</f>
        <v/>
      </c>
      <c r="BG18">
        <f>#REF!+"vlM!X1"</f>
        <v/>
      </c>
      <c r="BH18">
        <f>#REF!+"vlM!X2"</f>
        <v/>
      </c>
      <c r="BI18">
        <f>#REF!+"vlM!X3"</f>
        <v/>
      </c>
      <c r="BJ18">
        <f>#REF!+"vlM!X4"</f>
        <v/>
      </c>
      <c r="BK18">
        <f>#REF!+"vlM!X5"</f>
        <v/>
      </c>
      <c r="BL18">
        <f>#REF!+"vlM!X6"</f>
        <v/>
      </c>
      <c r="BM18">
        <f>#REF!+"vlM!X7"</f>
        <v/>
      </c>
      <c r="BN18">
        <f>#REF!+"vlM!X8"</f>
        <v/>
      </c>
      <c r="BO18">
        <f>#REF!+"vlM!X9"</f>
        <v/>
      </c>
      <c r="BP18" s="1">
        <f>#REF!+"vlM!X:"</f>
        <v/>
      </c>
      <c r="BQ18">
        <f>#REF!+"vlM!X;"</f>
        <v/>
      </c>
      <c r="BR18">
        <f>#REF!+"vlM!X&lt;"</f>
        <v/>
      </c>
      <c r="BS18">
        <f>#REF!+"vlM!X="</f>
        <v/>
      </c>
      <c r="BT18">
        <f>#REF!+"vlM!X&gt;"</f>
        <v/>
      </c>
      <c r="BU18">
        <f>#REF!+"vlM!X?"</f>
        <v/>
      </c>
      <c r="BV18">
        <f>#REF!+"vlM!X@"</f>
        <v/>
      </c>
      <c r="BW18">
        <f>#REF!+"vlM!XA"</f>
        <v/>
      </c>
      <c r="BX18">
        <f>#REF!+"vlM!XB"</f>
        <v/>
      </c>
      <c r="BY18">
        <f>#REF!+"vlM!XC"</f>
        <v/>
      </c>
      <c r="BZ18">
        <f>#REF!+"vlM!XD"</f>
        <v/>
      </c>
      <c r="CA18">
        <f>#REF!+"vlM!XE"</f>
        <v/>
      </c>
      <c r="CB18">
        <f>#REF!+"vlM!XF"</f>
        <v/>
      </c>
      <c r="CC18">
        <f>#REF!+"vlM!XG"</f>
        <v/>
      </c>
      <c r="CD18">
        <f>#REF!+"vlM!XH"</f>
        <v/>
      </c>
      <c r="CE18" s="1">
        <f>#REF!+"vlM!XI"</f>
        <v/>
      </c>
      <c r="CF18">
        <f>#REF!+"vlM!XJ"</f>
        <v/>
      </c>
      <c r="CG18">
        <f>#REF!+"vlM!XK"</f>
        <v/>
      </c>
      <c r="CH18">
        <f>#REF!+"vlM!XL"</f>
        <v/>
      </c>
      <c r="CI18">
        <f>#REF!+"vlM!XM"</f>
        <v/>
      </c>
      <c r="CJ18">
        <f>#REF!+"vlM!XN"</f>
        <v/>
      </c>
      <c r="CK18">
        <f>#REF!+"vlM!XO"</f>
        <v/>
      </c>
      <c r="CL18">
        <f>#REF!+"vlM!XP"</f>
        <v/>
      </c>
      <c r="CM18">
        <f>#REF!+"vlM!XQ"</f>
        <v/>
      </c>
      <c r="CN18">
        <f>#REF!+"vlM!XR"</f>
        <v/>
      </c>
      <c r="CO18">
        <f>#REF!+"vlM!XS"</f>
        <v/>
      </c>
      <c r="CP18">
        <f>#REF!+"vlM!XT"</f>
        <v/>
      </c>
      <c r="CQ18">
        <f>#REF!+"vlM!XU"</f>
        <v/>
      </c>
      <c r="CR18">
        <f>#REF!+"vlM!XV"</f>
        <v/>
      </c>
      <c r="CS18">
        <f>#REF!+"vlM!XW"</f>
        <v/>
      </c>
      <c r="CT18" s="1">
        <f>#REF!+"vlM!XX"</f>
        <v/>
      </c>
      <c r="CU18">
        <f>#REF!+"vlM!XY"</f>
        <v/>
      </c>
      <c r="CV18">
        <f>#REF!+"vlM!XZ"</f>
        <v/>
      </c>
      <c r="CW18">
        <f>#REF!+"vlM!X["</f>
        <v/>
      </c>
      <c r="CX18">
        <f>#REF!+"vlM!X\"</f>
        <v/>
      </c>
      <c r="CY18">
        <f>#REF!+"vlM!X]"</f>
        <v/>
      </c>
      <c r="CZ18">
        <f>#REF!+"vlM!X^"</f>
        <v/>
      </c>
      <c r="DA18">
        <f>#REF!+"vlM!X_"</f>
        <v/>
      </c>
      <c r="DB18">
        <f>#REF!+"vlM!X`"</f>
        <v/>
      </c>
      <c r="DC18">
        <f>#REF!+"vlM!Xa"</f>
        <v/>
      </c>
      <c r="DD18">
        <f>#REF!+"vlM!Xb"</f>
        <v/>
      </c>
      <c r="DE18">
        <f>#REF!+"vlM!Xc"</f>
        <v/>
      </c>
      <c r="DF18">
        <f>#REF!+"vlM!Xd"</f>
        <v/>
      </c>
      <c r="DG18">
        <f>#REF!+"vlM!Xe"</f>
        <v/>
      </c>
      <c r="DH18">
        <f>#REF!+"vlM!Xf"</f>
        <v/>
      </c>
      <c r="DI18" s="1">
        <f>#REF!+"vlM!Xg"</f>
        <v/>
      </c>
      <c r="DJ18">
        <f>#REF!+"vlM!Xh"</f>
        <v/>
      </c>
      <c r="DK18">
        <f>#REF!+"vlM!Xi"</f>
        <v/>
      </c>
      <c r="DL18">
        <f>#REF!+"vlM!Xj"</f>
        <v/>
      </c>
      <c r="DM18">
        <f>#REF!+"vlM!Xk"</f>
        <v/>
      </c>
      <c r="DN18">
        <f>#REF!+"vlM!Xl"</f>
        <v/>
      </c>
      <c r="DO18">
        <f>#REF!+"vlM!Xm"</f>
        <v/>
      </c>
      <c r="DP18">
        <f>#REF!+"vlM!Xn"</f>
        <v/>
      </c>
      <c r="DQ18">
        <f>#REF!+"vlM!Xo"</f>
        <v/>
      </c>
      <c r="DR18">
        <f>#REF!+"vlM!Xp"</f>
        <v/>
      </c>
      <c r="DS18">
        <f>#REF!+"vlM!Xq"</f>
        <v/>
      </c>
      <c r="DT18">
        <f>#REF!+"vlM!Xr"</f>
        <v/>
      </c>
      <c r="DU18">
        <f>#REF!+"vlM!Xs"</f>
        <v/>
      </c>
      <c r="DV18">
        <f>#REF!+"vlM!Xt"</f>
        <v/>
      </c>
      <c r="DW18">
        <f>#REF!+"vlM!Xu"</f>
        <v/>
      </c>
      <c r="DX18" s="1">
        <f>#REF!+"vlM!Xv"</f>
        <v/>
      </c>
      <c r="DY18">
        <f>#REF!+"vlM!Xw"</f>
        <v/>
      </c>
      <c r="DZ18">
        <f>#REF!+"vlM!Xx"</f>
        <v/>
      </c>
      <c r="EA18">
        <f>#REF!+"vlM!Xy"</f>
        <v/>
      </c>
      <c r="EB18">
        <f>#REF!+"vlM!Xz"</f>
        <v/>
      </c>
      <c r="EC18">
        <f>#REF!+"vlM!X{"</f>
        <v/>
      </c>
      <c r="ED18">
        <f>#REF!+"vlM!X|"</f>
        <v/>
      </c>
      <c r="EE18">
        <f>#REF!+"vlM!X}"</f>
        <v/>
      </c>
      <c r="EF18">
        <f>#REF!+"vlM!X~"</f>
        <v/>
      </c>
      <c r="EG18">
        <f>#REF!+"vlM!Y#"</f>
        <v/>
      </c>
      <c r="EH18">
        <f>#REF!+"vlM!Y$"</f>
        <v/>
      </c>
      <c r="EI18">
        <f>#REF!+"vlM!Y%"</f>
        <v/>
      </c>
      <c r="EJ18">
        <f>#REF!+"vlM!Y&amp;"</f>
        <v/>
      </c>
      <c r="EK18">
        <f>#REF!+"vlM!Y'"</f>
        <v/>
      </c>
      <c r="EL18">
        <f>#REF!+"vlM!Y("</f>
        <v/>
      </c>
      <c r="EM18" s="1">
        <f>#REF!+"vlM!Y)"</f>
        <v/>
      </c>
      <c r="EN18">
        <f>#REF!+"vlM!Y."</f>
        <v/>
      </c>
      <c r="EO18">
        <f>#REF!+"vlM!Y/"</f>
        <v/>
      </c>
      <c r="EP18">
        <f>#REF!+"vlM!Y0"</f>
        <v/>
      </c>
      <c r="EQ18">
        <f>#REF!+"vlM!Y1"</f>
        <v/>
      </c>
      <c r="ER18">
        <f>#REF!+"vlM!Y2"</f>
        <v/>
      </c>
      <c r="ES18">
        <f>#REF!+"vlM!Y3"</f>
        <v/>
      </c>
      <c r="ET18">
        <f>#REF!+"vlM!Y4"</f>
        <v/>
      </c>
      <c r="EU18">
        <f>#REF!+"vlM!Y5"</f>
        <v/>
      </c>
      <c r="EV18">
        <f>#REF!+"vlM!Y6"</f>
        <v/>
      </c>
      <c r="EW18">
        <f>#REF!+"vlM!Y7"</f>
        <v/>
      </c>
      <c r="EX18">
        <f>#REF!+"vlM!Y8"</f>
        <v/>
      </c>
      <c r="EY18">
        <f>#REF!+"vlM!Y9"</f>
        <v/>
      </c>
      <c r="EZ18">
        <f>#REF!+"vlM!Y:"</f>
        <v/>
      </c>
      <c r="FA18">
        <f>#REF!+"vlM!Y;"</f>
        <v/>
      </c>
      <c r="FB18" s="1">
        <f>#REF!+"vlM!Y&lt;"</f>
        <v/>
      </c>
      <c r="FC18">
        <f>#REF!+"vlM!Y="</f>
        <v/>
      </c>
      <c r="FD18">
        <f>#REF!+"vlM!Y&gt;"</f>
        <v/>
      </c>
      <c r="FE18">
        <f>#REF!+"vlM!Y?"</f>
        <v/>
      </c>
      <c r="FF18">
        <f>#REF!+"vlM!Y@"</f>
        <v/>
      </c>
      <c r="FG18">
        <f>#REF!+"vlM!YA"</f>
        <v/>
      </c>
      <c r="FH18">
        <f>#REF!+"vlM!YB"</f>
        <v/>
      </c>
      <c r="FI18">
        <f>#REF!+"vlM!YC"</f>
        <v/>
      </c>
      <c r="FJ18">
        <f>#REF!+"vlM!YD"</f>
        <v/>
      </c>
      <c r="FK18">
        <f>#REF!+"vlM!YE"</f>
        <v/>
      </c>
      <c r="FL18">
        <f>#REF!+"vlM!YF"</f>
        <v/>
      </c>
      <c r="FM18">
        <f>#REF!+"vlM!YG"</f>
        <v/>
      </c>
      <c r="FN18">
        <f>#REF!+"vlM!YH"</f>
        <v/>
      </c>
      <c r="FO18">
        <f>#REF!+"vlM!YI"</f>
        <v/>
      </c>
      <c r="FP18">
        <f>#REF!+"vlM!YJ"</f>
        <v/>
      </c>
      <c r="FQ18" s="1">
        <f>#REF!+"vlM!YK"</f>
        <v/>
      </c>
      <c r="FR18">
        <f>#REF!+"vlM!YL"</f>
        <v/>
      </c>
      <c r="FS18">
        <f>#REF!+"vlM!YM"</f>
        <v/>
      </c>
      <c r="FT18">
        <f>#REF!+"vlM!YN"</f>
        <v/>
      </c>
      <c r="FU18">
        <f>#REF!+"vlM!YO"</f>
        <v/>
      </c>
      <c r="FV18">
        <f>#REF!+"vlM!YP"</f>
        <v/>
      </c>
      <c r="FW18">
        <f>#REF!+"vlM!YQ"</f>
        <v/>
      </c>
      <c r="FX18">
        <f>#REF!+"vlM!YR"</f>
        <v/>
      </c>
      <c r="FY18">
        <f>#REF!+"vlM!YS"</f>
        <v/>
      </c>
      <c r="FZ18">
        <f>#REF!+"vlM!YT"</f>
        <v/>
      </c>
      <c r="GA18">
        <f>#REF!+"vlM!YU"</f>
        <v/>
      </c>
      <c r="GB18">
        <f>#REF!+"vlM!YV"</f>
        <v/>
      </c>
      <c r="GC18">
        <f>#REF!+"vlM!YW"</f>
        <v/>
      </c>
      <c r="GD18">
        <f>#REF!+"vlM!YX"</f>
        <v/>
      </c>
      <c r="GE18">
        <f>#REF!+"vlM!YY"</f>
        <v/>
      </c>
      <c r="GF18" s="1">
        <f>#REF!+"vlM!YZ"</f>
        <v/>
      </c>
      <c r="GG18">
        <f>#REF!+"vlM!Y["</f>
        <v/>
      </c>
      <c r="GH18">
        <f>#REF!+"vlM!Y\"</f>
        <v/>
      </c>
      <c r="GI18">
        <f>#REF!+"vlM!Y]"</f>
        <v/>
      </c>
      <c r="GJ18">
        <f>#REF!+"vlM!Y^"</f>
        <v/>
      </c>
      <c r="GK18">
        <f>#REF!+"vlM!Y_"</f>
        <v/>
      </c>
      <c r="GL18">
        <f>#REF!+"vlM!Y`"</f>
        <v/>
      </c>
      <c r="GM18">
        <f>#REF!+"vlM!Ya"</f>
        <v/>
      </c>
      <c r="GN18">
        <f>#REF!+"vlM!Yb"</f>
        <v/>
      </c>
      <c r="GO18">
        <f>#REF!+"vlM!Yc"</f>
        <v/>
      </c>
      <c r="GP18">
        <f>#REF!+"vlM!Yd"</f>
        <v/>
      </c>
      <c r="GQ18">
        <f>#REF!+"vlM!Ye"</f>
        <v/>
      </c>
      <c r="GR18">
        <f>#REF!+"vlM!Yf"</f>
        <v/>
      </c>
      <c r="GS18">
        <f>#REF!+"vlM!Yg"</f>
        <v/>
      </c>
      <c r="GT18">
        <f>#REF!+"vlM!Yh"</f>
        <v/>
      </c>
      <c r="GU18" s="1">
        <f>#REF!+"vlM!Yi"</f>
        <v/>
      </c>
      <c r="GV18">
        <f>#REF!+"vlM!Yj"</f>
        <v/>
      </c>
      <c r="GW18">
        <f>#REF!+"vlM!Yk"</f>
        <v/>
      </c>
      <c r="GX18">
        <f>#REF!+"vlM!Yl"</f>
        <v/>
      </c>
      <c r="GY18">
        <f>#REF!+"vlM!Ym"</f>
        <v/>
      </c>
      <c r="GZ18">
        <f>#REF!+"vlM!Yn"</f>
        <v/>
      </c>
      <c r="HA18">
        <f>#REF!+"vlM!Yo"</f>
        <v/>
      </c>
      <c r="HB18">
        <f>#REF!+"vlM!Yp"</f>
        <v/>
      </c>
      <c r="HC18">
        <f>#REF!+"vlM!Yq"</f>
        <v/>
      </c>
      <c r="HD18">
        <f>#REF!+"vlM!Yr"</f>
        <v/>
      </c>
      <c r="HE18">
        <f>#REF!+"vlM!Ys"</f>
        <v/>
      </c>
      <c r="HF18">
        <f>#REF!+"vlM!Yt"</f>
        <v/>
      </c>
      <c r="HG18">
        <f>#REF!+"vlM!Yu"</f>
        <v/>
      </c>
      <c r="HH18">
        <f>#REF!+"vlM!Yv"</f>
        <v/>
      </c>
      <c r="HI18">
        <f>#REF!+"vlM!Yw"</f>
        <v/>
      </c>
      <c r="HJ18" s="1">
        <f>#REF!+"vlM!Yx"</f>
        <v/>
      </c>
      <c r="HK18">
        <f>#REF!+"vlM!Yy"</f>
        <v/>
      </c>
      <c r="HL18">
        <f>#REF!+"vlM!Yz"</f>
        <v/>
      </c>
      <c r="HM18">
        <f>#REF!+"vlM!Y{"</f>
        <v/>
      </c>
      <c r="HN18">
        <f>#REF!+"vlM!Y|"</f>
        <v/>
      </c>
      <c r="HO18">
        <f>#REF!+"vlM!Y}"</f>
        <v/>
      </c>
      <c r="HP18">
        <f>#REF!+"vlM!Y~"</f>
        <v/>
      </c>
      <c r="HQ18">
        <f>#REF!+"vlM!Z#"</f>
        <v/>
      </c>
      <c r="HR18">
        <f>#REF!+"vlM!Z$"</f>
        <v/>
      </c>
      <c r="HS18">
        <f>#REF!+"vlM!Z%"</f>
        <v/>
      </c>
      <c r="HT18">
        <f>#REF!+"vlM!Z&amp;"</f>
        <v/>
      </c>
      <c r="HU18">
        <f>#REF!+"vlM!Z'"</f>
        <v/>
      </c>
      <c r="HV18">
        <f>#REF!+"vlM!Z("</f>
        <v/>
      </c>
      <c r="HW18">
        <f>#REF!+"vlM!Z)"</f>
        <v/>
      </c>
      <c r="HX18">
        <f>#REF!+"vlM!Z."</f>
        <v/>
      </c>
      <c r="HY18" s="1">
        <f>#REF!+"vlM!Z/"</f>
        <v/>
      </c>
      <c r="HZ18">
        <f>#REF!+"vlM!Z0"</f>
        <v/>
      </c>
      <c r="IA18">
        <f>#REF!+"vlM!Z1"</f>
        <v/>
      </c>
      <c r="IB18">
        <f>#REF!+"vlM!Z2"</f>
        <v/>
      </c>
      <c r="IC18">
        <f>#REF!+"vlM!Z3"</f>
        <v/>
      </c>
      <c r="ID18">
        <f>#REF!+"vlM!Z4"</f>
        <v/>
      </c>
      <c r="IE18">
        <f>#REF!+"vlM!Z5"</f>
        <v/>
      </c>
      <c r="IF18">
        <f>#REF!+"vlM!Z6"</f>
        <v/>
      </c>
      <c r="IG18">
        <f>#REF!+"vlM!Z7"</f>
        <v/>
      </c>
      <c r="IH18">
        <f>#REF!+"vlM!Z8"</f>
        <v/>
      </c>
      <c r="II18">
        <f>#REF!+"vlM!Z9"</f>
        <v/>
      </c>
      <c r="IJ18">
        <f>#REF!+"vlM!Z:"</f>
        <v/>
      </c>
      <c r="IK18">
        <f>#REF!+"vlM!Z;"</f>
        <v/>
      </c>
      <c r="IL18">
        <f>#REF!+"vlM!Z&lt;"</f>
        <v/>
      </c>
      <c r="IM18">
        <f>#REF!+"vlM!Z="</f>
        <v/>
      </c>
      <c r="IN18" s="1">
        <f>#REF!+"vlM!Z&gt;"</f>
        <v/>
      </c>
      <c r="IO18">
        <f>#REF!+"vlM!Z?"</f>
        <v/>
      </c>
      <c r="IP18">
        <f>#REF!+"vlM!Z@"</f>
        <v/>
      </c>
      <c r="IQ18">
        <f>#REF!+"vlM!ZA"</f>
        <v/>
      </c>
      <c r="IR18">
        <f>#REF!+"vlM!ZB"</f>
        <v/>
      </c>
      <c r="IS18">
        <f>#REF!+"vlM!ZC"</f>
        <v/>
      </c>
      <c r="IT18">
        <f>#REF!+"vlM!ZD"</f>
        <v/>
      </c>
      <c r="IU18">
        <f>#REF!+"vlM!ZE"</f>
        <v/>
      </c>
      <c r="IV18">
        <f>#REF!+"vlM!ZF"</f>
        <v/>
      </c>
    </row>
    <row r="19">
      <c r="F19">
        <f>#REF!+"vlM!ZG"</f>
        <v/>
      </c>
      <c r="G19">
        <f>#REF!+"vlM!ZH"</f>
        <v/>
      </c>
      <c r="H19">
        <f>#REF!+"vlM!ZI"</f>
        <v/>
      </c>
      <c r="I19">
        <f>#REF!+"vlM!ZJ"</f>
        <v/>
      </c>
      <c r="J19">
        <f>#REF!+"vlM!ZK"</f>
        <v/>
      </c>
      <c r="K19">
        <f>#REF!+"vlM!ZL"</f>
        <v/>
      </c>
      <c r="L19" s="1">
        <f>#REF!+"vlM!ZM"</f>
        <v/>
      </c>
      <c r="M19">
        <f>#REF!+"vlM!ZN"</f>
        <v/>
      </c>
      <c r="N19">
        <f>#REF!+"vlM!ZO"</f>
        <v/>
      </c>
      <c r="O19">
        <f>#REF!+"vlM!ZP"</f>
        <v/>
      </c>
      <c r="P19">
        <f>#REF!+"vlM!ZQ"</f>
        <v/>
      </c>
      <c r="Q19">
        <f>#REF!+"vlM!ZR"</f>
        <v/>
      </c>
      <c r="R19">
        <f>#REF!+"vlM!ZS"</f>
        <v/>
      </c>
      <c r="S19">
        <f>#REF!+"vlM!ZT"</f>
        <v/>
      </c>
      <c r="T19">
        <f>#REF!+"vlM!ZU"</f>
        <v/>
      </c>
      <c r="U19">
        <f>#REF!+"vlM!ZV"</f>
        <v/>
      </c>
      <c r="V19">
        <f>#REF!+"vlM!ZW"</f>
        <v/>
      </c>
      <c r="W19">
        <f>#REF!+"vlM!ZX"</f>
        <v/>
      </c>
      <c r="X19">
        <f>#REF!+"vlM!ZY"</f>
        <v/>
      </c>
      <c r="Y19">
        <f>#REF!+"vlM!ZZ"</f>
        <v/>
      </c>
      <c r="Z19">
        <f>#REF!+"vlM!Z["</f>
        <v/>
      </c>
      <c r="AA19" s="1">
        <f>#REF!+"vlM!Z\"</f>
        <v/>
      </c>
      <c r="AB19">
        <f>#REF!+"vlM!Z]"</f>
        <v/>
      </c>
      <c r="AC19">
        <f>#REF!+"vlM!Z^"</f>
        <v/>
      </c>
      <c r="AD19">
        <f>#REF!+"vlM!Z_"</f>
        <v/>
      </c>
      <c r="AE19">
        <f>#REF!+"vlM!Z`"</f>
        <v/>
      </c>
      <c r="AF19">
        <f>#REF!+"vlM!Za"</f>
        <v/>
      </c>
      <c r="AG19">
        <f>#REF!+"vlM!Zb"</f>
        <v/>
      </c>
      <c r="AH19">
        <f>#REF!+"vlM!Zc"</f>
        <v/>
      </c>
      <c r="AI19">
        <f>#REF!+"vlM!Zd"</f>
        <v/>
      </c>
      <c r="AJ19">
        <f>#REF!+"vlM!Ze"</f>
        <v/>
      </c>
      <c r="AK19">
        <f>#REF!+"vlM!Zf"</f>
        <v/>
      </c>
      <c r="AL19">
        <f>#REF!+"vlM!Zg"</f>
        <v/>
      </c>
      <c r="AM19">
        <f>#REF!+"vlM!Zh"</f>
        <v/>
      </c>
      <c r="AN19">
        <f>#REF!+"vlM!Zi"</f>
        <v/>
      </c>
      <c r="AO19">
        <f>#REF!+"vlM!Zj"</f>
        <v/>
      </c>
      <c r="AP19" s="1">
        <f>#REF!+"vlM!Zk"</f>
        <v/>
      </c>
      <c r="AQ19">
        <f>#REF!+"vlM!Zl"</f>
        <v/>
      </c>
      <c r="AR19">
        <f>#REF!+"vlM!Zm"</f>
        <v/>
      </c>
      <c r="AS19">
        <f>#REF!+"vlM!Zn"</f>
        <v/>
      </c>
      <c r="AT19">
        <f>#REF!+"vlM!Zo"</f>
        <v/>
      </c>
      <c r="AU19">
        <f>#REF!+"vlM!Zp"</f>
        <v/>
      </c>
      <c r="AV19">
        <f>#REF!+"vlM!Zq"</f>
        <v/>
      </c>
      <c r="AW19">
        <f>#REF!+"vlM!Zr"</f>
        <v/>
      </c>
      <c r="AX19">
        <f>#REF!+"vlM!Zs"</f>
        <v/>
      </c>
      <c r="AY19">
        <f>#REF!+"vlM!Zt"</f>
        <v/>
      </c>
      <c r="AZ19">
        <f>#REF!+"vlM!Zu"</f>
        <v/>
      </c>
      <c r="BA19">
        <f>#REF!+"vlM!Zv"</f>
        <v/>
      </c>
      <c r="BB19">
        <f>#REF!+"vlM!Zw"</f>
        <v/>
      </c>
      <c r="BC19">
        <f>#REF!+"vlM!Zx"</f>
        <v/>
      </c>
      <c r="BD19">
        <f>#REF!+"vlM!Zy"</f>
        <v/>
      </c>
      <c r="BE19" s="1">
        <f>#REF!+"vlM!Zz"</f>
        <v/>
      </c>
      <c r="BF19">
        <f>#REF!+"vlM!Z{"</f>
        <v/>
      </c>
      <c r="BG19">
        <f>#REF!+"vlM!Z|"</f>
        <v/>
      </c>
      <c r="BH19">
        <f>#REF!+"vlM!Z}"</f>
        <v/>
      </c>
      <c r="BI19">
        <f>#REF!+"vlM!Z~"</f>
        <v/>
      </c>
      <c r="BJ19">
        <f>#REF!+"vlM![#"</f>
        <v/>
      </c>
      <c r="BK19">
        <f>#REF!+"vlM![$"</f>
        <v/>
      </c>
      <c r="BL19">
        <f>#REF!+"vlM![%"</f>
        <v/>
      </c>
      <c r="BM19">
        <f>#REF!+"vlM![&amp;"</f>
        <v/>
      </c>
      <c r="BN19">
        <f>#REF!+"vlM!['"</f>
        <v/>
      </c>
      <c r="BO19">
        <f>#REF!+"vlM![("</f>
        <v/>
      </c>
      <c r="BP19">
        <f>#REF!+"vlM![)"</f>
        <v/>
      </c>
      <c r="BQ19">
        <f>#REF!+"vlM![."</f>
        <v/>
      </c>
      <c r="BR19">
        <f>#REF!+"vlM![/"</f>
        <v/>
      </c>
      <c r="BS19">
        <f>#REF!+"vlM![0"</f>
        <v/>
      </c>
      <c r="BT19" s="1">
        <f>#REF!+"vlM![1"</f>
        <v/>
      </c>
      <c r="BU19">
        <f>#REF!+"vlM![2"</f>
        <v/>
      </c>
      <c r="BV19">
        <f>#REF!+"vlM![3"</f>
        <v/>
      </c>
      <c r="BW19">
        <f>#REF!+"vlM![4"</f>
        <v/>
      </c>
      <c r="BX19">
        <f>#REF!+"vlM![5"</f>
        <v/>
      </c>
      <c r="BY19">
        <f>#REF!+"vlM![6"</f>
        <v/>
      </c>
      <c r="BZ19">
        <f>#REF!+"vlM![7"</f>
        <v/>
      </c>
      <c r="CA19">
        <f>#REF!+"vlM![8"</f>
        <v/>
      </c>
      <c r="CB19">
        <f>#REF!+"vlM![9"</f>
        <v/>
      </c>
      <c r="CC19">
        <f>#REF!+"vlM![:"</f>
        <v/>
      </c>
      <c r="CD19">
        <f>#REF!+"vlM![;"</f>
        <v/>
      </c>
      <c r="CE19">
        <f>#REF!+"vlM![&lt;"</f>
        <v/>
      </c>
      <c r="CF19">
        <f>#REF!+"vlM![="</f>
        <v/>
      </c>
      <c r="CG19">
        <f>#REF!+"vlM![&gt;"</f>
        <v/>
      </c>
      <c r="CH19">
        <f>#REF!+"vlM![?"</f>
        <v/>
      </c>
      <c r="CI19" s="1">
        <f>#REF!+"vlM![@"</f>
        <v/>
      </c>
      <c r="CJ19">
        <f>#REF!+"vlM![A"</f>
        <v/>
      </c>
      <c r="CK19">
        <f>#REF!+"vlM![B"</f>
        <v/>
      </c>
      <c r="CL19">
        <f>#REF!+"vlM![C"</f>
        <v/>
      </c>
      <c r="CM19">
        <f>#REF!+"vlM![D"</f>
        <v/>
      </c>
      <c r="CN19">
        <f>#REF!+"vlM![E"</f>
        <v/>
      </c>
      <c r="CO19">
        <f>#REF!+"vlM![F"</f>
        <v/>
      </c>
      <c r="CP19">
        <f>#REF!+"vlM![G"</f>
        <v/>
      </c>
      <c r="CQ19">
        <f>#REF!+"vlM![H"</f>
        <v/>
      </c>
      <c r="CR19">
        <f>#REF!+"vlM![I"</f>
        <v/>
      </c>
      <c r="CS19">
        <f>#REF!+"vlM![J"</f>
        <v/>
      </c>
      <c r="CT19">
        <f>#REF!+"vlM![K"</f>
        <v/>
      </c>
      <c r="CU19">
        <f>#REF!+"vlM![L"</f>
        <v/>
      </c>
      <c r="CV19">
        <f>#REF!+"vlM![M"</f>
        <v/>
      </c>
      <c r="CW19">
        <f>#REF!+"vlM![N"</f>
        <v/>
      </c>
      <c r="CX19" s="1">
        <f>#REF!+"vlM![O"</f>
        <v/>
      </c>
      <c r="CY19">
        <f>#REF!+"vlM![P"</f>
        <v/>
      </c>
      <c r="CZ19">
        <f>#REF!+"vlM![Q"</f>
        <v/>
      </c>
      <c r="DA19">
        <f>#REF!+"vlM![R"</f>
        <v/>
      </c>
      <c r="DB19">
        <f>#REF!+"vlM![S"</f>
        <v/>
      </c>
      <c r="DC19">
        <f>#REF!+"vlM![T"</f>
        <v/>
      </c>
      <c r="DD19">
        <f>#REF!+"vlM![U"</f>
        <v/>
      </c>
      <c r="DE19">
        <f>#REF!+"vlM![V"</f>
        <v/>
      </c>
      <c r="DF19">
        <f>#REF!+"vlM![W"</f>
        <v/>
      </c>
      <c r="DG19">
        <f>#REF!+"vlM![X"</f>
        <v/>
      </c>
      <c r="DH19">
        <f>#REF!+"vlM![Y"</f>
        <v/>
      </c>
      <c r="DI19">
        <f>#REF!+"vlM![Z"</f>
        <v/>
      </c>
      <c r="DJ19">
        <f>#REF!+"vlM![["</f>
        <v/>
      </c>
      <c r="DK19">
        <f>#REF!+"vlM![\"</f>
        <v/>
      </c>
      <c r="DL19">
        <f>#REF!+"vlM![]"</f>
        <v/>
      </c>
      <c r="DM19" s="1">
        <f>#REF!+"vlM![^"</f>
        <v/>
      </c>
      <c r="DN19">
        <f>#REF!+"vlM![_"</f>
        <v/>
      </c>
      <c r="DO19">
        <f>#REF!+"vlM![`"</f>
        <v/>
      </c>
      <c r="DP19">
        <f>#REF!+"vlM![a"</f>
        <v/>
      </c>
      <c r="DQ19">
        <f>#REF!+"vlM![b"</f>
        <v/>
      </c>
      <c r="DR19">
        <f>#REF!+"vlM![c"</f>
        <v/>
      </c>
      <c r="DS19">
        <f>#REF!+"vlM![d"</f>
        <v/>
      </c>
      <c r="DT19">
        <f>#REF!+"vlM![e"</f>
        <v/>
      </c>
      <c r="DU19">
        <f>#REF!+"vlM![f"</f>
        <v/>
      </c>
      <c r="DV19">
        <f>#REF!+"vlM![g"</f>
        <v/>
      </c>
      <c r="DW19">
        <f>#REF!+"vlM![h"</f>
        <v/>
      </c>
      <c r="DX19">
        <f>#REF!+"vlM![i"</f>
        <v/>
      </c>
      <c r="DY19">
        <f>#REF!+"vlM![j"</f>
        <v/>
      </c>
      <c r="DZ19">
        <f>#REF!+"vlM![k"</f>
        <v/>
      </c>
      <c r="EA19">
        <f>#REF!+"vlM![l"</f>
        <v/>
      </c>
      <c r="EB19" s="1">
        <f>#REF!+"vlM![m"</f>
        <v/>
      </c>
      <c r="EC19">
        <f>#REF!+"vlM![n"</f>
        <v/>
      </c>
      <c r="ED19">
        <f>#REF!+"vlM![o"</f>
        <v/>
      </c>
      <c r="EE19">
        <f>#REF!+"vlM![p"</f>
        <v/>
      </c>
      <c r="EF19">
        <f>#REF!+"vlM![q"</f>
        <v/>
      </c>
      <c r="EG19">
        <f>#REF!+"vlM![r"</f>
        <v/>
      </c>
      <c r="EH19">
        <f>#REF!+"vlM![s"</f>
        <v/>
      </c>
      <c r="EI19">
        <f>#REF!+"vlM![t"</f>
        <v/>
      </c>
      <c r="EJ19">
        <f>#REF!+"vlM![u"</f>
        <v/>
      </c>
      <c r="EK19">
        <f>#REF!+"vlM![v"</f>
        <v/>
      </c>
      <c r="EL19">
        <f>#REF!+"vlM![w"</f>
        <v/>
      </c>
      <c r="EM19">
        <f>#REF!+"vlM![x"</f>
        <v/>
      </c>
      <c r="EN19">
        <f>#REF!+"vlM![y"</f>
        <v/>
      </c>
      <c r="EO19">
        <f>#REF!+"vlM![z"</f>
        <v/>
      </c>
      <c r="EP19">
        <f>#REF!+"vlM![{"</f>
        <v/>
      </c>
      <c r="EQ19" s="1">
        <f>#REF!+"vlM![|"</f>
        <v/>
      </c>
      <c r="ER19">
        <f>#REF!+"vlM![}"</f>
        <v/>
      </c>
      <c r="ES19">
        <f>#REF!+"vlM![~"</f>
        <v/>
      </c>
      <c r="ET19">
        <f>#REF!+"vlM!\#"</f>
        <v/>
      </c>
      <c r="EU19">
        <f>#REF!+"vlM!\$"</f>
        <v/>
      </c>
      <c r="EV19">
        <f>#REF!+"vlM!\%"</f>
        <v/>
      </c>
      <c r="EW19">
        <f>#REF!+"vlM!\&amp;"</f>
        <v/>
      </c>
      <c r="EX19">
        <f>#REF!+"vlM!\'"</f>
        <v/>
      </c>
      <c r="EY19">
        <f>#REF!+"vlM!\("</f>
        <v/>
      </c>
      <c r="EZ19">
        <f>#REF!+"vlM!\)"</f>
        <v/>
      </c>
      <c r="FA19">
        <f>#REF!+"vlM!\."</f>
        <v/>
      </c>
      <c r="FB19">
        <f>#REF!+"vlM!\/"</f>
        <v/>
      </c>
      <c r="FC19">
        <f>#REF!+"vlM!\0"</f>
        <v/>
      </c>
      <c r="FD19">
        <f>#REF!+"vlM!\1"</f>
        <v/>
      </c>
      <c r="FE19">
        <f>#REF!+"vlM!\2"</f>
        <v/>
      </c>
      <c r="FF19" s="1">
        <f>#REF!+"vlM!\3"</f>
        <v/>
      </c>
      <c r="FG19">
        <f>#REF!+"vlM!\4"</f>
        <v/>
      </c>
      <c r="FH19">
        <f>#REF!+"vlM!\5"</f>
        <v/>
      </c>
      <c r="FI19">
        <f>#REF!+"vlM!\6"</f>
        <v/>
      </c>
      <c r="FJ19">
        <f>#REF!+"vlM!\7"</f>
        <v/>
      </c>
      <c r="FK19">
        <f>#REF!+"vlM!\8"</f>
        <v/>
      </c>
      <c r="FL19">
        <f>#REF!+"vlM!\9"</f>
        <v/>
      </c>
      <c r="FM19">
        <f>#REF!+"vlM!\:"</f>
        <v/>
      </c>
      <c r="FN19">
        <f>#REF!+"vlM!\;"</f>
        <v/>
      </c>
      <c r="FO19">
        <f>#REF!+"vlM!\&lt;"</f>
        <v/>
      </c>
      <c r="FP19">
        <f>#REF!+"vlM!\="</f>
        <v/>
      </c>
      <c r="FQ19">
        <f>#REF!+"vlM!\&gt;"</f>
        <v/>
      </c>
      <c r="FR19">
        <f>#REF!+"vlM!\?"</f>
        <v/>
      </c>
      <c r="FS19">
        <f>#REF!+"vlM!\@"</f>
        <v/>
      </c>
      <c r="FT19">
        <f>#REF!+"vlM!\A"</f>
        <v/>
      </c>
      <c r="FU19" s="1">
        <f>#REF!+"vlM!\B"</f>
        <v/>
      </c>
      <c r="FV19">
        <f>#REF!+"vlM!\C"</f>
        <v/>
      </c>
      <c r="FW19">
        <f>#REF!+"vlM!\D"</f>
        <v/>
      </c>
      <c r="FX19">
        <f>#REF!+"vlM!\E"</f>
        <v/>
      </c>
      <c r="FY19">
        <f>#REF!+"vlM!\F"</f>
        <v/>
      </c>
      <c r="FZ19">
        <f>#REF!+"vlM!\G"</f>
        <v/>
      </c>
      <c r="GA19">
        <f>#REF!+"vlM!\H"</f>
        <v/>
      </c>
      <c r="GB19">
        <f>#REF!+"vlM!\I"</f>
        <v/>
      </c>
      <c r="GC19">
        <f>#REF!+"vlM!\J"</f>
        <v/>
      </c>
      <c r="GD19">
        <f>#REF!+"vlM!\K"</f>
        <v/>
      </c>
      <c r="GE19">
        <f>#REF!+"vlM!\L"</f>
        <v/>
      </c>
      <c r="GF19">
        <f>#REF!+"vlM!\M"</f>
        <v/>
      </c>
      <c r="GG19">
        <f>#REF!+"vlM!\N"</f>
        <v/>
      </c>
      <c r="GH19">
        <f>#REF!+"vlM!\O"</f>
        <v/>
      </c>
      <c r="GI19">
        <f>#REF!+"vlM!\P"</f>
        <v/>
      </c>
      <c r="GJ19" s="1">
        <f>#REF!+"vlM!\Q"</f>
        <v/>
      </c>
      <c r="GK19">
        <f>#REF!+"vlM!\R"</f>
        <v/>
      </c>
      <c r="GL19">
        <f>#REF!+"vlM!\S"</f>
        <v/>
      </c>
      <c r="GM19">
        <f>#REF!+"vlM!\T"</f>
        <v/>
      </c>
      <c r="GN19">
        <f>#REF!+"vlM!\U"</f>
        <v/>
      </c>
      <c r="GO19">
        <f>#REF!+"vlM!\V"</f>
        <v/>
      </c>
      <c r="GP19">
        <f>#REF!+"vlM!\W"</f>
        <v/>
      </c>
      <c r="GQ19">
        <f>#REF!+"vlM!\X"</f>
        <v/>
      </c>
      <c r="GR19">
        <f>#REF!+"vlM!\Y"</f>
        <v/>
      </c>
      <c r="GS19">
        <f>#REF!+"vlM!\Z"</f>
        <v/>
      </c>
      <c r="GT19">
        <f>#REF!+"vlM!\["</f>
        <v/>
      </c>
      <c r="GU19">
        <f>#REF!+"vlM!\\"</f>
        <v/>
      </c>
      <c r="GV19">
        <f>#REF!+"vlM!\]"</f>
        <v/>
      </c>
      <c r="GW19">
        <f>#REF!+"vlM!\^"</f>
        <v/>
      </c>
      <c r="GX19">
        <f>#REF!+"vlM!\_"</f>
        <v/>
      </c>
      <c r="GY19" s="1">
        <f>#REF!+"vlM!\`"</f>
        <v/>
      </c>
      <c r="GZ19">
        <f>#REF!+"vlM!\a"</f>
        <v/>
      </c>
      <c r="HA19">
        <f>#REF!+"vlM!\b"</f>
        <v/>
      </c>
      <c r="HB19">
        <f>#REF!+"vlM!\c"</f>
        <v/>
      </c>
      <c r="HC19">
        <f>#REF!+"vlM!\d"</f>
        <v/>
      </c>
      <c r="HD19">
        <f>#REF!+"vlM!\e"</f>
        <v/>
      </c>
      <c r="HE19">
        <f>#REF!+"vlM!\f"</f>
        <v/>
      </c>
      <c r="HF19">
        <f>#REF!+"vlM!\g"</f>
        <v/>
      </c>
      <c r="HG19">
        <f>#REF!+"vlM!\h"</f>
        <v/>
      </c>
      <c r="HH19">
        <f>#REF!+"vlM!\i"</f>
        <v/>
      </c>
      <c r="HI19">
        <f>#REF!+"vlM!\j"</f>
        <v/>
      </c>
      <c r="HJ19">
        <f>#REF!+"vlM!\k"</f>
        <v/>
      </c>
      <c r="HK19">
        <f>#REF!+"vlM!\l"</f>
        <v/>
      </c>
      <c r="HL19">
        <f>#REF!+"vlM!\m"</f>
        <v/>
      </c>
      <c r="HM19">
        <f>#REF!+"vlM!\n"</f>
        <v/>
      </c>
      <c r="HN19" s="1">
        <f>#REF!+"vlM!\o"</f>
        <v/>
      </c>
      <c r="HO19">
        <f>#REF!+"vlM!\p"</f>
        <v/>
      </c>
      <c r="HP19">
        <f>#REF!+"vlM!\q"</f>
        <v/>
      </c>
      <c r="HQ19">
        <f>#REF!+"vlM!\r"</f>
        <v/>
      </c>
      <c r="HR19">
        <f>#REF!+"vlM!\s"</f>
        <v/>
      </c>
      <c r="HS19">
        <f>#REF!+"vlM!\t"</f>
        <v/>
      </c>
      <c r="HT19">
        <f>#REF!+"vlM!\u"</f>
        <v/>
      </c>
      <c r="HU19">
        <f>#REF!+"vlM!\v"</f>
        <v/>
      </c>
      <c r="HV19">
        <f>#REF!+"vlM!\w"</f>
        <v/>
      </c>
      <c r="HW19">
        <f>#REF!+"vlM!\x"</f>
        <v/>
      </c>
      <c r="HX19">
        <f>#REF!+"vlM!\y"</f>
        <v/>
      </c>
      <c r="HY19">
        <f>#REF!+"vlM!\z"</f>
        <v/>
      </c>
      <c r="HZ19">
        <f>#REF!+"vlM!\{"</f>
        <v/>
      </c>
      <c r="IA19">
        <f>#REF!+"vlM!\|"</f>
        <v/>
      </c>
      <c r="IB19">
        <f>#REF!+"vlM!\}"</f>
        <v/>
      </c>
      <c r="IC19" s="1">
        <f>#REF!+"vlM!\~"</f>
        <v/>
      </c>
      <c r="ID19">
        <f>#REF!+"vlM!]#"</f>
        <v/>
      </c>
      <c r="IE19">
        <f>#REF!+"vlM!]$"</f>
        <v/>
      </c>
      <c r="IF19">
        <f>#REF!+"vlM!]%"</f>
        <v/>
      </c>
      <c r="IG19">
        <f>#REF!+"vlM!]&amp;"</f>
        <v/>
      </c>
      <c r="IH19">
        <f>#REF!+"vlM!]'"</f>
        <v/>
      </c>
      <c r="II19">
        <f>#REF!+"vlM!]("</f>
        <v/>
      </c>
      <c r="IJ19">
        <f>#REF!+"vlM!])"</f>
        <v/>
      </c>
      <c r="IK19">
        <f>#REF!+"vlM!]."</f>
        <v/>
      </c>
      <c r="IL19">
        <f>#REF!+"vlM!]/"</f>
        <v/>
      </c>
      <c r="IM19">
        <f>#REF!+"vlM!]0"</f>
        <v/>
      </c>
      <c r="IN19">
        <f>#REF!+"vlM!]1"</f>
        <v/>
      </c>
      <c r="IO19">
        <f>#REF!+"vlM!]2"</f>
        <v/>
      </c>
      <c r="IP19">
        <f>#REF!+"vlM!]3"</f>
        <v/>
      </c>
      <c r="IQ19">
        <f>#REF!+"vlM!]4"</f>
        <v/>
      </c>
      <c r="IR19" s="1">
        <f>#REF!+"vlM!]5"</f>
        <v/>
      </c>
      <c r="IS19">
        <f>#REF!+"vlM!]6"</f>
        <v/>
      </c>
      <c r="IT19">
        <f>#REF!+"vlM!]7"</f>
        <v/>
      </c>
      <c r="IU19">
        <f>#REF!+"vlM!]8"</f>
        <v/>
      </c>
      <c r="IV19">
        <f>#REF!+"vlM!]9"</f>
        <v/>
      </c>
    </row>
    <row r="20">
      <c r="F20">
        <f>#REF!+"vlM!]:"</f>
        <v/>
      </c>
      <c r="G20">
        <f>#REF!+"vlM!];"</f>
        <v/>
      </c>
      <c r="H20">
        <f>#REF!+"vlM!]&lt;"</f>
        <v/>
      </c>
      <c r="I20">
        <f>#REF!+"vlM!]="</f>
        <v/>
      </c>
      <c r="J20">
        <f>#REF!+"vlM!]&gt;"</f>
        <v/>
      </c>
      <c r="K20">
        <f>#REF!+"vlM!]?"</f>
        <v/>
      </c>
      <c r="L20">
        <f>#REF!+"vlM!]@"</f>
        <v/>
      </c>
      <c r="M20">
        <f>#REF!+"vlM!]A"</f>
        <v/>
      </c>
      <c r="N20">
        <f>#REF!+"vlM!]B"</f>
        <v/>
      </c>
      <c r="O20">
        <f>#REF!+"vlM!]C"</f>
        <v/>
      </c>
      <c r="P20" s="1">
        <f>#REF!+"vlM!]D"</f>
        <v/>
      </c>
      <c r="Q20">
        <f>#REF!+"vlM!]E"</f>
        <v/>
      </c>
      <c r="R20">
        <f>#REF!+"vlM!]F"</f>
        <v/>
      </c>
      <c r="S20">
        <f>#REF!+"vlM!]G"</f>
        <v/>
      </c>
      <c r="T20">
        <f>#REF!+"vlM!]H"</f>
        <v/>
      </c>
      <c r="U20">
        <f>#REF!+"vlM!]I"</f>
        <v/>
      </c>
      <c r="V20">
        <f>#REF!+"vlM!]J"</f>
        <v/>
      </c>
      <c r="W20">
        <f>#REF!+"vlM!]K"</f>
        <v/>
      </c>
      <c r="X20">
        <f>#REF!+"vlM!]L"</f>
        <v/>
      </c>
      <c r="Y20">
        <f>#REF!+"vlM!]M"</f>
        <v/>
      </c>
      <c r="Z20">
        <f>#REF!+"vlM!]N"</f>
        <v/>
      </c>
      <c r="AA20">
        <f>#REF!+"vlM!]O"</f>
        <v/>
      </c>
      <c r="AB20">
        <f>#REF!+"vlM!]P"</f>
        <v/>
      </c>
      <c r="AC20">
        <f>#REF!+"vlM!]Q"</f>
        <v/>
      </c>
      <c r="AD20">
        <f>#REF!+"vlM!]R"</f>
        <v/>
      </c>
      <c r="AE20" s="1">
        <f>#REF!+"vlM!]S"</f>
        <v/>
      </c>
      <c r="AF20">
        <f>#REF!+"vlM!]T"</f>
        <v/>
      </c>
      <c r="AG20">
        <f>#REF!+"vlM!]U"</f>
        <v/>
      </c>
      <c r="AH20">
        <f>#REF!+"vlM!]V"</f>
        <v/>
      </c>
      <c r="AI20">
        <f>#REF!+"vlM!]W"</f>
        <v/>
      </c>
      <c r="AJ20">
        <f>#REF!+"vlM!]X"</f>
        <v/>
      </c>
      <c r="AK20">
        <f>#REF!+"vlM!]Y"</f>
        <v/>
      </c>
      <c r="AL20">
        <f>#REF!+"vlM!]Z"</f>
        <v/>
      </c>
      <c r="AM20">
        <f>#REF!+"vlM!]["</f>
        <v/>
      </c>
      <c r="AN20">
        <f>#REF!+"vlM!]\"</f>
        <v/>
      </c>
      <c r="AO20">
        <f>#REF!+"vlM!]]"</f>
        <v/>
      </c>
      <c r="AP20">
        <f>#REF!+"vlM!]^"</f>
        <v/>
      </c>
      <c r="AQ20">
        <f>#REF!+"vlM!]_"</f>
        <v/>
      </c>
      <c r="AR20">
        <f>#REF!+"vlM!]`"</f>
        <v/>
      </c>
      <c r="AS20">
        <f>#REF!+"vlM!]a"</f>
        <v/>
      </c>
      <c r="AT20" s="1">
        <f>#REF!+"vlM!]b"</f>
        <v/>
      </c>
      <c r="AU20">
        <f>#REF!+"vlM!]c"</f>
        <v/>
      </c>
      <c r="AV20">
        <f>#REF!+"vlM!]d"</f>
        <v/>
      </c>
      <c r="AW20">
        <f>#REF!+"vlM!]e"</f>
        <v/>
      </c>
      <c r="AX20">
        <f>#REF!+"vlM!]f"</f>
        <v/>
      </c>
      <c r="AY20">
        <f>#REF!+"vlM!]g"</f>
        <v/>
      </c>
      <c r="AZ20">
        <f>#REF!+"vlM!]h"</f>
        <v/>
      </c>
      <c r="BA20">
        <f>#REF!+"vlM!]i"</f>
        <v/>
      </c>
      <c r="BB20">
        <f>#REF!+"vlM!]j"</f>
        <v/>
      </c>
      <c r="BC20">
        <f>#REF!+"vlM!]k"</f>
        <v/>
      </c>
      <c r="BD20">
        <f>#REF!+"vlM!]l"</f>
        <v/>
      </c>
      <c r="BE20">
        <f>#REF!+"vlM!]m"</f>
        <v/>
      </c>
      <c r="BF20">
        <f>#REF!+"vlM!]n"</f>
        <v/>
      </c>
      <c r="BG20">
        <f>#REF!+"vlM!]o"</f>
        <v/>
      </c>
      <c r="BH20">
        <f>#REF!+"vlM!]p"</f>
        <v/>
      </c>
      <c r="BI20" s="1">
        <f>#REF!+"vlM!]q"</f>
        <v/>
      </c>
      <c r="BJ20">
        <f>#REF!+"vlM!]r"</f>
        <v/>
      </c>
      <c r="BK20">
        <f>#REF!+"vlM!]s"</f>
        <v/>
      </c>
      <c r="BL20">
        <f>#REF!+"vlM!]t"</f>
        <v/>
      </c>
      <c r="BM20">
        <f>#REF!+"vlM!]u"</f>
        <v/>
      </c>
      <c r="BN20">
        <f>#REF!+"vlM!]v"</f>
        <v/>
      </c>
      <c r="BO20">
        <f>#REF!+"vlM!]w"</f>
        <v/>
      </c>
      <c r="BP20">
        <f>#REF!+"vlM!]x"</f>
        <v/>
      </c>
      <c r="BQ20">
        <f>#REF!+"vlM!]y"</f>
        <v/>
      </c>
      <c r="BR20">
        <f>#REF!+"vlM!]z"</f>
        <v/>
      </c>
      <c r="BS20">
        <f>#REF!+"vlM!]{"</f>
        <v/>
      </c>
      <c r="BT20">
        <f>#REF!+"vlM!]|"</f>
        <v/>
      </c>
      <c r="BU20">
        <f>#REF!+"vlM!]}"</f>
        <v/>
      </c>
      <c r="BV20">
        <f>#REF!+"vlM!]~"</f>
        <v/>
      </c>
      <c r="BW20">
        <f>#REF!+"vlM!^#"</f>
        <v/>
      </c>
      <c r="BX20" s="1">
        <f>#REF!+"vlM!^$"</f>
        <v/>
      </c>
      <c r="BY20">
        <f>#REF!+"vlM!^%"</f>
        <v/>
      </c>
      <c r="BZ20">
        <f>#REF!+"vlM!^&amp;"</f>
        <v/>
      </c>
      <c r="CA20">
        <f>#REF!+"vlM!^'"</f>
        <v/>
      </c>
      <c r="CB20">
        <f>#REF!+"vlM!^("</f>
        <v/>
      </c>
      <c r="CC20">
        <f>#REF!+"vlM!^)"</f>
        <v/>
      </c>
      <c r="CD20">
        <f>#REF!+"vlM!^."</f>
        <v/>
      </c>
      <c r="CE20">
        <f>#REF!+"vlM!^/"</f>
        <v/>
      </c>
      <c r="CF20">
        <f>#REF!+"vlM!^0"</f>
        <v/>
      </c>
      <c r="CG20">
        <f>#REF!+"vlM!^1"</f>
        <v/>
      </c>
      <c r="CH20">
        <f>#REF!+"vlM!^2"</f>
        <v/>
      </c>
      <c r="CI20">
        <f>#REF!+"vlM!^3"</f>
        <v/>
      </c>
      <c r="CJ20">
        <f>#REF!+"vlM!^4"</f>
        <v/>
      </c>
      <c r="CK20">
        <f>#REF!+"vlM!^5"</f>
        <v/>
      </c>
      <c r="CL20">
        <f>#REF!+"vlM!^6"</f>
        <v/>
      </c>
      <c r="CM20" s="1">
        <f>#REF!+"vlM!^7"</f>
        <v/>
      </c>
      <c r="CN20">
        <f>#REF!+"vlM!^8"</f>
        <v/>
      </c>
      <c r="CO20">
        <f>#REF!+"vlM!^9"</f>
        <v/>
      </c>
      <c r="CP20">
        <f>#REF!+"vlM!^:"</f>
        <v/>
      </c>
      <c r="CQ20">
        <f>#REF!+"vlM!^;"</f>
        <v/>
      </c>
      <c r="CR20">
        <f>#REF!+"vlM!^&lt;"</f>
        <v/>
      </c>
      <c r="CS20">
        <f>#REF!+"vlM!^="</f>
        <v/>
      </c>
      <c r="CT20">
        <f>#REF!+"vlM!^&gt;"</f>
        <v/>
      </c>
      <c r="CU20">
        <f>#REF!+"vlM!^?"</f>
        <v/>
      </c>
      <c r="CV20">
        <f>#REF!+"vlM!^@"</f>
        <v/>
      </c>
      <c r="CW20">
        <f>#REF!+"vlM!^A"</f>
        <v/>
      </c>
      <c r="CX20">
        <f>#REF!+"vlM!^B"</f>
        <v/>
      </c>
      <c r="CY20">
        <f>#REF!+"vlM!^C"</f>
        <v/>
      </c>
      <c r="CZ20">
        <f>#REF!+"vlM!^D"</f>
        <v/>
      </c>
      <c r="DA20">
        <f>#REF!+"vlM!^E"</f>
        <v/>
      </c>
      <c r="DB20" s="1">
        <f>#REF!+"vlM!^F"</f>
        <v/>
      </c>
      <c r="DC20">
        <f>#REF!+"vlM!^G"</f>
        <v/>
      </c>
      <c r="DD20">
        <f>#REF!+"vlM!^H"</f>
        <v/>
      </c>
      <c r="DE20">
        <f>#REF!+"vlM!^I"</f>
        <v/>
      </c>
      <c r="DF20">
        <f>#REF!+"vlM!^J"</f>
        <v/>
      </c>
      <c r="DG20">
        <f>#REF!+"vlM!^K"</f>
        <v/>
      </c>
      <c r="DH20">
        <f>#REF!+"vlM!^L"</f>
        <v/>
      </c>
      <c r="DI20">
        <f>#REF!+"vlM!^M"</f>
        <v/>
      </c>
      <c r="DJ20">
        <f>#REF!+"vlM!^N"</f>
        <v/>
      </c>
      <c r="DK20">
        <f>#REF!+"vlM!^O"</f>
        <v/>
      </c>
      <c r="DL20">
        <f>#REF!+"vlM!^P"</f>
        <v/>
      </c>
      <c r="DM20">
        <f>#REF!+"vlM!^Q"</f>
        <v/>
      </c>
      <c r="DN20">
        <f>#REF!+"vlM!^R"</f>
        <v/>
      </c>
      <c r="DO20">
        <f>#REF!+"vlM!^S"</f>
        <v/>
      </c>
      <c r="DP20">
        <f>#REF!+"vlM!^T"</f>
        <v/>
      </c>
      <c r="DQ20" s="1">
        <f>#REF!+"vlM!^U"</f>
        <v/>
      </c>
      <c r="DR20">
        <f>#REF!+"vlM!^V"</f>
        <v/>
      </c>
      <c r="DS20">
        <f>#REF!+"vlM!^W"</f>
        <v/>
      </c>
      <c r="DT20">
        <f>#REF!+"vlM!^X"</f>
        <v/>
      </c>
      <c r="DU20">
        <f>#REF!+"vlM!^Y"</f>
        <v/>
      </c>
      <c r="DV20">
        <f>#REF!+"vlM!^Z"</f>
        <v/>
      </c>
      <c r="DW20">
        <f>#REF!+"vlM!^["</f>
        <v/>
      </c>
      <c r="DX20">
        <f>#REF!+"vlM!^\"</f>
        <v/>
      </c>
      <c r="DY20">
        <f>#REF!+"vlM!^]"</f>
        <v/>
      </c>
      <c r="DZ20">
        <f>#REF!+"vlM!^^"</f>
        <v/>
      </c>
      <c r="EA20">
        <f>#REF!+"vlM!^_"</f>
        <v/>
      </c>
      <c r="EB20">
        <f>#REF!+"vlM!^`"</f>
        <v/>
      </c>
      <c r="EC20">
        <f>#REF!+"vlM!^a"</f>
        <v/>
      </c>
      <c r="ED20">
        <f>#REF!+"vlM!^b"</f>
        <v/>
      </c>
      <c r="EE20">
        <f>#REF!+"vlM!^c"</f>
        <v/>
      </c>
      <c r="EF20" s="1">
        <f>#REF!+"vlM!^d"</f>
        <v/>
      </c>
      <c r="EG20">
        <f>#REF!+"vlM!^e"</f>
        <v/>
      </c>
      <c r="EH20">
        <f>#REF!+"vlM!^f"</f>
        <v/>
      </c>
      <c r="EI20">
        <f>#REF!+"vlM!^g"</f>
        <v/>
      </c>
      <c r="EJ20">
        <f>#REF!+"vlM!^h"</f>
        <v/>
      </c>
      <c r="EK20">
        <f>#REF!+"vlM!^i"</f>
        <v/>
      </c>
      <c r="EL20">
        <f>#REF!+"vlM!^j"</f>
        <v/>
      </c>
      <c r="EM20">
        <f>#REF!+"vlM!^k"</f>
        <v/>
      </c>
      <c r="EN20">
        <f>#REF!+"vlM!^l"</f>
        <v/>
      </c>
      <c r="EO20">
        <f>#REF!+"vlM!^m"</f>
        <v/>
      </c>
      <c r="EP20">
        <f>#REF!+"vlM!^n"</f>
        <v/>
      </c>
      <c r="EQ20">
        <f>#REF!+"vlM!^o"</f>
        <v/>
      </c>
      <c r="ER20">
        <f>#REF!+"vlM!^p"</f>
        <v/>
      </c>
      <c r="ES20">
        <f>#REF!+"vlM!^q"</f>
        <v/>
      </c>
      <c r="ET20">
        <f>#REF!+"vlM!^r"</f>
        <v/>
      </c>
      <c r="EU20" s="1">
        <f>#REF!+"vlM!^s"</f>
        <v/>
      </c>
      <c r="EV20">
        <f>#REF!+"vlM!^t"</f>
        <v/>
      </c>
      <c r="EW20">
        <f>#REF!+"vlM!^u"</f>
        <v/>
      </c>
      <c r="EX20">
        <f>#REF!+"vlM!^v"</f>
        <v/>
      </c>
      <c r="EY20">
        <f>#REF!+"vlM!^w"</f>
        <v/>
      </c>
      <c r="EZ20">
        <f>#REF!+"vlM!^x"</f>
        <v/>
      </c>
      <c r="FA20">
        <f>#REF!+"vlM!^y"</f>
        <v/>
      </c>
      <c r="FB20">
        <f>#REF!+"vlM!^z"</f>
        <v/>
      </c>
      <c r="FC20">
        <f>#REF!+"vlM!^{"</f>
        <v/>
      </c>
      <c r="FD20">
        <f>#REF!+"vlM!^|"</f>
        <v/>
      </c>
      <c r="FE20">
        <f>#REF!+"vlM!^}"</f>
        <v/>
      </c>
      <c r="FF20">
        <f>#REF!+"vlM!^~"</f>
        <v/>
      </c>
      <c r="FG20">
        <f>#REF!+"vlM!_#"</f>
        <v/>
      </c>
      <c r="FH20">
        <f>#REF!+"vlM!_$"</f>
        <v/>
      </c>
      <c r="FI20">
        <f>#REF!+"vlM!_%"</f>
        <v/>
      </c>
      <c r="FJ20" s="1">
        <f>#REF!+"vlM!_&amp;"</f>
        <v/>
      </c>
      <c r="FK20">
        <f>#REF!+"vlM!_'"</f>
        <v/>
      </c>
      <c r="FL20">
        <f>#REF!+"vlM!_("</f>
        <v/>
      </c>
      <c r="FM20">
        <f>#REF!+"vlM!_)"</f>
        <v/>
      </c>
      <c r="FN20">
        <f>#REF!+"vlM!_."</f>
        <v/>
      </c>
      <c r="FO20">
        <f>#REF!+"vlM!_/"</f>
        <v/>
      </c>
      <c r="FP20">
        <f>#REF!+"vlM!_0"</f>
        <v/>
      </c>
      <c r="FQ20">
        <f>#REF!+"vlM!_1"</f>
        <v/>
      </c>
      <c r="FR20">
        <f>#REF!+"vlM!_2"</f>
        <v/>
      </c>
      <c r="FS20">
        <f>#REF!+"vlM!_3"</f>
        <v/>
      </c>
      <c r="FT20">
        <f>#REF!+"vlM!_4"</f>
        <v/>
      </c>
      <c r="FU20">
        <f>#REF!+"vlM!_5"</f>
        <v/>
      </c>
      <c r="FV20">
        <f>#REF!+"vlM!_6"</f>
        <v/>
      </c>
      <c r="FW20">
        <f>#REF!+"vlM!_7"</f>
        <v/>
      </c>
      <c r="FX20">
        <f>#REF!+"vlM!_8"</f>
        <v/>
      </c>
      <c r="FY20" s="1">
        <f>#REF!+"vlM!_9"</f>
        <v/>
      </c>
      <c r="FZ20">
        <f>#REF!+"vlM!_:"</f>
        <v/>
      </c>
      <c r="GA20">
        <f>#REF!+"vlM!_;"</f>
        <v/>
      </c>
      <c r="GB20">
        <f>#REF!+"vlM!_&lt;"</f>
        <v/>
      </c>
      <c r="GC20">
        <f>#REF!+"vlM!_="</f>
        <v/>
      </c>
      <c r="GD20">
        <f>#REF!+"vlM!_&gt;"</f>
        <v/>
      </c>
      <c r="GE20">
        <f>#REF!+"vlM!_?"</f>
        <v/>
      </c>
      <c r="GF20">
        <f>#REF!+"vlM!_@"</f>
        <v/>
      </c>
      <c r="GG20">
        <f>#REF!+"vlM!_A"</f>
        <v/>
      </c>
      <c r="GH20">
        <f>#REF!+"vlM!_B"</f>
        <v/>
      </c>
      <c r="GI20">
        <f>#REF!+"vlM!_C"</f>
        <v/>
      </c>
      <c r="GJ20">
        <f>#REF!+"vlM!_D"</f>
        <v/>
      </c>
      <c r="GK20">
        <f>#REF!+"vlM!_E"</f>
        <v/>
      </c>
      <c r="GL20">
        <f>#REF!+"vlM!_F"</f>
        <v/>
      </c>
      <c r="GM20">
        <f>#REF!+"vlM!_G"</f>
        <v/>
      </c>
      <c r="GN20" s="1">
        <f>#REF!+"vlM!_H"</f>
        <v/>
      </c>
      <c r="GO20">
        <f>#REF!+"vlM!_I"</f>
        <v/>
      </c>
      <c r="GP20">
        <f>#REF!+"vlM!_J"</f>
        <v/>
      </c>
      <c r="GQ20">
        <f>#REF!+"vlM!_K"</f>
        <v/>
      </c>
      <c r="GR20">
        <f>#REF!+"vlM!_L"</f>
        <v/>
      </c>
      <c r="GS20">
        <f>#REF!+"vlM!_M"</f>
        <v/>
      </c>
      <c r="GT20">
        <f>#REF!+"vlM!_N"</f>
        <v/>
      </c>
      <c r="GU20">
        <f>#REF!+"vlM!_O"</f>
        <v/>
      </c>
      <c r="GV20">
        <f>#REF!+"vlM!_P"</f>
        <v/>
      </c>
      <c r="GW20">
        <f>#REF!+"vlM!_Q"</f>
        <v/>
      </c>
      <c r="GX20">
        <f>#REF!+"vlM!_R"</f>
        <v/>
      </c>
      <c r="GY20">
        <f>#REF!+"vlM!_S"</f>
        <v/>
      </c>
      <c r="GZ20">
        <f>#REF!+"vlM!_T"</f>
        <v/>
      </c>
      <c r="HA20">
        <f>#REF!+"vlM!_U"</f>
        <v/>
      </c>
      <c r="HB20">
        <f>#REF!+"vlM!_V"</f>
        <v/>
      </c>
      <c r="HC20" s="1">
        <f>#REF!+"vlM!_W"</f>
        <v/>
      </c>
      <c r="HD20">
        <f>#REF!+"vlM!_X"</f>
        <v/>
      </c>
      <c r="HE20">
        <f>#REF!+"vlM!_Y"</f>
        <v/>
      </c>
      <c r="HF20">
        <f>#REF!+"vlM!_Z"</f>
        <v/>
      </c>
      <c r="HG20">
        <f>#REF!+"vlM!_["</f>
        <v/>
      </c>
      <c r="HH20">
        <f>#REF!+"vlM!_\"</f>
        <v/>
      </c>
      <c r="HI20">
        <f>#REF!+"vlM!_]"</f>
        <v/>
      </c>
      <c r="HJ20">
        <f>#REF!+"vlM!_^"</f>
        <v/>
      </c>
      <c r="HK20">
        <f>#REF!+"vlM!__"</f>
        <v/>
      </c>
      <c r="HL20">
        <f>#REF!+"vlM!_`"</f>
        <v/>
      </c>
      <c r="HM20">
        <f>#REF!+"vlM!_a"</f>
        <v/>
      </c>
      <c r="HN20">
        <f>#REF!+"vlM!_b"</f>
        <v/>
      </c>
      <c r="HO20">
        <f>#REF!+"vlM!_c"</f>
        <v/>
      </c>
      <c r="HP20">
        <f>#REF!+"vlM!_d"</f>
        <v/>
      </c>
      <c r="HQ20">
        <f>#REF!+"vlM!_e"</f>
        <v/>
      </c>
      <c r="HR20" s="1">
        <f>#REF!+"vlM!_f"</f>
        <v/>
      </c>
      <c r="HS20">
        <f>#REF!+"vlM!_g"</f>
        <v/>
      </c>
      <c r="HT20">
        <f>#REF!+"vlM!_h"</f>
        <v/>
      </c>
      <c r="HU20">
        <f>#REF!+"vlM!_i"</f>
        <v/>
      </c>
      <c r="HV20">
        <f>#REF!+"vlM!_j"</f>
        <v/>
      </c>
      <c r="HW20">
        <f>#REF!+"vlM!_k"</f>
        <v/>
      </c>
      <c r="HX20">
        <f>#REF!+"vlM!_l"</f>
        <v/>
      </c>
      <c r="HY20">
        <f>#REF!+"vlM!_m"</f>
        <v/>
      </c>
      <c r="HZ20">
        <f>#REF!+"vlM!_n"</f>
        <v/>
      </c>
      <c r="IA20">
        <f>#REF!+"vlM!_o"</f>
        <v/>
      </c>
      <c r="IB20">
        <f>#REF!+"vlM!_p"</f>
        <v/>
      </c>
      <c r="IC20">
        <f>#REF!+"vlM!_q"</f>
        <v/>
      </c>
      <c r="ID20">
        <f>#REF!+"vlM!_r"</f>
        <v/>
      </c>
      <c r="IE20">
        <f>#REF!+"vlM!_s"</f>
        <v/>
      </c>
      <c r="IF20">
        <f>#REF!+"vlM!_t"</f>
        <v/>
      </c>
      <c r="IG20" s="1">
        <f>#REF!+"vlM!_u"</f>
        <v/>
      </c>
      <c r="IH20">
        <f>#REF!+"vlM!_v"</f>
        <v/>
      </c>
      <c r="II20">
        <f>#REF!+"vlM!_w"</f>
        <v/>
      </c>
      <c r="IJ20">
        <f>#REF!+"vlM!_x"</f>
        <v/>
      </c>
      <c r="IK20">
        <f>#REF!+"vlM!_y"</f>
        <v/>
      </c>
      <c r="IL20">
        <f>#REF!+"vlM!_z"</f>
        <v/>
      </c>
      <c r="IM20">
        <f>#REF!+"vlM!_{"</f>
        <v/>
      </c>
      <c r="IN20">
        <f>#REF!+"vlM!_|"</f>
        <v/>
      </c>
      <c r="IO20">
        <f>#REF!+"vlM!_}"</f>
        <v/>
      </c>
      <c r="IP20">
        <f>#REF!+"vlM!_~"</f>
        <v/>
      </c>
      <c r="IQ20">
        <f>#REF!+"vlM!`#"</f>
        <v/>
      </c>
      <c r="IR20">
        <f>#REF!+"vlM!`$"</f>
        <v/>
      </c>
      <c r="IS20">
        <f>#REF!+"vlM!`%"</f>
        <v/>
      </c>
      <c r="IT20">
        <f>#REF!+"vlM!`&amp;"</f>
        <v/>
      </c>
      <c r="IU20">
        <f>#REF!+"vlM!`'"</f>
        <v/>
      </c>
      <c r="IV20" s="1">
        <f>#REF!+"vlM!`("</f>
        <v/>
      </c>
    </row>
    <row r="21">
      <c r="F21">
        <f>#REF!+"vlM!`)"</f>
        <v/>
      </c>
      <c r="G21">
        <f>#REF!+"vlM!`."</f>
        <v/>
      </c>
      <c r="H21">
        <f>#REF!+"vlM!`/"</f>
        <v/>
      </c>
      <c r="I21">
        <f>#REF!+"vlM!`0"</f>
        <v/>
      </c>
      <c r="J21">
        <f>#REF!+"vlM!`1"</f>
        <v/>
      </c>
      <c r="K21">
        <f>#REF!+"vlM!`2"</f>
        <v/>
      </c>
      <c r="L21">
        <f>#REF!+"vlM!`3"</f>
        <v/>
      </c>
      <c r="M21">
        <f>#REF!+"vlM!`4"</f>
        <v/>
      </c>
      <c r="N21">
        <f>#REF!+"vlM!`5"</f>
        <v/>
      </c>
      <c r="O21">
        <f>#REF!+"vlM!`6"</f>
        <v/>
      </c>
      <c r="P21">
        <f>#REF!+"vlM!`7"</f>
        <v/>
      </c>
      <c r="Q21">
        <f>#REF!+"vlM!`8"</f>
        <v/>
      </c>
      <c r="R21">
        <f>#REF!+"vlM!`9"</f>
        <v/>
      </c>
      <c r="S21">
        <f>#REF!+"vlM!`:"</f>
        <v/>
      </c>
      <c r="T21" s="1">
        <f>#REF!+"vlM!`;"</f>
        <v/>
      </c>
      <c r="U21">
        <f>#REF!+"vlM!`&lt;"</f>
        <v/>
      </c>
      <c r="V21">
        <f>#REF!+"vlM!`="</f>
        <v/>
      </c>
      <c r="W21">
        <f>#REF!+"vlM!`&gt;"</f>
        <v/>
      </c>
      <c r="X21">
        <f>#REF!+"vlM!`?"</f>
        <v/>
      </c>
      <c r="Y21">
        <f>#REF!+"vlM!`@"</f>
        <v/>
      </c>
      <c r="Z21">
        <f>#REF!+"vlM!`A"</f>
        <v/>
      </c>
      <c r="AA21">
        <f>#REF!+"vlM!`B"</f>
        <v/>
      </c>
      <c r="AB21">
        <f>#REF!+"vlM!`C"</f>
        <v/>
      </c>
      <c r="AC21">
        <f>#REF!+"vlM!`D"</f>
        <v/>
      </c>
      <c r="AD21">
        <f>#REF!+"vlM!`E"</f>
        <v/>
      </c>
      <c r="AE21">
        <f>#REF!+"vlM!`F"</f>
        <v/>
      </c>
      <c r="AF21">
        <f>#REF!+"vlM!`G"</f>
        <v/>
      </c>
      <c r="AG21">
        <f>#REF!+"vlM!`H"</f>
        <v/>
      </c>
      <c r="AH21">
        <f>#REF!+"vlM!`I"</f>
        <v/>
      </c>
      <c r="AI21" s="1">
        <f>#REF!+"vlM!`J"</f>
        <v/>
      </c>
      <c r="AJ21">
        <f>#REF!+"vlM!`K"</f>
        <v/>
      </c>
      <c r="AK21">
        <f>#REF!+"vlM!`L"</f>
        <v/>
      </c>
      <c r="AL21">
        <f>#REF!+"vlM!`M"</f>
        <v/>
      </c>
      <c r="AM21">
        <f>#REF!+"vlM!`N"</f>
        <v/>
      </c>
      <c r="AN21">
        <f>#REF!+"vlM!`O"</f>
        <v/>
      </c>
      <c r="AO21">
        <f>#REF!+"vlM!`P"</f>
        <v/>
      </c>
      <c r="AP21">
        <f>#REF!+"vlM!`Q"</f>
        <v/>
      </c>
      <c r="AQ21">
        <f>#REF!+"vlM!`R"</f>
        <v/>
      </c>
      <c r="AR21">
        <f>#REF!+"vlM!`S"</f>
        <v/>
      </c>
      <c r="AS21">
        <f>#REF!+"vlM!`T"</f>
        <v/>
      </c>
      <c r="AT21">
        <f>#REF!+"vlM!`U"</f>
        <v/>
      </c>
      <c r="AU21">
        <f>#REF!+"vlM!`V"</f>
        <v/>
      </c>
      <c r="AV21">
        <f>#REF!+"vlM!`W"</f>
        <v/>
      </c>
      <c r="AW21">
        <f>#REF!+"vlM!`X"</f>
        <v/>
      </c>
      <c r="AX21" s="1">
        <f>#REF!+"vlM!`Y"</f>
        <v/>
      </c>
      <c r="AY21">
        <f>#REF!+"vlM!`Z"</f>
        <v/>
      </c>
      <c r="AZ21">
        <f>#REF!+"vlM!`["</f>
        <v/>
      </c>
      <c r="BA21">
        <f>#REF!+"vlM!`\"</f>
        <v/>
      </c>
      <c r="BB21">
        <f>#REF!+"vlM!`]"</f>
        <v/>
      </c>
      <c r="BC21">
        <f>#REF!+"vlM!`^"</f>
        <v/>
      </c>
      <c r="BD21">
        <f>#REF!+"vlM!`_"</f>
        <v/>
      </c>
      <c r="BE21">
        <f>#REF!+"vlM!``"</f>
        <v/>
      </c>
      <c r="BF21">
        <f>#REF!+"vlM!`a"</f>
        <v/>
      </c>
      <c r="BG21">
        <f>#REF!+"vlM!`b"</f>
        <v/>
      </c>
      <c r="BH21">
        <f>#REF!+"vlM!`c"</f>
        <v/>
      </c>
      <c r="BI21">
        <f>#REF!+"vlM!`d"</f>
        <v/>
      </c>
      <c r="BJ21">
        <f>#REF!+"vlM!`e"</f>
        <v/>
      </c>
      <c r="BK21">
        <f>#REF!+"vlM!`f"</f>
        <v/>
      </c>
      <c r="BL21">
        <f>#REF!+"vlM!`g"</f>
        <v/>
      </c>
      <c r="BM21" s="1">
        <f>#REF!+"vlM!`h"</f>
        <v/>
      </c>
      <c r="BN21">
        <f>#REF!+"vlM!`i"</f>
        <v/>
      </c>
      <c r="BO21">
        <f>#REF!+"vlM!`j"</f>
        <v/>
      </c>
      <c r="BP21">
        <f>#REF!+"vlM!`k"</f>
        <v/>
      </c>
      <c r="BQ21">
        <f>#REF!+"vlM!`l"</f>
        <v/>
      </c>
      <c r="BR21">
        <f>#REF!+"vlM!`m"</f>
        <v/>
      </c>
      <c r="BS21">
        <f>#REF!+"vlM!`n"</f>
        <v/>
      </c>
      <c r="BT21">
        <f>#REF!+"vlM!`o"</f>
        <v/>
      </c>
      <c r="BU21">
        <f>#REF!+"vlM!`p"</f>
        <v/>
      </c>
      <c r="BV21">
        <f>#REF!+"vlM!`q"</f>
        <v/>
      </c>
      <c r="BW21">
        <f>#REF!+"vlM!`r"</f>
        <v/>
      </c>
      <c r="BX21">
        <f>#REF!+"vlM!`s"</f>
        <v/>
      </c>
      <c r="BY21">
        <f>#REF!+"vlM!`t"</f>
        <v/>
      </c>
      <c r="BZ21">
        <f>#REF!+"vlM!`u"</f>
        <v/>
      </c>
      <c r="CA21">
        <f>#REF!+"vlM!`v"</f>
        <v/>
      </c>
      <c r="CB21" s="1">
        <f>#REF!+"vlM!`w"</f>
        <v/>
      </c>
      <c r="CC21">
        <f>#REF!+"vlM!`x"</f>
        <v/>
      </c>
      <c r="CD21">
        <f>#REF!+"vlM!`y"</f>
        <v/>
      </c>
      <c r="CE21">
        <f>#REF!+"vlM!`z"</f>
        <v/>
      </c>
      <c r="CF21">
        <f>#REF!+"vlM!`{"</f>
        <v/>
      </c>
      <c r="CG21">
        <f>#REF!+"vlM!`|"</f>
        <v/>
      </c>
      <c r="CH21">
        <f>#REF!+"vlM!`}"</f>
        <v/>
      </c>
      <c r="CI21">
        <f>#REF!+"vlM!`~"</f>
        <v/>
      </c>
      <c r="CJ21">
        <f>#REF!+"vlM!a#"</f>
        <v/>
      </c>
      <c r="CK21">
        <f>#REF!+"vlM!a$"</f>
        <v/>
      </c>
      <c r="CL21">
        <f>#REF!+"vlM!a%"</f>
        <v/>
      </c>
      <c r="CM21">
        <f>#REF!+"vlM!a&amp;"</f>
        <v/>
      </c>
      <c r="CN21">
        <f>#REF!+"vlM!a'"</f>
        <v/>
      </c>
      <c r="CO21">
        <f>#REF!+"vlM!a("</f>
        <v/>
      </c>
      <c r="CP21">
        <f>#REF!+"vlM!a)"</f>
        <v/>
      </c>
      <c r="CQ21" s="1">
        <f>#REF!+"vlM!a."</f>
        <v/>
      </c>
      <c r="CR21">
        <f>#REF!+"vlM!a/"</f>
        <v/>
      </c>
      <c r="CS21">
        <f>#REF!+"vlM!a0"</f>
        <v/>
      </c>
      <c r="CT21">
        <f>#REF!+"vlM!a1"</f>
        <v/>
      </c>
      <c r="CU21">
        <f>#REF!+"vlM!a2"</f>
        <v/>
      </c>
      <c r="CV21">
        <f>#REF!+"vlM!a3"</f>
        <v/>
      </c>
      <c r="CW21">
        <f>#REF!+"vlM!a4"</f>
        <v/>
      </c>
      <c r="CX21">
        <f>#REF!+"vlM!a5"</f>
        <v/>
      </c>
      <c r="CY21">
        <f>#REF!+"vlM!a6"</f>
        <v/>
      </c>
      <c r="CZ21">
        <f>#REF!+"vlM!a7"</f>
        <v/>
      </c>
      <c r="DA21">
        <f>#REF!+"vlM!a8"</f>
        <v/>
      </c>
      <c r="DB21">
        <f>#REF!+"vlM!a9"</f>
        <v/>
      </c>
      <c r="DC21">
        <f>#REF!+"vlM!a:"</f>
        <v/>
      </c>
      <c r="DD21">
        <f>#REF!+"vlM!a;"</f>
        <v/>
      </c>
      <c r="DE21">
        <f>#REF!+"vlM!a&lt;"</f>
        <v/>
      </c>
      <c r="DF21" s="1">
        <f>#REF!+"vlM!a="</f>
        <v/>
      </c>
      <c r="DG21">
        <f>#REF!+"vlM!a&gt;"</f>
        <v/>
      </c>
      <c r="DH21">
        <f>#REF!+"vlM!a?"</f>
        <v/>
      </c>
      <c r="DI21">
        <f>#REF!+"vlM!a@"</f>
        <v/>
      </c>
      <c r="DJ21">
        <f>#REF!+"vlM!aA"</f>
        <v/>
      </c>
      <c r="DK21">
        <f>#REF!+"vlM!aB"</f>
        <v/>
      </c>
      <c r="DL21">
        <f>#REF!+"vlM!aC"</f>
        <v/>
      </c>
      <c r="DM21">
        <f>#REF!+"vlM!aD"</f>
        <v/>
      </c>
      <c r="DN21">
        <f>#REF!+"vlM!aE"</f>
        <v/>
      </c>
      <c r="DO21">
        <f>#REF!+"vlM!aF"</f>
        <v/>
      </c>
      <c r="DP21">
        <f>#REF!+"vlM!aG"</f>
        <v/>
      </c>
      <c r="DQ21">
        <f>#REF!+"vlM!aH"</f>
        <v/>
      </c>
      <c r="DR21">
        <f>#REF!+"vlM!aI"</f>
        <v/>
      </c>
      <c r="DS21">
        <f>#REF!+"vlM!aJ"</f>
        <v/>
      </c>
      <c r="DT21">
        <f>#REF!+"vlM!aK"</f>
        <v/>
      </c>
      <c r="DU21" s="1">
        <f>#REF!+"vlM!aL"</f>
        <v/>
      </c>
      <c r="DV21">
        <f>#REF!+"vlM!aM"</f>
        <v/>
      </c>
      <c r="DW21">
        <f>#REF!+"vlM!aN"</f>
        <v/>
      </c>
      <c r="DX21">
        <f>#REF!+"vlM!aO"</f>
        <v/>
      </c>
      <c r="DY21">
        <f>#REF!+"vlM!aP"</f>
        <v/>
      </c>
      <c r="DZ21">
        <f>#REF!+"vlM!aQ"</f>
        <v/>
      </c>
      <c r="EA21">
        <f>#REF!+"vlM!aR"</f>
        <v/>
      </c>
      <c r="EB21">
        <f>#REF!+"vlM!aS"</f>
        <v/>
      </c>
      <c r="EC21">
        <f>#REF!+"vlM!aT"</f>
        <v/>
      </c>
      <c r="ED21">
        <f>#REF!+"vlM!aU"</f>
        <v/>
      </c>
      <c r="EE21">
        <f>#REF!+"vlM!aV"</f>
        <v/>
      </c>
      <c r="EF21">
        <f>#REF!+"vlM!aW"</f>
        <v/>
      </c>
      <c r="EG21">
        <f>#REF!+"vlM!aX"</f>
        <v/>
      </c>
      <c r="EH21">
        <f>#REF!+"vlM!aY"</f>
        <v/>
      </c>
      <c r="EI21">
        <f>#REF!+"vlM!aZ"</f>
        <v/>
      </c>
      <c r="EJ21" s="1">
        <f>#REF!+"vlM!a["</f>
        <v/>
      </c>
      <c r="EK21">
        <f>#REF!+"vlM!a\"</f>
        <v/>
      </c>
      <c r="EL21">
        <f>#REF!+"vlM!a]"</f>
        <v/>
      </c>
      <c r="EM21">
        <f>#REF!+"vlM!a^"</f>
        <v/>
      </c>
      <c r="EN21">
        <f>#REF!+"vlM!a_"</f>
        <v/>
      </c>
      <c r="EO21">
        <f>#REF!+"vlM!a`"</f>
        <v/>
      </c>
      <c r="EP21">
        <f>#REF!+"vlM!aa"</f>
        <v/>
      </c>
      <c r="EQ21">
        <f>#REF!+"vlM!ab"</f>
        <v/>
      </c>
      <c r="ER21">
        <f>#REF!+"vlM!ac"</f>
        <v/>
      </c>
      <c r="ES21">
        <f>#REF!+"vlM!ad"</f>
        <v/>
      </c>
      <c r="ET21">
        <f>#REF!+"vlM!ae"</f>
        <v/>
      </c>
      <c r="EU21">
        <f>#REF!+"vlM!af"</f>
        <v/>
      </c>
      <c r="EV21">
        <f>#REF!+"vlM!ag"</f>
        <v/>
      </c>
      <c r="EW21">
        <f>#REF!+"vlM!ah"</f>
        <v/>
      </c>
      <c r="EX21">
        <f>#REF!+"vlM!ai"</f>
        <v/>
      </c>
      <c r="EY21" s="1">
        <f>#REF!+"vlM!aj"</f>
        <v/>
      </c>
      <c r="EZ21">
        <f>#REF!+"vlM!ak"</f>
        <v/>
      </c>
      <c r="FA21">
        <f>#REF!+"vlM!al"</f>
        <v/>
      </c>
      <c r="FB21">
        <f>#REF!+"vlM!am"</f>
        <v/>
      </c>
      <c r="FC21">
        <f>#REF!+"vlM!an"</f>
        <v/>
      </c>
      <c r="FD21">
        <f>#REF!+"vlM!ao"</f>
        <v/>
      </c>
      <c r="FE21">
        <f>#REF!+"vlM!ap"</f>
        <v/>
      </c>
      <c r="FF21">
        <f>#REF!+"vlM!aq"</f>
        <v/>
      </c>
      <c r="FG21">
        <f>#REF!+"vlM!ar"</f>
        <v/>
      </c>
      <c r="FH21">
        <f>#REF!+"vlM!as"</f>
        <v/>
      </c>
      <c r="FI21">
        <f>#REF!+"vlM!at"</f>
        <v/>
      </c>
      <c r="FJ21">
        <f>#REF!+"vlM!au"</f>
        <v/>
      </c>
      <c r="FK21">
        <f>#REF!+"vlM!av"</f>
        <v/>
      </c>
      <c r="FL21">
        <f>#REF!+"vlM!aw"</f>
        <v/>
      </c>
      <c r="FM21">
        <f>#REF!+"vlM!ax"</f>
        <v/>
      </c>
      <c r="FN21" s="1">
        <f>#REF!+"vlM!ay"</f>
        <v/>
      </c>
      <c r="FO21">
        <f>#REF!+"vlM!az"</f>
        <v/>
      </c>
      <c r="FP21">
        <f>#REF!+"vlM!a{"</f>
        <v/>
      </c>
      <c r="FQ21">
        <f>#REF!+"vlM!a|"</f>
        <v/>
      </c>
      <c r="FR21">
        <f>#REF!+"vlM!a}"</f>
        <v/>
      </c>
      <c r="FS21">
        <f>#REF!+"vlM!a~"</f>
        <v/>
      </c>
      <c r="FT21">
        <f>#REF!+"vlM!b#"</f>
        <v/>
      </c>
      <c r="FU21">
        <f>#REF!+"vlM!b$"</f>
        <v/>
      </c>
      <c r="FV21">
        <f>#REF!+"vlM!b%"</f>
        <v/>
      </c>
      <c r="FW21">
        <f>#REF!+"vlM!b&amp;"</f>
        <v/>
      </c>
      <c r="FX21">
        <f>#REF!+"vlM!b'"</f>
        <v/>
      </c>
      <c r="FY21">
        <f>#REF!+"vlM!b("</f>
        <v/>
      </c>
      <c r="FZ21">
        <f>#REF!+"vlM!b)"</f>
        <v/>
      </c>
      <c r="GA21">
        <f>#REF!+"vlM!b."</f>
        <v/>
      </c>
      <c r="GB21">
        <f>#REF!+"vlM!b/"</f>
        <v/>
      </c>
      <c r="GC21" s="1">
        <f>#REF!+"vlM!b0"</f>
        <v/>
      </c>
      <c r="GD21">
        <f>#REF!+"vlM!b1"</f>
        <v/>
      </c>
      <c r="GE21">
        <f>#REF!+"vlM!b2"</f>
        <v/>
      </c>
      <c r="GF21">
        <f>#REF!+"vlM!b3"</f>
        <v/>
      </c>
      <c r="GG21">
        <f>#REF!+"vlM!b4"</f>
        <v/>
      </c>
      <c r="GH21">
        <f>#REF!+"vlM!b5"</f>
        <v/>
      </c>
      <c r="GI21">
        <f>#REF!+"vlM!b6"</f>
        <v/>
      </c>
      <c r="GJ21">
        <f>#REF!+"vlM!b7"</f>
        <v/>
      </c>
      <c r="GK21">
        <f>#REF!+"vlM!b8"</f>
        <v/>
      </c>
      <c r="GL21">
        <f>#REF!+"vlM!b9"</f>
        <v/>
      </c>
      <c r="GM21">
        <f>#REF!+"vlM!b:"</f>
        <v/>
      </c>
      <c r="GN21">
        <f>#REF!+"vlM!b;"</f>
        <v/>
      </c>
      <c r="GO21">
        <f>#REF!+"vlM!b&lt;"</f>
        <v/>
      </c>
      <c r="GP21">
        <f>#REF!+"vlM!b="</f>
        <v/>
      </c>
      <c r="GQ21">
        <f>#REF!+"vlM!b&gt;"</f>
        <v/>
      </c>
      <c r="GR21" s="1">
        <f>#REF!+"vlM!b?"</f>
        <v/>
      </c>
      <c r="GS21">
        <f>#REF!+"vlM!b@"</f>
        <v/>
      </c>
      <c r="GT21">
        <f>#REF!+"vlM!bA"</f>
        <v/>
      </c>
      <c r="GU21">
        <f>#REF!+"vlM!bB"</f>
        <v/>
      </c>
      <c r="GV21">
        <f>#REF!+"vlM!bC"</f>
        <v/>
      </c>
      <c r="GW21">
        <f>#REF!+"vlM!bD"</f>
        <v/>
      </c>
      <c r="GX21">
        <f>#REF!+"vlM!bE"</f>
        <v/>
      </c>
      <c r="GY21">
        <f>#REF!+"vlM!bF"</f>
        <v/>
      </c>
      <c r="GZ21">
        <f>#REF!+"vlM!bG"</f>
        <v/>
      </c>
      <c r="HA21">
        <f>#REF!+"vlM!bH"</f>
        <v/>
      </c>
      <c r="HB21">
        <f>#REF!+"vlM!bI"</f>
        <v/>
      </c>
      <c r="HC21">
        <f>#REF!+"vlM!bJ"</f>
        <v/>
      </c>
      <c r="HD21">
        <f>#REF!+"vlM!bK"</f>
        <v/>
      </c>
      <c r="HE21">
        <f>#REF!+"vlM!bL"</f>
        <v/>
      </c>
      <c r="HF21">
        <f>#REF!+"vlM!bM"</f>
        <v/>
      </c>
      <c r="HG21" s="1">
        <f>#REF!+"vlM!bN"</f>
        <v/>
      </c>
      <c r="HH21">
        <f>#REF!+"vlM!bO"</f>
        <v/>
      </c>
      <c r="HI21">
        <f>#REF!+"vlM!bP"</f>
        <v/>
      </c>
      <c r="HJ21">
        <f>#REF!+"vlM!bQ"</f>
        <v/>
      </c>
      <c r="HK21">
        <f>#REF!+"vlM!bR"</f>
        <v/>
      </c>
      <c r="HL21">
        <f>#REF!+"vlM!bS"</f>
        <v/>
      </c>
      <c r="HM21">
        <f>#REF!+"vlM!bT"</f>
        <v/>
      </c>
      <c r="HN21">
        <f>#REF!+"vlM!bU"</f>
        <v/>
      </c>
      <c r="HO21">
        <f>#REF!+"vlM!bV"</f>
        <v/>
      </c>
      <c r="HP21">
        <f>#REF!+"vlM!bW"</f>
        <v/>
      </c>
      <c r="HQ21">
        <f>#REF!+"vlM!bX"</f>
        <v/>
      </c>
      <c r="HR21">
        <f>#REF!+"vlM!bY"</f>
        <v/>
      </c>
      <c r="HS21">
        <f>#REF!+"vlM!bZ"</f>
        <v/>
      </c>
      <c r="HT21">
        <f>#REF!+"vlM!b["</f>
        <v/>
      </c>
      <c r="HU21">
        <f>#REF!+"vlM!b\"</f>
        <v/>
      </c>
      <c r="HV21" s="1">
        <f>#REF!+"vlM!b]"</f>
        <v/>
      </c>
      <c r="HW21">
        <f>#REF!+"vlM!b^"</f>
        <v/>
      </c>
      <c r="HX21">
        <f>#REF!+"vlM!b_"</f>
        <v/>
      </c>
      <c r="HY21">
        <f>#REF!+"vlM!b`"</f>
        <v/>
      </c>
      <c r="HZ21">
        <f>#REF!+"vlM!ba"</f>
        <v/>
      </c>
      <c r="IA21">
        <f>#REF!+"vlM!bb"</f>
        <v/>
      </c>
      <c r="IB21">
        <f>#REF!+"vlM!bc"</f>
        <v/>
      </c>
      <c r="IC21">
        <f>#REF!+"vlM!bd"</f>
        <v/>
      </c>
      <c r="ID21">
        <f>#REF!+"vlM!be"</f>
        <v/>
      </c>
      <c r="IE21">
        <f>#REF!+"vlM!bf"</f>
        <v/>
      </c>
      <c r="IF21">
        <f>#REF!+"vlM!bg"</f>
        <v/>
      </c>
      <c r="IG21">
        <f>#REF!+"vlM!bh"</f>
        <v/>
      </c>
      <c r="IH21">
        <f>#REF!+"vlM!bi"</f>
        <v/>
      </c>
      <c r="II21">
        <f>#REF!+"vlM!bj"</f>
        <v/>
      </c>
      <c r="IJ21">
        <f>#REF!+"vlM!bk"</f>
        <v/>
      </c>
      <c r="IK21" s="1">
        <f>#REF!+"vlM!bl"</f>
        <v/>
      </c>
      <c r="IL21">
        <f>#REF!+"vlM!bm"</f>
        <v/>
      </c>
      <c r="IM21">
        <f>#REF!+"vlM!bn"</f>
        <v/>
      </c>
      <c r="IN21">
        <f>#REF!+"vlM!bo"</f>
        <v/>
      </c>
      <c r="IO21">
        <f>#REF!+"vlM!bp"</f>
        <v/>
      </c>
      <c r="IP21">
        <f>#REF!+"vlM!bq"</f>
        <v/>
      </c>
      <c r="IQ21">
        <f>#REF!+"vlM!br"</f>
        <v/>
      </c>
      <c r="IR21">
        <f>#REF!+"vlM!bs"</f>
        <v/>
      </c>
      <c r="IS21">
        <f>#REF!+"vlM!bt"</f>
        <v/>
      </c>
      <c r="IT21">
        <f>#REF!+"vlM!bu"</f>
        <v/>
      </c>
      <c r="IU21">
        <f>#REF!+"vlM!bv"</f>
        <v/>
      </c>
      <c r="IV21">
        <f>#REF!+"vlM!bw"</f>
        <v/>
      </c>
    </row>
    <row r="22">
      <c r="F22">
        <f>#REF!+"vlM!bx"</f>
        <v/>
      </c>
      <c r="G22">
        <f>#REF!+"vlM!by"</f>
        <v/>
      </c>
      <c r="H22">
        <f>#REF!+"vlM!bz"</f>
        <v/>
      </c>
      <c r="I22" s="1">
        <f>#REF!+"vlM!b{"</f>
        <v/>
      </c>
      <c r="J22">
        <f>#REF!+"vlM!b|"</f>
        <v/>
      </c>
      <c r="K22">
        <f>#REF!+"vlM!b}"</f>
        <v/>
      </c>
      <c r="L22">
        <f>#REF!+"vlM!b~"</f>
        <v/>
      </c>
      <c r="M22">
        <f>#REF!+"vlM!c#"</f>
        <v/>
      </c>
      <c r="N22">
        <f>#REF!+"vlM!c$"</f>
        <v/>
      </c>
      <c r="O22">
        <f>#REF!+"vlM!c%"</f>
        <v/>
      </c>
      <c r="P22">
        <f>#REF!+"vlM!c&amp;"</f>
        <v/>
      </c>
      <c r="Q22">
        <f>#REF!+"vlM!c'"</f>
        <v/>
      </c>
      <c r="R22">
        <f>#REF!+"vlM!c("</f>
        <v/>
      </c>
      <c r="S22">
        <f>#REF!+"vlM!c)"</f>
        <v/>
      </c>
      <c r="T22">
        <f>#REF!+"vlM!c."</f>
        <v/>
      </c>
      <c r="U22">
        <f>#REF!+"vlM!c/"</f>
        <v/>
      </c>
      <c r="V22">
        <f>#REF!+"vlM!c0"</f>
        <v/>
      </c>
      <c r="W22">
        <f>#REF!+"vlM!c1"</f>
        <v/>
      </c>
      <c r="X22" s="1">
        <f>#REF!+"vlM!c2"</f>
        <v/>
      </c>
      <c r="Y22">
        <f>#REF!+"vlM!c3"</f>
        <v/>
      </c>
      <c r="Z22">
        <f>#REF!+"vlM!c4"</f>
        <v/>
      </c>
      <c r="AA22">
        <f>#REF!+"vlM!c5"</f>
        <v/>
      </c>
      <c r="AB22">
        <f>#REF!+"vlM!c6"</f>
        <v/>
      </c>
      <c r="AC22">
        <f>#REF!+"vlM!c7"</f>
        <v/>
      </c>
      <c r="AD22">
        <f>#REF!+"vlM!c8"</f>
        <v/>
      </c>
      <c r="AE22">
        <f>#REF!+"vlM!c9"</f>
        <v/>
      </c>
      <c r="AF22">
        <f>#REF!+"vlM!c:"</f>
        <v/>
      </c>
      <c r="AG22">
        <f>#REF!+"vlM!c;"</f>
        <v/>
      </c>
      <c r="AH22">
        <f>#REF!+"vlM!c&lt;"</f>
        <v/>
      </c>
      <c r="AI22">
        <f>#REF!+"vlM!c="</f>
        <v/>
      </c>
      <c r="AJ22">
        <f>#REF!+"vlM!c&gt;"</f>
        <v/>
      </c>
      <c r="AK22">
        <f>#REF!+"vlM!c?"</f>
        <v/>
      </c>
      <c r="AL22">
        <f>#REF!+"vlM!c@"</f>
        <v/>
      </c>
      <c r="AM22" s="1">
        <f>#REF!+"vlM!cA"</f>
        <v/>
      </c>
      <c r="AN22">
        <f>#REF!+"vlM!cB"</f>
        <v/>
      </c>
      <c r="AO22">
        <f>#REF!+"vlM!cC"</f>
        <v/>
      </c>
      <c r="AP22">
        <f>#REF!+"vlM!cD"</f>
        <v/>
      </c>
      <c r="AQ22">
        <f>#REF!+"vlM!cE"</f>
        <v/>
      </c>
      <c r="AR22">
        <f>#REF!+"vlM!cF"</f>
        <v/>
      </c>
      <c r="AS22">
        <f>#REF!+"vlM!cG"</f>
        <v/>
      </c>
      <c r="AT22">
        <f>#REF!+"vlM!cH"</f>
        <v/>
      </c>
      <c r="AU22">
        <f>#REF!+"vlM!cI"</f>
        <v/>
      </c>
      <c r="AV22">
        <f>#REF!+"vlM!cJ"</f>
        <v/>
      </c>
      <c r="AW22">
        <f>#REF!+"vlM!cK"</f>
        <v/>
      </c>
      <c r="AX22">
        <f>#REF!+"vlM!cL"</f>
        <v/>
      </c>
      <c r="AY22">
        <f>#REF!+"vlM!cM"</f>
        <v/>
      </c>
      <c r="AZ22">
        <f>#REF!+"vlM!cN"</f>
        <v/>
      </c>
      <c r="BA22">
        <f>#REF!+"vlM!cO"</f>
        <v/>
      </c>
      <c r="BB22" s="1">
        <f>#REF!+"vlM!cP"</f>
        <v/>
      </c>
      <c r="BC22">
        <f>#REF!+"vlM!cQ"</f>
        <v/>
      </c>
      <c r="BD22">
        <f>#REF!+"vlM!cR"</f>
        <v/>
      </c>
      <c r="BE22">
        <f>#REF!+"vlM!cS"</f>
        <v/>
      </c>
      <c r="BF22">
        <f>#REF!+"vlM!cT"</f>
        <v/>
      </c>
      <c r="BG22">
        <f>#REF!+"vlM!cU"</f>
        <v/>
      </c>
      <c r="BH22">
        <f>#REF!+"vlM!cV"</f>
        <v/>
      </c>
      <c r="BI22">
        <f>#REF!+"vlM!cW"</f>
        <v/>
      </c>
      <c r="BJ22">
        <f>#REF!+"vlM!cX"</f>
        <v/>
      </c>
      <c r="BK22">
        <f>#REF!+"vlM!cY"</f>
        <v/>
      </c>
      <c r="BL22">
        <f>#REF!+"vlM!cZ"</f>
        <v/>
      </c>
      <c r="BM22">
        <f>#REF!+"vlM!c["</f>
        <v/>
      </c>
      <c r="BN22">
        <f>#REF!+"vlM!c\"</f>
        <v/>
      </c>
      <c r="BO22">
        <f>#REF!+"vlM!c]"</f>
        <v/>
      </c>
      <c r="BP22">
        <f>#REF!+"vlM!c^"</f>
        <v/>
      </c>
      <c r="BQ22" s="1">
        <f>#REF!+"vlM!c_"</f>
        <v/>
      </c>
      <c r="BR22">
        <f>#REF!+"vlM!c`"</f>
        <v/>
      </c>
      <c r="BS22">
        <f>#REF!+"vlM!ca"</f>
        <v/>
      </c>
      <c r="BT22">
        <f>#REF!+"vlM!cb"</f>
        <v/>
      </c>
      <c r="BU22">
        <f>#REF!+"vlM!cc"</f>
        <v/>
      </c>
      <c r="BV22">
        <f>#REF!+"vlM!cd"</f>
        <v/>
      </c>
      <c r="BW22">
        <f>#REF!+"vlM!ce"</f>
        <v/>
      </c>
      <c r="BX22">
        <f>#REF!+"vlM!cf"</f>
        <v/>
      </c>
      <c r="BY22">
        <f>#REF!+"vlM!cg"</f>
        <v/>
      </c>
      <c r="BZ22">
        <f>#REF!+"vlM!ch"</f>
        <v/>
      </c>
      <c r="CA22">
        <f>#REF!+"vlM!ci"</f>
        <v/>
      </c>
      <c r="CB22">
        <f>#REF!+"vlM!cj"</f>
        <v/>
      </c>
      <c r="CC22">
        <f>#REF!+"vlM!ck"</f>
        <v/>
      </c>
      <c r="CD22">
        <f>#REF!+"vlM!cl"</f>
        <v/>
      </c>
      <c r="CE22">
        <f>#REF!+"vlM!cm"</f>
        <v/>
      </c>
      <c r="CF22" s="1">
        <f>#REF!+"vlM!cn"</f>
        <v/>
      </c>
      <c r="CG22">
        <f>#REF!+"vlM!co"</f>
        <v/>
      </c>
      <c r="CH22">
        <f>#REF!+"vlM!cp"</f>
        <v/>
      </c>
      <c r="CI22">
        <f>#REF!+"vlM!cq"</f>
        <v/>
      </c>
      <c r="CJ22">
        <f>#REF!+"vlM!cr"</f>
        <v/>
      </c>
      <c r="CK22">
        <f>#REF!+"vlM!cs"</f>
        <v/>
      </c>
      <c r="CL22">
        <f>#REF!+"vlM!ct"</f>
        <v/>
      </c>
      <c r="CM22">
        <f>#REF!+"vlM!cu"</f>
        <v/>
      </c>
      <c r="CN22">
        <f>#REF!+"vlM!cv"</f>
        <v/>
      </c>
      <c r="CO22">
        <f>#REF!+"vlM!cw"</f>
        <v/>
      </c>
      <c r="CP22">
        <f>#REF!+"vlM!cx"</f>
        <v/>
      </c>
      <c r="CQ22">
        <f>#REF!+"vlM!cy"</f>
        <v/>
      </c>
      <c r="CR22">
        <f>#REF!+"vlM!cz"</f>
        <v/>
      </c>
      <c r="CS22">
        <f>#REF!+"vlM!c{"</f>
        <v/>
      </c>
      <c r="CT22">
        <f>#REF!+"vlM!c|"</f>
        <v/>
      </c>
      <c r="CU22" s="1">
        <f>#REF!+"vlM!c}"</f>
        <v/>
      </c>
      <c r="CV22">
        <f>#REF!+"vlM!c~"</f>
        <v/>
      </c>
      <c r="CW22">
        <f>#REF!+"vlM!d#"</f>
        <v/>
      </c>
      <c r="CX22">
        <f>#REF!+"vlM!d$"</f>
        <v/>
      </c>
      <c r="CY22">
        <f>#REF!+"vlM!d%"</f>
        <v/>
      </c>
      <c r="CZ22">
        <f>#REF!+"vlM!d&amp;"</f>
        <v/>
      </c>
      <c r="DA22">
        <f>#REF!+"vlM!d'"</f>
        <v/>
      </c>
      <c r="DB22">
        <f>#REF!+"vlM!d("</f>
        <v/>
      </c>
      <c r="DC22">
        <f>#REF!+"vlM!d)"</f>
        <v/>
      </c>
      <c r="DD22">
        <f>#REF!+"vlM!d."</f>
        <v/>
      </c>
      <c r="DE22">
        <f>#REF!+"vlM!d/"</f>
        <v/>
      </c>
      <c r="DF22">
        <f>#REF!+"vlM!d0"</f>
        <v/>
      </c>
      <c r="DG22">
        <f>#REF!+"vlM!d1"</f>
        <v/>
      </c>
      <c r="DH22">
        <f>#REF!+"vlM!d2"</f>
        <v/>
      </c>
      <c r="DI22">
        <f>#REF!+"vlM!d3"</f>
        <v/>
      </c>
      <c r="DJ22" s="1">
        <f>#REF!+"vlM!d4"</f>
        <v/>
      </c>
      <c r="DK22">
        <f>#REF!+"vlM!d5"</f>
        <v/>
      </c>
      <c r="DL22">
        <f>#REF!+"vlM!d6"</f>
        <v/>
      </c>
      <c r="DM22">
        <f>#REF!+"vlM!d7"</f>
        <v/>
      </c>
      <c r="DN22">
        <f>#REF!+"vlM!d8"</f>
        <v/>
      </c>
      <c r="DO22">
        <f>#REF!+"vlM!d9"</f>
        <v/>
      </c>
      <c r="DP22">
        <f>#REF!+"vlM!d:"</f>
        <v/>
      </c>
      <c r="DQ22">
        <f>#REF!+"vlM!d;"</f>
        <v/>
      </c>
      <c r="DR22">
        <f>#REF!+"vlM!d&lt;"</f>
        <v/>
      </c>
      <c r="DS22">
        <f>#REF!+"vlM!d="</f>
        <v/>
      </c>
      <c r="DT22">
        <f>#REF!+"vlM!d&gt;"</f>
        <v/>
      </c>
      <c r="DU22">
        <f>#REF!+"vlM!d?"</f>
        <v/>
      </c>
      <c r="DV22">
        <f>#REF!+"vlM!d@"</f>
        <v/>
      </c>
      <c r="DW22">
        <f>#REF!+"vlM!dA"</f>
        <v/>
      </c>
      <c r="DX22">
        <f>#REF!+"vlM!dB"</f>
        <v/>
      </c>
      <c r="DY22" s="1">
        <f>#REF!+"vlM!dC"</f>
        <v/>
      </c>
      <c r="DZ22">
        <f>#REF!+"vlM!dD"</f>
        <v/>
      </c>
      <c r="EA22">
        <f>#REF!+"vlM!dE"</f>
        <v/>
      </c>
      <c r="EB22">
        <f>#REF!+"vlM!dF"</f>
        <v/>
      </c>
      <c r="EC22">
        <f>#REF!+"vlM!dG"</f>
        <v/>
      </c>
      <c r="ED22">
        <f>#REF!+"vlM!dH"</f>
        <v/>
      </c>
      <c r="EE22">
        <f>#REF!+"vlM!dI"</f>
        <v/>
      </c>
      <c r="EF22">
        <f>#REF!+"vlM!dJ"</f>
        <v/>
      </c>
      <c r="EG22">
        <f>#REF!+"vlM!dK"</f>
        <v/>
      </c>
      <c r="EH22">
        <f>#REF!+"vlM!dL"</f>
        <v/>
      </c>
      <c r="EI22">
        <f>#REF!+"vlM!dM"</f>
        <v/>
      </c>
      <c r="EJ22">
        <f>#REF!+"vlM!dN"</f>
        <v/>
      </c>
      <c r="EK22">
        <f>#REF!+"vlM!dO"</f>
        <v/>
      </c>
      <c r="EL22">
        <f>#REF!+"vlM!dP"</f>
        <v/>
      </c>
      <c r="EM22">
        <f>#REF!+"vlM!dQ"</f>
        <v/>
      </c>
      <c r="EN22" s="1">
        <f>#REF!+"vlM!dR"</f>
        <v/>
      </c>
      <c r="EO22">
        <f>#REF!+"vlM!dS"</f>
        <v/>
      </c>
      <c r="EP22">
        <f>#REF!+"vlM!dT"</f>
        <v/>
      </c>
      <c r="EQ22">
        <f>#REF!+"vlM!dU"</f>
        <v/>
      </c>
      <c r="ER22">
        <f>#REF!+"vlM!dV"</f>
        <v/>
      </c>
      <c r="ES22">
        <f>#REF!+"vlM!dW"</f>
        <v/>
      </c>
      <c r="ET22">
        <f>#REF!+"vlM!dX"</f>
        <v/>
      </c>
      <c r="EU22">
        <f>#REF!+"vlM!dY"</f>
        <v/>
      </c>
      <c r="EV22">
        <f>#REF!+"vlM!dZ"</f>
        <v/>
      </c>
      <c r="EW22">
        <f>#REF!+"vlM!d["</f>
        <v/>
      </c>
      <c r="EX22">
        <f>#REF!+"vlM!d\"</f>
        <v/>
      </c>
      <c r="EY22">
        <f>#REF!+"vlM!d]"</f>
        <v/>
      </c>
      <c r="EZ22">
        <f>#REF!+"vlM!d^"</f>
        <v/>
      </c>
      <c r="FA22">
        <f>#REF!+"vlM!d_"</f>
        <v/>
      </c>
      <c r="FB22">
        <f>#REF!+"vlM!d`"</f>
        <v/>
      </c>
      <c r="FC22" s="1">
        <f>#REF!+"vlM!da"</f>
        <v/>
      </c>
      <c r="FD22">
        <f>#REF!+"vlM!db"</f>
        <v/>
      </c>
      <c r="FE22">
        <f>#REF!+"vlM!dc"</f>
        <v/>
      </c>
      <c r="FF22">
        <f>#REF!+"vlM!dd"</f>
        <v/>
      </c>
      <c r="FG22">
        <f>#REF!+"vlM!de"</f>
        <v/>
      </c>
      <c r="FH22">
        <f>#REF!+"vlM!df"</f>
        <v/>
      </c>
      <c r="FI22">
        <f>#REF!+"vlM!dg"</f>
        <v/>
      </c>
      <c r="FJ22">
        <f>#REF!+"vlM!dh"</f>
        <v/>
      </c>
      <c r="FK22">
        <f>#REF!+"vlM!di"</f>
        <v/>
      </c>
      <c r="FL22">
        <f>#REF!+"vlM!dj"</f>
        <v/>
      </c>
      <c r="FM22">
        <f>#REF!+"vlM!dk"</f>
        <v/>
      </c>
      <c r="FN22">
        <f>#REF!+"vlM!dl"</f>
        <v/>
      </c>
      <c r="FO22">
        <f>#REF!+"vlM!dm"</f>
        <v/>
      </c>
      <c r="FP22">
        <f>#REF!+"vlM!dn"</f>
        <v/>
      </c>
      <c r="FQ22">
        <f>#REF!+"vlM!do"</f>
        <v/>
      </c>
      <c r="FR22" s="1">
        <f>#REF!+"vlM!dp"</f>
        <v/>
      </c>
      <c r="FS22">
        <f>#REF!+"vlM!dq"</f>
        <v/>
      </c>
      <c r="FT22">
        <f>#REF!+"vlM!dr"</f>
        <v/>
      </c>
      <c r="FU22">
        <f>#REF!+"vlM!ds"</f>
        <v/>
      </c>
      <c r="FV22">
        <f>#REF!+"vlM!dt"</f>
        <v/>
      </c>
      <c r="FW22">
        <f>#REF!+"vlM!du"</f>
        <v/>
      </c>
      <c r="FX22">
        <f>#REF!+"vlM!dv"</f>
        <v/>
      </c>
      <c r="FY22">
        <f>#REF!+"vlM!dw"</f>
        <v/>
      </c>
      <c r="FZ22">
        <f>#REF!+"vlM!dx"</f>
        <v/>
      </c>
      <c r="GA22">
        <f>#REF!+"vlM!dy"</f>
        <v/>
      </c>
      <c r="GB22">
        <f>#REF!+"vlM!dz"</f>
        <v/>
      </c>
      <c r="GC22">
        <f>#REF!+"vlM!d{"</f>
        <v/>
      </c>
      <c r="GD22">
        <f>#REF!+"vlM!d|"</f>
        <v/>
      </c>
      <c r="GE22">
        <f>#REF!+"vlM!d}"</f>
        <v/>
      </c>
      <c r="GF22">
        <f>#REF!+"vlM!d~"</f>
        <v/>
      </c>
      <c r="GG22" s="1">
        <f>#REF!+"vlM!e#"</f>
        <v/>
      </c>
      <c r="GH22">
        <f>#REF!+"vlM!e$"</f>
        <v/>
      </c>
      <c r="GI22">
        <f>#REF!+"vlM!e%"</f>
        <v/>
      </c>
      <c r="GJ22">
        <f>#REF!+"vlM!e&amp;"</f>
        <v/>
      </c>
      <c r="GK22">
        <f>#REF!+"vlM!e'"</f>
        <v/>
      </c>
      <c r="GL22">
        <f>#REF!+"vlM!e("</f>
        <v/>
      </c>
      <c r="GM22">
        <f>#REF!+"vlM!e)"</f>
        <v/>
      </c>
      <c r="GN22">
        <f>#REF!+"vlM!e."</f>
        <v/>
      </c>
      <c r="GO22">
        <f>#REF!+"vlM!e/"</f>
        <v/>
      </c>
      <c r="GP22">
        <f>#REF!+"vlM!e0"</f>
        <v/>
      </c>
      <c r="GQ22">
        <f>#REF!+"vlM!e1"</f>
        <v/>
      </c>
      <c r="GR22">
        <f>#REF!+"vlM!e2"</f>
        <v/>
      </c>
      <c r="GS22">
        <f>#REF!+"vlM!e3"</f>
        <v/>
      </c>
      <c r="GT22">
        <f>#REF!+"vlM!e4"</f>
        <v/>
      </c>
      <c r="GU22">
        <f>#REF!+"vlM!e5"</f>
        <v/>
      </c>
      <c r="GV22" s="1">
        <f>#REF!+"vlM!e6"</f>
        <v/>
      </c>
      <c r="GW22">
        <f>#REF!+"vlM!e7"</f>
        <v/>
      </c>
      <c r="GX22">
        <f>#REF!+"vlM!e8"</f>
        <v/>
      </c>
      <c r="GY22">
        <f>#REF!+"vlM!e9"</f>
        <v/>
      </c>
      <c r="GZ22">
        <f>#REF!+"vlM!e:"</f>
        <v/>
      </c>
      <c r="HA22">
        <f>#REF!+"vlM!e;"</f>
        <v/>
      </c>
      <c r="HB22">
        <f>#REF!+"vlM!e&lt;"</f>
        <v/>
      </c>
      <c r="HC22">
        <f>#REF!+"vlM!e="</f>
        <v/>
      </c>
      <c r="HD22">
        <f>#REF!+"vlM!e&gt;"</f>
        <v/>
      </c>
      <c r="HE22">
        <f>#REF!+"vlM!e?"</f>
        <v/>
      </c>
      <c r="HF22">
        <f>#REF!+"vlM!e@"</f>
        <v/>
      </c>
      <c r="HG22">
        <f>#REF!+"vlM!eA"</f>
        <v/>
      </c>
      <c r="HH22">
        <f>#REF!+"vlM!eB"</f>
        <v/>
      </c>
      <c r="HI22">
        <f>#REF!+"vlM!eC"</f>
        <v/>
      </c>
      <c r="HJ22">
        <f>#REF!+"vlM!eD"</f>
        <v/>
      </c>
      <c r="HK22" s="1">
        <f>#REF!+"vlM!eE"</f>
        <v/>
      </c>
      <c r="HL22">
        <f>#REF!+"vlM!eF"</f>
        <v/>
      </c>
      <c r="HM22">
        <f>#REF!+"vlM!eG"</f>
        <v/>
      </c>
      <c r="HN22">
        <f>#REF!+"vlM!eH"</f>
        <v/>
      </c>
      <c r="HO22">
        <f>#REF!+"vlM!eI"</f>
        <v/>
      </c>
      <c r="HP22">
        <f>#REF!+"vlM!eJ"</f>
        <v/>
      </c>
      <c r="HQ22">
        <f>#REF!+"vlM!eK"</f>
        <v/>
      </c>
      <c r="HR22">
        <f>#REF!+"vlM!eL"</f>
        <v/>
      </c>
      <c r="HS22">
        <f>#REF!+"vlM!eM"</f>
        <v/>
      </c>
      <c r="HT22">
        <f>#REF!+"vlM!eN"</f>
        <v/>
      </c>
      <c r="HU22">
        <f>#REF!+"vlM!eO"</f>
        <v/>
      </c>
      <c r="HV22">
        <f>#REF!+"vlM!eP"</f>
        <v/>
      </c>
      <c r="HW22">
        <f>#REF!+"vlM!eQ"</f>
        <v/>
      </c>
      <c r="HX22">
        <f>#REF!+"vlM!eR"</f>
        <v/>
      </c>
      <c r="HY22">
        <f>#REF!+"vlM!eS"</f>
        <v/>
      </c>
      <c r="HZ22" s="1">
        <f>#REF!+"vlM!eT"</f>
        <v/>
      </c>
      <c r="IA22">
        <f>#REF!+"vlM!eU"</f>
        <v/>
      </c>
      <c r="IB22">
        <f>#REF!+"vlM!eV"</f>
        <v/>
      </c>
      <c r="IC22">
        <f>#REF!+"vlM!eW"</f>
        <v/>
      </c>
      <c r="ID22">
        <f>#REF!+"vlM!eX"</f>
        <v/>
      </c>
      <c r="IE22">
        <f>#REF!+"vlM!eY"</f>
        <v/>
      </c>
      <c r="IF22">
        <f>#REF!+"vlM!eZ"</f>
        <v/>
      </c>
      <c r="IG22">
        <f>#REF!+"vlM!e["</f>
        <v/>
      </c>
      <c r="IH22">
        <f>#REF!+"vlM!e\"</f>
        <v/>
      </c>
      <c r="II22">
        <f>#REF!+"vlM!e]"</f>
        <v/>
      </c>
      <c r="IJ22">
        <f>#REF!+"vlM!e^"</f>
        <v/>
      </c>
      <c r="IK22">
        <f>#REF!+"vlM!e_"</f>
        <v/>
      </c>
      <c r="IL22">
        <f>#REF!+"vlM!e`"</f>
        <v/>
      </c>
      <c r="IM22">
        <f>#REF!+"vlM!ea"</f>
        <v/>
      </c>
      <c r="IN22">
        <f>#REF!+"vlM!eb"</f>
        <v/>
      </c>
      <c r="IO22" s="1">
        <f>#REF!+"vlM!ec"</f>
        <v/>
      </c>
      <c r="IP22">
        <f>#REF!+"vlM!ed"</f>
        <v/>
      </c>
      <c r="IQ22">
        <f>#REF!+"vlM!ee"</f>
        <v/>
      </c>
      <c r="IR22">
        <f>#REF!+"vlM!ef"</f>
        <v/>
      </c>
      <c r="IS22">
        <f>#REF!+"vlM!eg"</f>
        <v/>
      </c>
      <c r="IT22">
        <f>#REF!+"vlM!eh"</f>
        <v/>
      </c>
      <c r="IU22">
        <f>#REF!+"vlM!ei"</f>
        <v/>
      </c>
      <c r="IV22">
        <f>#REF!+"vlM!ej"</f>
        <v/>
      </c>
    </row>
    <row r="23">
      <c r="F23">
        <f>#REF!+"vlM!ek"</f>
        <v/>
      </c>
      <c r="G23">
        <f>#REF!+"vlM!el"</f>
        <v/>
      </c>
      <c r="H23">
        <f>#REF!+"vlM!em"</f>
        <v/>
      </c>
      <c r="I23">
        <f>#REF!+"vlM!en"</f>
        <v/>
      </c>
      <c r="J23">
        <f>#REF!+"vlM!eo"</f>
        <v/>
      </c>
      <c r="K23">
        <f>#REF!+"vlM!ep"</f>
        <v/>
      </c>
      <c r="L23">
        <f>#REF!+"vlM!eq"</f>
        <v/>
      </c>
      <c r="M23" s="1">
        <f>#REF!+"vlM!er"</f>
        <v/>
      </c>
      <c r="N23">
        <f>#REF!+"vlM!es"</f>
        <v/>
      </c>
      <c r="O23">
        <f>#REF!+"vlM!et"</f>
        <v/>
      </c>
      <c r="P23">
        <f>#REF!+"vlM!eu"</f>
        <v/>
      </c>
      <c r="Q23">
        <f>#REF!+"vlM!ev"</f>
        <v/>
      </c>
      <c r="R23">
        <f>#REF!+"vlM!ew"</f>
        <v/>
      </c>
      <c r="S23">
        <f>#REF!+"vlM!ex"</f>
        <v/>
      </c>
      <c r="T23">
        <f>#REF!+"vlM!ey"</f>
        <v/>
      </c>
      <c r="U23">
        <f>#REF!+"vlM!ez"</f>
        <v/>
      </c>
      <c r="V23">
        <f>#REF!+"vlM!e{"</f>
        <v/>
      </c>
      <c r="W23">
        <f>#REF!+"vlM!e|"</f>
        <v/>
      </c>
      <c r="X23">
        <f>#REF!+"vlM!e}"</f>
        <v/>
      </c>
      <c r="Y23">
        <f>#REF!+"vlM!e~"</f>
        <v/>
      </c>
      <c r="Z23">
        <f>#REF!+"vlM!f#"</f>
        <v/>
      </c>
      <c r="AA23">
        <f>#REF!+"vlM!f$"</f>
        <v/>
      </c>
      <c r="AB23" s="1">
        <f>#REF!+"vlM!f%"</f>
        <v/>
      </c>
      <c r="AC23">
        <f>#REF!+"vlM!f&amp;"</f>
        <v/>
      </c>
      <c r="AD23">
        <f>#REF!+"vlM!f'"</f>
        <v/>
      </c>
      <c r="AE23">
        <f>#REF!+"vlM!f("</f>
        <v/>
      </c>
      <c r="AF23">
        <f>#REF!+"vlM!f)"</f>
        <v/>
      </c>
      <c r="AG23">
        <f>#REF!+"vlM!f."</f>
        <v/>
      </c>
      <c r="AH23">
        <f>#REF!+"vlM!f/"</f>
        <v/>
      </c>
      <c r="AI23">
        <f>#REF!+"vlM!f0"</f>
        <v/>
      </c>
      <c r="AJ23">
        <f>#REF!+"vlM!f1"</f>
        <v/>
      </c>
      <c r="AK23">
        <f>#REF!+"vlM!f2"</f>
        <v/>
      </c>
      <c r="AL23">
        <f>#REF!+"vlM!f3"</f>
        <v/>
      </c>
      <c r="AM23">
        <f>#REF!+"vlM!f4"</f>
        <v/>
      </c>
      <c r="AN23">
        <f>#REF!+"vlM!f5"</f>
        <v/>
      </c>
      <c r="AO23">
        <f>#REF!+"vlM!f6"</f>
        <v/>
      </c>
      <c r="AP23">
        <f>#REF!+"vlM!f7"</f>
        <v/>
      </c>
      <c r="AQ23" s="1">
        <f>#REF!+"vlM!f8"</f>
        <v/>
      </c>
      <c r="AR23">
        <f>#REF!+"vlM!f9"</f>
        <v/>
      </c>
      <c r="AS23">
        <f>#REF!+"vlM!f:"</f>
        <v/>
      </c>
      <c r="AT23">
        <f>#REF!+"vlM!f;"</f>
        <v/>
      </c>
      <c r="AU23">
        <f>#REF!+"vlM!f&lt;"</f>
        <v/>
      </c>
      <c r="AV23">
        <f>#REF!+"vlM!f="</f>
        <v/>
      </c>
      <c r="AW23">
        <f>#REF!+"vlM!f&gt;"</f>
        <v/>
      </c>
      <c r="AX23">
        <f>#REF!+"vlM!f?"</f>
        <v/>
      </c>
      <c r="AY23">
        <f>#REF!+"vlM!f@"</f>
        <v/>
      </c>
      <c r="AZ23">
        <f>#REF!+"vlM!fA"</f>
        <v/>
      </c>
      <c r="BA23">
        <f>#REF!+"vlM!fB"</f>
        <v/>
      </c>
      <c r="BB23">
        <f>#REF!+"vlM!fC"</f>
        <v/>
      </c>
      <c r="BC23">
        <f>#REF!+"vlM!fD"</f>
        <v/>
      </c>
      <c r="BD23">
        <f>#REF!+"vlM!fE"</f>
        <v/>
      </c>
      <c r="BE23">
        <f>#REF!+"vlM!fF"</f>
        <v/>
      </c>
      <c r="BF23" s="1">
        <f>#REF!+"vlM!fG"</f>
        <v/>
      </c>
      <c r="BG23">
        <f>#REF!+"vlM!fH"</f>
        <v/>
      </c>
      <c r="BH23">
        <f>#REF!+"vlM!fI"</f>
        <v/>
      </c>
      <c r="BI23">
        <f>#REF!+"vlM!fJ"</f>
        <v/>
      </c>
      <c r="BJ23">
        <f>#REF!+"vlM!fK"</f>
        <v/>
      </c>
      <c r="BK23">
        <f>#REF!+"vlM!fL"</f>
        <v/>
      </c>
      <c r="BL23">
        <f>#REF!+"vlM!fM"</f>
        <v/>
      </c>
      <c r="BM23">
        <f>#REF!+"vlM!fN"</f>
        <v/>
      </c>
      <c r="BN23">
        <f>#REF!+"vlM!fO"</f>
        <v/>
      </c>
      <c r="BO23">
        <f>#REF!+"vlM!fP"</f>
        <v/>
      </c>
      <c r="BP23">
        <f>#REF!+"vlM!fQ"</f>
        <v/>
      </c>
      <c r="BQ23">
        <f>#REF!+"vlM!fR"</f>
        <v/>
      </c>
      <c r="BR23">
        <f>#REF!+"vlM!fS"</f>
        <v/>
      </c>
      <c r="BS23">
        <f>#REF!+"vlM!fT"</f>
        <v/>
      </c>
      <c r="BT23">
        <f>#REF!+"vlM!fU"</f>
        <v/>
      </c>
      <c r="BU23" s="1">
        <f>#REF!+"vlM!fV"</f>
        <v/>
      </c>
      <c r="BV23">
        <f>#REF!+"vlM!fW"</f>
        <v/>
      </c>
      <c r="BW23">
        <f>#REF!+"vlM!fX"</f>
        <v/>
      </c>
      <c r="BX23">
        <f>#REF!+"vlM!fY"</f>
        <v/>
      </c>
      <c r="BY23">
        <f>#REF!+"vlM!fZ"</f>
        <v/>
      </c>
      <c r="BZ23">
        <f>#REF!+"vlM!f["</f>
        <v/>
      </c>
      <c r="CA23">
        <f>#REF!+"vlM!f\"</f>
        <v/>
      </c>
      <c r="CB23">
        <f>#REF!+"vlM!f]"</f>
        <v/>
      </c>
      <c r="CC23">
        <f>#REF!+"vlM!f^"</f>
        <v/>
      </c>
      <c r="CD23">
        <f>#REF!+"vlM!f_"</f>
        <v/>
      </c>
      <c r="CE23">
        <f>#REF!+"vlM!f`"</f>
        <v/>
      </c>
      <c r="CF23">
        <f>#REF!+"vlM!fa"</f>
        <v/>
      </c>
      <c r="CG23">
        <f>#REF!+"vlM!fb"</f>
        <v/>
      </c>
      <c r="CH23">
        <f>#REF!+"vlM!fc"</f>
        <v/>
      </c>
      <c r="CI23">
        <f>#REF!+"vlM!fd"</f>
        <v/>
      </c>
      <c r="CJ23" s="1">
        <f>#REF!+"vlM!fe"</f>
        <v/>
      </c>
      <c r="CK23">
        <f>#REF!+"vlM!ff"</f>
        <v/>
      </c>
      <c r="CL23">
        <f>#REF!+"vlM!fg"</f>
        <v/>
      </c>
      <c r="CM23">
        <f>#REF!+"vlM!fh"</f>
        <v/>
      </c>
      <c r="CN23">
        <f>#REF!+"vlM!fi"</f>
        <v/>
      </c>
      <c r="CO23">
        <f>#REF!+"vlM!fj"</f>
        <v/>
      </c>
      <c r="CP23">
        <f>#REF!+"vlM!fk"</f>
        <v/>
      </c>
      <c r="CQ23">
        <f>#REF!+"vlM!fl"</f>
        <v/>
      </c>
      <c r="CR23">
        <f>#REF!+"vlM!fm"</f>
        <v/>
      </c>
      <c r="CS23">
        <f>#REF!+"vlM!fn"</f>
        <v/>
      </c>
      <c r="CT23">
        <f>#REF!+"vlM!fo"</f>
        <v/>
      </c>
      <c r="CU23">
        <f>#REF!+"vlM!fp"</f>
        <v/>
      </c>
      <c r="CV23">
        <f>#REF!+"vlM!fq"</f>
        <v/>
      </c>
      <c r="CW23">
        <f>#REF!+"vlM!fr"</f>
        <v/>
      </c>
      <c r="CX23">
        <f>#REF!+"vlM!fs"</f>
        <v/>
      </c>
      <c r="CY23" s="1">
        <f>#REF!+"vlM!ft"</f>
        <v/>
      </c>
      <c r="CZ23">
        <f>#REF!+"vlM!fu"</f>
        <v/>
      </c>
      <c r="DA23">
        <f>#REF!+"vlM!fv"</f>
        <v/>
      </c>
      <c r="DB23">
        <f>#REF!+"vlM!fw"</f>
        <v/>
      </c>
      <c r="DC23">
        <f>#REF!+"vlM!fx"</f>
        <v/>
      </c>
      <c r="DD23">
        <f>#REF!+"vlM!fy"</f>
        <v/>
      </c>
      <c r="DE23">
        <f>#REF!+"vlM!fz"</f>
        <v/>
      </c>
      <c r="DF23">
        <f>#REF!+"vlM!f{"</f>
        <v/>
      </c>
      <c r="DG23">
        <f>#REF!+"vlM!f|"</f>
        <v/>
      </c>
      <c r="DH23">
        <f>#REF!+"vlM!f}"</f>
        <v/>
      </c>
      <c r="DI23">
        <f>#REF!+"vlM!f~"</f>
        <v/>
      </c>
      <c r="DJ23">
        <f>#REF!+"vlM!g#"</f>
        <v/>
      </c>
      <c r="DK23">
        <f>#REF!+"vlM!g$"</f>
        <v/>
      </c>
      <c r="DL23">
        <f>#REF!+"vlM!g%"</f>
        <v/>
      </c>
      <c r="DM23">
        <f>#REF!+"vlM!g&amp;"</f>
        <v/>
      </c>
      <c r="DN23" s="1">
        <f>#REF!+"vlM!g'"</f>
        <v/>
      </c>
      <c r="DO23">
        <f>#REF!+"vlM!g("</f>
        <v/>
      </c>
      <c r="DP23">
        <f>#REF!+"vlM!g)"</f>
        <v/>
      </c>
      <c r="DQ23">
        <f>#REF!+"vlM!g."</f>
        <v/>
      </c>
      <c r="DR23">
        <f>#REF!+"vlM!g/"</f>
        <v/>
      </c>
      <c r="DS23">
        <f>#REF!+"vlM!g0"</f>
        <v/>
      </c>
      <c r="DT23">
        <f>#REF!+"vlM!g1"</f>
        <v/>
      </c>
      <c r="DU23">
        <f>#REF!+"vlM!g2"</f>
        <v/>
      </c>
      <c r="DV23">
        <f>#REF!+"vlM!g3"</f>
        <v/>
      </c>
      <c r="DW23">
        <f>#REF!+"vlM!g4"</f>
        <v/>
      </c>
      <c r="DX23">
        <f>#REF!+"vlM!g5"</f>
        <v/>
      </c>
      <c r="DY23">
        <f>#REF!+"vlM!g6"</f>
        <v/>
      </c>
      <c r="DZ23">
        <f>#REF!+"vlM!g7"</f>
        <v/>
      </c>
      <c r="EA23">
        <f>#REF!+"vlM!g8"</f>
        <v/>
      </c>
      <c r="EB23">
        <f>#REF!+"vlM!g9"</f>
        <v/>
      </c>
      <c r="EC23" s="1">
        <f>#REF!+"vlM!g:"</f>
        <v/>
      </c>
      <c r="ED23">
        <f>#REF!+"vlM!g;"</f>
        <v/>
      </c>
      <c r="EE23">
        <f>#REF!+"vlM!g&lt;"</f>
        <v/>
      </c>
      <c r="EF23">
        <f>#REF!+"vlM!g="</f>
        <v/>
      </c>
      <c r="EG23">
        <f>#REF!+"vlM!g&gt;"</f>
        <v/>
      </c>
      <c r="EH23">
        <f>#REF!+"vlM!g?"</f>
        <v/>
      </c>
      <c r="EI23">
        <f>#REF!+"vlM!g@"</f>
        <v/>
      </c>
      <c r="EJ23">
        <f>#REF!+"vlM!gA"</f>
        <v/>
      </c>
      <c r="EK23">
        <f>#REF!+"vlM!gB"</f>
        <v/>
      </c>
      <c r="EL23">
        <f>#REF!+"vlM!gC"</f>
        <v/>
      </c>
      <c r="EM23">
        <f>#REF!+"vlM!gD"</f>
        <v/>
      </c>
      <c r="EN23">
        <f>#REF!+"vlM!gE"</f>
        <v/>
      </c>
      <c r="EO23">
        <f>#REF!+"vlM!gF"</f>
        <v/>
      </c>
      <c r="EP23">
        <f>#REF!+"vlM!gG"</f>
        <v/>
      </c>
      <c r="EQ23">
        <f>#REF!+"vlM!gH"</f>
        <v/>
      </c>
      <c r="ER23" s="1">
        <f>#REF!+"vlM!gI"</f>
        <v/>
      </c>
      <c r="ES23">
        <f>#REF!+"vlM!gJ"</f>
        <v/>
      </c>
      <c r="ET23">
        <f>#REF!+"vlM!gK"</f>
        <v/>
      </c>
      <c r="EU23">
        <f>#REF!+"vlM!gL"</f>
        <v/>
      </c>
      <c r="EV23">
        <f>#REF!+"vlM!gM"</f>
        <v/>
      </c>
      <c r="EW23">
        <f>#REF!+"vlM!gN"</f>
        <v/>
      </c>
      <c r="EX23">
        <f>#REF!+"vlM!gO"</f>
        <v/>
      </c>
      <c r="EY23">
        <f>#REF!+"vlM!gP"</f>
        <v/>
      </c>
      <c r="EZ23">
        <f>#REF!+"vlM!gQ"</f>
        <v/>
      </c>
      <c r="FA23">
        <f>#REF!+"vlM!gR"</f>
        <v/>
      </c>
      <c r="FB23">
        <f>#REF!+"vlM!gS"</f>
        <v/>
      </c>
      <c r="FC23">
        <f>#REF!+"vlM!gT"</f>
        <v/>
      </c>
      <c r="FD23">
        <f>#REF!+"vlM!gU"</f>
        <v/>
      </c>
      <c r="FE23">
        <f>#REF!+"vlM!gV"</f>
        <v/>
      </c>
      <c r="FF23">
        <f>#REF!+"vlM!gW"</f>
        <v/>
      </c>
      <c r="FG23" s="1">
        <f>#REF!+"vlM!gX"</f>
        <v/>
      </c>
      <c r="FH23">
        <f>#REF!+"vlM!gY"</f>
        <v/>
      </c>
      <c r="FI23">
        <f>#REF!+"vlM!gZ"</f>
        <v/>
      </c>
      <c r="FJ23">
        <f>#REF!+"vlM!g["</f>
        <v/>
      </c>
      <c r="FK23">
        <f>#REF!+"vlM!g\"</f>
        <v/>
      </c>
      <c r="FL23">
        <f>#REF!+"vlM!g]"</f>
        <v/>
      </c>
      <c r="FM23">
        <f>#REF!+"vlM!g^"</f>
        <v/>
      </c>
      <c r="FN23">
        <f>#REF!+"vlM!g_"</f>
        <v/>
      </c>
      <c r="FO23">
        <f>#REF!+"vlM!g`"</f>
        <v/>
      </c>
      <c r="FP23">
        <f>#REF!+"vlM!ga"</f>
        <v/>
      </c>
      <c r="FQ23">
        <f>#REF!+"vlM!gb"</f>
        <v/>
      </c>
      <c r="FR23">
        <f>#REF!+"vlM!gc"</f>
        <v/>
      </c>
      <c r="FS23">
        <f>#REF!+"vlM!gd"</f>
        <v/>
      </c>
      <c r="FT23">
        <f>#REF!+"vlM!ge"</f>
        <v/>
      </c>
      <c r="FU23">
        <f>#REF!+"vlM!gf"</f>
        <v/>
      </c>
      <c r="FV23" s="1">
        <f>#REF!+"vlM!gg"</f>
        <v/>
      </c>
      <c r="FW23">
        <f>#REF!+"vlM!gh"</f>
        <v/>
      </c>
      <c r="FX23">
        <f>#REF!+"vlM!gi"</f>
        <v/>
      </c>
      <c r="FY23">
        <f>#REF!+"vlM!gj"</f>
        <v/>
      </c>
      <c r="FZ23">
        <f>#REF!+"vlM!gk"</f>
        <v/>
      </c>
      <c r="GA23">
        <f>#REF!+"vlM!gl"</f>
        <v/>
      </c>
      <c r="GB23">
        <f>#REF!+"vlM!gm"</f>
        <v/>
      </c>
      <c r="GC23">
        <f>#REF!+"vlM!gn"</f>
        <v/>
      </c>
      <c r="GD23">
        <f>#REF!+"vlM!go"</f>
        <v/>
      </c>
      <c r="GE23">
        <f>#REF!+"vlM!gp"</f>
        <v/>
      </c>
      <c r="GF23">
        <f>#REF!+"vlM!gq"</f>
        <v/>
      </c>
      <c r="GG23">
        <f>#REF!+"vlM!gr"</f>
        <v/>
      </c>
      <c r="GH23">
        <f>#REF!+"vlM!gs"</f>
        <v/>
      </c>
      <c r="GI23">
        <f>#REF!+"vlM!gt"</f>
        <v/>
      </c>
      <c r="GJ23">
        <f>#REF!+"vlM!gu"</f>
        <v/>
      </c>
      <c r="GK23" s="1">
        <f>#REF!+"vlM!gv"</f>
        <v/>
      </c>
      <c r="GL23">
        <f>#REF!+"vlM!gw"</f>
        <v/>
      </c>
      <c r="GM23">
        <f>#REF!+"vlM!gx"</f>
        <v/>
      </c>
      <c r="GN23">
        <f>#REF!+"vlM!gy"</f>
        <v/>
      </c>
      <c r="GO23">
        <f>#REF!+"vlM!gz"</f>
        <v/>
      </c>
      <c r="GP23">
        <f>#REF!+"vlM!g{"</f>
        <v/>
      </c>
      <c r="GQ23">
        <f>#REF!+"vlM!g|"</f>
        <v/>
      </c>
      <c r="GR23">
        <f>#REF!+"vlM!g}"</f>
        <v/>
      </c>
      <c r="GS23">
        <f>#REF!+"vlM!g~"</f>
        <v/>
      </c>
      <c r="GT23">
        <f>#REF!+"vlM!h#"</f>
        <v/>
      </c>
      <c r="GU23">
        <f>#REF!+"vlM!h$"</f>
        <v/>
      </c>
      <c r="GV23">
        <f>#REF!+"vlM!h%"</f>
        <v/>
      </c>
      <c r="GW23">
        <f>#REF!+"vlM!h&amp;"</f>
        <v/>
      </c>
      <c r="GX23">
        <f>#REF!+"vlM!h'"</f>
        <v/>
      </c>
      <c r="GY23">
        <f>#REF!+"vlM!h("</f>
        <v/>
      </c>
      <c r="GZ23" s="1">
        <f>#REF!+"vlM!h)"</f>
        <v/>
      </c>
      <c r="HA23">
        <f>#REF!+"vlM!h."</f>
        <v/>
      </c>
      <c r="HB23">
        <f>#REF!+"vlM!h/"</f>
        <v/>
      </c>
      <c r="HC23">
        <f>#REF!+"vlM!h0"</f>
        <v/>
      </c>
      <c r="HD23">
        <f>#REF!+"vlM!h1"</f>
        <v/>
      </c>
      <c r="HE23">
        <f>#REF!+"vlM!h2"</f>
        <v/>
      </c>
      <c r="HF23">
        <f>#REF!+"vlM!h3"</f>
        <v/>
      </c>
      <c r="HG23">
        <f>#REF!+"vlM!h4"</f>
        <v/>
      </c>
      <c r="HH23">
        <f>#REF!+"vlM!h5"</f>
        <v/>
      </c>
      <c r="HI23">
        <f>#REF!+"vlM!h6"</f>
        <v/>
      </c>
      <c r="HJ23">
        <f>#REF!+"vlM!h7"</f>
        <v/>
      </c>
      <c r="HK23">
        <f>#REF!+"vlM!h8"</f>
        <v/>
      </c>
      <c r="HL23">
        <f>#REF!+"vlM!h9"</f>
        <v/>
      </c>
      <c r="HM23">
        <f>#REF!+"vlM!h:"</f>
        <v/>
      </c>
      <c r="HN23">
        <f>#REF!+"vlM!h;"</f>
        <v/>
      </c>
      <c r="HO23" s="1">
        <f>#REF!+"vlM!h&lt;"</f>
        <v/>
      </c>
      <c r="HP23">
        <f>#REF!+"vlM!h="</f>
        <v/>
      </c>
      <c r="HQ23">
        <f>#REF!+"vlM!h&gt;"</f>
        <v/>
      </c>
      <c r="HR23">
        <f>#REF!+"vlM!h?"</f>
        <v/>
      </c>
      <c r="HS23">
        <f>#REF!+"vlM!h@"</f>
        <v/>
      </c>
      <c r="HT23">
        <f>#REF!+"vlM!hA"</f>
        <v/>
      </c>
      <c r="HU23">
        <f>#REF!+"vlM!hB"</f>
        <v/>
      </c>
      <c r="HV23">
        <f>#REF!+"vlM!hC"</f>
        <v/>
      </c>
      <c r="HW23">
        <f>#REF!+"vlM!hD"</f>
        <v/>
      </c>
      <c r="HX23">
        <f>#REF!+"vlM!hE"</f>
        <v/>
      </c>
      <c r="HY23">
        <f>#REF!+"vlM!hF"</f>
        <v/>
      </c>
      <c r="HZ23">
        <f>#REF!+"vlM!hG"</f>
        <v/>
      </c>
      <c r="IA23">
        <f>#REF!+"vlM!hH"</f>
        <v/>
      </c>
      <c r="IB23">
        <f>#REF!+"vlM!hI"</f>
        <v/>
      </c>
      <c r="IC23">
        <f>#REF!+"vlM!hJ"</f>
        <v/>
      </c>
      <c r="ID23" s="1">
        <f>#REF!+"vlM!hK"</f>
        <v/>
      </c>
      <c r="IE23">
        <f>#REF!+"vlM!hL"</f>
        <v/>
      </c>
      <c r="IF23">
        <f>#REF!+"vlM!hM"</f>
        <v/>
      </c>
      <c r="IG23">
        <f>#REF!+"vlM!hN"</f>
        <v/>
      </c>
      <c r="IH23">
        <f>#REF!+"vlM!hO"</f>
        <v/>
      </c>
      <c r="II23">
        <f>#REF!+"vlM!hP"</f>
        <v/>
      </c>
      <c r="IJ23">
        <f>#REF!+"vlM!hQ"</f>
        <v/>
      </c>
      <c r="IK23">
        <f>#REF!+"vlM!hR"</f>
        <v/>
      </c>
      <c r="IL23">
        <f>#REF!+"vlM!hS"</f>
        <v/>
      </c>
      <c r="IM23">
        <f>#REF!+"vlM!hT"</f>
        <v/>
      </c>
      <c r="IN23">
        <f>#REF!+"vlM!hU"</f>
        <v/>
      </c>
      <c r="IO23">
        <f>#REF!+"vlM!hV"</f>
        <v/>
      </c>
      <c r="IP23">
        <f>#REF!+"vlM!hW"</f>
        <v/>
      </c>
      <c r="IQ23">
        <f>#REF!+"vlM!hX"</f>
        <v/>
      </c>
      <c r="IR23">
        <f>#REF!+"vlM!hY"</f>
        <v/>
      </c>
      <c r="IS23" s="1">
        <f>#REF!+"vlM!hZ"</f>
        <v/>
      </c>
      <c r="IT23">
        <f>#REF!+"vlM!h["</f>
        <v/>
      </c>
      <c r="IU23">
        <f>#REF!+"vlM!h\"</f>
        <v/>
      </c>
      <c r="IV23">
        <f>#REF!+"vlM!h]"</f>
        <v/>
      </c>
    </row>
    <row r="24">
      <c r="F24">
        <f>#REF!+"vlM!h^"</f>
        <v/>
      </c>
      <c r="G24">
        <f>#REF!+"vlM!h_"</f>
        <v/>
      </c>
      <c r="H24">
        <f>#REF!+"vlM!h`"</f>
        <v/>
      </c>
      <c r="I24">
        <f>#REF!+"vlM!ha"</f>
        <v/>
      </c>
      <c r="J24">
        <f>#REF!+"vlM!hb"</f>
        <v/>
      </c>
      <c r="K24">
        <f>#REF!+"vlM!hc"</f>
        <v/>
      </c>
      <c r="L24">
        <f>#REF!+"vlM!hd"</f>
        <v/>
      </c>
      <c r="M24">
        <f>#REF!+"vlM!he"</f>
        <v/>
      </c>
      <c r="N24">
        <f>#REF!+"vlM!hf"</f>
        <v/>
      </c>
      <c r="O24">
        <f>#REF!+"vlM!hg"</f>
        <v/>
      </c>
      <c r="P24">
        <f>#REF!+"vlM!hh"</f>
        <v/>
      </c>
      <c r="Q24" s="1">
        <f>#REF!+"vlM!hi"</f>
        <v/>
      </c>
      <c r="R24">
        <f>#REF!+"vlM!hj"</f>
        <v/>
      </c>
      <c r="S24">
        <f>#REF!+"vlM!hk"</f>
        <v/>
      </c>
      <c r="T24">
        <f>#REF!+"vlM!hl"</f>
        <v/>
      </c>
      <c r="U24">
        <f>#REF!+"vlM!hm"</f>
        <v/>
      </c>
      <c r="V24">
        <f>#REF!+"vlM!hn"</f>
        <v/>
      </c>
      <c r="W24">
        <f>#REF!+"vlM!ho"</f>
        <v/>
      </c>
      <c r="X24">
        <f>#REF!+"vlM!hp"</f>
        <v/>
      </c>
      <c r="Y24">
        <f>#REF!+"vlM!hq"</f>
        <v/>
      </c>
      <c r="Z24">
        <f>#REF!+"vlM!hr"</f>
        <v/>
      </c>
      <c r="AA24">
        <f>#REF!+"vlM!hs"</f>
        <v/>
      </c>
      <c r="AB24">
        <f>#REF!+"vlM!ht"</f>
        <v/>
      </c>
      <c r="AC24">
        <f>#REF!+"vlM!hu"</f>
        <v/>
      </c>
      <c r="AD24">
        <f>#REF!+"vlM!hv"</f>
        <v/>
      </c>
      <c r="AE24">
        <f>#REF!+"vlM!hw"</f>
        <v/>
      </c>
      <c r="AF24" s="1">
        <f>#REF!+"vlM!hx"</f>
        <v/>
      </c>
      <c r="AG24">
        <f>#REF!+"vlM!hy"</f>
        <v/>
      </c>
      <c r="AH24">
        <f>#REF!+"vlM!hz"</f>
        <v/>
      </c>
      <c r="AI24">
        <f>#REF!+"vlM!h{"</f>
        <v/>
      </c>
      <c r="AJ24">
        <f>#REF!+"vlM!h|"</f>
        <v/>
      </c>
      <c r="AK24">
        <f>#REF!+"vlM!h}"</f>
        <v/>
      </c>
      <c r="AL24">
        <f>#REF!+"vlM!h~"</f>
        <v/>
      </c>
      <c r="AM24">
        <f>#REF!+"vlM!i#"</f>
        <v/>
      </c>
      <c r="AN24">
        <f>#REF!+"vlM!i$"</f>
        <v/>
      </c>
      <c r="AO24">
        <f>#REF!+"vlM!i%"</f>
        <v/>
      </c>
      <c r="AP24">
        <f>#REF!+"vlM!i&amp;"</f>
        <v/>
      </c>
      <c r="AQ24">
        <f>#REF!+"vlM!i'"</f>
        <v/>
      </c>
      <c r="AR24">
        <f>#REF!+"vlM!i("</f>
        <v/>
      </c>
      <c r="AS24">
        <f>#REF!+"vlM!i)"</f>
        <v/>
      </c>
      <c r="AT24">
        <f>#REF!+"vlM!i."</f>
        <v/>
      </c>
      <c r="AU24" s="1">
        <f>#REF!+"vlM!i/"</f>
        <v/>
      </c>
      <c r="AV24">
        <f>#REF!+"vlM!i0"</f>
        <v/>
      </c>
      <c r="AW24">
        <f>#REF!+"vlM!i1"</f>
        <v/>
      </c>
      <c r="AX24">
        <f>#REF!+"vlM!i2"</f>
        <v/>
      </c>
      <c r="AY24">
        <f>#REF!+"vlM!i3"</f>
        <v/>
      </c>
      <c r="AZ24">
        <f>#REF!+"vlM!i4"</f>
        <v/>
      </c>
      <c r="BA24">
        <f>#REF!+"vlM!i5"</f>
        <v/>
      </c>
      <c r="BB24">
        <f>#REF!+"vlM!i6"</f>
        <v/>
      </c>
      <c r="BC24">
        <f>#REF!+"vlM!i7"</f>
        <v/>
      </c>
      <c r="BD24">
        <f>#REF!+"vlM!i8"</f>
        <v/>
      </c>
      <c r="BE24">
        <f>#REF!+"vlM!i9"</f>
        <v/>
      </c>
      <c r="BF24">
        <f>#REF!+"vlM!i:"</f>
        <v/>
      </c>
      <c r="BG24">
        <f>#REF!+"vlM!i;"</f>
        <v/>
      </c>
      <c r="BH24">
        <f>#REF!+"vlM!i&lt;"</f>
        <v/>
      </c>
      <c r="BI24">
        <f>#REF!+"vlM!i="</f>
        <v/>
      </c>
      <c r="BJ24" s="1">
        <f>#REF!+"vlM!i&gt;"</f>
        <v/>
      </c>
      <c r="BK24">
        <f>#REF!+"vlM!i?"</f>
        <v/>
      </c>
      <c r="BL24">
        <f>#REF!+"vlM!i@"</f>
        <v/>
      </c>
      <c r="BM24">
        <f>#REF!+"vlM!iA"</f>
        <v/>
      </c>
      <c r="BN24">
        <f>#REF!+"vlM!iB"</f>
        <v/>
      </c>
      <c r="BO24">
        <f>#REF!+"vlM!iC"</f>
        <v/>
      </c>
      <c r="BP24">
        <f>#REF!+"vlM!iD"</f>
        <v/>
      </c>
      <c r="BQ24">
        <f>#REF!+"vlM!iE"</f>
        <v/>
      </c>
      <c r="BR24">
        <f>#REF!+"vlM!iF"</f>
        <v/>
      </c>
      <c r="BS24">
        <f>#REF!+"vlM!iG"</f>
        <v/>
      </c>
      <c r="BT24">
        <f>#REF!+"vlM!iH"</f>
        <v/>
      </c>
      <c r="BU24">
        <f>#REF!+"vlM!iI"</f>
        <v/>
      </c>
      <c r="BV24">
        <f>#REF!+"vlM!iJ"</f>
        <v/>
      </c>
      <c r="BW24">
        <f>#REF!+"vlM!iK"</f>
        <v/>
      </c>
      <c r="BX24">
        <f>#REF!+"vlM!iL"</f>
        <v/>
      </c>
      <c r="BY24" s="1">
        <f>#REF!+"vlM!iM"</f>
        <v/>
      </c>
      <c r="BZ24">
        <f>#REF!+"vlM!iN"</f>
        <v/>
      </c>
      <c r="CA24">
        <f>#REF!+"vlM!iO"</f>
        <v/>
      </c>
      <c r="CB24">
        <f>#REF!+"vlM!iP"</f>
        <v/>
      </c>
      <c r="CC24">
        <f>#REF!+"vlM!iQ"</f>
        <v/>
      </c>
      <c r="CD24">
        <f>#REF!+"vlM!iR"</f>
        <v/>
      </c>
      <c r="CE24">
        <f>#REF!+"vlM!iS"</f>
        <v/>
      </c>
      <c r="CF24">
        <f>#REF!+"vlM!iT"</f>
        <v/>
      </c>
      <c r="CG24">
        <f>#REF!+"vlM!iU"</f>
        <v/>
      </c>
      <c r="CH24">
        <f>#REF!+"vlM!iV"</f>
        <v/>
      </c>
      <c r="CI24">
        <f>#REF!+"vlM!iW"</f>
        <v/>
      </c>
      <c r="CJ24">
        <f>#REF!+"vlM!iX"</f>
        <v/>
      </c>
      <c r="CK24">
        <f>#REF!+"vlM!iY"</f>
        <v/>
      </c>
      <c r="CL24">
        <f>#REF!+"vlM!iZ"</f>
        <v/>
      </c>
      <c r="CM24">
        <f>#REF!+"vlM!i["</f>
        <v/>
      </c>
      <c r="CN24" s="1">
        <f>#REF!+"vlM!i\"</f>
        <v/>
      </c>
      <c r="CO24">
        <f>#REF!+"vlM!i]"</f>
        <v/>
      </c>
      <c r="CP24">
        <f>#REF!+"vlM!i^"</f>
        <v/>
      </c>
      <c r="CQ24">
        <f>#REF!+"vlM!i_"</f>
        <v/>
      </c>
      <c r="CR24">
        <f>#REF!+"vlM!i`"</f>
        <v/>
      </c>
      <c r="CS24">
        <f>#REF!+"vlM!ia"</f>
        <v/>
      </c>
      <c r="CT24">
        <f>#REF!+"vlM!ib"</f>
        <v/>
      </c>
      <c r="CU24">
        <f>#REF!+"vlM!ic"</f>
        <v/>
      </c>
      <c r="CV24">
        <f>#REF!+"vlM!id"</f>
        <v/>
      </c>
      <c r="CW24">
        <f>#REF!+"vlM!ie"</f>
        <v/>
      </c>
      <c r="CX24">
        <f>#REF!+"vlM!if"</f>
        <v/>
      </c>
      <c r="CY24">
        <f>#REF!+"vlM!ig"</f>
        <v/>
      </c>
      <c r="CZ24">
        <f>#REF!+"vlM!ih"</f>
        <v/>
      </c>
      <c r="DA24">
        <f>#REF!+"vlM!ii"</f>
        <v/>
      </c>
      <c r="DB24">
        <f>#REF!+"vlM!ij"</f>
        <v/>
      </c>
      <c r="DC24" s="1">
        <f>#REF!+"vlM!ik"</f>
        <v/>
      </c>
      <c r="DD24">
        <f>#REF!+"vlM!il"</f>
        <v/>
      </c>
      <c r="DE24">
        <f>#REF!+"vlM!im"</f>
        <v/>
      </c>
      <c r="DF24">
        <f>#REF!+"vlM!in"</f>
        <v/>
      </c>
      <c r="DG24">
        <f>#REF!+"vlM!io"</f>
        <v/>
      </c>
      <c r="DH24">
        <f>#REF!+"vlM!ip"</f>
        <v/>
      </c>
      <c r="DI24">
        <f>#REF!+"vlM!iq"</f>
        <v/>
      </c>
      <c r="DJ24">
        <f>#REF!+"vlM!ir"</f>
        <v/>
      </c>
      <c r="DK24">
        <f>#REF!+"vlM!is"</f>
        <v/>
      </c>
      <c r="DL24">
        <f>#REF!+"vlM!it"</f>
        <v/>
      </c>
      <c r="DM24">
        <f>#REF!+"vlM!iu"</f>
        <v/>
      </c>
      <c r="DN24">
        <f>#REF!+"vlM!iv"</f>
        <v/>
      </c>
      <c r="DO24">
        <f>#REF!+"vlM!iw"</f>
        <v/>
      </c>
      <c r="DP24">
        <f>#REF!+"vlM!ix"</f>
        <v/>
      </c>
      <c r="DQ24">
        <f>#REF!+"vlM!iy"</f>
        <v/>
      </c>
      <c r="DR24" s="1">
        <f>#REF!+"vlM!iz"</f>
        <v/>
      </c>
      <c r="DS24">
        <f>#REF!+"vlM!i{"</f>
        <v/>
      </c>
      <c r="DT24">
        <f>#REF!+"vlM!i|"</f>
        <v/>
      </c>
      <c r="DU24">
        <f>#REF!+"vlM!i}"</f>
        <v/>
      </c>
      <c r="DV24">
        <f>#REF!+"vlM!i~"</f>
        <v/>
      </c>
      <c r="DW24">
        <f>#REF!+"vlM!j#"</f>
        <v/>
      </c>
      <c r="DX24">
        <f>#REF!+"vlM!j$"</f>
        <v/>
      </c>
      <c r="DY24">
        <f>#REF!+"vlM!j%"</f>
        <v/>
      </c>
      <c r="DZ24">
        <f>#REF!+"vlM!j&amp;"</f>
        <v/>
      </c>
      <c r="EA24">
        <f>#REF!+"vlM!j'"</f>
        <v/>
      </c>
      <c r="EB24">
        <f>#REF!+"vlM!j("</f>
        <v/>
      </c>
      <c r="EC24">
        <f>#REF!+"vlM!j)"</f>
        <v/>
      </c>
      <c r="ED24">
        <f>#REF!+"vlM!j."</f>
        <v/>
      </c>
      <c r="EE24">
        <f>#REF!+"vlM!j/"</f>
        <v/>
      </c>
      <c r="EF24">
        <f>#REF!+"vlM!j0"</f>
        <v/>
      </c>
      <c r="EG24" s="1">
        <f>#REF!+"vlM!j1"</f>
        <v/>
      </c>
      <c r="EH24">
        <f>#REF!+"vlM!j2"</f>
        <v/>
      </c>
      <c r="EI24">
        <f>#REF!+"vlM!j3"</f>
        <v/>
      </c>
      <c r="EJ24">
        <f>#REF!+"vlM!j4"</f>
        <v/>
      </c>
      <c r="EK24">
        <f>#REF!+"vlM!j5"</f>
        <v/>
      </c>
      <c r="EL24">
        <f>#REF!+"vlM!j6"</f>
        <v/>
      </c>
      <c r="EM24">
        <f>#REF!+"vlM!j7"</f>
        <v/>
      </c>
      <c r="EN24">
        <f>#REF!+"vlM!j8"</f>
        <v/>
      </c>
      <c r="EO24">
        <f>#REF!+"vlM!j9"</f>
        <v/>
      </c>
      <c r="EP24">
        <f>#REF!+"vlM!j:"</f>
        <v/>
      </c>
      <c r="EQ24">
        <f>#REF!+"vlM!j;"</f>
        <v/>
      </c>
      <c r="ER24">
        <f>#REF!+"vlM!j&lt;"</f>
        <v/>
      </c>
      <c r="ES24">
        <f>#REF!+"vlM!j="</f>
        <v/>
      </c>
      <c r="ET24">
        <f>#REF!+"vlM!j&gt;"</f>
        <v/>
      </c>
      <c r="EU24">
        <f>#REF!+"vlM!j?"</f>
        <v/>
      </c>
      <c r="EV24" s="1">
        <f>#REF!+"vlM!j@"</f>
        <v/>
      </c>
      <c r="EW24">
        <f>#REF!+"vlM!jA"</f>
        <v/>
      </c>
      <c r="EX24">
        <f>#REF!+"vlM!jB"</f>
        <v/>
      </c>
      <c r="EY24">
        <f>#REF!+"vlM!jC"</f>
        <v/>
      </c>
      <c r="EZ24">
        <f>#REF!+"vlM!jD"</f>
        <v/>
      </c>
      <c r="FA24">
        <f>#REF!+"vlM!jE"</f>
        <v/>
      </c>
      <c r="FB24">
        <f>#REF!+"vlM!jF"</f>
        <v/>
      </c>
      <c r="FC24">
        <f>#REF!+"vlM!jG"</f>
        <v/>
      </c>
      <c r="FD24">
        <f>#REF!+"vlM!jH"</f>
        <v/>
      </c>
      <c r="FE24">
        <f>#REF!+"vlM!jI"</f>
        <v/>
      </c>
      <c r="FF24">
        <f>#REF!+"vlM!jJ"</f>
        <v/>
      </c>
      <c r="FG24">
        <f>#REF!+"vlM!jK"</f>
        <v/>
      </c>
      <c r="FH24">
        <f>#REF!+"vlM!jL"</f>
        <v/>
      </c>
      <c r="FI24">
        <f>#REF!+"vlM!jM"</f>
        <v/>
      </c>
      <c r="FJ24">
        <f>#REF!+"vlM!jN"</f>
        <v/>
      </c>
      <c r="FK24" s="1">
        <f>#REF!+"vlM!jO"</f>
        <v/>
      </c>
      <c r="FL24">
        <f>#REF!+"vlM!jP"</f>
        <v/>
      </c>
      <c r="FM24">
        <f>#REF!+"vlM!jQ"</f>
        <v/>
      </c>
      <c r="FN24">
        <f>#REF!+"vlM!jR"</f>
        <v/>
      </c>
      <c r="FO24">
        <f>#REF!+"vlM!jS"</f>
        <v/>
      </c>
      <c r="FP24">
        <f>#REF!+"vlM!jT"</f>
        <v/>
      </c>
      <c r="FQ24">
        <f>#REF!+"vlM!jU"</f>
        <v/>
      </c>
      <c r="FR24">
        <f>#REF!+"vlM!jV"</f>
        <v/>
      </c>
      <c r="FS24">
        <f>#REF!+"vlM!jW"</f>
        <v/>
      </c>
      <c r="FT24">
        <f>#REF!+"vlM!jX"</f>
        <v/>
      </c>
      <c r="FU24">
        <f>#REF!+"vlM!jY"</f>
        <v/>
      </c>
      <c r="FV24">
        <f>#REF!+"vlM!jZ"</f>
        <v/>
      </c>
      <c r="FW24">
        <f>#REF!+"vlM!j["</f>
        <v/>
      </c>
      <c r="FX24">
        <f>#REF!+"vlM!j\"</f>
        <v/>
      </c>
      <c r="FY24">
        <f>#REF!+"vlM!j]"</f>
        <v/>
      </c>
      <c r="FZ24" s="1">
        <f>#REF!+"vlM!j^"</f>
        <v/>
      </c>
      <c r="GA24">
        <f>#REF!+"vlM!j_"</f>
        <v/>
      </c>
      <c r="GB24">
        <f>#REF!+"vlM!j`"</f>
        <v/>
      </c>
      <c r="GC24">
        <f>#REF!+"vlM!ja"</f>
        <v/>
      </c>
      <c r="GD24">
        <f>#REF!+"vlM!jb"</f>
        <v/>
      </c>
      <c r="GE24">
        <f>#REF!+"vlM!jc"</f>
        <v/>
      </c>
      <c r="GF24">
        <f>#REF!+"vlM!jd"</f>
        <v/>
      </c>
      <c r="GG24">
        <f>#REF!+"vlM!je"</f>
        <v/>
      </c>
      <c r="GH24">
        <f>#REF!+"vlM!jf"</f>
        <v/>
      </c>
      <c r="GI24">
        <f>#REF!+"vlM!jg"</f>
        <v/>
      </c>
      <c r="GJ24">
        <f>#REF!+"vlM!jh"</f>
        <v/>
      </c>
      <c r="GK24">
        <f>#REF!+"vlM!ji"</f>
        <v/>
      </c>
      <c r="GL24">
        <f>#REF!+"vlM!jj"</f>
        <v/>
      </c>
      <c r="GM24">
        <f>#REF!+"vlM!jk"</f>
        <v/>
      </c>
      <c r="GN24">
        <f>#REF!+"vlM!jl"</f>
        <v/>
      </c>
      <c r="GO24" s="1">
        <f>#REF!+"vlM!jm"</f>
        <v/>
      </c>
      <c r="GP24">
        <f>#REF!+"vlM!jn"</f>
        <v/>
      </c>
      <c r="GQ24">
        <f>#REF!+"vlM!jo"</f>
        <v/>
      </c>
      <c r="GR24">
        <f>#REF!+"vlM!jp"</f>
        <v/>
      </c>
      <c r="GS24">
        <f>#REF!+"vlM!jq"</f>
        <v/>
      </c>
      <c r="GT24">
        <f>#REF!+"vlM!jr"</f>
        <v/>
      </c>
      <c r="GU24">
        <f>#REF!+"vlM!js"</f>
        <v/>
      </c>
      <c r="GV24">
        <f>#REF!+"vlM!jt"</f>
        <v/>
      </c>
      <c r="GW24">
        <f>#REF!+"vlM!ju"</f>
        <v/>
      </c>
      <c r="GX24">
        <f>#REF!+"vlM!jv"</f>
        <v/>
      </c>
      <c r="GY24">
        <f>#REF!+"vlM!jw"</f>
        <v/>
      </c>
      <c r="GZ24">
        <f>#REF!+"vlM!jx"</f>
        <v/>
      </c>
      <c r="HA24">
        <f>#REF!+"vlM!jy"</f>
        <v/>
      </c>
      <c r="HB24">
        <f>#REF!+"vlM!jz"</f>
        <v/>
      </c>
      <c r="HC24">
        <f>#REF!+"vlM!j{"</f>
        <v/>
      </c>
      <c r="HD24" s="1">
        <f>#REF!+"vlM!j|"</f>
        <v/>
      </c>
      <c r="HE24">
        <f>#REF!+"vlM!j}"</f>
        <v/>
      </c>
      <c r="HF24">
        <f>#REF!+"vlM!j~"</f>
        <v/>
      </c>
      <c r="HG24">
        <f>#REF!+"vlM!k#"</f>
        <v/>
      </c>
      <c r="HH24">
        <f>#REF!+"vlM!k$"</f>
        <v/>
      </c>
      <c r="HI24">
        <f>#REF!+"vlM!k%"</f>
        <v/>
      </c>
      <c r="HJ24">
        <f>#REF!+"vlM!k&amp;"</f>
        <v/>
      </c>
      <c r="HK24">
        <f>#REF!+"vlM!k'"</f>
        <v/>
      </c>
      <c r="HL24">
        <f>#REF!+"vlM!k("</f>
        <v/>
      </c>
      <c r="HM24">
        <f>#REF!+"vlM!k)"</f>
        <v/>
      </c>
      <c r="HN24">
        <f>#REF!+"vlM!k."</f>
        <v/>
      </c>
      <c r="HO24">
        <f>#REF!+"vlM!k/"</f>
        <v/>
      </c>
      <c r="HP24">
        <f>#REF!+"vlM!k0"</f>
        <v/>
      </c>
      <c r="HQ24">
        <f>#REF!+"vlM!k1"</f>
        <v/>
      </c>
      <c r="HR24">
        <f>#REF!+"vlM!k2"</f>
        <v/>
      </c>
      <c r="HS24" s="1">
        <f>#REF!+"vlM!k3"</f>
        <v/>
      </c>
      <c r="HT24">
        <f>#REF!+"vlM!k4"</f>
        <v/>
      </c>
      <c r="HU24">
        <f>#REF!+"vlM!k5"</f>
        <v/>
      </c>
      <c r="HV24">
        <f>#REF!+"vlM!k6"</f>
        <v/>
      </c>
      <c r="HW24">
        <f>#REF!+"vlM!k7"</f>
        <v/>
      </c>
      <c r="HX24">
        <f>#REF!+"vlM!k8"</f>
        <v/>
      </c>
      <c r="HY24">
        <f>#REF!+"vlM!k9"</f>
        <v/>
      </c>
      <c r="HZ24">
        <f>#REF!+"vlM!k:"</f>
        <v/>
      </c>
      <c r="IA24">
        <f>#REF!+"vlM!k;"</f>
        <v/>
      </c>
      <c r="IB24">
        <f>#REF!+"vlM!k&lt;"</f>
        <v/>
      </c>
      <c r="IC24">
        <f>#REF!+"vlM!k="</f>
        <v/>
      </c>
      <c r="ID24">
        <f>#REF!+"vlM!k&gt;"</f>
        <v/>
      </c>
      <c r="IE24">
        <f>#REF!+"vlM!k?"</f>
        <v/>
      </c>
      <c r="IF24">
        <f>#REF!+"vlM!k@"</f>
        <v/>
      </c>
      <c r="IG24">
        <f>#REF!+"vlM!kA"</f>
        <v/>
      </c>
      <c r="IH24" s="1">
        <f>#REF!+"vlM!kB"</f>
        <v/>
      </c>
      <c r="II24">
        <f>#REF!+"vlM!kC"</f>
        <v/>
      </c>
      <c r="IJ24">
        <f>#REF!+"vlM!kD"</f>
        <v/>
      </c>
      <c r="IK24">
        <f>#REF!+"vlM!kE"</f>
        <v/>
      </c>
      <c r="IL24">
        <f>#REF!+"vlM!kF"</f>
        <v/>
      </c>
      <c r="IM24">
        <f>#REF!+"vlM!kG"</f>
        <v/>
      </c>
      <c r="IN24">
        <f>#REF!+"vlM!kH"</f>
        <v/>
      </c>
      <c r="IO24">
        <f>#REF!+"vlM!kI"</f>
        <v/>
      </c>
      <c r="IP24">
        <f>#REF!+"vlM!kJ"</f>
        <v/>
      </c>
      <c r="IQ24">
        <f>#REF!+"vlM!kK"</f>
        <v/>
      </c>
      <c r="IR24">
        <f>#REF!+"vlM!kL"</f>
        <v/>
      </c>
      <c r="IS24">
        <f>#REF!+"vlM!kM"</f>
        <v/>
      </c>
      <c r="IT24">
        <f>#REF!+"vlM!kN"</f>
        <v/>
      </c>
      <c r="IU24">
        <f>#REF!+"vlM!kO"</f>
        <v/>
      </c>
      <c r="IV24">
        <f>#REF!+"vlM!kP"</f>
        <v/>
      </c>
    </row>
    <row r="25">
      <c r="F25" s="1">
        <f>#REF!+"vlM!kQ"</f>
        <v/>
      </c>
      <c r="G25">
        <f>#REF!+"vlM!kR"</f>
        <v/>
      </c>
      <c r="H25">
        <f>#REF!+"vlM!kS"</f>
        <v/>
      </c>
      <c r="I25">
        <f>#REF!+"vlM!kT"</f>
        <v/>
      </c>
      <c r="J25">
        <f>#REF!+"vlM!kU"</f>
        <v/>
      </c>
      <c r="K25">
        <f>#REF!+"vlM!kV"</f>
        <v/>
      </c>
      <c r="L25">
        <f>#REF!+"vlM!kW"</f>
        <v/>
      </c>
      <c r="M25">
        <f>#REF!+"vlM!kX"</f>
        <v/>
      </c>
      <c r="N25">
        <f>#REF!+"vlM!kY"</f>
        <v/>
      </c>
      <c r="O25">
        <f>#REF!+"vlM!kZ"</f>
        <v/>
      </c>
      <c r="P25">
        <f>#REF!+"vlM!k["</f>
        <v/>
      </c>
      <c r="Q25">
        <f>#REF!+"vlM!k\"</f>
        <v/>
      </c>
      <c r="R25">
        <f>#REF!+"vlM!k]"</f>
        <v/>
      </c>
      <c r="S25">
        <f>#REF!+"vlM!k^"</f>
        <v/>
      </c>
      <c r="T25">
        <f>#REF!+"vlM!k_"</f>
        <v/>
      </c>
      <c r="U25" s="1">
        <f>#REF!+"vlM!k`"</f>
        <v/>
      </c>
      <c r="V25">
        <f>#REF!+"vlM!ka"</f>
        <v/>
      </c>
      <c r="W25">
        <f>#REF!+"vlM!kb"</f>
        <v/>
      </c>
      <c r="X25">
        <f>#REF!+"vlM!kc"</f>
        <v/>
      </c>
      <c r="Y25">
        <f>#REF!+"vlM!kd"</f>
        <v/>
      </c>
      <c r="Z25">
        <f>#REF!+"vlM!ke"</f>
        <v/>
      </c>
      <c r="AA25">
        <f>#REF!+"vlM!kf"</f>
        <v/>
      </c>
      <c r="AB25">
        <f>#REF!+"vlM!kg"</f>
        <v/>
      </c>
      <c r="AC25">
        <f>#REF!+"vlM!kh"</f>
        <v/>
      </c>
      <c r="AD25">
        <f>#REF!+"vlM!ki"</f>
        <v/>
      </c>
      <c r="AE25">
        <f>#REF!+"vlM!kj"</f>
        <v/>
      </c>
      <c r="AF25">
        <f>#REF!+"vlM!kk"</f>
        <v/>
      </c>
      <c r="AG25">
        <f>#REF!+"vlM!kl"</f>
        <v/>
      </c>
      <c r="AH25">
        <f>#REF!+"vlM!km"</f>
        <v/>
      </c>
      <c r="AI25">
        <f>#REF!+"vlM!kn"</f>
        <v/>
      </c>
      <c r="AJ25" s="1">
        <f>#REF!+"vlM!ko"</f>
        <v/>
      </c>
      <c r="AK25">
        <f>#REF!+"vlM!kp"</f>
        <v/>
      </c>
      <c r="AL25">
        <f>#REF!+"vlM!kq"</f>
        <v/>
      </c>
      <c r="AM25">
        <f>#REF!+"vlM!kr"</f>
        <v/>
      </c>
      <c r="AN25">
        <f>#REF!+"vlM!ks"</f>
        <v/>
      </c>
      <c r="AO25">
        <f>#REF!+"vlM!kt"</f>
        <v/>
      </c>
      <c r="AP25">
        <f>#REF!+"vlM!ku"</f>
        <v/>
      </c>
      <c r="AQ25">
        <f>#REF!+"vlM!kv"</f>
        <v/>
      </c>
      <c r="AR25">
        <f>#REF!+"vlM!kw"</f>
        <v/>
      </c>
      <c r="AS25">
        <f>#REF!+"vlM!kx"</f>
        <v/>
      </c>
      <c r="AT25">
        <f>#REF!+"vlM!ky"</f>
        <v/>
      </c>
      <c r="AU25">
        <f>#REF!+"vlM!kz"</f>
        <v/>
      </c>
      <c r="AV25">
        <f>#REF!+"vlM!k{"</f>
        <v/>
      </c>
      <c r="AW25">
        <f>#REF!+"vlM!k|"</f>
        <v/>
      </c>
      <c r="AX25">
        <f>#REF!+"vlM!k}"</f>
        <v/>
      </c>
      <c r="AY25" s="1">
        <f>#REF!+"vlM!k~"</f>
        <v/>
      </c>
      <c r="AZ25">
        <f>#REF!+"vlM!l#"</f>
        <v/>
      </c>
      <c r="BA25">
        <f>#REF!+"vlM!l$"</f>
        <v/>
      </c>
      <c r="BB25">
        <f>#REF!+"vlM!l%"</f>
        <v/>
      </c>
      <c r="BC25">
        <f>#REF!+"vlM!l&amp;"</f>
        <v/>
      </c>
      <c r="BD25">
        <f>#REF!+"vlM!l'"</f>
        <v/>
      </c>
      <c r="BE25">
        <f>#REF!+"vlM!l("</f>
        <v/>
      </c>
      <c r="BF25">
        <f>#REF!+"vlM!l)"</f>
        <v/>
      </c>
      <c r="BG25">
        <f>#REF!+"vlM!l."</f>
        <v/>
      </c>
      <c r="BH25">
        <f>#REF!+"vlM!l/"</f>
        <v/>
      </c>
      <c r="BI25">
        <f>#REF!+"vlM!l0"</f>
        <v/>
      </c>
      <c r="BJ25">
        <f>#REF!+"vlM!l1"</f>
        <v/>
      </c>
      <c r="BK25">
        <f>#REF!+"vlM!l2"</f>
        <v/>
      </c>
      <c r="BL25">
        <f>#REF!+"vlM!l3"</f>
        <v/>
      </c>
      <c r="BM25">
        <f>#REF!+"vlM!l4"</f>
        <v/>
      </c>
      <c r="BN25" s="1">
        <f>#REF!+"vlM!l5"</f>
        <v/>
      </c>
      <c r="BO25">
        <f>#REF!+"vlM!l6"</f>
        <v/>
      </c>
      <c r="BP25">
        <f>#REF!+"vlM!l7"</f>
        <v/>
      </c>
      <c r="BQ25">
        <f>#REF!+"vlM!l8"</f>
        <v/>
      </c>
      <c r="BR25">
        <f>#REF!+"vlM!l9"</f>
        <v/>
      </c>
      <c r="BS25">
        <f>#REF!+"vlM!l:"</f>
        <v/>
      </c>
      <c r="BT25">
        <f>#REF!+"vlM!l;"</f>
        <v/>
      </c>
      <c r="BU25">
        <f>#REF!+"vlM!l&lt;"</f>
        <v/>
      </c>
      <c r="BV25">
        <f>#REF!+"vlM!l="</f>
        <v/>
      </c>
      <c r="BW25">
        <f>#REF!+"vlM!l&gt;"</f>
        <v/>
      </c>
      <c r="BX25">
        <f>#REF!+"vlM!l?"</f>
        <v/>
      </c>
      <c r="BY25">
        <f>#REF!+"vlM!l@"</f>
        <v/>
      </c>
      <c r="BZ25">
        <f>#REF!+"vlM!lA"</f>
        <v/>
      </c>
      <c r="CA25">
        <f>#REF!+"vlM!lB"</f>
        <v/>
      </c>
      <c r="CB25">
        <f>#REF!+"vlM!lC"</f>
        <v/>
      </c>
      <c r="CC25" s="1">
        <f>#REF!+"vlM!lD"</f>
        <v/>
      </c>
      <c r="CD25">
        <f>#REF!+"vlM!lE"</f>
        <v/>
      </c>
      <c r="CE25">
        <f>#REF!+"vlM!lF"</f>
        <v/>
      </c>
      <c r="CF25">
        <f>#REF!+"vlM!lG"</f>
        <v/>
      </c>
      <c r="CG25">
        <f>#REF!+"vlM!lH"</f>
        <v/>
      </c>
      <c r="CH25">
        <f>#REF!+"vlM!lI"</f>
        <v/>
      </c>
      <c r="CI25">
        <f>#REF!+"vlM!lJ"</f>
        <v/>
      </c>
      <c r="CJ25">
        <f>#REF!+"vlM!lK"</f>
        <v/>
      </c>
      <c r="CK25">
        <f>#REF!+"vlM!lL"</f>
        <v/>
      </c>
      <c r="CL25">
        <f>#REF!+"vlM!lM"</f>
        <v/>
      </c>
      <c r="CM25">
        <f>#REF!+"vlM!lN"</f>
        <v/>
      </c>
      <c r="CN25">
        <f>#REF!+"vlM!lO"</f>
        <v/>
      </c>
      <c r="CO25">
        <f>#REF!+"vlM!lP"</f>
        <v/>
      </c>
      <c r="CP25">
        <f>#REF!+"vlM!lQ"</f>
        <v/>
      </c>
      <c r="CQ25">
        <f>#REF!+"vlM!lR"</f>
        <v/>
      </c>
      <c r="CR25" s="1">
        <f>#REF!+"vlM!lS"</f>
        <v/>
      </c>
      <c r="CS25">
        <f>#REF!+"vlM!lT"</f>
        <v/>
      </c>
      <c r="CT25">
        <f>#REF!+"vlM!lU"</f>
        <v/>
      </c>
      <c r="CU25">
        <f>#REF!+"vlM!lV"</f>
        <v/>
      </c>
      <c r="CV25">
        <f>#REF!+"vlM!lW"</f>
        <v/>
      </c>
      <c r="CW25">
        <f>#REF!+"vlM!lX"</f>
        <v/>
      </c>
      <c r="CX25">
        <f>#REF!+"vlM!lY"</f>
        <v/>
      </c>
      <c r="CY25">
        <f>#REF!+"vlM!lZ"</f>
        <v/>
      </c>
      <c r="CZ25">
        <f>#REF!+"vlM!l["</f>
        <v/>
      </c>
      <c r="DA25">
        <f>#REF!+"vlM!l\"</f>
        <v/>
      </c>
      <c r="DB25">
        <f>#REF!+"vlM!l]"</f>
        <v/>
      </c>
      <c r="DC25">
        <f>#REF!+"vlM!l^"</f>
        <v/>
      </c>
      <c r="DD25">
        <f>#REF!+"vlM!l_"</f>
        <v/>
      </c>
      <c r="DE25">
        <f>#REF!+"vlM!l`"</f>
        <v/>
      </c>
      <c r="DF25">
        <f>#REF!+"vlM!la"</f>
        <v/>
      </c>
      <c r="DG25" s="1">
        <f>#REF!+"vlM!lb"</f>
        <v/>
      </c>
      <c r="DH25">
        <f>#REF!+"vlM!lc"</f>
        <v/>
      </c>
      <c r="DI25">
        <f>#REF!+"vlM!ld"</f>
        <v/>
      </c>
      <c r="DJ25">
        <f>#REF!+"vlM!le"</f>
        <v/>
      </c>
      <c r="DK25">
        <f>#REF!+"vlM!lf"</f>
        <v/>
      </c>
      <c r="DL25">
        <f>#REF!+"vlM!lg"</f>
        <v/>
      </c>
      <c r="DM25">
        <f>#REF!+"vlM!lh"</f>
        <v/>
      </c>
      <c r="DN25">
        <f>#REF!+"vlM!li"</f>
        <v/>
      </c>
      <c r="DO25">
        <f>#REF!+"vlM!lj"</f>
        <v/>
      </c>
      <c r="DP25">
        <f>#REF!+"vlM!lk"</f>
        <v/>
      </c>
      <c r="DQ25">
        <f>#REF!+"vlM!ll"</f>
        <v/>
      </c>
      <c r="DR25">
        <f>#REF!+"vlM!lm"</f>
        <v/>
      </c>
      <c r="DS25">
        <f>#REF!+"vlM!ln"</f>
        <v/>
      </c>
      <c r="DT25">
        <f>#REF!+"vlM!lo"</f>
        <v/>
      </c>
      <c r="DU25">
        <f>#REF!+"vlM!lp"</f>
        <v/>
      </c>
      <c r="DV25" s="1">
        <f>#REF!+"vlM!lq"</f>
        <v/>
      </c>
      <c r="DW25">
        <f>#REF!+"vlM!lr"</f>
        <v/>
      </c>
      <c r="DX25">
        <f>#REF!+"vlM!ls"</f>
        <v/>
      </c>
      <c r="DY25">
        <f>#REF!+"vlM!lt"</f>
        <v/>
      </c>
      <c r="DZ25">
        <f>#REF!+"vlM!lu"</f>
        <v/>
      </c>
      <c r="EA25">
        <f>#REF!+"vlM!lv"</f>
        <v/>
      </c>
      <c r="EB25">
        <f>#REF!+"vlM!lw"</f>
        <v/>
      </c>
      <c r="EC25">
        <f>#REF!+"vlM!lx"</f>
        <v/>
      </c>
      <c r="ED25">
        <f>#REF!+"vlM!ly"</f>
        <v/>
      </c>
      <c r="EE25">
        <f>#REF!+"vlM!lz"</f>
        <v/>
      </c>
      <c r="EF25">
        <f>#REF!+"vlM!l{"</f>
        <v/>
      </c>
      <c r="EG25">
        <f>#REF!+"vlM!l|"</f>
        <v/>
      </c>
      <c r="EH25">
        <f>#REF!+"vlM!l}"</f>
        <v/>
      </c>
      <c r="EI25">
        <f>#REF!+"vlM!l~"</f>
        <v/>
      </c>
      <c r="EJ25">
        <f>#REF!+"vlM!m#"</f>
        <v/>
      </c>
      <c r="EK25" s="1">
        <f>#REF!+"vlM!m$"</f>
        <v/>
      </c>
      <c r="EL25">
        <f>#REF!+"vlM!m%"</f>
        <v/>
      </c>
      <c r="EM25">
        <f>#REF!+"vlM!m&amp;"</f>
        <v/>
      </c>
      <c r="EN25">
        <f>#REF!+"vlM!m'"</f>
        <v/>
      </c>
      <c r="EO25">
        <f>#REF!+"vlM!m("</f>
        <v/>
      </c>
      <c r="EP25">
        <f>#REF!+"vlM!m)"</f>
        <v/>
      </c>
      <c r="EQ25">
        <f>#REF!+"vlM!m."</f>
        <v/>
      </c>
      <c r="ER25">
        <f>#REF!+"vlM!m/"</f>
        <v/>
      </c>
      <c r="ES25">
        <f>#REF!+"vlM!m0"</f>
        <v/>
      </c>
      <c r="ET25">
        <f>#REF!+"vlM!m1"</f>
        <v/>
      </c>
      <c r="EU25">
        <f>#REF!+"vlM!m2"</f>
        <v/>
      </c>
      <c r="EV25">
        <f>#REF!+"vlM!m3"</f>
        <v/>
      </c>
      <c r="EW25">
        <f>#REF!+"vlM!m4"</f>
        <v/>
      </c>
      <c r="EX25">
        <f>#REF!+"vlM!m5"</f>
        <v/>
      </c>
      <c r="EY25">
        <f>#REF!+"vlM!m6"</f>
        <v/>
      </c>
      <c r="EZ25" s="1">
        <f>#REF!+"vlM!m7"</f>
        <v/>
      </c>
      <c r="FA25">
        <f>#REF!+"vlM!m8"</f>
        <v/>
      </c>
      <c r="FB25">
        <f>#REF!+"vlM!m9"</f>
        <v/>
      </c>
      <c r="FC25">
        <f>#REF!+"vlM!m:"</f>
        <v/>
      </c>
      <c r="FD25">
        <f>#REF!+"vlM!m;"</f>
        <v/>
      </c>
      <c r="FE25">
        <f>#REF!+"vlM!m&lt;"</f>
        <v/>
      </c>
      <c r="FF25">
        <f>#REF!+"vlM!m="</f>
        <v/>
      </c>
      <c r="FG25">
        <f>#REF!+"vlM!m&gt;"</f>
        <v/>
      </c>
      <c r="FH25">
        <f>#REF!+"vlM!m?"</f>
        <v/>
      </c>
      <c r="FI25">
        <f>#REF!+"vlM!m@"</f>
        <v/>
      </c>
      <c r="FJ25">
        <f>#REF!+"vlM!mA"</f>
        <v/>
      </c>
      <c r="FK25">
        <f>#REF!+"vlM!mB"</f>
        <v/>
      </c>
      <c r="FL25">
        <f>#REF!+"vlM!mC"</f>
        <v/>
      </c>
      <c r="FM25">
        <f>#REF!+"vlM!mD"</f>
        <v/>
      </c>
      <c r="FN25">
        <f>#REF!+"vlM!mE"</f>
        <v/>
      </c>
      <c r="FO25" s="1">
        <f>#REF!+"vlM!mF"</f>
        <v/>
      </c>
      <c r="FP25">
        <f>#REF!+"vlM!mG"</f>
        <v/>
      </c>
      <c r="FQ25">
        <f>#REF!+"vlM!mH"</f>
        <v/>
      </c>
      <c r="FR25">
        <f>#REF!+"vlM!mI"</f>
        <v/>
      </c>
      <c r="FS25">
        <f>#REF!+"vlM!mJ"</f>
        <v/>
      </c>
      <c r="FT25">
        <f>#REF!+"vlM!mK"</f>
        <v/>
      </c>
      <c r="FU25">
        <f>#REF!+"vlM!mL"</f>
        <v/>
      </c>
      <c r="FV25">
        <f>#REF!+"vlM!mM"</f>
        <v/>
      </c>
      <c r="FW25">
        <f>#REF!+"vlM!mN"</f>
        <v/>
      </c>
      <c r="FX25">
        <f>#REF!+"vlM!mO"</f>
        <v/>
      </c>
      <c r="FY25">
        <f>#REF!+"vlM!mP"</f>
        <v/>
      </c>
      <c r="FZ25">
        <f>#REF!+"vlM!mQ"</f>
        <v/>
      </c>
      <c r="GA25">
        <f>#REF!+"vlM!mR"</f>
        <v/>
      </c>
      <c r="GB25">
        <f>#REF!+"vlM!mS"</f>
        <v/>
      </c>
      <c r="GC25">
        <f>#REF!+"vlM!mT"</f>
        <v/>
      </c>
      <c r="GD25" s="1">
        <f>#REF!+"vlM!mU"</f>
        <v/>
      </c>
      <c r="GE25">
        <f>#REF!+"vlM!mV"</f>
        <v/>
      </c>
      <c r="GF25">
        <f>#REF!+"vlM!mW"</f>
        <v/>
      </c>
      <c r="GG25">
        <f>#REF!+"vlM!mX"</f>
        <v/>
      </c>
      <c r="GH25">
        <f>#REF!+"vlM!mY"</f>
        <v/>
      </c>
      <c r="GI25">
        <f>#REF!+"vlM!mZ"</f>
        <v/>
      </c>
      <c r="GJ25">
        <f>#REF!+"vlM!m["</f>
        <v/>
      </c>
      <c r="GK25">
        <f>#REF!+"vlM!m\"</f>
        <v/>
      </c>
      <c r="GL25">
        <f>#REF!+"vlM!m]"</f>
        <v/>
      </c>
      <c r="GM25">
        <f>#REF!+"vlM!m^"</f>
        <v/>
      </c>
      <c r="GN25">
        <f>#REF!+"vlM!m_"</f>
        <v/>
      </c>
      <c r="GO25">
        <f>#REF!+"vlM!m`"</f>
        <v/>
      </c>
      <c r="GP25">
        <f>#REF!+"vlM!ma"</f>
        <v/>
      </c>
      <c r="GQ25">
        <f>#REF!+"vlM!mb"</f>
        <v/>
      </c>
      <c r="GR25">
        <f>#REF!+"vlM!mc"</f>
        <v/>
      </c>
      <c r="GS25" s="1">
        <f>#REF!+"vlM!md"</f>
        <v/>
      </c>
      <c r="GT25">
        <f>#REF!+"vlM!me"</f>
        <v/>
      </c>
      <c r="GU25">
        <f>#REF!+"vlM!mf"</f>
        <v/>
      </c>
      <c r="GV25">
        <f>#REF!+"vlM!mg"</f>
        <v/>
      </c>
      <c r="GW25">
        <f>#REF!+"vlM!mh"</f>
        <v/>
      </c>
      <c r="GX25">
        <f>#REF!+"vlM!mi"</f>
        <v/>
      </c>
      <c r="GY25">
        <f>#REF!+"vlM!mj"</f>
        <v/>
      </c>
      <c r="GZ25">
        <f>#REF!+"vlM!mk"</f>
        <v/>
      </c>
      <c r="HA25">
        <f>#REF!+"vlM!ml"</f>
        <v/>
      </c>
      <c r="HB25">
        <f>#REF!+"vlM!mm"</f>
        <v/>
      </c>
      <c r="HC25">
        <f>#REF!+"vlM!mn"</f>
        <v/>
      </c>
      <c r="HD25">
        <f>#REF!+"vlM!mo"</f>
        <v/>
      </c>
      <c r="HE25">
        <f>#REF!+"vlM!mp"</f>
        <v/>
      </c>
      <c r="HF25">
        <f>#REF!+"vlM!mq"</f>
        <v/>
      </c>
      <c r="HG25">
        <f>#REF!+"vlM!mr"</f>
        <v/>
      </c>
      <c r="HH25" s="1">
        <f>#REF!+"vlM!ms"</f>
        <v/>
      </c>
      <c r="HI25">
        <f>#REF!+"vlM!mt"</f>
        <v/>
      </c>
      <c r="HJ25">
        <f>#REF!+"vlM!mu"</f>
        <v/>
      </c>
      <c r="HK25">
        <f>#REF!+"vlM!mv"</f>
        <v/>
      </c>
      <c r="HL25">
        <f>#REF!+"vlM!mw"</f>
        <v/>
      </c>
      <c r="HM25">
        <f>#REF!+"vlM!mx"</f>
        <v/>
      </c>
      <c r="HN25">
        <f>#REF!+"vlM!my"</f>
        <v/>
      </c>
      <c r="HO25">
        <f>#REF!+"vlM!mz"</f>
        <v/>
      </c>
      <c r="HP25">
        <f>#REF!+"vlM!m{"</f>
        <v/>
      </c>
      <c r="HQ25">
        <f>#REF!+"vlM!m|"</f>
        <v/>
      </c>
      <c r="HR25">
        <f>#REF!+"vlM!m}"</f>
        <v/>
      </c>
      <c r="HS25">
        <f>#REF!+"vlM!m~"</f>
        <v/>
      </c>
      <c r="HT25">
        <f>#REF!+"vlM!n#"</f>
        <v/>
      </c>
      <c r="HU25">
        <f>#REF!+"vlM!n$"</f>
        <v/>
      </c>
      <c r="HV25">
        <f>#REF!+"vlM!n%"</f>
        <v/>
      </c>
      <c r="HW25" s="1">
        <f>#REF!+"vlM!n&amp;"</f>
        <v/>
      </c>
      <c r="HX25">
        <f>#REF!+"vlM!n'"</f>
        <v/>
      </c>
      <c r="HY25">
        <f>#REF!+"vlM!n("</f>
        <v/>
      </c>
      <c r="HZ25">
        <f>#REF!+"vlM!n)"</f>
        <v/>
      </c>
      <c r="IA25">
        <f>#REF!+"vlM!n."</f>
        <v/>
      </c>
      <c r="IB25">
        <f>#REF!+"vlM!n/"</f>
        <v/>
      </c>
      <c r="IC25">
        <f>#REF!+"vlM!n0"</f>
        <v/>
      </c>
      <c r="ID25">
        <f>#REF!+"vlM!n1"</f>
        <v/>
      </c>
      <c r="IE25">
        <f>#REF!+"vlM!n2"</f>
        <v/>
      </c>
      <c r="IF25">
        <f>#REF!+"vlM!n3"</f>
        <v/>
      </c>
      <c r="IG25">
        <f>#REF!+"vlM!n4"</f>
        <v/>
      </c>
      <c r="IH25">
        <f>#REF!+"vlM!n5"</f>
        <v/>
      </c>
      <c r="II25">
        <f>#REF!+"vlM!n6"</f>
        <v/>
      </c>
      <c r="IJ25">
        <f>#REF!+"vlM!n7"</f>
        <v/>
      </c>
      <c r="IK25">
        <f>#REF!+"vlM!n8"</f>
        <v/>
      </c>
      <c r="IL25" s="1">
        <f>#REF!+"vlM!n9"</f>
        <v/>
      </c>
      <c r="IM25">
        <f>#REF!+"vlM!n:"</f>
        <v/>
      </c>
      <c r="IN25">
        <f>#REF!+"vlM!n;"</f>
        <v/>
      </c>
      <c r="IO25">
        <f>#REF!+"vlM!n&lt;"</f>
        <v/>
      </c>
      <c r="IP25">
        <f>#REF!+"vlM!n="</f>
        <v/>
      </c>
      <c r="IQ25">
        <f>#REF!+"vlM!n&gt;"</f>
        <v/>
      </c>
      <c r="IR25">
        <f>#REF!+"vlM!n?"</f>
        <v/>
      </c>
      <c r="IS25">
        <f>#REF!+"vlM!n@"</f>
        <v/>
      </c>
      <c r="IT25">
        <f>#REF!+"vlM!nA"</f>
        <v/>
      </c>
      <c r="IU25">
        <f>#REF!+"vlM!nB"</f>
        <v/>
      </c>
      <c r="IV25">
        <f>#REF!+"vlM!nC"</f>
        <v/>
      </c>
    </row>
    <row r="26">
      <c r="F26">
        <f>#REF!+"vlM!nD"</f>
        <v/>
      </c>
      <c r="G26">
        <f>#REF!+"vlM!nE"</f>
        <v/>
      </c>
      <c r="H26">
        <f>#REF!+"vlM!nF"</f>
        <v/>
      </c>
      <c r="I26">
        <f>#REF!+"vlM!nG"</f>
        <v/>
      </c>
      <c r="J26" s="1">
        <f>#REF!+"vlM!nH"</f>
        <v/>
      </c>
      <c r="K26">
        <f>#REF!+"vlM!nI"</f>
        <v/>
      </c>
      <c r="L26">
        <f>#REF!+"vlM!nJ"</f>
        <v/>
      </c>
      <c r="M26">
        <f>#REF!+"vlM!nK"</f>
        <v/>
      </c>
      <c r="N26">
        <f>#REF!+"vlM!nL"</f>
        <v/>
      </c>
      <c r="O26">
        <f>#REF!+"vlM!nM"</f>
        <v/>
      </c>
      <c r="P26">
        <f>#REF!+"vlM!nN"</f>
        <v/>
      </c>
      <c r="Q26">
        <f>#REF!+"vlM!nO"</f>
        <v/>
      </c>
      <c r="R26">
        <f>#REF!+"vlM!nP"</f>
        <v/>
      </c>
      <c r="S26">
        <f>#REF!+"vlM!nQ"</f>
        <v/>
      </c>
      <c r="T26">
        <f>#REF!+"vlM!nR"</f>
        <v/>
      </c>
      <c r="U26">
        <f>#REF!+"vlM!nS"</f>
        <v/>
      </c>
      <c r="V26">
        <f>#REF!+"vlM!nT"</f>
        <v/>
      </c>
      <c r="W26">
        <f>#REF!+"vlM!nU"</f>
        <v/>
      </c>
      <c r="X26">
        <f>#REF!+"vlM!nV"</f>
        <v/>
      </c>
      <c r="Y26" s="1">
        <f>#REF!+"vlM!nW"</f>
        <v/>
      </c>
      <c r="Z26">
        <f>#REF!+"vlM!nX"</f>
        <v/>
      </c>
      <c r="AA26">
        <f>#REF!+"vlM!nY"</f>
        <v/>
      </c>
      <c r="AB26">
        <f>#REF!+"vlM!nZ"</f>
        <v/>
      </c>
      <c r="AC26">
        <f>#REF!+"vlM!n["</f>
        <v/>
      </c>
      <c r="AD26">
        <f>#REF!+"vlM!n\"</f>
        <v/>
      </c>
      <c r="AE26">
        <f>#REF!+"vlM!n]"</f>
        <v/>
      </c>
      <c r="AF26">
        <f>#REF!+"vlM!n^"</f>
        <v/>
      </c>
      <c r="AG26">
        <f>#REF!+"vlM!n_"</f>
        <v/>
      </c>
      <c r="AH26">
        <f>#REF!+"vlM!n`"</f>
        <v/>
      </c>
      <c r="AI26">
        <f>#REF!+"vlM!na"</f>
        <v/>
      </c>
      <c r="AJ26">
        <f>#REF!+"vlM!nb"</f>
        <v/>
      </c>
      <c r="AK26">
        <f>#REF!+"vlM!nc"</f>
        <v/>
      </c>
      <c r="AL26">
        <f>#REF!+"vlM!nd"</f>
        <v/>
      </c>
      <c r="AM26">
        <f>#REF!+"vlM!ne"</f>
        <v/>
      </c>
      <c r="AN26" s="1">
        <f>#REF!+"vlM!nf"</f>
        <v/>
      </c>
      <c r="AO26">
        <f>#REF!+"vlM!ng"</f>
        <v/>
      </c>
      <c r="AP26">
        <f>#REF!+"vlM!nh"</f>
        <v/>
      </c>
      <c r="AQ26">
        <f>#REF!+"vlM!ni"</f>
        <v/>
      </c>
      <c r="AR26">
        <f>#REF!+"vlM!nj"</f>
        <v/>
      </c>
      <c r="AS26">
        <f>#REF!+"vlM!nk"</f>
        <v/>
      </c>
      <c r="AT26">
        <f>#REF!+"vlM!nl"</f>
        <v/>
      </c>
      <c r="AU26">
        <f>#REF!+"vlM!nm"</f>
        <v/>
      </c>
      <c r="AV26">
        <f>#REF!+"vlM!nn"</f>
        <v/>
      </c>
      <c r="AW26">
        <f>#REF!+"vlM!no"</f>
        <v/>
      </c>
      <c r="AX26">
        <f>#REF!+"vlM!np"</f>
        <v/>
      </c>
      <c r="AY26">
        <f>#REF!+"vlM!nq"</f>
        <v/>
      </c>
      <c r="AZ26">
        <f>#REF!+"vlM!nr"</f>
        <v/>
      </c>
      <c r="BA26">
        <f>#REF!+"vlM!ns"</f>
        <v/>
      </c>
      <c r="BB26">
        <f>#REF!+"vlM!nt"</f>
        <v/>
      </c>
      <c r="BC26" s="1">
        <f>#REF!+"vlM!nu"</f>
        <v/>
      </c>
      <c r="BD26">
        <f>#REF!+"vlM!nv"</f>
        <v/>
      </c>
      <c r="BE26">
        <f>#REF!+"vlM!nw"</f>
        <v/>
      </c>
      <c r="BF26">
        <f>#REF!+"vlM!nx"</f>
        <v/>
      </c>
      <c r="BG26">
        <f>#REF!+"vlM!ny"</f>
        <v/>
      </c>
      <c r="BH26">
        <f>#REF!+"vlM!nz"</f>
        <v/>
      </c>
      <c r="BI26">
        <f>#REF!+"vlM!n{"</f>
        <v/>
      </c>
      <c r="BJ26">
        <f>#REF!+"vlM!n|"</f>
        <v/>
      </c>
      <c r="BK26">
        <f>#REF!+"vlM!n}"</f>
        <v/>
      </c>
      <c r="BL26">
        <f>#REF!+"vlM!n~"</f>
        <v/>
      </c>
      <c r="BM26">
        <f>#REF!+"vlM!o#"</f>
        <v/>
      </c>
      <c r="BN26">
        <f>#REF!+"vlM!o$"</f>
        <v/>
      </c>
      <c r="BO26">
        <f>#REF!+"vlM!o%"</f>
        <v/>
      </c>
      <c r="BP26">
        <f>#REF!+"vlM!o&amp;"</f>
        <v/>
      </c>
      <c r="BQ26">
        <f>#REF!+"vlM!o'"</f>
        <v/>
      </c>
      <c r="BR26" s="1">
        <f>#REF!+"vlM!o("</f>
        <v/>
      </c>
      <c r="BS26">
        <f>#REF!+"vlM!o)"</f>
        <v/>
      </c>
      <c r="BT26">
        <f>#REF!+"vlM!o."</f>
        <v/>
      </c>
      <c r="BU26">
        <f>#REF!+"vlM!o/"</f>
        <v/>
      </c>
      <c r="BV26">
        <f>#REF!+"vlM!o0"</f>
        <v/>
      </c>
      <c r="BW26">
        <f>#REF!+"vlM!o1"</f>
        <v/>
      </c>
      <c r="BX26">
        <f>#REF!+"vlM!o2"</f>
        <v/>
      </c>
      <c r="BY26">
        <f>#REF!+"vlM!o3"</f>
        <v/>
      </c>
      <c r="BZ26">
        <f>#REF!+"vlM!o4"</f>
        <v/>
      </c>
      <c r="CA26">
        <f>#REF!+"vlM!o5"</f>
        <v/>
      </c>
      <c r="CB26">
        <f>#REF!+"vlM!o6"</f>
        <v/>
      </c>
      <c r="CC26">
        <f>#REF!+"vlM!o7"</f>
        <v/>
      </c>
      <c r="CD26">
        <f>#REF!+"vlM!o8"</f>
        <v/>
      </c>
      <c r="CE26">
        <f>#REF!+"vlM!o9"</f>
        <v/>
      </c>
      <c r="CF26">
        <f>#REF!+"vlM!o:"</f>
        <v/>
      </c>
      <c r="CG26" s="1">
        <f>#REF!+"vlM!o;"</f>
        <v/>
      </c>
      <c r="CH26">
        <f>#REF!+"vlM!o&lt;"</f>
        <v/>
      </c>
      <c r="CI26">
        <f>#REF!+"vlM!o="</f>
        <v/>
      </c>
      <c r="CJ26">
        <f>#REF!+"vlM!o&gt;"</f>
        <v/>
      </c>
      <c r="CK26">
        <f>#REF!+"vlM!o?"</f>
        <v/>
      </c>
      <c r="CL26">
        <f>#REF!+"vlM!o@"</f>
        <v/>
      </c>
      <c r="CM26">
        <f>#REF!+"vlM!oA"</f>
        <v/>
      </c>
      <c r="CN26">
        <f>#REF!+"vlM!oB"</f>
        <v/>
      </c>
      <c r="CO26">
        <f>#REF!+"vlM!oC"</f>
        <v/>
      </c>
      <c r="CP26">
        <f>#REF!+"vlM!oD"</f>
        <v/>
      </c>
      <c r="CQ26">
        <f>#REF!+"vlM!oE"</f>
        <v/>
      </c>
      <c r="CR26">
        <f>#REF!+"vlM!oF"</f>
        <v/>
      </c>
      <c r="CS26">
        <f>#REF!+"vlM!oG"</f>
        <v/>
      </c>
      <c r="CT26">
        <f>#REF!+"vlM!oH"</f>
        <v/>
      </c>
      <c r="CU26">
        <f>#REF!+"vlM!oI"</f>
        <v/>
      </c>
      <c r="CV26" s="1">
        <f>#REF!+"vlM!oJ"</f>
        <v/>
      </c>
      <c r="CW26">
        <f>#REF!+"vlM!oK"</f>
        <v/>
      </c>
      <c r="CX26">
        <f>#REF!+"vlM!oL"</f>
        <v/>
      </c>
      <c r="CY26">
        <f>#REF!+"vlM!oM"</f>
        <v/>
      </c>
      <c r="CZ26">
        <f>#REF!+"vlM!oN"</f>
        <v/>
      </c>
      <c r="DA26">
        <f>#REF!+"vlM!oO"</f>
        <v/>
      </c>
      <c r="DB26">
        <f>#REF!+"vlM!oP"</f>
        <v/>
      </c>
      <c r="DC26">
        <f>#REF!+"vlM!oQ"</f>
        <v/>
      </c>
      <c r="DD26">
        <f>#REF!+"vlM!oR"</f>
        <v/>
      </c>
      <c r="DE26">
        <f>#REF!+"vlM!oS"</f>
        <v/>
      </c>
      <c r="DF26">
        <f>#REF!+"vlM!oT"</f>
        <v/>
      </c>
      <c r="DG26">
        <f>#REF!+"vlM!oU"</f>
        <v/>
      </c>
      <c r="DH26">
        <f>#REF!+"vlM!oV"</f>
        <v/>
      </c>
      <c r="DI26">
        <f>#REF!+"vlM!oW"</f>
        <v/>
      </c>
      <c r="DJ26">
        <f>#REF!+"vlM!oX"</f>
        <v/>
      </c>
      <c r="DK26" s="1">
        <f>#REF!+"vlM!oY"</f>
        <v/>
      </c>
      <c r="DL26">
        <f>#REF!+"vlM!oZ"</f>
        <v/>
      </c>
      <c r="DM26">
        <f>#REF!+"vlM!o["</f>
        <v/>
      </c>
      <c r="DN26">
        <f>#REF!+"vlM!o\"</f>
        <v/>
      </c>
      <c r="DO26">
        <f>#REF!+"vlM!o]"</f>
        <v/>
      </c>
      <c r="DP26">
        <f>#REF!+"vlM!o^"</f>
        <v/>
      </c>
      <c r="DQ26">
        <f>#REF!+"vlM!o_"</f>
        <v/>
      </c>
      <c r="DR26">
        <f>#REF!+"vlM!o`"</f>
        <v/>
      </c>
      <c r="DS26">
        <f>#REF!+"vlM!oa"</f>
        <v/>
      </c>
      <c r="DT26">
        <f>#REF!+"vlM!ob"</f>
        <v/>
      </c>
      <c r="DU26">
        <f>#REF!+"vlM!oc"</f>
        <v/>
      </c>
      <c r="DV26">
        <f>#REF!+"vlM!od"</f>
        <v/>
      </c>
      <c r="DW26">
        <f>#REF!+"vlM!oe"</f>
        <v/>
      </c>
      <c r="DX26">
        <f>#REF!+"vlM!of"</f>
        <v/>
      </c>
      <c r="DY26">
        <f>#REF!+"vlM!og"</f>
        <v/>
      </c>
      <c r="DZ26" s="1">
        <f>#REF!+"vlM!oh"</f>
        <v/>
      </c>
      <c r="EA26">
        <f>#REF!+"vlM!oi"</f>
        <v/>
      </c>
      <c r="EB26">
        <f>#REF!+"vlM!oj"</f>
        <v/>
      </c>
      <c r="EC26">
        <f>#REF!+"vlM!ok"</f>
        <v/>
      </c>
      <c r="ED26">
        <f>#REF!+"vlM!ol"</f>
        <v/>
      </c>
      <c r="EE26">
        <f>#REF!+"vlM!om"</f>
        <v/>
      </c>
      <c r="EF26">
        <f>#REF!+"vlM!on"</f>
        <v/>
      </c>
      <c r="EG26">
        <f>#REF!+"vlM!oo"</f>
        <v/>
      </c>
      <c r="EH26">
        <f>#REF!+"vlM!op"</f>
        <v/>
      </c>
      <c r="EI26">
        <f>#REF!+"vlM!oq"</f>
        <v/>
      </c>
      <c r="EJ26">
        <f>#REF!+"vlM!or"</f>
        <v/>
      </c>
      <c r="EK26">
        <f>#REF!+"vlM!os"</f>
        <v/>
      </c>
      <c r="EL26">
        <f>#REF!+"vlM!ot"</f>
        <v/>
      </c>
      <c r="EM26">
        <f>#REF!+"vlM!ou"</f>
        <v/>
      </c>
      <c r="EN26">
        <f>#REF!+"vlM!ov"</f>
        <v/>
      </c>
      <c r="EO26" s="1">
        <f>#REF!+"vlM!ow"</f>
        <v/>
      </c>
      <c r="EP26">
        <f>#REF!+"vlM!ox"</f>
        <v/>
      </c>
      <c r="EQ26">
        <f>#REF!+"vlM!oy"</f>
        <v/>
      </c>
      <c r="ER26">
        <f>#REF!+"vlM!oz"</f>
        <v/>
      </c>
      <c r="ES26">
        <f>#REF!+"vlM!o{"</f>
        <v/>
      </c>
      <c r="ET26">
        <f>#REF!+"vlM!o|"</f>
        <v/>
      </c>
      <c r="EU26">
        <f>#REF!+"vlM!o}"</f>
        <v/>
      </c>
      <c r="EV26">
        <f>#REF!+"vlM!o~"</f>
        <v/>
      </c>
      <c r="EW26">
        <f>#REF!+"vlM!p#"</f>
        <v/>
      </c>
      <c r="EX26">
        <f>#REF!+"vlM!p$"</f>
        <v/>
      </c>
      <c r="EY26">
        <f>#REF!+"vlM!p%"</f>
        <v/>
      </c>
      <c r="EZ26">
        <f>#REF!+"vlM!p&amp;"</f>
        <v/>
      </c>
      <c r="FA26">
        <f>#REF!+"vlM!p'"</f>
        <v/>
      </c>
      <c r="FB26">
        <f>#REF!+"vlM!p("</f>
        <v/>
      </c>
      <c r="FC26">
        <f>#REF!+"vlM!p)"</f>
        <v/>
      </c>
      <c r="FD26" s="1">
        <f>#REF!+"vlM!p."</f>
        <v/>
      </c>
      <c r="FE26">
        <f>#REF!+"vlM!p/"</f>
        <v/>
      </c>
      <c r="FF26">
        <f>#REF!+"vlM!p0"</f>
        <v/>
      </c>
      <c r="FG26">
        <f>#REF!+"vlM!p1"</f>
        <v/>
      </c>
      <c r="FH26">
        <f>#REF!+"vlM!p2"</f>
        <v/>
      </c>
      <c r="FI26">
        <f>#REF!+"vlM!p3"</f>
        <v/>
      </c>
      <c r="FJ26">
        <f>#REF!+"vlM!p4"</f>
        <v/>
      </c>
      <c r="FK26">
        <f>#REF!+"vlM!p5"</f>
        <v/>
      </c>
      <c r="FL26">
        <f>#REF!+"vlM!p6"</f>
        <v/>
      </c>
      <c r="FM26">
        <f>#REF!+"vlM!p7"</f>
        <v/>
      </c>
      <c r="FN26">
        <f>#REF!+"vlM!p8"</f>
        <v/>
      </c>
      <c r="FO26">
        <f>#REF!+"vlM!p9"</f>
        <v/>
      </c>
      <c r="FP26">
        <f>#REF!+"vlM!p:"</f>
        <v/>
      </c>
      <c r="FQ26">
        <f>#REF!+"vlM!p;"</f>
        <v/>
      </c>
      <c r="FR26">
        <f>#REF!+"vlM!p&lt;"</f>
        <v/>
      </c>
      <c r="FS26" s="1">
        <f>#REF!+"vlM!p="</f>
        <v/>
      </c>
      <c r="FT26">
        <f>#REF!+"vlM!p&gt;"</f>
        <v/>
      </c>
      <c r="FU26">
        <f>#REF!+"vlM!p?"</f>
        <v/>
      </c>
      <c r="FV26">
        <f>#REF!+"vlM!p@"</f>
        <v/>
      </c>
      <c r="FW26">
        <f>#REF!+"vlM!pA"</f>
        <v/>
      </c>
      <c r="FX26">
        <f>#REF!+"vlM!pB"</f>
        <v/>
      </c>
      <c r="FY26">
        <f>#REF!+"vlM!pC"</f>
        <v/>
      </c>
      <c r="FZ26">
        <f>#REF!+"vlM!pD"</f>
        <v/>
      </c>
      <c r="GA26">
        <f>#REF!+"vlM!pE"</f>
        <v/>
      </c>
      <c r="GB26">
        <f>#REF!+"vlM!pF"</f>
        <v/>
      </c>
      <c r="GC26">
        <f>#REF!+"vlM!pG"</f>
        <v/>
      </c>
      <c r="GD26">
        <f>#REF!+"vlM!pH"</f>
        <v/>
      </c>
      <c r="GE26">
        <f>#REF!+"vlM!pI"</f>
        <v/>
      </c>
      <c r="GF26">
        <f>#REF!+"vlM!pJ"</f>
        <v/>
      </c>
      <c r="GG26">
        <f>#REF!+"vlM!pK"</f>
        <v/>
      </c>
      <c r="GH26" s="1">
        <f>#REF!+"vlM!pL"</f>
        <v/>
      </c>
      <c r="GI26">
        <f>#REF!+"vlM!pM"</f>
        <v/>
      </c>
      <c r="GJ26">
        <f>#REF!+"vlM!pN"</f>
        <v/>
      </c>
      <c r="GK26">
        <f>#REF!+"vlM!pO"</f>
        <v/>
      </c>
      <c r="GL26">
        <f>#REF!+"vlM!pP"</f>
        <v/>
      </c>
      <c r="GM26">
        <f>#REF!+"vlM!pQ"</f>
        <v/>
      </c>
      <c r="GN26">
        <f>#REF!+"vlM!pR"</f>
        <v/>
      </c>
      <c r="GO26">
        <f>#REF!+"vlM!pS"</f>
        <v/>
      </c>
      <c r="GP26">
        <f>#REF!+"vlM!pT"</f>
        <v/>
      </c>
      <c r="GQ26">
        <f>#REF!+"vlM!pU"</f>
        <v/>
      </c>
      <c r="GR26">
        <f>#REF!+"vlM!pV"</f>
        <v/>
      </c>
      <c r="GS26">
        <f>#REF!+"vlM!pW"</f>
        <v/>
      </c>
      <c r="GT26">
        <f>#REF!+"vlM!pX"</f>
        <v/>
      </c>
      <c r="GU26">
        <f>#REF!+"vlM!pY"</f>
        <v/>
      </c>
      <c r="GV26">
        <f>#REF!+"vlM!pZ"</f>
        <v/>
      </c>
      <c r="GW26" s="1">
        <f>#REF!+"vlM!p["</f>
        <v/>
      </c>
      <c r="GX26">
        <f>#REF!+"vlM!p\"</f>
        <v/>
      </c>
      <c r="GY26">
        <f>#REF!+"vlM!p]"</f>
        <v/>
      </c>
      <c r="GZ26">
        <f>#REF!+"vlM!p^"</f>
        <v/>
      </c>
      <c r="HA26">
        <f>#REF!+"vlM!p_"</f>
        <v/>
      </c>
      <c r="HB26">
        <f>#REF!+"vlM!p`"</f>
        <v/>
      </c>
      <c r="HC26">
        <f>#REF!+"vlM!pa"</f>
        <v/>
      </c>
      <c r="HD26">
        <f>#REF!+"vlM!pb"</f>
        <v/>
      </c>
      <c r="HE26">
        <f>#REF!+"vlM!pc"</f>
        <v/>
      </c>
      <c r="HF26">
        <f>#REF!+"vlM!pd"</f>
        <v/>
      </c>
      <c r="HG26">
        <f>#REF!+"vlM!pe"</f>
        <v/>
      </c>
      <c r="HH26">
        <f>#REF!+"vlM!pf"</f>
        <v/>
      </c>
      <c r="HI26">
        <f>#REF!+"vlM!pg"</f>
        <v/>
      </c>
      <c r="HJ26">
        <f>#REF!+"vlM!ph"</f>
        <v/>
      </c>
      <c r="HK26">
        <f>#REF!+"vlM!pi"</f>
        <v/>
      </c>
      <c r="HL26" s="1">
        <f>#REF!+"vlM!pj"</f>
        <v/>
      </c>
      <c r="HM26">
        <f>#REF!+"vlM!pk"</f>
        <v/>
      </c>
      <c r="HN26">
        <f>#REF!+"vlM!pl"</f>
        <v/>
      </c>
      <c r="HO26">
        <f>#REF!+"vlM!pm"</f>
        <v/>
      </c>
      <c r="HP26">
        <f>#REF!+"vlM!pn"</f>
        <v/>
      </c>
      <c r="HQ26">
        <f>#REF!+"vlM!po"</f>
        <v/>
      </c>
      <c r="HR26">
        <f>#REF!+"vlM!pp"</f>
        <v/>
      </c>
      <c r="HS26">
        <f>#REF!+"vlM!pq"</f>
        <v/>
      </c>
      <c r="HT26">
        <f>#REF!+"vlM!pr"</f>
        <v/>
      </c>
      <c r="HU26">
        <f>#REF!+"vlM!ps"</f>
        <v/>
      </c>
      <c r="HV26">
        <f>#REF!+"vlM!pt"</f>
        <v/>
      </c>
      <c r="HW26">
        <f>#REF!+"vlM!pu"</f>
        <v/>
      </c>
      <c r="HX26">
        <f>#REF!+"vlM!pv"</f>
        <v/>
      </c>
      <c r="HY26">
        <f>#REF!+"vlM!pw"</f>
        <v/>
      </c>
      <c r="HZ26">
        <f>#REF!+"vlM!px"</f>
        <v/>
      </c>
      <c r="IA26" s="1">
        <f>#REF!+"vlM!py"</f>
        <v/>
      </c>
      <c r="IB26">
        <f>#REF!+"vlM!pz"</f>
        <v/>
      </c>
      <c r="IC26">
        <f>#REF!+"vlM!p{"</f>
        <v/>
      </c>
      <c r="ID26">
        <f>#REF!+"vlM!p|"</f>
        <v/>
      </c>
      <c r="IE26">
        <f>#REF!+"vlM!p}"</f>
        <v/>
      </c>
      <c r="IF26">
        <f>#REF!+"vlM!p~"</f>
        <v/>
      </c>
      <c r="IG26">
        <f>#REF!+"vlM!q#"</f>
        <v/>
      </c>
      <c r="IH26">
        <f>#REF!+"vlM!q$"</f>
        <v/>
      </c>
      <c r="II26">
        <f>#REF!+"vlM!q%"</f>
        <v/>
      </c>
      <c r="IJ26">
        <f>#REF!+"vlM!q&amp;"</f>
        <v/>
      </c>
      <c r="IK26">
        <f>#REF!+"vlM!q'"</f>
        <v/>
      </c>
      <c r="IL26">
        <f>#REF!+"vlM!q("</f>
        <v/>
      </c>
      <c r="IM26">
        <f>#REF!+"vlM!q)"</f>
        <v/>
      </c>
      <c r="IN26">
        <f>#REF!+"vlM!q."</f>
        <v/>
      </c>
      <c r="IO26">
        <f>#REF!+"vlM!q/"</f>
        <v/>
      </c>
      <c r="IP26" s="1">
        <f>#REF!+"vlM!q0"</f>
        <v/>
      </c>
      <c r="IQ26">
        <f>#REF!+"vlM!q1"</f>
        <v/>
      </c>
      <c r="IR26">
        <f>#REF!+"vlM!q2"</f>
        <v/>
      </c>
      <c r="IS26">
        <f>#REF!+"vlM!q3"</f>
        <v/>
      </c>
      <c r="IT26">
        <f>#REF!+"vlM!q4"</f>
        <v/>
      </c>
      <c r="IU26">
        <f>#REF!+"vlM!q5"</f>
        <v/>
      </c>
      <c r="IV26">
        <f>#REF!+"vlM!q6"</f>
        <v/>
      </c>
    </row>
    <row r="27">
      <c r="F27">
        <f>#REF!+"vlM!q7"</f>
        <v/>
      </c>
      <c r="G27">
        <f>#REF!+"vlM!q8"</f>
        <v/>
      </c>
      <c r="H27">
        <f>#REF!+"vlM!q9"</f>
        <v/>
      </c>
      <c r="I27">
        <f>#REF!+"vlM!q:"</f>
        <v/>
      </c>
      <c r="J27">
        <f>#REF!+"vlM!q;"</f>
        <v/>
      </c>
      <c r="K27">
        <f>#REF!+"vlM!q&lt;"</f>
        <v/>
      </c>
      <c r="L27">
        <f>#REF!+"vlM!q="</f>
        <v/>
      </c>
      <c r="M27">
        <f>#REF!+"vlM!q&gt;"</f>
        <v/>
      </c>
      <c r="N27" s="1">
        <f>#REF!+"vlM!q?"</f>
        <v/>
      </c>
      <c r="O27">
        <f>#REF!+"vlM!q@"</f>
        <v/>
      </c>
      <c r="P27">
        <f>#REF!+"vlM!qA"</f>
        <v/>
      </c>
      <c r="Q27">
        <f>#REF!+"vlM!qB"</f>
        <v/>
      </c>
      <c r="R27">
        <f>#REF!+"vlM!qC"</f>
        <v/>
      </c>
      <c r="S27">
        <f>#REF!+"vlM!qD"</f>
        <v/>
      </c>
      <c r="T27">
        <f>#REF!+"vlM!qE"</f>
        <v/>
      </c>
      <c r="U27">
        <f>#REF!+"vlM!qF"</f>
        <v/>
      </c>
      <c r="V27">
        <f>#REF!+"vlM!qG"</f>
        <v/>
      </c>
      <c r="W27">
        <f>#REF!+"vlM!qH"</f>
        <v/>
      </c>
      <c r="X27">
        <f>#REF!+"vlM!qI"</f>
        <v/>
      </c>
      <c r="Y27">
        <f>#REF!+"vlM!qJ"</f>
        <v/>
      </c>
      <c r="Z27">
        <f>#REF!+"vlM!qK"</f>
        <v/>
      </c>
      <c r="AA27">
        <f>#REF!+"vlM!qL"</f>
        <v/>
      </c>
      <c r="AB27">
        <f>#REF!+"vlM!qM"</f>
        <v/>
      </c>
      <c r="AC27" s="1">
        <f>#REF!+"vlM!qN"</f>
        <v/>
      </c>
      <c r="AD27">
        <f>#REF!+"vlM!qO"</f>
        <v/>
      </c>
      <c r="AE27">
        <f>#REF!+"vlM!qP"</f>
        <v/>
      </c>
      <c r="AF27">
        <f>#REF!+"vlM!qQ"</f>
        <v/>
      </c>
      <c r="AG27">
        <f>#REF!+"vlM!qR"</f>
        <v/>
      </c>
      <c r="AH27">
        <f>#REF!+"vlM!qS"</f>
        <v/>
      </c>
      <c r="AI27">
        <f>#REF!+"vlM!qT"</f>
        <v/>
      </c>
      <c r="AJ27">
        <f>#REF!+"vlM!qU"</f>
        <v/>
      </c>
      <c r="AK27">
        <f>#REF!+"vlM!qV"</f>
        <v/>
      </c>
      <c r="AL27">
        <f>#REF!+"vlM!qW"</f>
        <v/>
      </c>
      <c r="AM27">
        <f>#REF!+"vlM!qX"</f>
        <v/>
      </c>
      <c r="AN27">
        <f>#REF!+"vlM!qY"</f>
        <v/>
      </c>
      <c r="AO27">
        <f>#REF!+"vlM!qZ"</f>
        <v/>
      </c>
      <c r="AP27">
        <f>#REF!+"vlM!q["</f>
        <v/>
      </c>
      <c r="AQ27">
        <f>#REF!+"vlM!q\"</f>
        <v/>
      </c>
      <c r="AR27" s="1">
        <f>#REF!+"vlM!q]"</f>
        <v/>
      </c>
      <c r="AS27">
        <f>#REF!+"vlM!q^"</f>
        <v/>
      </c>
      <c r="AT27">
        <f>#REF!+"vlM!q_"</f>
        <v/>
      </c>
      <c r="AU27">
        <f>#REF!+"vlM!q`"</f>
        <v/>
      </c>
      <c r="AV27">
        <f>#REF!+"vlM!qa"</f>
        <v/>
      </c>
      <c r="AW27">
        <f>#REF!+"vlM!qb"</f>
        <v/>
      </c>
      <c r="AX27">
        <f>#REF!+"vlM!qc"</f>
        <v/>
      </c>
      <c r="AY27">
        <f>#REF!+"vlM!qd"</f>
        <v/>
      </c>
      <c r="AZ27">
        <f>#REF!+"vlM!qe"</f>
        <v/>
      </c>
      <c r="BA27">
        <f>#REF!+"vlM!qf"</f>
        <v/>
      </c>
      <c r="BB27">
        <f>#REF!+"vlM!qg"</f>
        <v/>
      </c>
      <c r="BC27">
        <f>#REF!+"vlM!qh"</f>
        <v/>
      </c>
      <c r="BD27">
        <f>#REF!+"vlM!qi"</f>
        <v/>
      </c>
      <c r="BE27">
        <f>#REF!+"vlM!qj"</f>
        <v/>
      </c>
      <c r="BF27">
        <f>#REF!+"vlM!qk"</f>
        <v/>
      </c>
      <c r="BG27" s="1">
        <f>#REF!+"vlM!ql"</f>
        <v/>
      </c>
      <c r="BH27">
        <f>#REF!+"vlM!qm"</f>
        <v/>
      </c>
      <c r="BI27">
        <f>#REF!+"vlM!qn"</f>
        <v/>
      </c>
      <c r="BJ27">
        <f>#REF!+"vlM!qo"</f>
        <v/>
      </c>
      <c r="BK27">
        <f>#REF!+"vlM!qp"</f>
        <v/>
      </c>
      <c r="BL27">
        <f>#REF!+"vlM!qq"</f>
        <v/>
      </c>
      <c r="BM27">
        <f>#REF!+"vlM!qr"</f>
        <v/>
      </c>
      <c r="BN27">
        <f>#REF!+"vlM!qs"</f>
        <v/>
      </c>
      <c r="BO27">
        <f>#REF!+"vlM!qt"</f>
        <v/>
      </c>
      <c r="BP27">
        <f>#REF!+"vlM!qu"</f>
        <v/>
      </c>
      <c r="BQ27">
        <f>#REF!+"vlM!qv"</f>
        <v/>
      </c>
      <c r="BR27">
        <f>#REF!+"vlM!qw"</f>
        <v/>
      </c>
      <c r="BS27">
        <f>#REF!+"vlM!qx"</f>
        <v/>
      </c>
      <c r="BT27">
        <f>#REF!+"vlM!qy"</f>
        <v/>
      </c>
      <c r="BU27">
        <f>#REF!+"vlM!qz"</f>
        <v/>
      </c>
      <c r="BV27" s="1">
        <f>#REF!+"vlM!q{"</f>
        <v/>
      </c>
      <c r="BW27">
        <f>#REF!+"vlM!q|"</f>
        <v/>
      </c>
      <c r="BX27">
        <f>#REF!+"vlM!q}"</f>
        <v/>
      </c>
      <c r="BY27">
        <f>#REF!+"vlM!q~"</f>
        <v/>
      </c>
      <c r="BZ27">
        <f>#REF!+"vlM!r#"</f>
        <v/>
      </c>
      <c r="CA27">
        <f>#REF!+"vlM!r$"</f>
        <v/>
      </c>
      <c r="CB27">
        <f>#REF!+"vlM!r%"</f>
        <v/>
      </c>
      <c r="CC27">
        <f>#REF!+"vlM!r&amp;"</f>
        <v/>
      </c>
      <c r="CD27">
        <f>#REF!+"vlM!r'"</f>
        <v/>
      </c>
      <c r="CE27">
        <f>#REF!+"vlM!r("</f>
        <v/>
      </c>
      <c r="CF27">
        <f>#REF!+"vlM!r)"</f>
        <v/>
      </c>
      <c r="CG27">
        <f>#REF!+"vlM!r."</f>
        <v/>
      </c>
      <c r="CH27">
        <f>#REF!+"vlM!r/"</f>
        <v/>
      </c>
      <c r="CI27">
        <f>#REF!+"vlM!r0"</f>
        <v/>
      </c>
      <c r="CJ27">
        <f>#REF!+"vlM!r1"</f>
        <v/>
      </c>
      <c r="CK27" s="1">
        <f>#REF!+"vlM!r2"</f>
        <v/>
      </c>
      <c r="CL27">
        <f>#REF!+"vlM!r3"</f>
        <v/>
      </c>
      <c r="CM27">
        <f>#REF!+"vlM!r4"</f>
        <v/>
      </c>
      <c r="CN27">
        <f>#REF!+"vlM!r5"</f>
        <v/>
      </c>
      <c r="CO27">
        <f>#REF!+"vlM!r6"</f>
        <v/>
      </c>
      <c r="CP27">
        <f>#REF!+"vlM!r7"</f>
        <v/>
      </c>
      <c r="CQ27">
        <f>#REF!+"vlM!r8"</f>
        <v/>
      </c>
      <c r="CR27">
        <f>#REF!+"vlM!r9"</f>
        <v/>
      </c>
      <c r="CS27">
        <f>#REF!+"vlM!r:"</f>
        <v/>
      </c>
      <c r="CT27">
        <f>#REF!+"vlM!r;"</f>
        <v/>
      </c>
      <c r="CU27">
        <f>#REF!+"vlM!r&lt;"</f>
        <v/>
      </c>
      <c r="CV27">
        <f>#REF!+"vlM!r="</f>
        <v/>
      </c>
      <c r="CW27">
        <f>#REF!+"vlM!r&gt;"</f>
        <v/>
      </c>
      <c r="CX27">
        <f>#REF!+"vlM!r?"</f>
        <v/>
      </c>
      <c r="CY27">
        <f>#REF!+"vlM!r@"</f>
        <v/>
      </c>
      <c r="CZ27" s="1">
        <f>#REF!+"vlM!rA"</f>
        <v/>
      </c>
      <c r="DA27">
        <f>#REF!+"vlM!rB"</f>
        <v/>
      </c>
      <c r="DB27">
        <f>#REF!+"vlM!rC"</f>
        <v/>
      </c>
      <c r="DC27">
        <f>#REF!+"vlM!rD"</f>
        <v/>
      </c>
      <c r="DD27">
        <f>#REF!+"vlM!rE"</f>
        <v/>
      </c>
      <c r="DE27">
        <f>#REF!+"vlM!rF"</f>
        <v/>
      </c>
      <c r="DF27">
        <f>#REF!+"vlM!rG"</f>
        <v/>
      </c>
      <c r="DG27">
        <f>#REF!+"vlM!rH"</f>
        <v/>
      </c>
      <c r="DH27">
        <f>#REF!+"vlM!rI"</f>
        <v/>
      </c>
      <c r="DI27">
        <f>#REF!+"vlM!rJ"</f>
        <v/>
      </c>
      <c r="DJ27">
        <f>#REF!+"vlM!rK"</f>
        <v/>
      </c>
      <c r="DK27">
        <f>#REF!+"vlM!rL"</f>
        <v/>
      </c>
      <c r="DL27">
        <f>#REF!+"vlM!rM"</f>
        <v/>
      </c>
      <c r="DM27">
        <f>#REF!+"vlM!rN"</f>
        <v/>
      </c>
      <c r="DN27">
        <f>#REF!+"vlM!rO"</f>
        <v/>
      </c>
      <c r="DO27" s="1">
        <f>#REF!+"vlM!rP"</f>
        <v/>
      </c>
      <c r="DP27">
        <f>#REF!+"vlM!rQ"</f>
        <v/>
      </c>
      <c r="DQ27">
        <f>#REF!+"vlM!rR"</f>
        <v/>
      </c>
      <c r="DR27">
        <f>#REF!+"vlM!rS"</f>
        <v/>
      </c>
      <c r="DS27">
        <f>#REF!+"vlM!rT"</f>
        <v/>
      </c>
      <c r="DT27">
        <f>#REF!+"vlM!rU"</f>
        <v/>
      </c>
      <c r="DU27">
        <f>#REF!+"vlM!rV"</f>
        <v/>
      </c>
      <c r="DV27">
        <f>#REF!+"vlM!rW"</f>
        <v/>
      </c>
      <c r="DW27">
        <f>#REF!+"vlM!rX"</f>
        <v/>
      </c>
      <c r="DX27">
        <f>#REF!+"vlM!rY"</f>
        <v/>
      </c>
      <c r="DY27">
        <f>#REF!+"vlM!rZ"</f>
        <v/>
      </c>
      <c r="DZ27">
        <f>#REF!+"vlM!r["</f>
        <v/>
      </c>
      <c r="EA27">
        <f>#REF!+"vlM!r\"</f>
        <v/>
      </c>
      <c r="EB27">
        <f>#REF!+"vlM!r]"</f>
        <v/>
      </c>
      <c r="EC27">
        <f>#REF!+"vlM!r^"</f>
        <v/>
      </c>
      <c r="ED27" s="1">
        <f>#REF!+"vlM!r_"</f>
        <v/>
      </c>
      <c r="EE27">
        <f>#REF!+"vlM!r`"</f>
        <v/>
      </c>
      <c r="EF27">
        <f>#REF!+"vlM!ra"</f>
        <v/>
      </c>
      <c r="EG27">
        <f>#REF!+"vlM!rb"</f>
        <v/>
      </c>
      <c r="EH27">
        <f>#REF!+"vlM!rc"</f>
        <v/>
      </c>
      <c r="EI27">
        <f>#REF!+"vlM!rd"</f>
        <v/>
      </c>
      <c r="EJ27">
        <f>#REF!+"vlM!re"</f>
        <v/>
      </c>
      <c r="EK27">
        <f>#REF!+"vlM!rf"</f>
        <v/>
      </c>
      <c r="EL27">
        <f>#REF!+"vlM!rg"</f>
        <v/>
      </c>
      <c r="EM27">
        <f>#REF!+"vlM!rh"</f>
        <v/>
      </c>
      <c r="EN27">
        <f>#REF!+"vlM!ri"</f>
        <v/>
      </c>
      <c r="EO27">
        <f>#REF!+"vlM!rj"</f>
        <v/>
      </c>
      <c r="EP27">
        <f>#REF!+"vlM!rk"</f>
        <v/>
      </c>
      <c r="EQ27">
        <f>#REF!+"vlM!rl"</f>
        <v/>
      </c>
      <c r="ER27">
        <f>#REF!+"vlM!rm"</f>
        <v/>
      </c>
      <c r="ES27" s="1">
        <f>#REF!+"vlM!rn"</f>
        <v/>
      </c>
      <c r="ET27">
        <f>#REF!+"vlM!ro"</f>
        <v/>
      </c>
      <c r="EU27">
        <f>#REF!+"vlM!rp"</f>
        <v/>
      </c>
      <c r="EV27">
        <f>#REF!+"vlM!rq"</f>
        <v/>
      </c>
      <c r="EW27">
        <f>#REF!+"vlM!rr"</f>
        <v/>
      </c>
      <c r="EX27">
        <f>#REF!+"vlM!rs"</f>
        <v/>
      </c>
      <c r="EY27">
        <f>#REF!+"vlM!rt"</f>
        <v/>
      </c>
      <c r="EZ27">
        <f>#REF!+"vlM!ru"</f>
        <v/>
      </c>
      <c r="FA27">
        <f>#REF!+"vlM!rv"</f>
        <v/>
      </c>
      <c r="FB27">
        <f>#REF!+"vlM!rw"</f>
        <v/>
      </c>
      <c r="FC27">
        <f>#REF!+"vlM!rx"</f>
        <v/>
      </c>
      <c r="FD27">
        <f>#REF!+"vlM!ry"</f>
        <v/>
      </c>
      <c r="FE27">
        <f>#REF!+"vlM!rz"</f>
        <v/>
      </c>
      <c r="FF27">
        <f>#REF!+"vlM!r{"</f>
        <v/>
      </c>
      <c r="FG27">
        <f>#REF!+"vlM!r|"</f>
        <v/>
      </c>
      <c r="FH27" s="1">
        <f>#REF!+"vlM!r}"</f>
        <v/>
      </c>
      <c r="FI27">
        <f>#REF!+"vlM!r~"</f>
        <v/>
      </c>
      <c r="FJ27">
        <f>#REF!+"vlM!s#"</f>
        <v/>
      </c>
      <c r="FK27">
        <f>#REF!+"vlM!s$"</f>
        <v/>
      </c>
      <c r="FL27">
        <f>#REF!+"vlM!s%"</f>
        <v/>
      </c>
      <c r="FM27">
        <f>#REF!+"vlM!s&amp;"</f>
        <v/>
      </c>
      <c r="FN27">
        <f>#REF!+"vlM!s'"</f>
        <v/>
      </c>
      <c r="FO27">
        <f>#REF!+"vlM!s("</f>
        <v/>
      </c>
      <c r="FP27">
        <f>#REF!+"vlM!s)"</f>
        <v/>
      </c>
      <c r="FQ27">
        <f>#REF!+"vlM!s."</f>
        <v/>
      </c>
      <c r="FR27">
        <f>#REF!+"vlM!s/"</f>
        <v/>
      </c>
      <c r="FS27">
        <f>#REF!+"vlM!s0"</f>
        <v/>
      </c>
      <c r="FT27">
        <f>#REF!+"vlM!s1"</f>
        <v/>
      </c>
      <c r="FU27">
        <f>#REF!+"vlM!s2"</f>
        <v/>
      </c>
      <c r="FV27">
        <f>#REF!+"vlM!s3"</f>
        <v/>
      </c>
      <c r="FW27" s="1">
        <f>#REF!+"vlM!s4"</f>
        <v/>
      </c>
      <c r="FX27">
        <f>#REF!+"vlM!s5"</f>
        <v/>
      </c>
      <c r="FY27">
        <f>#REF!+"vlM!s6"</f>
        <v/>
      </c>
      <c r="FZ27">
        <f>#REF!+"vlM!s7"</f>
        <v/>
      </c>
      <c r="GA27">
        <f>#REF!+"vlM!s8"</f>
        <v/>
      </c>
      <c r="GB27">
        <f>#REF!+"vlM!s9"</f>
        <v/>
      </c>
      <c r="GC27">
        <f>#REF!+"vlM!s:"</f>
        <v/>
      </c>
      <c r="GD27">
        <f>#REF!+"vlM!s;"</f>
        <v/>
      </c>
      <c r="GE27">
        <f>#REF!+"vlM!s&lt;"</f>
        <v/>
      </c>
      <c r="GF27">
        <f>#REF!+"vlM!s="</f>
        <v/>
      </c>
      <c r="GG27">
        <f>#REF!+"vlM!s&gt;"</f>
        <v/>
      </c>
      <c r="GH27">
        <f>#REF!+"vlM!s?"</f>
        <v/>
      </c>
      <c r="GI27">
        <f>#REF!+"vlM!s@"</f>
        <v/>
      </c>
      <c r="GJ27">
        <f>#REF!+"vlM!sA"</f>
        <v/>
      </c>
      <c r="GK27">
        <f>#REF!+"vlM!sB"</f>
        <v/>
      </c>
      <c r="GL27" s="1">
        <f>#REF!+"vlM!sC"</f>
        <v/>
      </c>
      <c r="GM27">
        <f>#REF!+"vlM!sD"</f>
        <v/>
      </c>
      <c r="GN27">
        <f>#REF!+"vlM!sE"</f>
        <v/>
      </c>
      <c r="GO27">
        <f>#REF!+"vlM!sF"</f>
        <v/>
      </c>
      <c r="GP27">
        <f>#REF!+"vlM!sG"</f>
        <v/>
      </c>
      <c r="GQ27">
        <f>#REF!+"vlM!sH"</f>
        <v/>
      </c>
      <c r="GR27">
        <f>#REF!+"vlM!sI"</f>
        <v/>
      </c>
      <c r="GS27">
        <f>#REF!+"vlM!sJ"</f>
        <v/>
      </c>
      <c r="GT27">
        <f>#REF!+"vlM!sK"</f>
        <v/>
      </c>
      <c r="GU27">
        <f>#REF!+"vlM!sL"</f>
        <v/>
      </c>
      <c r="GV27">
        <f>#REF!+"vlM!sM"</f>
        <v/>
      </c>
      <c r="GW27">
        <f>#REF!+"vlM!sN"</f>
        <v/>
      </c>
      <c r="GX27">
        <f>#REF!+"vlM!sO"</f>
        <v/>
      </c>
      <c r="GY27">
        <f>#REF!+"vlM!sP"</f>
        <v/>
      </c>
      <c r="GZ27">
        <f>#REF!+"vlM!sQ"</f>
        <v/>
      </c>
      <c r="HA27" s="1">
        <f>#REF!+"vlM!sR"</f>
        <v/>
      </c>
      <c r="HB27">
        <f>#REF!+"vlM!sS"</f>
        <v/>
      </c>
      <c r="HC27">
        <f>#REF!+"vlM!sT"</f>
        <v/>
      </c>
      <c r="HD27">
        <f>#REF!+"vlM!sU"</f>
        <v/>
      </c>
      <c r="HE27">
        <f>#REF!+"vlM!sV"</f>
        <v/>
      </c>
      <c r="HF27">
        <f>#REF!+"vlM!sW"</f>
        <v/>
      </c>
      <c r="HG27">
        <f>#REF!+"vlM!sX"</f>
        <v/>
      </c>
      <c r="HH27">
        <f>#REF!+"vlM!sY"</f>
        <v/>
      </c>
      <c r="HI27">
        <f>#REF!+"vlM!sZ"</f>
        <v/>
      </c>
      <c r="HJ27">
        <f>#REF!+"vlM!s["</f>
        <v/>
      </c>
      <c r="HK27">
        <f>#REF!+"vlM!s\"</f>
        <v/>
      </c>
      <c r="HL27">
        <f>#REF!+"vlM!s]"</f>
        <v/>
      </c>
      <c r="HM27">
        <f>#REF!+"vlM!s^"</f>
        <v/>
      </c>
      <c r="HN27">
        <f>#REF!+"vlM!s_"</f>
        <v/>
      </c>
      <c r="HO27">
        <f>#REF!+"vlM!s`"</f>
        <v/>
      </c>
      <c r="HP27" s="1">
        <f>#REF!+"vlM!sa"</f>
        <v/>
      </c>
      <c r="HQ27">
        <f>#REF!+"vlM!sb"</f>
        <v/>
      </c>
      <c r="HR27">
        <f>#REF!+"vlM!sc"</f>
        <v/>
      </c>
      <c r="HS27">
        <f>#REF!+"vlM!sd"</f>
        <v/>
      </c>
      <c r="HT27">
        <f>#REF!+"vlM!se"</f>
        <v/>
      </c>
      <c r="HU27">
        <f>#REF!+"vlM!sf"</f>
        <v/>
      </c>
      <c r="HV27">
        <f>#REF!+"vlM!sg"</f>
        <v/>
      </c>
      <c r="HW27">
        <f>#REF!+"vlM!sh"</f>
        <v/>
      </c>
      <c r="HX27">
        <f>#REF!+"vlM!si"</f>
        <v/>
      </c>
      <c r="HY27">
        <f>#REF!+"vlM!sj"</f>
        <v/>
      </c>
      <c r="HZ27">
        <f>#REF!+"vlM!sk"</f>
        <v/>
      </c>
      <c r="IA27">
        <f>#REF!+"vlM!sl"</f>
        <v/>
      </c>
      <c r="IB27">
        <f>#REF!+"vlM!sm"</f>
        <v/>
      </c>
      <c r="IC27">
        <f>#REF!+"vlM!sn"</f>
        <v/>
      </c>
      <c r="ID27">
        <f>#REF!+"vlM!so"</f>
        <v/>
      </c>
      <c r="IE27" s="1">
        <f>#REF!+"vlM!sp"</f>
        <v/>
      </c>
      <c r="IF27">
        <f>#REF!+"vlM!sq"</f>
        <v/>
      </c>
      <c r="IG27">
        <f>#REF!+"vlM!sr"</f>
        <v/>
      </c>
      <c r="IH27">
        <f>#REF!+"vlM!ss"</f>
        <v/>
      </c>
      <c r="II27">
        <f>#REF!+"vlM!st"</f>
        <v/>
      </c>
      <c r="IJ27">
        <f>#REF!+"vlM!su"</f>
        <v/>
      </c>
      <c r="IK27">
        <f>#REF!+"vlM!sv"</f>
        <v/>
      </c>
      <c r="IL27">
        <f>#REF!+"vlM!sw"</f>
        <v/>
      </c>
      <c r="IM27">
        <f>#REF!+"vlM!sx"</f>
        <v/>
      </c>
      <c r="IN27">
        <f>#REF!+"vlM!sy"</f>
        <v/>
      </c>
      <c r="IO27">
        <f>#REF!+"vlM!sz"</f>
        <v/>
      </c>
      <c r="IP27">
        <f>#REF!+"vlM!s{"</f>
        <v/>
      </c>
      <c r="IQ27">
        <f>#REF!+"vlM!s|"</f>
        <v/>
      </c>
      <c r="IR27">
        <f>#REF!+"vlM!s}"</f>
        <v/>
      </c>
      <c r="IS27">
        <f>#REF!+"vlM!s~"</f>
        <v/>
      </c>
      <c r="IT27" s="1">
        <f>#REF!+"vlM!t#"</f>
        <v/>
      </c>
      <c r="IU27">
        <f>#REF!+"vlM!t$"</f>
        <v/>
      </c>
      <c r="IV27">
        <f>#REF!+"vlM!t%"</f>
        <v/>
      </c>
    </row>
    <row r="28">
      <c r="F28">
        <f>#REF!+"vlM!t&amp;"</f>
        <v/>
      </c>
      <c r="G28">
        <f>#REF!+"vlM!t'"</f>
        <v/>
      </c>
      <c r="H28">
        <f>#REF!+"vlM!t("</f>
        <v/>
      </c>
      <c r="I28">
        <f>#REF!+"vlM!t)"</f>
        <v/>
      </c>
      <c r="J28">
        <f>#REF!+"vlM!t."</f>
        <v/>
      </c>
      <c r="K28">
        <f>#REF!+"vlM!t/"</f>
        <v/>
      </c>
      <c r="L28">
        <f>#REF!+"vlM!t0"</f>
        <v/>
      </c>
      <c r="M28">
        <f>#REF!+"vlM!t1"</f>
        <v/>
      </c>
      <c r="N28">
        <f>#REF!+"vlM!t2"</f>
        <v/>
      </c>
      <c r="O28">
        <f>#REF!+"vlM!t3"</f>
        <v/>
      </c>
      <c r="P28">
        <f>#REF!+"vlM!t4"</f>
        <v/>
      </c>
      <c r="Q28">
        <f>#REF!+"vlM!t5"</f>
        <v/>
      </c>
      <c r="R28" s="1">
        <f>#REF!+"vlM!t6"</f>
        <v/>
      </c>
      <c r="S28">
        <f>#REF!+"vlM!t7"</f>
        <v/>
      </c>
      <c r="T28">
        <f>#REF!+"vlM!t8"</f>
        <v/>
      </c>
      <c r="U28">
        <f>#REF!+"vlM!t9"</f>
        <v/>
      </c>
      <c r="V28">
        <f>#REF!+"vlM!t:"</f>
        <v/>
      </c>
      <c r="W28">
        <f>#REF!+"vlM!t;"</f>
        <v/>
      </c>
      <c r="X28">
        <f>#REF!+"vlM!t&lt;"</f>
        <v/>
      </c>
      <c r="Y28">
        <f>#REF!+"vlM!t="</f>
        <v/>
      </c>
      <c r="Z28">
        <f>#REF!+"vlM!t&gt;"</f>
        <v/>
      </c>
      <c r="AA28">
        <f>#REF!+"vlM!t?"</f>
        <v/>
      </c>
      <c r="AB28">
        <f>#REF!+"vlM!t@"</f>
        <v/>
      </c>
      <c r="AC28">
        <f>#REF!+"vlM!tA"</f>
        <v/>
      </c>
      <c r="AD28">
        <f>#REF!+"vlM!tB"</f>
        <v/>
      </c>
      <c r="AE28">
        <f>#REF!+"vlM!tC"</f>
        <v/>
      </c>
      <c r="AF28">
        <f>#REF!+"vlM!tD"</f>
        <v/>
      </c>
      <c r="AG28" s="1">
        <f>#REF!+"vlM!tE"</f>
        <v/>
      </c>
      <c r="AH28">
        <f>#REF!+"vlM!tF"</f>
        <v/>
      </c>
      <c r="AI28">
        <f>#REF!+"vlM!tG"</f>
        <v/>
      </c>
      <c r="AJ28">
        <f>#REF!+"vlM!tH"</f>
        <v/>
      </c>
      <c r="AK28">
        <f>#REF!+"vlM!tI"</f>
        <v/>
      </c>
      <c r="AL28">
        <f>#REF!+"vlM!tJ"</f>
        <v/>
      </c>
      <c r="AM28">
        <f>#REF!+"vlM!tK"</f>
        <v/>
      </c>
      <c r="AN28">
        <f>#REF!+"vlM!tL"</f>
        <v/>
      </c>
      <c r="AO28">
        <f>#REF!+"vlM!tM"</f>
        <v/>
      </c>
      <c r="AP28">
        <f>#REF!+"vlM!tN"</f>
        <v/>
      </c>
      <c r="AQ28">
        <f>#REF!+"vlM!tO"</f>
        <v/>
      </c>
      <c r="AR28">
        <f>#REF!+"vlM!tP"</f>
        <v/>
      </c>
      <c r="AS28">
        <f>#REF!+"vlM!tQ"</f>
        <v/>
      </c>
      <c r="AT28">
        <f>#REF!+"vlM!tR"</f>
        <v/>
      </c>
      <c r="AU28">
        <f>#REF!+"vlM!tS"</f>
        <v/>
      </c>
      <c r="AV28" s="1">
        <f>#REF!+"vlM!tT"</f>
        <v/>
      </c>
      <c r="AW28">
        <f>#REF!+"vlM!tU"</f>
        <v/>
      </c>
      <c r="AX28">
        <f>#REF!+"vlM!tV"</f>
        <v/>
      </c>
      <c r="AY28">
        <f>#REF!+"vlM!tW"</f>
        <v/>
      </c>
      <c r="AZ28">
        <f>#REF!+"vlM!tX"</f>
        <v/>
      </c>
      <c r="BA28">
        <f>#REF!+"vlM!tY"</f>
        <v/>
      </c>
      <c r="BB28">
        <f>#REF!+"vlM!tZ"</f>
        <v/>
      </c>
      <c r="BC28">
        <f>#REF!+"vlM!t["</f>
        <v/>
      </c>
      <c r="BD28">
        <f>#REF!+"vlM!t\"</f>
        <v/>
      </c>
      <c r="BE28">
        <f>#REF!+"vlM!t]"</f>
        <v/>
      </c>
      <c r="BF28">
        <f>#REF!+"vlM!t^"</f>
        <v/>
      </c>
      <c r="BG28">
        <f>#REF!+"vlM!t_"</f>
        <v/>
      </c>
      <c r="BH28">
        <f>#REF!+"vlM!t`"</f>
        <v/>
      </c>
      <c r="BI28">
        <f>#REF!+"vlM!ta"</f>
        <v/>
      </c>
      <c r="BJ28">
        <f>#REF!+"vlM!tb"</f>
        <v/>
      </c>
      <c r="BK28" s="1">
        <f>#REF!+"vlM!tc"</f>
        <v/>
      </c>
      <c r="BL28">
        <f>#REF!+"vlM!td"</f>
        <v/>
      </c>
      <c r="BM28">
        <f>#REF!+"vlM!te"</f>
        <v/>
      </c>
      <c r="BN28">
        <f>#REF!+"vlM!tf"</f>
        <v/>
      </c>
      <c r="BO28">
        <f>#REF!+"vlM!tg"</f>
        <v/>
      </c>
      <c r="BP28">
        <f>#REF!+"vlM!th"</f>
        <v/>
      </c>
      <c r="BQ28">
        <f>#REF!+"vlM!ti"</f>
        <v/>
      </c>
      <c r="BR28">
        <f>#REF!+"vlM!tj"</f>
        <v/>
      </c>
      <c r="BS28">
        <f>#REF!+"vlM!tk"</f>
        <v/>
      </c>
      <c r="BT28">
        <f>#REF!+"vlM!tl"</f>
        <v/>
      </c>
      <c r="BU28">
        <f>#REF!+"vlM!tm"</f>
        <v/>
      </c>
      <c r="BV28">
        <f>#REF!+"vlM!tn"</f>
        <v/>
      </c>
      <c r="BW28">
        <f>#REF!+"vlM!to"</f>
        <v/>
      </c>
      <c r="BX28">
        <f>#REF!+"vlM!tp"</f>
        <v/>
      </c>
      <c r="BY28">
        <f>#REF!+"vlM!tq"</f>
        <v/>
      </c>
      <c r="BZ28" s="1">
        <f>#REF!+"vlM!tr"</f>
        <v/>
      </c>
      <c r="CA28">
        <f>#REF!+"vlM!ts"</f>
        <v/>
      </c>
      <c r="CB28">
        <f>#REF!+"vlM!tt"</f>
        <v/>
      </c>
      <c r="CC28">
        <f>#REF!+"vlM!tu"</f>
        <v/>
      </c>
      <c r="CD28">
        <f>#REF!+"vlM!tv"</f>
        <v/>
      </c>
      <c r="CE28">
        <f>#REF!+"vlM!tw"</f>
        <v/>
      </c>
      <c r="CF28">
        <f>#REF!+"vlM!tx"</f>
        <v/>
      </c>
      <c r="CG28">
        <f>#REF!+"vlM!ty"</f>
        <v/>
      </c>
      <c r="CH28">
        <f>#REF!+"vlM!tz"</f>
        <v/>
      </c>
      <c r="CI28">
        <f>#REF!+"vlM!t{"</f>
        <v/>
      </c>
      <c r="CJ28">
        <f>#REF!+"vlM!t|"</f>
        <v/>
      </c>
      <c r="CK28">
        <f>#REF!+"vlM!t}"</f>
        <v/>
      </c>
      <c r="CL28">
        <f>#REF!+"vlM!t~"</f>
        <v/>
      </c>
      <c r="CM28">
        <f>#REF!+"vlM!u#"</f>
        <v/>
      </c>
      <c r="CN28">
        <f>#REF!+"vlM!u$"</f>
        <v/>
      </c>
      <c r="CO28" s="1">
        <f>#REF!+"vlM!u%"</f>
        <v/>
      </c>
      <c r="CP28">
        <f>#REF!+"vlM!u&amp;"</f>
        <v/>
      </c>
      <c r="CQ28">
        <f>#REF!+"vlM!u'"</f>
        <v/>
      </c>
      <c r="CR28">
        <f>#REF!+"vlM!u("</f>
        <v/>
      </c>
      <c r="CS28">
        <f>#REF!+"vlM!u)"</f>
        <v/>
      </c>
      <c r="CT28">
        <f>#REF!+"vlM!u."</f>
        <v/>
      </c>
      <c r="CU28">
        <f>#REF!+"vlM!u/"</f>
        <v/>
      </c>
      <c r="CV28">
        <f>#REF!+"vlM!u0"</f>
        <v/>
      </c>
      <c r="CW28">
        <f>#REF!+"vlM!u1"</f>
        <v/>
      </c>
      <c r="CX28">
        <f>#REF!+"vlM!u2"</f>
        <v/>
      </c>
      <c r="CY28">
        <f>#REF!+"vlM!u3"</f>
        <v/>
      </c>
      <c r="CZ28">
        <f>#REF!+"vlM!u4"</f>
        <v/>
      </c>
      <c r="DA28">
        <f>#REF!+"vlM!u5"</f>
        <v/>
      </c>
      <c r="DB28">
        <f>#REF!+"vlM!u6"</f>
        <v/>
      </c>
      <c r="DC28">
        <f>#REF!+"vlM!u7"</f>
        <v/>
      </c>
      <c r="DD28" s="1">
        <f>#REF!+"vlM!u8"</f>
        <v/>
      </c>
      <c r="DE28">
        <f>#REF!+"vlM!u9"</f>
        <v/>
      </c>
      <c r="DF28">
        <f>#REF!+"vlM!u:"</f>
        <v/>
      </c>
      <c r="DG28">
        <f>#REF!+"vlM!u;"</f>
        <v/>
      </c>
      <c r="DH28">
        <f>#REF!+"vlM!u&lt;"</f>
        <v/>
      </c>
      <c r="DI28">
        <f>#REF!+"vlM!u="</f>
        <v/>
      </c>
      <c r="DJ28">
        <f>#REF!+"vlM!u&gt;"</f>
        <v/>
      </c>
      <c r="DK28">
        <f>#REF!+"vlM!u?"</f>
        <v/>
      </c>
      <c r="DL28">
        <f>#REF!+"vlM!u@"</f>
        <v/>
      </c>
      <c r="DM28">
        <f>#REF!+"vlM!uA"</f>
        <v/>
      </c>
      <c r="DN28">
        <f>#REF!+"vlM!uB"</f>
        <v/>
      </c>
      <c r="DO28">
        <f>#REF!+"vlM!uC"</f>
        <v/>
      </c>
      <c r="DP28">
        <f>#REF!+"vlM!uD"</f>
        <v/>
      </c>
      <c r="DQ28">
        <f>#REF!+"vlM!uE"</f>
        <v/>
      </c>
      <c r="DR28">
        <f>#REF!+"vlM!uF"</f>
        <v/>
      </c>
      <c r="DS28" s="1">
        <f>#REF!+"vlM!uG"</f>
        <v/>
      </c>
      <c r="DT28">
        <f>#REF!+"vlM!uH"</f>
        <v/>
      </c>
      <c r="DU28">
        <f>#REF!+"vlM!uI"</f>
        <v/>
      </c>
      <c r="DV28">
        <f>#REF!+"vlM!uJ"</f>
        <v/>
      </c>
      <c r="DW28">
        <f>#REF!+"vlM!uK"</f>
        <v/>
      </c>
      <c r="DX28">
        <f>#REF!+"vlM!uL"</f>
        <v/>
      </c>
      <c r="DY28">
        <f>#REF!+"vlM!uM"</f>
        <v/>
      </c>
      <c r="DZ28">
        <f>#REF!+"vlM!uN"</f>
        <v/>
      </c>
      <c r="EA28">
        <f>#REF!+"vlM!uO"</f>
        <v/>
      </c>
      <c r="EB28">
        <f>#REF!+"vlM!uP"</f>
        <v/>
      </c>
      <c r="EC28">
        <f>#REF!+"vlM!uQ"</f>
        <v/>
      </c>
      <c r="ED28">
        <f>#REF!+"vlM!uR"</f>
        <v/>
      </c>
      <c r="EE28">
        <f>#REF!+"vlM!uS"</f>
        <v/>
      </c>
      <c r="EF28">
        <f>#REF!+"vlM!uT"</f>
        <v/>
      </c>
      <c r="EG28">
        <f>#REF!+"vlM!uU"</f>
        <v/>
      </c>
      <c r="EH28" s="1">
        <f>#REF!+"vlM!uV"</f>
        <v/>
      </c>
      <c r="EI28">
        <f>#REF!+"vlM!uW"</f>
        <v/>
      </c>
      <c r="EJ28">
        <f>#REF!+"vlM!uX"</f>
        <v/>
      </c>
      <c r="EK28">
        <f>#REF!+"vlM!uY"</f>
        <v/>
      </c>
      <c r="EL28">
        <f>#REF!+"vlM!uZ"</f>
        <v/>
      </c>
      <c r="EM28">
        <f>#REF!+"vlM!u["</f>
        <v/>
      </c>
      <c r="EN28">
        <f>#REF!+"vlM!u\"</f>
        <v/>
      </c>
      <c r="EO28">
        <f>#REF!+"vlM!u]"</f>
        <v/>
      </c>
      <c r="EP28">
        <f>#REF!+"vlM!u^"</f>
        <v/>
      </c>
      <c r="EQ28">
        <f>#REF!+"vlM!u_"</f>
        <v/>
      </c>
      <c r="ER28">
        <f>#REF!+"vlM!u`"</f>
        <v/>
      </c>
      <c r="ES28">
        <f>#REF!+"vlM!ua"</f>
        <v/>
      </c>
      <c r="ET28">
        <f>#REF!+"vlM!ub"</f>
        <v/>
      </c>
      <c r="EU28">
        <f>#REF!+"vlM!uc"</f>
        <v/>
      </c>
      <c r="EV28">
        <f>#REF!+"vlM!ud"</f>
        <v/>
      </c>
      <c r="EW28" s="1">
        <f>#REF!+"vlM!ue"</f>
        <v/>
      </c>
      <c r="EX28">
        <f>#REF!+"vlM!uf"</f>
        <v/>
      </c>
      <c r="EY28">
        <f>#REF!+"vlM!ug"</f>
        <v/>
      </c>
      <c r="EZ28">
        <f>#REF!+"vlM!uh"</f>
        <v/>
      </c>
      <c r="FA28">
        <f>#REF!+"vlM!ui"</f>
        <v/>
      </c>
      <c r="FB28">
        <f>#REF!+"vlM!uj"</f>
        <v/>
      </c>
      <c r="FC28">
        <f>#REF!+"vlM!uk"</f>
        <v/>
      </c>
      <c r="FD28">
        <f>#REF!+"vlM!ul"</f>
        <v/>
      </c>
      <c r="FE28">
        <f>#REF!+"vlM!um"</f>
        <v/>
      </c>
      <c r="FF28">
        <f>#REF!+"vlM!un"</f>
        <v/>
      </c>
      <c r="FG28">
        <f>#REF!+"vlM!uo"</f>
        <v/>
      </c>
      <c r="FH28">
        <f>#REF!+"vlM!up"</f>
        <v/>
      </c>
      <c r="FI28">
        <f>#REF!+"vlM!uq"</f>
        <v/>
      </c>
      <c r="FJ28">
        <f>#REF!+"vlM!ur"</f>
        <v/>
      </c>
      <c r="FK28">
        <f>#REF!+"vlM!us"</f>
        <v/>
      </c>
      <c r="FL28" s="1">
        <f>#REF!+"vlM!ut"</f>
        <v/>
      </c>
      <c r="FM28">
        <f>#REF!+"vlM!uu"</f>
        <v/>
      </c>
      <c r="FN28">
        <f>#REF!+"vlM!uv"</f>
        <v/>
      </c>
      <c r="FO28">
        <f>#REF!+"vlM!uw"</f>
        <v/>
      </c>
      <c r="FP28">
        <f>#REF!+"vlM!ux"</f>
        <v/>
      </c>
      <c r="FQ28">
        <f>#REF!+"vlM!uy"</f>
        <v/>
      </c>
      <c r="FR28">
        <f>#REF!+"vlM!uz"</f>
        <v/>
      </c>
      <c r="FS28">
        <f>#REF!+"vlM!u{"</f>
        <v/>
      </c>
      <c r="FT28">
        <f>#REF!+"vlM!u|"</f>
        <v/>
      </c>
      <c r="FU28">
        <f>#REF!+"vlM!u}"</f>
        <v/>
      </c>
      <c r="FV28">
        <f>#REF!+"vlM!u~"</f>
        <v/>
      </c>
      <c r="FW28">
        <f>#REF!+"vlM!v#"</f>
        <v/>
      </c>
      <c r="FX28">
        <f>#REF!+"vlM!v$"</f>
        <v/>
      </c>
      <c r="FY28">
        <f>#REF!+"vlM!v%"</f>
        <v/>
      </c>
      <c r="FZ28">
        <f>#REF!+"vlM!v&amp;"</f>
        <v/>
      </c>
      <c r="GA28" s="1">
        <f>#REF!+"vlM!v'"</f>
        <v/>
      </c>
      <c r="GB28">
        <f>#REF!+"vlM!v("</f>
        <v/>
      </c>
      <c r="GC28">
        <f>#REF!+"vlM!v)"</f>
        <v/>
      </c>
      <c r="GD28">
        <f>#REF!+"vlM!v."</f>
        <v/>
      </c>
      <c r="GE28">
        <f>#REF!+"vlM!v/"</f>
        <v/>
      </c>
      <c r="GF28">
        <f>#REF!+"vlM!v0"</f>
        <v/>
      </c>
      <c r="GG28">
        <f>#REF!+"vlM!v1"</f>
        <v/>
      </c>
      <c r="GH28">
        <f>#REF!+"vlM!v2"</f>
        <v/>
      </c>
      <c r="GI28">
        <f>#REF!+"vlM!v3"</f>
        <v/>
      </c>
      <c r="GJ28">
        <f>#REF!+"vlM!v4"</f>
        <v/>
      </c>
      <c r="GK28">
        <f>#REF!+"vlM!v5"</f>
        <v/>
      </c>
      <c r="GL28">
        <f>#REF!+"vlM!v6"</f>
        <v/>
      </c>
      <c r="GM28">
        <f>#REF!+"vlM!v7"</f>
        <v/>
      </c>
      <c r="GN28">
        <f>#REF!+"vlM!v8"</f>
        <v/>
      </c>
      <c r="GO28">
        <f>#REF!+"vlM!v9"</f>
        <v/>
      </c>
      <c r="GP28" s="1">
        <f>#REF!+"vlM!v:"</f>
        <v/>
      </c>
      <c r="GQ28">
        <f>#REF!+"vlM!v;"</f>
        <v/>
      </c>
      <c r="GR28">
        <f>#REF!+"vlM!v&lt;"</f>
        <v/>
      </c>
      <c r="GS28">
        <f>#REF!+"vlM!v="</f>
        <v/>
      </c>
      <c r="GT28">
        <f>#REF!+"vlM!v&gt;"</f>
        <v/>
      </c>
      <c r="GU28">
        <f>#REF!+"vlM!v?"</f>
        <v/>
      </c>
      <c r="GV28">
        <f>#REF!+"vlM!v@"</f>
        <v/>
      </c>
      <c r="GW28">
        <f>#REF!+"vlM!vA"</f>
        <v/>
      </c>
      <c r="GX28">
        <f>#REF!+"vlM!vB"</f>
        <v/>
      </c>
      <c r="GY28">
        <f>#REF!+"vlM!vC"</f>
        <v/>
      </c>
      <c r="GZ28">
        <f>#REF!+"vlM!vD"</f>
        <v/>
      </c>
      <c r="HA28">
        <f>#REF!+"vlM!vE"</f>
        <v/>
      </c>
      <c r="HB28">
        <f>#REF!+"vlM!vF"</f>
        <v/>
      </c>
      <c r="HC28">
        <f>#REF!+"vlM!vG"</f>
        <v/>
      </c>
      <c r="HD28">
        <f>#REF!+"vlM!vH"</f>
        <v/>
      </c>
      <c r="HE28" s="1">
        <f>#REF!+"vlM!vI"</f>
        <v/>
      </c>
      <c r="HF28">
        <f>#REF!+"vlM!vJ"</f>
        <v/>
      </c>
      <c r="HG28">
        <f>#REF!+"vlM!vK"</f>
        <v/>
      </c>
      <c r="HH28">
        <f>#REF!+"vlM!vL"</f>
        <v/>
      </c>
      <c r="HI28">
        <f>#REF!+"vlM!vM"</f>
        <v/>
      </c>
      <c r="HJ28">
        <f>#REF!+"vlM!vN"</f>
        <v/>
      </c>
      <c r="HK28">
        <f>#REF!+"vlM!vO"</f>
        <v/>
      </c>
      <c r="HL28">
        <f>#REF!+"vlM!vP"</f>
        <v/>
      </c>
      <c r="HM28">
        <f>#REF!+"vlM!vQ"</f>
        <v/>
      </c>
      <c r="HN28">
        <f>#REF!+"vlM!vR"</f>
        <v/>
      </c>
      <c r="HO28">
        <f>#REF!+"vlM!vS"</f>
        <v/>
      </c>
      <c r="HP28">
        <f>#REF!+"vlM!vT"</f>
        <v/>
      </c>
      <c r="HQ28">
        <f>#REF!+"vlM!vU"</f>
        <v/>
      </c>
      <c r="HR28">
        <f>#REF!+"vlM!vV"</f>
        <v/>
      </c>
      <c r="HS28">
        <f>#REF!+"vlM!vW"</f>
        <v/>
      </c>
      <c r="HT28" s="1">
        <f>#REF!+"vlM!vX"</f>
        <v/>
      </c>
      <c r="HU28">
        <f>#REF!+"vlM!vY"</f>
        <v/>
      </c>
      <c r="HV28">
        <f>#REF!+"vlM!vZ"</f>
        <v/>
      </c>
      <c r="HW28">
        <f>#REF!+"vlM!v["</f>
        <v/>
      </c>
      <c r="HX28">
        <f>#REF!+"vlM!v\"</f>
        <v/>
      </c>
      <c r="HY28">
        <f>#REF!+"vlM!v]"</f>
        <v/>
      </c>
      <c r="HZ28">
        <f>#REF!+"vlM!v^"</f>
        <v/>
      </c>
      <c r="IA28">
        <f>#REF!+"vlM!v_"</f>
        <v/>
      </c>
      <c r="IB28">
        <f>#REF!+"vlM!v`"</f>
        <v/>
      </c>
      <c r="IC28">
        <f>#REF!+"vlM!va"</f>
        <v/>
      </c>
      <c r="ID28">
        <f>#REF!+"vlM!vb"</f>
        <v/>
      </c>
      <c r="IE28">
        <f>#REF!+"vlM!vc"</f>
        <v/>
      </c>
      <c r="IF28">
        <f>#REF!+"vlM!vd"</f>
        <v/>
      </c>
      <c r="IG28">
        <f>#REF!+"vlM!ve"</f>
        <v/>
      </c>
      <c r="IH28">
        <f>#REF!+"vlM!vf"</f>
        <v/>
      </c>
      <c r="II28" s="1">
        <f>#REF!+"vlM!vg"</f>
        <v/>
      </c>
      <c r="IJ28">
        <f>#REF!+"vlM!vh"</f>
        <v/>
      </c>
      <c r="IK28">
        <f>#REF!+"vlM!vi"</f>
        <v/>
      </c>
      <c r="IL28">
        <f>#REF!+"vlM!vj"</f>
        <v/>
      </c>
      <c r="IM28">
        <f>#REF!+"vlM!vk"</f>
        <v/>
      </c>
      <c r="IN28">
        <f>#REF!+"vlM!vl"</f>
        <v/>
      </c>
      <c r="IO28">
        <f>#REF!+"vlM!vm"</f>
        <v/>
      </c>
      <c r="IP28">
        <f>#REF!+"vlM!vn"</f>
        <v/>
      </c>
      <c r="IQ28">
        <f>#REF!+"vlM!vo"</f>
        <v/>
      </c>
      <c r="IR28">
        <f>#REF!+"vlM!vp"</f>
        <v/>
      </c>
      <c r="IS28">
        <f>#REF!+"vlM!vq"</f>
        <v/>
      </c>
      <c r="IT28">
        <f>#REF!+"vlM!vr"</f>
        <v/>
      </c>
      <c r="IU28">
        <f>#REF!+"vlM!vs"</f>
        <v/>
      </c>
      <c r="IV28">
        <f>#REF!+"vlM!vt"</f>
        <v/>
      </c>
    </row>
    <row r="29">
      <c r="F29">
        <f>#REF!+"vlM!vu"</f>
        <v/>
      </c>
      <c r="G29" s="1">
        <f>#REF!+"vlM!vv"</f>
        <v/>
      </c>
      <c r="H29">
        <f>#REF!+"vlM!vw"</f>
        <v/>
      </c>
      <c r="I29">
        <f>#REF!+"vlM!vx"</f>
        <v/>
      </c>
      <c r="J29">
        <f>#REF!+"vlM!vy"</f>
        <v/>
      </c>
      <c r="K29">
        <f>#REF!+"vlM!vz"</f>
        <v/>
      </c>
      <c r="L29">
        <f>#REF!+"vlM!v{"</f>
        <v/>
      </c>
      <c r="M29">
        <f>#REF!+"vlM!v|"</f>
        <v/>
      </c>
      <c r="N29">
        <f>#REF!+"vlM!v}"</f>
        <v/>
      </c>
      <c r="O29">
        <f>#REF!+"vlM!v~"</f>
        <v/>
      </c>
      <c r="P29">
        <f>#REF!+"vlM!w#"</f>
        <v/>
      </c>
      <c r="Q29">
        <f>#REF!+"vlM!w$"</f>
        <v/>
      </c>
      <c r="R29">
        <f>#REF!+"vlM!w%"</f>
        <v/>
      </c>
      <c r="S29">
        <f>#REF!+"vlM!w&amp;"</f>
        <v/>
      </c>
      <c r="T29">
        <f>#REF!+"vlM!w'"</f>
        <v/>
      </c>
      <c r="U29">
        <f>#REF!+"vlM!w("</f>
        <v/>
      </c>
      <c r="V29" s="1">
        <f>#REF!+"vlM!w)"</f>
        <v/>
      </c>
      <c r="W29">
        <f>#REF!+"vlM!w."</f>
        <v/>
      </c>
      <c r="X29">
        <f>#REF!+"vlM!w/"</f>
        <v/>
      </c>
      <c r="Y29">
        <f>#REF!+"vlM!w0"</f>
        <v/>
      </c>
      <c r="Z29">
        <f>#REF!+"vlM!w1"</f>
        <v/>
      </c>
      <c r="AA29">
        <f>#REF!+"vlM!w2"</f>
        <v/>
      </c>
      <c r="AB29">
        <f>#REF!+"vlM!w3"</f>
        <v/>
      </c>
      <c r="AC29">
        <f>#REF!+"vlM!w4"</f>
        <v/>
      </c>
      <c r="AD29">
        <f>#REF!+"vlM!w5"</f>
        <v/>
      </c>
      <c r="AE29">
        <f>#REF!+"vlM!w6"</f>
        <v/>
      </c>
      <c r="AF29">
        <f>#REF!+"vlM!w7"</f>
        <v/>
      </c>
      <c r="AG29">
        <f>#REF!+"vlM!w8"</f>
        <v/>
      </c>
      <c r="AH29">
        <f>#REF!+"vlM!w9"</f>
        <v/>
      </c>
      <c r="AI29">
        <f>#REF!+"vlM!w:"</f>
        <v/>
      </c>
      <c r="AJ29">
        <f>#REF!+"vlM!w;"</f>
        <v/>
      </c>
      <c r="AK29" s="1">
        <f>#REF!+"vlM!w&lt;"</f>
        <v/>
      </c>
      <c r="AL29">
        <f>#REF!+"vlM!w="</f>
        <v/>
      </c>
      <c r="AM29">
        <f>#REF!+"vlM!w&gt;"</f>
        <v/>
      </c>
      <c r="AN29">
        <f>#REF!+"vlM!w?"</f>
        <v/>
      </c>
      <c r="AO29">
        <f>#REF!+"vlM!w@"</f>
        <v/>
      </c>
      <c r="AP29">
        <f>#REF!+"vlM!wA"</f>
        <v/>
      </c>
      <c r="AQ29">
        <f>#REF!+"vlM!wB"</f>
        <v/>
      </c>
      <c r="AR29">
        <f>#REF!+"vlM!wC"</f>
        <v/>
      </c>
      <c r="AS29">
        <f>#REF!+"vlM!wD"</f>
        <v/>
      </c>
      <c r="AT29">
        <f>#REF!+"vlM!wE"</f>
        <v/>
      </c>
      <c r="AU29">
        <f>#REF!+"vlM!wF"</f>
        <v/>
      </c>
      <c r="AV29">
        <f>#REF!+"vlM!wG"</f>
        <v/>
      </c>
      <c r="AW29">
        <f>#REF!+"vlM!wH"</f>
        <v/>
      </c>
      <c r="AX29">
        <f>#REF!+"vlM!wI"</f>
        <v/>
      </c>
      <c r="AY29">
        <f>#REF!+"vlM!wJ"</f>
        <v/>
      </c>
      <c r="AZ29" s="1">
        <f>#REF!+"vlM!wK"</f>
        <v/>
      </c>
      <c r="BA29">
        <f>#REF!+"vlM!wL"</f>
        <v/>
      </c>
      <c r="BB29">
        <f>#REF!+"vlM!wM"</f>
        <v/>
      </c>
      <c r="BC29">
        <f>#REF!+"vlM!wN"</f>
        <v/>
      </c>
      <c r="BD29">
        <f>#REF!+"vlM!wO"</f>
        <v/>
      </c>
      <c r="BE29">
        <f>#REF!+"vlM!wP"</f>
        <v/>
      </c>
      <c r="BF29">
        <f>#REF!+"vlM!wQ"</f>
        <v/>
      </c>
      <c r="BG29">
        <f>#REF!+"vlM!wR"</f>
        <v/>
      </c>
      <c r="BH29">
        <f>#REF!+"vlM!wS"</f>
        <v/>
      </c>
      <c r="BI29">
        <f>#REF!+"vlM!wT"</f>
        <v/>
      </c>
      <c r="BJ29">
        <f>#REF!+"vlM!wU"</f>
        <v/>
      </c>
      <c r="BK29">
        <f>#REF!+"vlM!wV"</f>
        <v/>
      </c>
      <c r="BL29">
        <f>#REF!+"vlM!wW"</f>
        <v/>
      </c>
      <c r="BM29">
        <f>#REF!+"vlM!wX"</f>
        <v/>
      </c>
      <c r="BN29">
        <f>#REF!+"vlM!wY"</f>
        <v/>
      </c>
      <c r="BO29" s="1">
        <f>#REF!+"vlM!wZ"</f>
        <v/>
      </c>
      <c r="BP29">
        <f>#REF!+"vlM!w["</f>
        <v/>
      </c>
      <c r="BQ29">
        <f>#REF!+"vlM!w\"</f>
        <v/>
      </c>
      <c r="BR29">
        <f>#REF!+"vlM!w]"</f>
        <v/>
      </c>
      <c r="BS29">
        <f>#REF!+"vlM!w^"</f>
        <v/>
      </c>
      <c r="BT29">
        <f>#REF!+"vlM!w_"</f>
        <v/>
      </c>
      <c r="BU29">
        <f>#REF!+"vlM!w`"</f>
        <v/>
      </c>
      <c r="BV29">
        <f>#REF!+"vlM!wa"</f>
        <v/>
      </c>
      <c r="BW29">
        <f>#REF!+"vlM!wb"</f>
        <v/>
      </c>
      <c r="BX29">
        <f>#REF!+"vlM!wc"</f>
        <v/>
      </c>
      <c r="BY29">
        <f>#REF!+"vlM!wd"</f>
        <v/>
      </c>
      <c r="BZ29">
        <f>#REF!+"vlM!we"</f>
        <v/>
      </c>
      <c r="CA29">
        <f>#REF!+"vlM!wf"</f>
        <v/>
      </c>
      <c r="CB29">
        <f>#REF!+"vlM!wg"</f>
        <v/>
      </c>
      <c r="CC29">
        <f>#REF!+"vlM!wh"</f>
        <v/>
      </c>
      <c r="CD29" s="1">
        <f>#REF!+"vlM!wi"</f>
        <v/>
      </c>
      <c r="CE29">
        <f>#REF!+"vlM!wj"</f>
        <v/>
      </c>
      <c r="CF29">
        <f>#REF!+"vlM!wk"</f>
        <v/>
      </c>
      <c r="CG29">
        <f>#REF!+"vlM!wl"</f>
        <v/>
      </c>
      <c r="CH29">
        <f>#REF!+"vlM!wm"</f>
        <v/>
      </c>
      <c r="CI29">
        <f>#REF!+"vlM!wn"</f>
        <v/>
      </c>
      <c r="CJ29">
        <f>#REF!+"vlM!wo"</f>
        <v/>
      </c>
      <c r="CK29">
        <f>#REF!+"vlM!wp"</f>
        <v/>
      </c>
      <c r="CL29">
        <f>#REF!+"vlM!wq"</f>
        <v/>
      </c>
      <c r="CM29">
        <f>#REF!+"vlM!wr"</f>
        <v/>
      </c>
      <c r="CN29">
        <f>#REF!+"vlM!ws"</f>
        <v/>
      </c>
      <c r="CO29">
        <f>#REF!+"vlM!wt"</f>
        <v/>
      </c>
      <c r="CP29">
        <f>#REF!+"vlM!wu"</f>
        <v/>
      </c>
      <c r="CQ29">
        <f>#REF!+"vlM!wv"</f>
        <v/>
      </c>
      <c r="CR29">
        <f>#REF!+"vlM!ww"</f>
        <v/>
      </c>
      <c r="CS29" s="1">
        <f>#REF!+"vlM!wx"</f>
        <v/>
      </c>
      <c r="CT29">
        <f>#REF!+"vlM!wy"</f>
        <v/>
      </c>
      <c r="CU29">
        <f>#REF!+"vlM!wz"</f>
        <v/>
      </c>
      <c r="CV29">
        <f>#REF!+"vlM!w{"</f>
        <v/>
      </c>
      <c r="CW29">
        <f>#REF!+"vlM!w|"</f>
        <v/>
      </c>
      <c r="CX29">
        <f>#REF!+"vlM!w}"</f>
        <v/>
      </c>
      <c r="CY29">
        <f>#REF!+"vlM!w~"</f>
        <v/>
      </c>
      <c r="CZ29">
        <f>#REF!+"vlM!x#"</f>
        <v/>
      </c>
      <c r="DA29">
        <f>#REF!+"vlM!x$"</f>
        <v/>
      </c>
      <c r="DB29">
        <f>#REF!+"vlM!x%"</f>
        <v/>
      </c>
      <c r="DC29">
        <f>#REF!+"vlM!x&amp;"</f>
        <v/>
      </c>
      <c r="DD29">
        <f>#REF!+"vlM!x'"</f>
        <v/>
      </c>
      <c r="DE29">
        <f>#REF!+"vlM!x("</f>
        <v/>
      </c>
      <c r="DF29">
        <f>#REF!+"vlM!x)"</f>
        <v/>
      </c>
      <c r="DG29">
        <f>#REF!+"vlM!x."</f>
        <v/>
      </c>
      <c r="DH29" s="1">
        <f>#REF!+"vlM!x/"</f>
        <v/>
      </c>
      <c r="DI29">
        <f>#REF!+"vlM!x0"</f>
        <v/>
      </c>
      <c r="DJ29">
        <f>#REF!+"vlM!x1"</f>
        <v/>
      </c>
      <c r="DK29">
        <f>#REF!+"vlM!x2"</f>
        <v/>
      </c>
      <c r="DL29">
        <f>#REF!+"vlM!x3"</f>
        <v/>
      </c>
      <c r="DM29">
        <f>#REF!+"vlM!x4"</f>
        <v/>
      </c>
      <c r="DN29">
        <f>#REF!+"vlM!x5"</f>
        <v/>
      </c>
      <c r="DO29">
        <f>#REF!+"vlM!x6"</f>
        <v/>
      </c>
      <c r="DP29">
        <f>#REF!+"vlM!x7"</f>
        <v/>
      </c>
      <c r="DQ29">
        <f>#REF!+"vlM!x8"</f>
        <v/>
      </c>
      <c r="DR29">
        <f>#REF!+"vlM!x9"</f>
        <v/>
      </c>
      <c r="DS29">
        <f>#REF!+"vlM!x:"</f>
        <v/>
      </c>
      <c r="DT29">
        <f>#REF!+"vlM!x;"</f>
        <v/>
      </c>
      <c r="DU29">
        <f>#REF!+"vlM!x&lt;"</f>
        <v/>
      </c>
      <c r="DV29">
        <f>#REF!+"vlM!x="</f>
        <v/>
      </c>
      <c r="DW29" s="1">
        <f>#REF!+"vlM!x&gt;"</f>
        <v/>
      </c>
      <c r="DX29">
        <f>#REF!+"vlM!x?"</f>
        <v/>
      </c>
      <c r="DY29">
        <f>#REF!+"vlM!x@"</f>
        <v/>
      </c>
      <c r="DZ29">
        <f>#REF!+"vlM!xA"</f>
        <v/>
      </c>
      <c r="EA29">
        <f>#REF!+"vlM!xB"</f>
        <v/>
      </c>
      <c r="EB29">
        <f>#REF!+"vlM!xC"</f>
        <v/>
      </c>
      <c r="EC29">
        <f>#REF!+"vlM!xD"</f>
        <v/>
      </c>
      <c r="ED29">
        <f>#REF!+"vlM!xE"</f>
        <v/>
      </c>
      <c r="EE29">
        <f>#REF!+"vlM!xF"</f>
        <v/>
      </c>
      <c r="EF29">
        <f>#REF!+"vlM!xG"</f>
        <v/>
      </c>
      <c r="EG29">
        <f>#REF!+"vlM!xH"</f>
        <v/>
      </c>
      <c r="EH29">
        <f>#REF!+"vlM!xI"</f>
        <v/>
      </c>
      <c r="EI29">
        <f>#REF!+"vlM!xJ"</f>
        <v/>
      </c>
      <c r="EJ29">
        <f>#REF!+"vlM!xK"</f>
        <v/>
      </c>
      <c r="EK29">
        <f>#REF!+"vlM!xL"</f>
        <v/>
      </c>
      <c r="EL29" s="1">
        <f>#REF!+"vlM!xM"</f>
        <v/>
      </c>
      <c r="EM29">
        <f>#REF!+"vlM!xN"</f>
        <v/>
      </c>
      <c r="EN29">
        <f>#REF!+"vlM!xO"</f>
        <v/>
      </c>
      <c r="EO29">
        <f>#REF!+"vlM!xP"</f>
        <v/>
      </c>
      <c r="EP29">
        <f>#REF!+"vlM!xQ"</f>
        <v/>
      </c>
      <c r="EQ29">
        <f>#REF!+"vlM!xR"</f>
        <v/>
      </c>
      <c r="ER29">
        <f>#REF!+"vlM!xS"</f>
        <v/>
      </c>
      <c r="ES29">
        <f>#REF!+"vlM!xT"</f>
        <v/>
      </c>
      <c r="ET29">
        <f>#REF!+"vlM!xU"</f>
        <v/>
      </c>
      <c r="EU29">
        <f>#REF!+"vlM!xV"</f>
        <v/>
      </c>
      <c r="EV29">
        <f>#REF!+"vlM!xW"</f>
        <v/>
      </c>
      <c r="EW29">
        <f>#REF!+"vlM!xX"</f>
        <v/>
      </c>
      <c r="EX29">
        <f>#REF!+"vlM!xY"</f>
        <v/>
      </c>
      <c r="EY29">
        <f>#REF!+"vlM!xZ"</f>
        <v/>
      </c>
      <c r="EZ29">
        <f>#REF!+"vlM!x["</f>
        <v/>
      </c>
      <c r="FA29" s="1">
        <f>#REF!+"vlM!x\"</f>
        <v/>
      </c>
      <c r="FB29">
        <f>#REF!+"vlM!x]"</f>
        <v/>
      </c>
      <c r="FC29">
        <f>#REF!+"vlM!x^"</f>
        <v/>
      </c>
      <c r="FD29">
        <f>#REF!+"vlM!x_"</f>
        <v/>
      </c>
      <c r="FE29">
        <f>#REF!+"vlM!x`"</f>
        <v/>
      </c>
      <c r="FF29">
        <f>#REF!+"vlM!xa"</f>
        <v/>
      </c>
      <c r="FG29">
        <f>#REF!+"vlM!xb"</f>
        <v/>
      </c>
      <c r="FH29">
        <f>#REF!+"vlM!xc"</f>
        <v/>
      </c>
      <c r="FI29">
        <f>#REF!+"vlM!xd"</f>
        <v/>
      </c>
      <c r="FJ29">
        <f>#REF!+"vlM!xe"</f>
        <v/>
      </c>
      <c r="FK29">
        <f>#REF!+"vlM!xf"</f>
        <v/>
      </c>
      <c r="FL29">
        <f>#REF!+"vlM!xg"</f>
        <v/>
      </c>
      <c r="FM29">
        <f>#REF!+"vlM!xh"</f>
        <v/>
      </c>
      <c r="FN29">
        <f>#REF!+"vlM!xi"</f>
        <v/>
      </c>
      <c r="FO29">
        <f>#REF!+"vlM!xj"</f>
        <v/>
      </c>
      <c r="FP29" s="1">
        <f>#REF!+"vlM!xk"</f>
        <v/>
      </c>
      <c r="FQ29">
        <f>#REF!+"vlM!xl"</f>
        <v/>
      </c>
      <c r="FR29">
        <f>#REF!+"vlM!xm"</f>
        <v/>
      </c>
      <c r="FS29">
        <f>#REF!+"vlM!xn"</f>
        <v/>
      </c>
      <c r="FT29">
        <f>#REF!+"vlM!xo"</f>
        <v/>
      </c>
      <c r="FU29">
        <f>#REF!+"vlM!xp"</f>
        <v/>
      </c>
      <c r="FV29">
        <f>#REF!+"vlM!xq"</f>
        <v/>
      </c>
      <c r="FW29">
        <f>#REF!+"vlM!xr"</f>
        <v/>
      </c>
      <c r="FX29">
        <f>#REF!+"vlM!xs"</f>
        <v/>
      </c>
      <c r="FY29">
        <f>#REF!+"vlM!xt"</f>
        <v/>
      </c>
      <c r="FZ29">
        <f>#REF!+"vlM!xu"</f>
        <v/>
      </c>
      <c r="GA29">
        <f>#REF!+"vlM!xv"</f>
        <v/>
      </c>
      <c r="GB29">
        <f>#REF!+"vlM!xw"</f>
        <v/>
      </c>
      <c r="GC29">
        <f>#REF!+"vlM!xx"</f>
        <v/>
      </c>
      <c r="GD29">
        <f>#REF!+"vlM!xy"</f>
        <v/>
      </c>
      <c r="GE29" s="1">
        <f>#REF!+"vlM!xz"</f>
        <v/>
      </c>
      <c r="GF29">
        <f>#REF!+"vlM!x{"</f>
        <v/>
      </c>
      <c r="GG29">
        <f>#REF!+"vlM!x|"</f>
        <v/>
      </c>
      <c r="GH29">
        <f>#REF!+"vlM!x}"</f>
        <v/>
      </c>
      <c r="GI29">
        <f>#REF!+"vlM!x~"</f>
        <v/>
      </c>
      <c r="GJ29">
        <f>#REF!+"vlM!y#"</f>
        <v/>
      </c>
      <c r="GK29">
        <f>#REF!+"vlM!y$"</f>
        <v/>
      </c>
      <c r="GL29">
        <f>#REF!+"vlM!y%"</f>
        <v/>
      </c>
      <c r="GM29">
        <f>#REF!+"vlM!y&amp;"</f>
        <v/>
      </c>
      <c r="GN29">
        <f>#REF!+"vlM!y'"</f>
        <v/>
      </c>
      <c r="GO29">
        <f>#REF!+"vlM!y("</f>
        <v/>
      </c>
      <c r="GP29">
        <f>#REF!+"vlM!y)"</f>
        <v/>
      </c>
      <c r="GQ29">
        <f>#REF!+"vlM!y."</f>
        <v/>
      </c>
      <c r="GR29">
        <f>#REF!+"vlM!y/"</f>
        <v/>
      </c>
      <c r="GS29">
        <f>#REF!+"vlM!y0"</f>
        <v/>
      </c>
      <c r="GT29" s="1">
        <f>#REF!+"vlM!y1"</f>
        <v/>
      </c>
      <c r="GU29">
        <f>#REF!+"vlM!y2"</f>
        <v/>
      </c>
      <c r="GV29">
        <f>#REF!+"vlM!y3"</f>
        <v/>
      </c>
      <c r="GW29">
        <f>#REF!+"vlM!y4"</f>
        <v/>
      </c>
      <c r="GX29">
        <f>#REF!+"vlM!y5"</f>
        <v/>
      </c>
      <c r="GY29">
        <f>#REF!+"vlM!y6"</f>
        <v/>
      </c>
      <c r="GZ29">
        <f>#REF!+"vlM!y7"</f>
        <v/>
      </c>
      <c r="HA29">
        <f>#REF!+"vlM!y8"</f>
        <v/>
      </c>
      <c r="HB29">
        <f>#REF!+"vlM!y9"</f>
        <v/>
      </c>
      <c r="HC29">
        <f>#REF!+"vlM!y:"</f>
        <v/>
      </c>
      <c r="HD29">
        <f>#REF!+"vlM!y;"</f>
        <v/>
      </c>
      <c r="HE29">
        <f>#REF!+"vlM!y&lt;"</f>
        <v/>
      </c>
      <c r="HF29">
        <f>#REF!+"vlM!y="</f>
        <v/>
      </c>
      <c r="HG29">
        <f>#REF!+"vlM!y&gt;"</f>
        <v/>
      </c>
      <c r="HH29">
        <f>#REF!+"vlM!y?"</f>
        <v/>
      </c>
      <c r="HI29" s="1">
        <f>#REF!+"vlM!y@"</f>
        <v/>
      </c>
      <c r="HJ29">
        <f>#REF!+"vlM!yA"</f>
        <v/>
      </c>
      <c r="HK29">
        <f>#REF!+"vlM!yB"</f>
        <v/>
      </c>
      <c r="HL29">
        <f>#REF!+"vlM!yC"</f>
        <v/>
      </c>
      <c r="HM29">
        <f>#REF!+"vlM!yD"</f>
        <v/>
      </c>
      <c r="HN29">
        <f>#REF!+"vlM!yE"</f>
        <v/>
      </c>
      <c r="HO29">
        <f>#REF!+"vlM!yF"</f>
        <v/>
      </c>
      <c r="HP29">
        <f>#REF!+"vlM!yG"</f>
        <v/>
      </c>
      <c r="HQ29">
        <f>#REF!+"vlM!yH"</f>
        <v/>
      </c>
      <c r="HR29">
        <f>#REF!+"vlM!yI"</f>
        <v/>
      </c>
      <c r="HS29">
        <f>#REF!+"vlM!yJ"</f>
        <v/>
      </c>
      <c r="HT29">
        <f>#REF!+"vlM!yK"</f>
        <v/>
      </c>
      <c r="HU29">
        <f>#REF!+"vlM!yL"</f>
        <v/>
      </c>
      <c r="HV29">
        <f>#REF!+"vlM!yM"</f>
        <v/>
      </c>
      <c r="HW29">
        <f>#REF!+"vlM!yN"</f>
        <v/>
      </c>
      <c r="HX29" s="1">
        <f>#REF!+"vlM!yO"</f>
        <v/>
      </c>
      <c r="HY29">
        <f>#REF!+"vlM!yP"</f>
        <v/>
      </c>
      <c r="HZ29">
        <f>#REF!+"vlM!yQ"</f>
        <v/>
      </c>
      <c r="IA29">
        <f>#REF!+"vlM!yR"</f>
        <v/>
      </c>
      <c r="IB29">
        <f>#REF!+"vlM!yS"</f>
        <v/>
      </c>
      <c r="IC29">
        <f>#REF!+"vlM!yT"</f>
        <v/>
      </c>
      <c r="ID29">
        <f>#REF!+"vlM!yU"</f>
        <v/>
      </c>
      <c r="IE29">
        <f>#REF!+"vlM!yV"</f>
        <v/>
      </c>
      <c r="IF29">
        <f>#REF!+"vlM!yW"</f>
        <v/>
      </c>
      <c r="IG29">
        <f>#REF!+"vlM!yX"</f>
        <v/>
      </c>
      <c r="IH29">
        <f>#REF!+"vlM!yY"</f>
        <v/>
      </c>
      <c r="II29">
        <f>#REF!+"vlM!yZ"</f>
        <v/>
      </c>
      <c r="IJ29">
        <f>#REF!+"vlM!y["</f>
        <v/>
      </c>
      <c r="IK29">
        <f>#REF!+"vlM!y\"</f>
        <v/>
      </c>
      <c r="IL29">
        <f>#REF!+"vlM!y]"</f>
        <v/>
      </c>
      <c r="IM29" s="1">
        <f>#REF!+"vlM!y^"</f>
        <v/>
      </c>
      <c r="IN29">
        <f>#REF!+"vlM!y_"</f>
        <v/>
      </c>
      <c r="IO29">
        <f>#REF!+"vlM!y`"</f>
        <v/>
      </c>
      <c r="IP29">
        <f>#REF!+"vlM!ya"</f>
        <v/>
      </c>
      <c r="IQ29">
        <f>#REF!+"vlM!yb"</f>
        <v/>
      </c>
      <c r="IR29">
        <f>#REF!+"vlM!yc"</f>
        <v/>
      </c>
      <c r="IS29">
        <f>#REF!+"vlM!yd"</f>
        <v/>
      </c>
      <c r="IT29">
        <f>#REF!+"vlM!ye"</f>
        <v/>
      </c>
      <c r="IU29">
        <f>#REF!+"vlM!yf"</f>
        <v/>
      </c>
      <c r="IV29">
        <f>#REF!+"vlM!yg"</f>
        <v/>
      </c>
    </row>
    <row r="30">
      <c r="F30">
        <f>#REF!+"vlM!yh"</f>
        <v/>
      </c>
      <c r="G30">
        <f>#REF!+"vlM!yi"</f>
        <v/>
      </c>
      <c r="H30">
        <f>#REF!+"vlM!yj"</f>
        <v/>
      </c>
      <c r="I30">
        <f>#REF!+"vlM!yk"</f>
        <v/>
      </c>
      <c r="J30">
        <f>#REF!+"vlM!yl"</f>
        <v/>
      </c>
      <c r="K30" s="1">
        <f>#REF!+"vlM!ym"</f>
        <v/>
      </c>
      <c r="L30">
        <f>#REF!+"vlM!yn"</f>
        <v/>
      </c>
      <c r="M30">
        <f>#REF!+"vlM!yo"</f>
        <v/>
      </c>
      <c r="N30">
        <f>#REF!+"vlM!yp"</f>
        <v/>
      </c>
      <c r="O30">
        <f>#REF!+"vlM!yq"</f>
        <v/>
      </c>
      <c r="P30">
        <f>#REF!+"vlM!yr"</f>
        <v/>
      </c>
      <c r="Q30">
        <f>#REF!+"vlM!ys"</f>
        <v/>
      </c>
      <c r="R30">
        <f>#REF!+"vlM!yt"</f>
        <v/>
      </c>
      <c r="S30">
        <f>#REF!+"vlM!yu"</f>
        <v/>
      </c>
      <c r="T30">
        <f>#REF!+"vlM!yv"</f>
        <v/>
      </c>
      <c r="U30">
        <f>#REF!+"vlM!yw"</f>
        <v/>
      </c>
      <c r="V30">
        <f>#REF!+"vlM!yx"</f>
        <v/>
      </c>
      <c r="W30">
        <f>#REF!+"vlM!yy"</f>
        <v/>
      </c>
      <c r="X30">
        <f>#REF!+"vlM!yz"</f>
        <v/>
      </c>
      <c r="Y30">
        <f>#REF!+"vlM!y{"</f>
        <v/>
      </c>
      <c r="Z30" s="1">
        <f>#REF!+"vlM!y|"</f>
        <v/>
      </c>
      <c r="AA30">
        <f>#REF!+"vlM!y}"</f>
        <v/>
      </c>
      <c r="AB30">
        <f>#REF!+"vlM!y~"</f>
        <v/>
      </c>
      <c r="AC30">
        <f>#REF!+"vlM!z#"</f>
        <v/>
      </c>
      <c r="AD30">
        <f>#REF!+"vlM!z$"</f>
        <v/>
      </c>
      <c r="AE30">
        <f>#REF!+"vlM!z%"</f>
        <v/>
      </c>
      <c r="AF30">
        <f>#REF!+"vlM!z&amp;"</f>
        <v/>
      </c>
      <c r="AG30">
        <f>#REF!+"vlM!z'"</f>
        <v/>
      </c>
      <c r="AH30">
        <f>#REF!+"vlM!z("</f>
        <v/>
      </c>
      <c r="AI30">
        <f>#REF!+"vlM!z)"</f>
        <v/>
      </c>
      <c r="AJ30">
        <f>#REF!+"vlM!z."</f>
        <v/>
      </c>
      <c r="AK30">
        <f>#REF!+"vlM!z/"</f>
        <v/>
      </c>
      <c r="AL30">
        <f>#REF!+"vlM!z0"</f>
        <v/>
      </c>
      <c r="AM30">
        <f>#REF!+"vlM!z1"</f>
        <v/>
      </c>
      <c r="AN30">
        <f>#REF!+"vlM!z2"</f>
        <v/>
      </c>
      <c r="AO30" s="1">
        <f>#REF!+"vlM!z3"</f>
        <v/>
      </c>
      <c r="AP30">
        <f>#REF!+"vlM!z4"</f>
        <v/>
      </c>
      <c r="AQ30">
        <f>#REF!+"vlM!z5"</f>
        <v/>
      </c>
      <c r="AR30">
        <f>#REF!+"vlM!z6"</f>
        <v/>
      </c>
      <c r="AS30">
        <f>#REF!+"vlM!z7"</f>
        <v/>
      </c>
      <c r="AT30">
        <f>#REF!+"vlM!z8"</f>
        <v/>
      </c>
      <c r="AU30">
        <f>#REF!+"vlM!z9"</f>
        <v/>
      </c>
      <c r="AV30">
        <f>#REF!+"vlM!z:"</f>
        <v/>
      </c>
      <c r="AW30">
        <f>#REF!+"vlM!z;"</f>
        <v/>
      </c>
      <c r="AX30">
        <f>#REF!+"vlM!z&lt;"</f>
        <v/>
      </c>
      <c r="AY30">
        <f>#REF!+"vlM!z="</f>
        <v/>
      </c>
      <c r="AZ30">
        <f>#REF!+"vlM!z&gt;"</f>
        <v/>
      </c>
      <c r="BA30">
        <f>#REF!+"vlM!z?"</f>
        <v/>
      </c>
      <c r="BB30">
        <f>#REF!+"vlM!z@"</f>
        <v/>
      </c>
      <c r="BC30">
        <f>#REF!+"vlM!zA"</f>
        <v/>
      </c>
      <c r="BD30" s="1">
        <f>#REF!+"vlM!zB"</f>
        <v/>
      </c>
      <c r="BE30">
        <f>#REF!+"vlM!zC"</f>
        <v/>
      </c>
      <c r="BF30">
        <f>#REF!+"vlM!zD"</f>
        <v/>
      </c>
      <c r="BG30">
        <f>#REF!+"vlM!zE"</f>
        <v/>
      </c>
      <c r="BH30">
        <f>#REF!+"vlM!zF"</f>
        <v/>
      </c>
      <c r="BI30">
        <f>#REF!+"vlM!zG"</f>
        <v/>
      </c>
      <c r="BJ30">
        <f>#REF!+"vlM!zH"</f>
        <v/>
      </c>
      <c r="BK30">
        <f>#REF!+"vlM!zI"</f>
        <v/>
      </c>
      <c r="BL30">
        <f>#REF!+"vlM!zJ"</f>
        <v/>
      </c>
      <c r="BM30">
        <f>#REF!+"vlM!zK"</f>
        <v/>
      </c>
      <c r="BN30">
        <f>#REF!+"vlM!zL"</f>
        <v/>
      </c>
      <c r="BO30">
        <f>#REF!+"vlM!zM"</f>
        <v/>
      </c>
      <c r="BP30">
        <f>#REF!+"vlM!zN"</f>
        <v/>
      </c>
      <c r="BQ30">
        <f>#REF!+"vlM!zO"</f>
        <v/>
      </c>
      <c r="BR30">
        <f>#REF!+"vlM!zP"</f>
        <v/>
      </c>
      <c r="BS30" s="1">
        <f>#REF!+"vlM!zQ"</f>
        <v/>
      </c>
      <c r="BT30">
        <f>#REF!+"vlM!zR"</f>
        <v/>
      </c>
      <c r="BU30">
        <f>#REF!+"vlM!zS"</f>
        <v/>
      </c>
      <c r="BV30">
        <f>#REF!+"vlM!zT"</f>
        <v/>
      </c>
      <c r="BW30">
        <f>#REF!+"vlM!zU"</f>
        <v/>
      </c>
      <c r="BX30">
        <f>#REF!+"vlM!zV"</f>
        <v/>
      </c>
      <c r="BY30">
        <f>#REF!+"vlM!zW"</f>
        <v/>
      </c>
      <c r="BZ30">
        <f>#REF!+"vlM!zX"</f>
        <v/>
      </c>
      <c r="CA30">
        <f>#REF!+"vlM!zY"</f>
        <v/>
      </c>
      <c r="CB30">
        <f>#REF!+"vlM!zZ"</f>
        <v/>
      </c>
      <c r="CC30">
        <f>#REF!+"vlM!z["</f>
        <v/>
      </c>
      <c r="CD30">
        <f>#REF!+"vlM!z\"</f>
        <v/>
      </c>
      <c r="CE30">
        <f>#REF!+"vlM!z]"</f>
        <v/>
      </c>
      <c r="CF30">
        <f>#REF!+"vlM!z^"</f>
        <v/>
      </c>
      <c r="CG30">
        <f>#REF!+"vlM!z_"</f>
        <v/>
      </c>
      <c r="CH30" s="1">
        <f>#REF!+"vlM!z`"</f>
        <v/>
      </c>
      <c r="CI30">
        <f>#REF!+"vlM!za"</f>
        <v/>
      </c>
      <c r="CJ30">
        <f>#REF!+"vlM!zb"</f>
        <v/>
      </c>
      <c r="CK30">
        <f>#REF!+"vlM!zc"</f>
        <v/>
      </c>
      <c r="CL30">
        <f>#REF!+"vlM!zd"</f>
        <v/>
      </c>
      <c r="CM30">
        <f>#REF!+"vlM!ze"</f>
        <v/>
      </c>
      <c r="CN30">
        <f>#REF!+"vlM!zf"</f>
        <v/>
      </c>
      <c r="CO30">
        <f>#REF!+"vlM!zg"</f>
        <v/>
      </c>
      <c r="CP30">
        <f>#REF!+"vlM!zh"</f>
        <v/>
      </c>
      <c r="CQ30">
        <f>#REF!+"vlM!zi"</f>
        <v/>
      </c>
      <c r="CR30">
        <f>#REF!+"vlM!zj"</f>
        <v/>
      </c>
      <c r="CS30">
        <f>#REF!+"vlM!zk"</f>
        <v/>
      </c>
      <c r="CT30">
        <f>#REF!+"vlM!zl"</f>
        <v/>
      </c>
      <c r="CU30">
        <f>#REF!+"vlM!zm"</f>
        <v/>
      </c>
      <c r="CV30">
        <f>#REF!+"vlM!zn"</f>
        <v/>
      </c>
      <c r="CW30" s="1">
        <f>#REF!+"vlM!zo"</f>
        <v/>
      </c>
      <c r="CX30">
        <f>#REF!+"vlM!zp"</f>
        <v/>
      </c>
      <c r="CY30">
        <f>#REF!+"vlM!zq"</f>
        <v/>
      </c>
      <c r="CZ30">
        <f>#REF!+"vlM!zr"</f>
        <v/>
      </c>
      <c r="DA30">
        <f>#REF!+"vlM!zs"</f>
        <v/>
      </c>
      <c r="DB30">
        <f>#REF!+"vlM!zt"</f>
        <v/>
      </c>
      <c r="DC30">
        <f>#REF!+"vlM!zu"</f>
        <v/>
      </c>
      <c r="DD30">
        <f>#REF!+"vlM!zv"</f>
        <v/>
      </c>
      <c r="DE30">
        <f>#REF!+"vlM!zw"</f>
        <v/>
      </c>
      <c r="DF30">
        <f>#REF!+"vlM!zx"</f>
        <v/>
      </c>
      <c r="DG30">
        <f>#REF!+"vlM!zy"</f>
        <v/>
      </c>
      <c r="DH30">
        <f>#REF!+"vlM!zz"</f>
        <v/>
      </c>
      <c r="DI30">
        <f>#REF!+"vlM!z{"</f>
        <v/>
      </c>
      <c r="DJ30">
        <f>#REF!+"vlM!z|"</f>
        <v/>
      </c>
      <c r="DK30">
        <f>#REF!+"vlM!z}"</f>
        <v/>
      </c>
      <c r="DL30" s="1">
        <f>#REF!+"vlM!z~"</f>
        <v/>
      </c>
      <c r="DM30">
        <f>#REF!+"vlM!{#"</f>
        <v/>
      </c>
      <c r="DN30">
        <f>#REF!+"vlM!{$"</f>
        <v/>
      </c>
      <c r="DO30">
        <f>#REF!+"vlM!{%"</f>
        <v/>
      </c>
      <c r="DP30">
        <f>#REF!+"vlM!{&amp;"</f>
        <v/>
      </c>
      <c r="DQ30">
        <f>#REF!+"vlM!{'"</f>
        <v/>
      </c>
      <c r="DR30">
        <f>#REF!+"vlM!{("</f>
        <v/>
      </c>
      <c r="DS30">
        <f>#REF!+"vlM!{)"</f>
        <v/>
      </c>
      <c r="DT30">
        <f>#REF!+"vlM!{."</f>
        <v/>
      </c>
      <c r="DU30">
        <f>#REF!+"vlM!{/"</f>
        <v/>
      </c>
      <c r="DV30">
        <f>#REF!+"vlM!{0"</f>
        <v/>
      </c>
      <c r="DW30">
        <f>#REF!+"vlM!{1"</f>
        <v/>
      </c>
      <c r="DX30">
        <f>#REF!+"vlM!{2"</f>
        <v/>
      </c>
      <c r="DY30">
        <f>#REF!+"vlM!{3"</f>
        <v/>
      </c>
      <c r="DZ30">
        <f>#REF!+"vlM!{4"</f>
        <v/>
      </c>
      <c r="EA30" s="1">
        <f>#REF!+"vlM!{5"</f>
        <v/>
      </c>
      <c r="EB30">
        <f>#REF!+"vlM!{6"</f>
        <v/>
      </c>
      <c r="EC30">
        <f>#REF!+"vlM!{7"</f>
        <v/>
      </c>
      <c r="ED30">
        <f>#REF!+"vlM!{8"</f>
        <v/>
      </c>
      <c r="EE30">
        <f>#REF!+"vlM!{9"</f>
        <v/>
      </c>
      <c r="EF30">
        <f>#REF!+"vlM!{:"</f>
        <v/>
      </c>
      <c r="EG30">
        <f>#REF!+"vlM!{;"</f>
        <v/>
      </c>
      <c r="EH30">
        <f>#REF!+"vlM!{&lt;"</f>
        <v/>
      </c>
      <c r="EI30">
        <f>#REF!+"vlM!{="</f>
        <v/>
      </c>
      <c r="EJ30">
        <f>#REF!+"vlM!{&gt;"</f>
        <v/>
      </c>
      <c r="EK30">
        <f>#REF!+"vlM!{?"</f>
        <v/>
      </c>
      <c r="EL30">
        <f>#REF!+"vlM!{@"</f>
        <v/>
      </c>
      <c r="EM30">
        <f>#REF!+"vlM!{A"</f>
        <v/>
      </c>
      <c r="EN30">
        <f>#REF!+"vlM!{B"</f>
        <v/>
      </c>
      <c r="EO30">
        <f>#REF!+"vlM!{C"</f>
        <v/>
      </c>
      <c r="EP30" s="1">
        <f>#REF!+"vlM!{D"</f>
        <v/>
      </c>
      <c r="EQ30">
        <f>#REF!+"vlM!{E"</f>
        <v/>
      </c>
      <c r="ER30">
        <f>#REF!+"vlM!{F"</f>
        <v/>
      </c>
      <c r="ES30">
        <f>#REF!+"vlM!{G"</f>
        <v/>
      </c>
      <c r="ET30">
        <f>#REF!+"vlM!{H"</f>
        <v/>
      </c>
      <c r="EU30">
        <f>#REF!+"vlM!{I"</f>
        <v/>
      </c>
      <c r="EV30">
        <f>#REF!+"vlM!{J"</f>
        <v/>
      </c>
      <c r="EW30">
        <f>#REF!+"vlM!{K"</f>
        <v/>
      </c>
      <c r="EX30">
        <f>#REF!+"vlM!{L"</f>
        <v/>
      </c>
      <c r="EY30">
        <f>#REF!+"vlM!{M"</f>
        <v/>
      </c>
      <c r="EZ30">
        <f>#REF!+"vlM!{N"</f>
        <v/>
      </c>
      <c r="FA30">
        <f>#REF!+"vlM!{O"</f>
        <v/>
      </c>
      <c r="FB30">
        <f>#REF!+"vlM!{P"</f>
        <v/>
      </c>
      <c r="FC30">
        <f>#REF!+"vlM!{Q"</f>
        <v/>
      </c>
      <c r="FD30">
        <f>#REF!+"vlM!{R"</f>
        <v/>
      </c>
      <c r="FE30" s="1">
        <f>#REF!+"vlM!{S"</f>
        <v/>
      </c>
      <c r="FF30">
        <f>#REF!+"vlM!{T"</f>
        <v/>
      </c>
      <c r="FG30">
        <f>#REF!+"vlM!{U"</f>
        <v/>
      </c>
      <c r="FH30">
        <f>#REF!+"vlM!{V"</f>
        <v/>
      </c>
      <c r="FI30">
        <f>#REF!+"vlM!{W"</f>
        <v/>
      </c>
      <c r="FJ30">
        <f>#REF!+"vlM!{X"</f>
        <v/>
      </c>
      <c r="FK30">
        <f>#REF!+"vlM!{Y"</f>
        <v/>
      </c>
      <c r="FL30">
        <f>#REF!+"vlM!{Z"</f>
        <v/>
      </c>
      <c r="FM30">
        <f>#REF!+"vlM!{["</f>
        <v/>
      </c>
      <c r="FN30">
        <f>#REF!+"vlM!{\"</f>
        <v/>
      </c>
      <c r="FO30">
        <f>#REF!+"vlM!{]"</f>
        <v/>
      </c>
      <c r="FP30">
        <f>#REF!+"vlM!{^"</f>
        <v/>
      </c>
      <c r="FQ30">
        <f>#REF!+"vlM!{_"</f>
        <v/>
      </c>
      <c r="FR30">
        <f>#REF!+"vlM!{`"</f>
        <v/>
      </c>
      <c r="FS30">
        <f>#REF!+"vlM!{a"</f>
        <v/>
      </c>
      <c r="FT30" s="1">
        <f>#REF!+"vlM!{b"</f>
        <v/>
      </c>
      <c r="FU30">
        <f>#REF!+"vlM!{c"</f>
        <v/>
      </c>
      <c r="FV30">
        <f>#REF!+"vlM!{d"</f>
        <v/>
      </c>
      <c r="FW30">
        <f>#REF!+"vlM!{e"</f>
        <v/>
      </c>
      <c r="FX30">
        <f>#REF!+"vlM!{f"</f>
        <v/>
      </c>
      <c r="FY30">
        <f>#REF!+"vlM!{g"</f>
        <v/>
      </c>
      <c r="FZ30">
        <f>#REF!+"vlM!{h"</f>
        <v/>
      </c>
      <c r="GA30">
        <f>#REF!+"vlM!{i"</f>
        <v/>
      </c>
      <c r="GB30">
        <f>#REF!+"vlM!{j"</f>
        <v/>
      </c>
      <c r="GC30">
        <f>#REF!+"vlM!{k"</f>
        <v/>
      </c>
      <c r="GD30">
        <f>#REF!+"vlM!{l"</f>
        <v/>
      </c>
      <c r="GE30">
        <f>#REF!+"vlM!{m"</f>
        <v/>
      </c>
      <c r="GF30">
        <f>#REF!+"vlM!{n"</f>
        <v/>
      </c>
      <c r="GG30">
        <f>#REF!+"vlM!{o"</f>
        <v/>
      </c>
      <c r="GH30">
        <f>#REF!+"vlM!{p"</f>
        <v/>
      </c>
      <c r="GI30" s="1">
        <f>#REF!+"vlM!{q"</f>
        <v/>
      </c>
      <c r="GJ30">
        <f>#REF!+"vlM!{r"</f>
        <v/>
      </c>
      <c r="GK30">
        <f>#REF!+"vlM!{s"</f>
        <v/>
      </c>
      <c r="GL30">
        <f>#REF!+"vlM!{t"</f>
        <v/>
      </c>
      <c r="GM30">
        <f>#REF!+"vlM!{u"</f>
        <v/>
      </c>
      <c r="GN30">
        <f>#REF!+"vlM!{v"</f>
        <v/>
      </c>
      <c r="GO30">
        <f>#REF!+"vlM!{w"</f>
        <v/>
      </c>
      <c r="GP30">
        <f>#REF!+"vlM!{x"</f>
        <v/>
      </c>
      <c r="GQ30">
        <f>#REF!+"vlM!{y"</f>
        <v/>
      </c>
      <c r="GR30">
        <f>#REF!+"vlM!{z"</f>
        <v/>
      </c>
      <c r="GS30">
        <f>#REF!+"vlM!{{"</f>
        <v/>
      </c>
      <c r="GT30">
        <f>#REF!+"vlM!{|"</f>
        <v/>
      </c>
      <c r="GU30">
        <f>#REF!+"vlM!{}"</f>
        <v/>
      </c>
      <c r="GV30">
        <f>#REF!+"vlM!{~"</f>
        <v/>
      </c>
      <c r="GW30">
        <f>#REF!+"vlM!|#"</f>
        <v/>
      </c>
      <c r="GX30" s="1">
        <f>#REF!+"vlM!|$"</f>
        <v/>
      </c>
      <c r="GY30">
        <f>#REF!+"vlM!|%"</f>
        <v/>
      </c>
      <c r="GZ30">
        <f>#REF!+"vlM!|&amp;"</f>
        <v/>
      </c>
      <c r="HA30">
        <f>#REF!+"vlM!|'"</f>
        <v/>
      </c>
      <c r="HB30">
        <f>#REF!+"vlM!|("</f>
        <v/>
      </c>
      <c r="HC30">
        <f>#REF!+"vlM!|)"</f>
        <v/>
      </c>
      <c r="HD30">
        <f>#REF!+"vlM!|."</f>
        <v/>
      </c>
      <c r="HE30">
        <f>#REF!+"vlM!|/"</f>
        <v/>
      </c>
      <c r="HF30">
        <f>#REF!+"vlM!|0"</f>
        <v/>
      </c>
      <c r="HG30">
        <f>#REF!+"vlM!|1"</f>
        <v/>
      </c>
      <c r="HH30">
        <f>#REF!+"vlM!|2"</f>
        <v/>
      </c>
      <c r="HI30">
        <f>#REF!+"vlM!|3"</f>
        <v/>
      </c>
      <c r="HJ30">
        <f>#REF!+"vlM!|4"</f>
        <v/>
      </c>
      <c r="HK30">
        <f>#REF!+"vlM!|5"</f>
        <v/>
      </c>
      <c r="HL30">
        <f>#REF!+"vlM!|6"</f>
        <v/>
      </c>
      <c r="HM30" s="1">
        <f>#REF!+"vlM!|7"</f>
        <v/>
      </c>
      <c r="HN30">
        <f>#REF!+"vlM!|8"</f>
        <v/>
      </c>
      <c r="HO30">
        <f>#REF!+"vlM!|9"</f>
        <v/>
      </c>
      <c r="HP30">
        <f>#REF!+"vlM!|:"</f>
        <v/>
      </c>
      <c r="HQ30">
        <f>#REF!+"vlM!|;"</f>
        <v/>
      </c>
      <c r="HR30">
        <f>#REF!+"vlM!|&lt;"</f>
        <v/>
      </c>
      <c r="HS30">
        <f>#REF!+"vlM!|="</f>
        <v/>
      </c>
      <c r="HT30">
        <f>#REF!+"vlM!|&gt;"</f>
        <v/>
      </c>
      <c r="HU30">
        <f>#REF!+"vlM!|?"</f>
        <v/>
      </c>
      <c r="HV30">
        <f>#REF!+"vlM!|@"</f>
        <v/>
      </c>
      <c r="HW30">
        <f>#REF!+"vlM!|A"</f>
        <v/>
      </c>
      <c r="HX30">
        <f>#REF!+"vlM!|B"</f>
        <v/>
      </c>
      <c r="HY30">
        <f>#REF!+"vlM!|C"</f>
        <v/>
      </c>
      <c r="HZ30">
        <f>#REF!+"vlM!|D"</f>
        <v/>
      </c>
      <c r="IA30">
        <f>#REF!+"vlM!|E"</f>
        <v/>
      </c>
      <c r="IB30" s="1">
        <f>#REF!+"vlM!|F"</f>
        <v/>
      </c>
      <c r="IC30">
        <f>#REF!+"vlM!|G"</f>
        <v/>
      </c>
      <c r="ID30">
        <f>#REF!+"vlM!|H"</f>
        <v/>
      </c>
      <c r="IE30">
        <f>#REF!+"vlM!|I"</f>
        <v/>
      </c>
      <c r="IF30">
        <f>#REF!+"vlM!|J"</f>
        <v/>
      </c>
      <c r="IG30">
        <f>#REF!+"vlM!|K"</f>
        <v/>
      </c>
      <c r="IH30">
        <f>#REF!+"vlM!|L"</f>
        <v/>
      </c>
      <c r="II30">
        <f>#REF!+"vlM!|M"</f>
        <v/>
      </c>
      <c r="IJ30">
        <f>#REF!+"vlM!|N"</f>
        <v/>
      </c>
      <c r="IK30">
        <f>#REF!+"vlM!|O"</f>
        <v/>
      </c>
      <c r="IL30">
        <f>#REF!+"vlM!|P"</f>
        <v/>
      </c>
      <c r="IM30">
        <f>#REF!+"vlM!|Q"</f>
        <v/>
      </c>
      <c r="IN30">
        <f>#REF!+"vlM!|R"</f>
        <v/>
      </c>
      <c r="IO30">
        <f>#REF!+"vlM!|S"</f>
        <v/>
      </c>
      <c r="IP30">
        <f>#REF!+"vlM!|T"</f>
        <v/>
      </c>
      <c r="IQ30" s="1">
        <f>#REF!+"vlM!|U"</f>
        <v/>
      </c>
      <c r="IR30">
        <f>#REF!+"vlM!|V"</f>
        <v/>
      </c>
      <c r="IS30">
        <f>#REF!+"vlM!|W"</f>
        <v/>
      </c>
      <c r="IT30">
        <f>#REF!+"vlM!|X"</f>
        <v/>
      </c>
      <c r="IU30">
        <f>#REF!+"vlM!|Y"</f>
        <v/>
      </c>
      <c r="IV30">
        <f>#REF!+"vlM!|Z"</f>
        <v/>
      </c>
    </row>
    <row r="31">
      <c r="F31">
        <f>#REF!+"vlM!|["</f>
        <v/>
      </c>
      <c r="G31">
        <f>#REF!+"vlM!|\"</f>
        <v/>
      </c>
      <c r="H31">
        <f>#REF!+"vlM!|]"</f>
        <v/>
      </c>
      <c r="I31">
        <f>#REF!+"vlM!|^"</f>
        <v/>
      </c>
      <c r="J31">
        <f>#REF!+"vlM!|_"</f>
        <v/>
      </c>
      <c r="K31">
        <f>#REF!+"vlM!|`"</f>
        <v/>
      </c>
      <c r="L31">
        <f>#REF!+"vlM!|a"</f>
        <v/>
      </c>
      <c r="M31">
        <f>#REF!+"vlM!|b"</f>
        <v/>
      </c>
      <c r="N31">
        <f>#REF!+"vlM!|c"</f>
        <v/>
      </c>
      <c r="O31" s="1">
        <f>#REF!+"vlM!|d"</f>
        <v/>
      </c>
      <c r="P31">
        <f>#REF!+"vlM!|e"</f>
        <v/>
      </c>
      <c r="Q31">
        <f>#REF!+"vlM!|f"</f>
        <v/>
      </c>
      <c r="R31">
        <f>#REF!+"vlM!|g"</f>
        <v/>
      </c>
      <c r="S31">
        <f>#REF!+"vlM!|h"</f>
        <v/>
      </c>
      <c r="T31">
        <f>#REF!+"vlM!|i"</f>
        <v/>
      </c>
      <c r="U31">
        <f>#REF!+"vlM!|j"</f>
        <v/>
      </c>
      <c r="V31">
        <f>#REF!+"vlM!|k"</f>
        <v/>
      </c>
      <c r="W31">
        <f>#REF!+"vlM!|l"</f>
        <v/>
      </c>
      <c r="X31">
        <f>#REF!+"vlM!|m"</f>
        <v/>
      </c>
      <c r="Y31">
        <f>#REF!+"vlM!|n"</f>
        <v/>
      </c>
      <c r="Z31">
        <f>#REF!+"vlM!|o"</f>
        <v/>
      </c>
      <c r="AA31">
        <f>#REF!+"vlM!|p"</f>
        <v/>
      </c>
      <c r="AB31">
        <f>#REF!+"vlM!|q"</f>
        <v/>
      </c>
      <c r="AC31">
        <f>#REF!+"vlM!|r"</f>
        <v/>
      </c>
      <c r="AD31" s="1">
        <f>#REF!+"vlM!|s"</f>
        <v/>
      </c>
      <c r="AE31">
        <f>#REF!+"vlM!|t"</f>
        <v/>
      </c>
      <c r="AF31">
        <f>#REF!+"vlM!|u"</f>
        <v/>
      </c>
      <c r="AG31">
        <f>#REF!+"vlM!|v"</f>
        <v/>
      </c>
      <c r="AH31">
        <f>#REF!+"vlM!|w"</f>
        <v/>
      </c>
      <c r="AI31">
        <f>#REF!+"vlM!|x"</f>
        <v/>
      </c>
      <c r="AJ31">
        <f>#REF!+"vlM!|y"</f>
        <v/>
      </c>
      <c r="AK31">
        <f>#REF!+"vlM!|z"</f>
        <v/>
      </c>
      <c r="AL31">
        <f>#REF!+"vlM!|{"</f>
        <v/>
      </c>
      <c r="AM31">
        <f>#REF!+"vlM!||"</f>
        <v/>
      </c>
      <c r="AN31">
        <f>#REF!+"vlM!|}"</f>
        <v/>
      </c>
      <c r="AO31">
        <f>#REF!+"vlM!|~"</f>
        <v/>
      </c>
      <c r="AP31">
        <f>#REF!+"vlM!}#"</f>
        <v/>
      </c>
      <c r="AQ31">
        <f>#REF!+"vlM!}$"</f>
        <v/>
      </c>
      <c r="AR31">
        <f>#REF!+"vlM!}%"</f>
        <v/>
      </c>
      <c r="AS31" s="1">
        <f>#REF!+"vlM!}&amp;"</f>
        <v/>
      </c>
      <c r="AT31">
        <f>#REF!+"vlM!}'"</f>
        <v/>
      </c>
      <c r="AU31">
        <f>#REF!+"vlM!}("</f>
        <v/>
      </c>
      <c r="AV31">
        <f>#REF!+"vlM!})"</f>
        <v/>
      </c>
      <c r="AW31">
        <f>#REF!+"vlM!}."</f>
        <v/>
      </c>
      <c r="AX31">
        <f>#REF!+"vlM!}/"</f>
        <v/>
      </c>
      <c r="AY31">
        <f>#REF!+"vlM!}0"</f>
        <v/>
      </c>
      <c r="AZ31">
        <f>#REF!+"vlM!}1"</f>
        <v/>
      </c>
      <c r="BA31">
        <f>#REF!+"vlM!}2"</f>
        <v/>
      </c>
      <c r="BB31">
        <f>#REF!+"vlM!}3"</f>
        <v/>
      </c>
      <c r="BC31">
        <f>#REF!+"vlM!}4"</f>
        <v/>
      </c>
      <c r="BD31">
        <f>#REF!+"vlM!}5"</f>
        <v/>
      </c>
      <c r="BE31">
        <f>#REF!+"vlM!}6"</f>
        <v/>
      </c>
      <c r="BF31">
        <f>#REF!+"vlM!}7"</f>
        <v/>
      </c>
      <c r="BG31">
        <f>#REF!+"vlM!}8"</f>
        <v/>
      </c>
      <c r="BH31" s="1">
        <f>#REF!+"vlM!}9"</f>
        <v/>
      </c>
      <c r="BI31">
        <f>#REF!+"vlM!}:"</f>
        <v/>
      </c>
      <c r="BJ31">
        <f>#REF!+"vlM!};"</f>
        <v/>
      </c>
      <c r="BK31">
        <f>#REF!+"vlM!}&lt;"</f>
        <v/>
      </c>
      <c r="BL31">
        <f>#REF!+"vlM!}="</f>
        <v/>
      </c>
      <c r="BM31">
        <f>#REF!+"vlM!}&gt;"</f>
        <v/>
      </c>
      <c r="BN31">
        <f>#REF!+"vlM!}?"</f>
        <v/>
      </c>
      <c r="BO31">
        <f>#REF!+"vlM!}@"</f>
        <v/>
      </c>
      <c r="BP31">
        <f>#REF!+"vlM!}A"</f>
        <v/>
      </c>
      <c r="BQ31">
        <f>#REF!+"vlM!}B"</f>
        <v/>
      </c>
      <c r="BR31">
        <f>#REF!+"vlM!}C"</f>
        <v/>
      </c>
      <c r="BS31">
        <f>#REF!+"vlM!}D"</f>
        <v/>
      </c>
      <c r="BT31">
        <f>#REF!+"vlM!}E"</f>
        <v/>
      </c>
      <c r="BU31">
        <f>#REF!+"vlM!}F"</f>
        <v/>
      </c>
      <c r="BV31">
        <f>#REF!+"vlM!}G"</f>
        <v/>
      </c>
      <c r="BW31" s="1">
        <f>#REF!+"vlM!}H"</f>
        <v/>
      </c>
      <c r="BX31">
        <f>#REF!+"vlM!}I"</f>
        <v/>
      </c>
      <c r="BY31">
        <f>#REF!+"vlM!}J"</f>
        <v/>
      </c>
      <c r="BZ31">
        <f>#REF!+"vlM!}K"</f>
        <v/>
      </c>
      <c r="CA31">
        <f>#REF!+"vlM!}L"</f>
        <v/>
      </c>
      <c r="CB31">
        <f>#REF!+"vlM!}M"</f>
        <v/>
      </c>
      <c r="CC31">
        <f>#REF!+"vlM!}N"</f>
        <v/>
      </c>
      <c r="CD31">
        <f>#REF!+"vlM!}O"</f>
        <v/>
      </c>
      <c r="CE31">
        <f>#REF!+"vlM!}P"</f>
        <v/>
      </c>
      <c r="CF31">
        <f>#REF!+"vlM!}Q"</f>
        <v/>
      </c>
      <c r="CG31">
        <f>#REF!+"vlM!}R"</f>
        <v/>
      </c>
      <c r="CH31">
        <f>#REF!+"vlM!}S"</f>
        <v/>
      </c>
      <c r="CI31">
        <f>#REF!+"vlM!}T"</f>
        <v/>
      </c>
      <c r="CJ31">
        <f>#REF!+"vlM!}U"</f>
        <v/>
      </c>
      <c r="CK31">
        <f>#REF!+"vlM!}V"</f>
        <v/>
      </c>
      <c r="CL31" s="1">
        <f>#REF!+"vlM!}W"</f>
        <v/>
      </c>
      <c r="CM31">
        <f>#REF!+"vlM!}X"</f>
        <v/>
      </c>
      <c r="CN31">
        <f>#REF!+"vlM!}Y"</f>
        <v/>
      </c>
      <c r="CO31">
        <f>#REF!+"vlM!}Z"</f>
        <v/>
      </c>
      <c r="CP31">
        <f>#REF!+"vlM!}["</f>
        <v/>
      </c>
      <c r="CQ31">
        <f>#REF!+"vlM!}\"</f>
        <v/>
      </c>
      <c r="CR31">
        <f>#REF!+"vlM!}]"</f>
        <v/>
      </c>
      <c r="CS31">
        <f>#REF!+"vlM!}^"</f>
        <v/>
      </c>
      <c r="CT31">
        <f>#REF!+"vlM!}_"</f>
        <v/>
      </c>
      <c r="CU31">
        <f>#REF!+"vlM!}`"</f>
        <v/>
      </c>
      <c r="CV31">
        <f>#REF!+"vlM!}a"</f>
        <v/>
      </c>
      <c r="CW31">
        <f>#REF!+"vlM!}b"</f>
        <v/>
      </c>
      <c r="CX31">
        <f>#REF!+"vlM!}c"</f>
        <v/>
      </c>
      <c r="CY31">
        <f>#REF!+"vlM!}d"</f>
        <v/>
      </c>
      <c r="CZ31">
        <f>#REF!+"vlM!}e"</f>
        <v/>
      </c>
      <c r="DA31" s="1">
        <f>#REF!+"vlM!}f"</f>
        <v/>
      </c>
      <c r="DB31">
        <f>#REF!+"vlM!}g"</f>
        <v/>
      </c>
      <c r="DC31">
        <f>#REF!+"vlM!}h"</f>
        <v/>
      </c>
      <c r="DD31">
        <f>#REF!+"vlM!}i"</f>
        <v/>
      </c>
      <c r="DE31">
        <f>#REF!+"vlM!}j"</f>
        <v/>
      </c>
      <c r="DF31">
        <f>#REF!+"vlM!}k"</f>
        <v/>
      </c>
      <c r="DG31">
        <f>#REF!+"vlM!}l"</f>
        <v/>
      </c>
      <c r="DH31">
        <f>#REF!+"vlM!}m"</f>
        <v/>
      </c>
      <c r="DI31">
        <f>#REF!+"vlM!}n"</f>
        <v/>
      </c>
      <c r="DJ31">
        <f>#REF!+"vlM!}o"</f>
        <v/>
      </c>
      <c r="DK31">
        <f>#REF!+"vlM!}p"</f>
        <v/>
      </c>
      <c r="DL31">
        <f>#REF!+"vlM!}q"</f>
        <v/>
      </c>
      <c r="DM31">
        <f>#REF!+"vlM!}r"</f>
        <v/>
      </c>
      <c r="DN31">
        <f>#REF!+"vlM!}s"</f>
        <v/>
      </c>
      <c r="DO31">
        <f>#REF!+"vlM!}t"</f>
        <v/>
      </c>
      <c r="DP31" s="1">
        <f>#REF!+"vlM!}u"</f>
        <v/>
      </c>
      <c r="DQ31">
        <f>#REF!+"vlM!}v"</f>
        <v/>
      </c>
      <c r="DR31">
        <f>#REF!+"vlM!}w"</f>
        <v/>
      </c>
      <c r="DS31">
        <f>#REF!+"vlM!}x"</f>
        <v/>
      </c>
      <c r="DT31">
        <f>#REF!+"vlM!}y"</f>
        <v/>
      </c>
      <c r="DU31">
        <f>#REF!+"vlM!}z"</f>
        <v/>
      </c>
      <c r="DV31">
        <f>#REF!+"vlM!}{"</f>
        <v/>
      </c>
      <c r="DW31">
        <f>#REF!+"vlM!}|"</f>
        <v/>
      </c>
      <c r="DX31">
        <f>#REF!+"vlM!}}"</f>
        <v/>
      </c>
      <c r="DY31">
        <f>#REF!+"vlM!}~"</f>
        <v/>
      </c>
      <c r="DZ31">
        <f>#REF!+"vlM!~#"</f>
        <v/>
      </c>
      <c r="EA31">
        <f>#REF!+"vlM!~$"</f>
        <v/>
      </c>
      <c r="EB31">
        <f>#REF!+"vlM!~%"</f>
        <v/>
      </c>
      <c r="EC31">
        <f>#REF!+"vlM!~&amp;"</f>
        <v/>
      </c>
      <c r="ED31">
        <f>#REF!+"vlM!~'"</f>
        <v/>
      </c>
      <c r="EE31" s="1">
        <f>#REF!+"vlM!~("</f>
        <v/>
      </c>
      <c r="EF31">
        <f>#REF!+"vlM!~)"</f>
        <v/>
      </c>
      <c r="EG31">
        <f>#REF!+"vlM!~."</f>
        <v/>
      </c>
      <c r="EH31">
        <f>#REF!+"vlM!~/"</f>
        <v/>
      </c>
      <c r="EI31">
        <f>#REF!+"vlM!~0"</f>
        <v/>
      </c>
      <c r="EJ31">
        <f>#REF!+"vlM!~1"</f>
        <v/>
      </c>
      <c r="EK31">
        <f>#REF!+"vlM!~2"</f>
        <v/>
      </c>
      <c r="EL31">
        <f>#REF!+"vlM!~3"</f>
        <v/>
      </c>
      <c r="EM31">
        <f>#REF!+"vlM!~4"</f>
        <v/>
      </c>
      <c r="EN31">
        <f>#REF!+"vlM!~5"</f>
        <v/>
      </c>
      <c r="EO31">
        <f>#REF!+"vlM!~6"</f>
        <v/>
      </c>
      <c r="EP31">
        <f>#REF!+"vlM!~7"</f>
        <v/>
      </c>
      <c r="EQ31">
        <f>#REF!+"vlM!~8"</f>
        <v/>
      </c>
      <c r="ER31">
        <f>#REF!+"vlM!~9"</f>
        <v/>
      </c>
      <c r="ES31">
        <f>#REF!+"vlM!~:"</f>
        <v/>
      </c>
      <c r="ET31" s="1">
        <f>#REF!+"vlM!~;"</f>
        <v/>
      </c>
      <c r="EU31">
        <f>#REF!+"vlM!~&lt;"</f>
        <v/>
      </c>
      <c r="EV31">
        <f>#REF!+"vlM!~="</f>
        <v/>
      </c>
      <c r="EW31">
        <f>#REF!+"vlM!~&gt;"</f>
        <v/>
      </c>
      <c r="EX31">
        <f>#REF!+"vlM!~?"</f>
        <v/>
      </c>
      <c r="EY31">
        <f>#REF!+"vlM!~@"</f>
        <v/>
      </c>
      <c r="EZ31">
        <f>#REF!+"vlM!~A"</f>
        <v/>
      </c>
      <c r="FA31">
        <f>#REF!+"vlM!~B"</f>
        <v/>
      </c>
      <c r="FB31">
        <f>#REF!+"vlM!~C"</f>
        <v/>
      </c>
      <c r="FC31">
        <f>#REF!+"vlM!~D"</f>
        <v/>
      </c>
      <c r="FD31">
        <f>#REF!+"vlM!~E"</f>
        <v/>
      </c>
      <c r="FE31">
        <f>#REF!+"vlM!~F"</f>
        <v/>
      </c>
      <c r="FF31">
        <f>#REF!+"vlM!~G"</f>
        <v/>
      </c>
      <c r="FG31">
        <f>#REF!+"vlM!~H"</f>
        <v/>
      </c>
      <c r="FH31">
        <f>#REF!+"vlM!~I"</f>
        <v/>
      </c>
      <c r="FI31" s="1">
        <f>#REF!+"vlM!~J"</f>
        <v/>
      </c>
      <c r="FJ31">
        <f>#REF!+"vlM!~K"</f>
        <v/>
      </c>
      <c r="FK31">
        <f>#REF!+"vlM!~L"</f>
        <v/>
      </c>
      <c r="FL31">
        <f>#REF!+"vlM!~M"</f>
        <v/>
      </c>
      <c r="FM31">
        <f>#REF!+"vlM!~N"</f>
        <v/>
      </c>
      <c r="FN31">
        <f>#REF!+"vlM!~O"</f>
        <v/>
      </c>
      <c r="FO31">
        <f>#REF!+"vlM!~P"</f>
        <v/>
      </c>
      <c r="FP31">
        <f>#REF!+"vlM!~Q"</f>
        <v/>
      </c>
      <c r="FQ31">
        <f>#REF!+"vlM!~R"</f>
        <v/>
      </c>
      <c r="FR31">
        <f>#REF!+"vlM!~S"</f>
        <v/>
      </c>
      <c r="FS31">
        <f>#REF!+"vlM!~T"</f>
        <v/>
      </c>
      <c r="FT31">
        <f>#REF!+"vlM!~U"</f>
        <v/>
      </c>
      <c r="FU31">
        <f>#REF!+"vlM!~V"</f>
        <v/>
      </c>
      <c r="FV31">
        <f>#REF!+"vlM!~W"</f>
        <v/>
      </c>
      <c r="FW31">
        <f>#REF!+"vlM!~X"</f>
        <v/>
      </c>
      <c r="FX31" s="1">
        <f>#REF!+"vlM!~Y"</f>
        <v/>
      </c>
      <c r="FY31">
        <f>#REF!+"vlM!~Z"</f>
        <v/>
      </c>
      <c r="FZ31">
        <f>#REF!+"vlM!~["</f>
        <v/>
      </c>
      <c r="GA31">
        <f>#REF!+"vlM!~\"</f>
        <v/>
      </c>
      <c r="GB31">
        <f>#REF!+"vlM!~]"</f>
        <v/>
      </c>
      <c r="GC31">
        <f>#REF!+"vlM!~^"</f>
        <v/>
      </c>
      <c r="GD31">
        <f>#REF!+"vlM!~_"</f>
        <v/>
      </c>
      <c r="GE31">
        <f>#REF!+"vlM!~`"</f>
        <v/>
      </c>
      <c r="GF31">
        <f>#REF!+"vlM!~a"</f>
        <v/>
      </c>
      <c r="GG31">
        <f>#REF!+"vlM!~b"</f>
        <v/>
      </c>
      <c r="GH31">
        <f>#REF!+"vlM!~c"</f>
        <v/>
      </c>
      <c r="GI31">
        <f>#REF!+"vlM!~d"</f>
        <v/>
      </c>
      <c r="GJ31">
        <f>#REF!+"vlM!~e"</f>
        <v/>
      </c>
      <c r="GK31">
        <f>#REF!+"vlM!~f"</f>
        <v/>
      </c>
      <c r="GL31">
        <f>#REF!+"vlM!~g"</f>
        <v/>
      </c>
      <c r="GM31" s="1">
        <f>#REF!+"vlM!~h"</f>
        <v/>
      </c>
      <c r="GN31">
        <f>#REF!+"vlM!~i"</f>
        <v/>
      </c>
      <c r="GO31">
        <f>#REF!+"vlM!~j"</f>
        <v/>
      </c>
      <c r="GP31">
        <f>#REF!+"vlM!~k"</f>
        <v/>
      </c>
      <c r="GQ31">
        <f>#REF!+"vlM!~l"</f>
        <v/>
      </c>
      <c r="GR31">
        <f>#REF!+"vlM!~m"</f>
        <v/>
      </c>
      <c r="GS31">
        <f>#REF!+"vlM!~n"</f>
        <v/>
      </c>
      <c r="GT31">
        <f>#REF!+"vlM!~o"</f>
        <v/>
      </c>
      <c r="GU31">
        <f>#REF!+"vlM!~p"</f>
        <v/>
      </c>
      <c r="GV31">
        <f>#REF!+"vlM!~q"</f>
        <v/>
      </c>
      <c r="GW31">
        <f>#REF!+"vlM!~r"</f>
        <v/>
      </c>
      <c r="GX31">
        <f>#REF!+"vlM!~s"</f>
        <v/>
      </c>
      <c r="GY31">
        <f>#REF!+"vlM!~t"</f>
        <v/>
      </c>
      <c r="GZ31">
        <f>#REF!+"vlM!~u"</f>
        <v/>
      </c>
      <c r="HA31">
        <f>#REF!+"vlM!~v"</f>
        <v/>
      </c>
      <c r="HB31" s="1">
        <f>#REF!+"vlM!~w"</f>
        <v/>
      </c>
      <c r="HC31">
        <f>#REF!+"vlM!~x"</f>
        <v/>
      </c>
      <c r="HD31">
        <f>#REF!+"vlM!~y"</f>
        <v/>
      </c>
      <c r="HE31">
        <f>#REF!+"vlM!~z"</f>
        <v/>
      </c>
      <c r="HF31">
        <f>#REF!+"vlM!~{"</f>
        <v/>
      </c>
      <c r="HG31">
        <f>#REF!+"vlM!~|"</f>
        <v/>
      </c>
      <c r="HH31">
        <f>#REF!+"vlM!~}"</f>
        <v/>
      </c>
      <c r="HI31">
        <f>#REF!+"vlM!~~"</f>
        <v/>
      </c>
      <c r="HJ31">
        <f>#REF!+"vlM!$##"</f>
        <v/>
      </c>
      <c r="HK31">
        <f>#REF!+"vlM!$#$"</f>
        <v/>
      </c>
      <c r="HL31">
        <f>#REF!+"vlM!$#%"</f>
        <v/>
      </c>
      <c r="HM31">
        <f>#REF!+"vlM!$#&amp;"</f>
        <v/>
      </c>
      <c r="HN31">
        <f>#REF!+"vlM!$#'"</f>
        <v/>
      </c>
      <c r="HO31">
        <f>#REF!+"vlM!$#("</f>
        <v/>
      </c>
      <c r="HP31">
        <f>#REF!+"vlM!$#)"</f>
        <v/>
      </c>
      <c r="HQ31" s="1">
        <f>#REF!+"vlM!$#."</f>
        <v/>
      </c>
      <c r="HR31">
        <f>#REF!+"vlM!$#/"</f>
        <v/>
      </c>
      <c r="HS31">
        <f>#REF!+"vlM!$#0"</f>
        <v/>
      </c>
      <c r="HT31">
        <f>#REF!+"vlM!$#1"</f>
        <v/>
      </c>
      <c r="HU31">
        <f>#REF!+"vlM!$#2"</f>
        <v/>
      </c>
      <c r="HV31">
        <f>#REF!+"vlM!$#3"</f>
        <v/>
      </c>
      <c r="HW31">
        <f>#REF!+"vlM!$#4"</f>
        <v/>
      </c>
      <c r="HX31">
        <f>#REF!+"vlM!$#5"</f>
        <v/>
      </c>
      <c r="HY31">
        <f>#REF!+"vlM!$#6"</f>
        <v/>
      </c>
      <c r="HZ31">
        <f>#REF!+"vlM!$#7"</f>
        <v/>
      </c>
      <c r="IA31">
        <f>#REF!+"vlM!$#8"</f>
        <v/>
      </c>
      <c r="IB31">
        <f>#REF!+"vlM!$#9"</f>
        <v/>
      </c>
      <c r="IC31">
        <f>#REF!+"vlM!$#:"</f>
        <v/>
      </c>
      <c r="ID31">
        <f>#REF!+"vlM!$#;"</f>
        <v/>
      </c>
      <c r="IE31">
        <f>#REF!+"vlM!$#&lt;"</f>
        <v/>
      </c>
      <c r="IF31" s="1">
        <f>#REF!+"vlM!$#="</f>
        <v/>
      </c>
      <c r="IG31">
        <f>#REF!+"vlM!$#&gt;"</f>
        <v/>
      </c>
      <c r="IH31">
        <f>#REF!+"vlM!$#?"</f>
        <v/>
      </c>
      <c r="II31">
        <f>#REF!+"vlM!$#@"</f>
        <v/>
      </c>
      <c r="IJ31">
        <f>#REF!+"vlM!$#A"</f>
        <v/>
      </c>
      <c r="IK31">
        <f>#REF!+"vlM!$#B"</f>
        <v/>
      </c>
      <c r="IL31">
        <f>#REF!+"vlM!$#C"</f>
        <v/>
      </c>
      <c r="IM31">
        <f>#REF!+"vlM!$#D"</f>
        <v/>
      </c>
      <c r="IN31">
        <f>#REF!+"vlM!$#E"</f>
        <v/>
      </c>
      <c r="IO31">
        <f>#REF!+"vlM!$#F"</f>
        <v/>
      </c>
      <c r="IP31">
        <f>#REF!+"vlM!$#G"</f>
        <v/>
      </c>
      <c r="IQ31">
        <f>#REF!+"vlM!$#H"</f>
        <v/>
      </c>
      <c r="IR31">
        <f>#REF!+"vlM!$#I"</f>
        <v/>
      </c>
      <c r="IS31">
        <f>#REF!+"vlM!$#J"</f>
        <v/>
      </c>
      <c r="IT31">
        <f>#REF!+"vlM!$#K"</f>
        <v/>
      </c>
      <c r="IU31" s="1">
        <f>#REF!+"vlM!$#L"</f>
        <v/>
      </c>
      <c r="IV31">
        <f>#REF!+"vlM!$#M"</f>
        <v/>
      </c>
    </row>
    <row r="32">
      <c r="F32">
        <f>#REF!+"vlM!$#N"</f>
        <v/>
      </c>
      <c r="G32">
        <f>#REF!+"vlM!$#O"</f>
        <v/>
      </c>
      <c r="H32">
        <f>#REF!+"vlM!$#P"</f>
        <v/>
      </c>
      <c r="I32">
        <f>#REF!+"vlM!$#Q"</f>
        <v/>
      </c>
      <c r="J32">
        <f>#REF!+"vlM!$#R"</f>
        <v/>
      </c>
      <c r="K32">
        <f>#REF!+"vlM!$#S"</f>
        <v/>
      </c>
      <c r="L32">
        <f>#REF!+"vlM!$#T"</f>
        <v/>
      </c>
      <c r="M32">
        <f>#REF!+"vlM!$#U"</f>
        <v/>
      </c>
      <c r="N32">
        <f>#REF!+"vlM!$#V"</f>
        <v/>
      </c>
      <c r="O32">
        <f>#REF!+"vlM!$#W"</f>
        <v/>
      </c>
      <c r="P32">
        <f>#REF!+"vlM!$#X"</f>
        <v/>
      </c>
      <c r="Q32">
        <f>#REF!+"vlM!$#Y"</f>
        <v/>
      </c>
      <c r="R32">
        <f>#REF!+"vlM!$#Z"</f>
        <v/>
      </c>
      <c r="S32" s="1">
        <f>#REF!+"vlM!$#["</f>
        <v/>
      </c>
      <c r="T32">
        <f>#REF!+"vlM!$#\"</f>
        <v/>
      </c>
      <c r="U32">
        <f>#REF!+"vlM!$#]"</f>
        <v/>
      </c>
      <c r="V32">
        <f>#REF!+"vlM!$#^"</f>
        <v/>
      </c>
      <c r="W32">
        <f>#REF!+"vlM!$#_"</f>
        <v/>
      </c>
      <c r="X32">
        <f>#REF!+"vlM!$#`"</f>
        <v/>
      </c>
      <c r="Y32">
        <f>#REF!+"vlM!$#a"</f>
        <v/>
      </c>
      <c r="Z32">
        <f>#REF!+"vlM!$#b"</f>
        <v/>
      </c>
      <c r="AA32">
        <f>#REF!+"vlM!$#c"</f>
        <v/>
      </c>
      <c r="AB32">
        <f>#REF!+"vlM!$#d"</f>
        <v/>
      </c>
      <c r="AC32">
        <f>#REF!+"vlM!$#e"</f>
        <v/>
      </c>
      <c r="AD32">
        <f>#REF!+"vlM!$#f"</f>
        <v/>
      </c>
      <c r="AE32">
        <f>#REF!+"vlM!$#g"</f>
        <v/>
      </c>
      <c r="AF32">
        <f>#REF!+"vlM!$#h"</f>
        <v/>
      </c>
      <c r="AG32">
        <f>#REF!+"vlM!$#i"</f>
        <v/>
      </c>
      <c r="AH32" s="1">
        <f>#REF!+"vlM!$#j"</f>
        <v/>
      </c>
      <c r="AI32">
        <f>#REF!+"vlM!$#k"</f>
        <v/>
      </c>
      <c r="AJ32">
        <f>#REF!+"vlM!$#l"</f>
        <v/>
      </c>
      <c r="AK32">
        <f>#REF!+"vlM!$#m"</f>
        <v/>
      </c>
      <c r="AL32">
        <f>#REF!+"vlM!$#n"</f>
        <v/>
      </c>
      <c r="AM32">
        <f>#REF!+"vlM!$#o"</f>
        <v/>
      </c>
      <c r="AN32">
        <f>#REF!+"vlM!$#p"</f>
        <v/>
      </c>
      <c r="AO32">
        <f>#REF!+"vlM!$#q"</f>
        <v/>
      </c>
      <c r="AP32">
        <f>#REF!+"vlM!$#r"</f>
        <v/>
      </c>
      <c r="AQ32">
        <f>#REF!+"vlM!$#s"</f>
        <v/>
      </c>
      <c r="AR32">
        <f>#REF!+"vlM!$#t"</f>
        <v/>
      </c>
      <c r="AS32">
        <f>#REF!+"vlM!$#u"</f>
        <v/>
      </c>
      <c r="AT32">
        <f>#REF!+"vlM!$#v"</f>
        <v/>
      </c>
      <c r="AU32">
        <f>#REF!+"vlM!$#w"</f>
        <v/>
      </c>
      <c r="AV32">
        <f>#REF!+"vlM!$#x"</f>
        <v/>
      </c>
      <c r="AW32" s="1">
        <f>#REF!+"vlM!$#y"</f>
        <v/>
      </c>
      <c r="AX32">
        <f>#REF!+"vlM!$#z"</f>
        <v/>
      </c>
      <c r="AY32">
        <f>#REF!+"vlM!$#{"</f>
        <v/>
      </c>
      <c r="AZ32">
        <f>#REF!+"vlM!$#|"</f>
        <v/>
      </c>
      <c r="BA32">
        <f>#REF!+"vlM!$#}"</f>
        <v/>
      </c>
      <c r="BB32">
        <f>#REF!+"vlM!$#~"</f>
        <v/>
      </c>
      <c r="BC32">
        <f>#REF!+"vlM!$$#"</f>
        <v/>
      </c>
      <c r="BD32">
        <f>#REF!+"vlM!$$$"</f>
        <v/>
      </c>
      <c r="BE32">
        <f>#REF!+"vlM!$$%"</f>
        <v/>
      </c>
      <c r="BF32">
        <f>#REF!+"vlM!$$&amp;"</f>
        <v/>
      </c>
      <c r="BG32">
        <f>#REF!+"vlM!$$'"</f>
        <v/>
      </c>
      <c r="BH32">
        <f>#REF!+"vlM!$$("</f>
        <v/>
      </c>
      <c r="BI32">
        <f>#REF!+"vlM!$$)"</f>
        <v/>
      </c>
      <c r="BJ32">
        <f>#REF!+"vlM!$$."</f>
        <v/>
      </c>
      <c r="BK32">
        <f>#REF!+"vlM!$$/"</f>
        <v/>
      </c>
      <c r="BL32" s="1">
        <f>#REF!+"vlM!$$0"</f>
        <v/>
      </c>
      <c r="BM32">
        <f>#REF!+"vlM!$$1"</f>
        <v/>
      </c>
      <c r="BN32">
        <f>#REF!+"vlM!$$2"</f>
        <v/>
      </c>
      <c r="BO32">
        <f>#REF!+"vlM!$$3"</f>
        <v/>
      </c>
      <c r="BP32">
        <f>#REF!+"vlM!$$4"</f>
        <v/>
      </c>
      <c r="BQ32">
        <f>#REF!+"vlM!$$5"</f>
        <v/>
      </c>
      <c r="BR32">
        <f>#REF!+"vlM!$$6"</f>
        <v/>
      </c>
      <c r="BS32">
        <f>#REF!+"vlM!$$7"</f>
        <v/>
      </c>
      <c r="BT32">
        <f>#REF!+"vlM!$$8"</f>
        <v/>
      </c>
      <c r="BU32">
        <f>#REF!+"vlM!$$9"</f>
        <v/>
      </c>
      <c r="BV32">
        <f>#REF!+"vlM!$$:"</f>
        <v/>
      </c>
      <c r="BW32">
        <f>#REF!+"vlM!$$;"</f>
        <v/>
      </c>
      <c r="BX32">
        <f>#REF!+"vlM!$$&lt;"</f>
        <v/>
      </c>
      <c r="BY32">
        <f>#REF!+"vlM!$$="</f>
        <v/>
      </c>
      <c r="BZ32">
        <f>#REF!+"vlM!$$&gt;"</f>
        <v/>
      </c>
      <c r="CA32" s="1">
        <f>#REF!+"vlM!$$?"</f>
        <v/>
      </c>
      <c r="CB32">
        <f>#REF!+"vlM!$$@"</f>
        <v/>
      </c>
      <c r="CC32">
        <f>#REF!+"vlM!$$A"</f>
        <v/>
      </c>
      <c r="CD32">
        <f>#REF!+"vlM!$$B"</f>
        <v/>
      </c>
      <c r="CE32">
        <f>#REF!+"vlM!$$C"</f>
        <v/>
      </c>
      <c r="CF32">
        <f>#REF!+"vlM!$$D"</f>
        <v/>
      </c>
      <c r="CG32">
        <f>#REF!+"vlM!$$E"</f>
        <v/>
      </c>
      <c r="CH32">
        <f>#REF!+"vlM!$$F"</f>
        <v/>
      </c>
      <c r="CI32">
        <f>#REF!+"vlM!$$G"</f>
        <v/>
      </c>
      <c r="CJ32">
        <f>#REF!+"vlM!$$H"</f>
        <v/>
      </c>
      <c r="CK32">
        <f>#REF!+"vlM!$$I"</f>
        <v/>
      </c>
      <c r="CL32">
        <f>#REF!+"vlM!$$J"</f>
        <v/>
      </c>
      <c r="CM32">
        <f>#REF!+"vlM!$$K"</f>
        <v/>
      </c>
      <c r="CN32">
        <f>#REF!+"vlM!$$L"</f>
        <v/>
      </c>
      <c r="CO32">
        <f>#REF!+"vlM!$$M"</f>
        <v/>
      </c>
      <c r="CP32" s="1">
        <f>#REF!+"vlM!$$N"</f>
        <v/>
      </c>
      <c r="CQ32">
        <f>#REF!+"vlM!$$O"</f>
        <v/>
      </c>
      <c r="CR32">
        <f>#REF!+"vlM!$$P"</f>
        <v/>
      </c>
      <c r="CS32">
        <f>#REF!+"vlM!$$Q"</f>
        <v/>
      </c>
      <c r="CT32">
        <f>#REF!+"vlM!$$R"</f>
        <v/>
      </c>
      <c r="CU32">
        <f>#REF!+"vlM!$$S"</f>
        <v/>
      </c>
      <c r="CV32">
        <f>#REF!+"vlM!$$T"</f>
        <v/>
      </c>
      <c r="CW32">
        <f>#REF!+"vlM!$$U"</f>
        <v/>
      </c>
      <c r="CX32">
        <f>#REF!+"vlM!$$V"</f>
        <v/>
      </c>
      <c r="CY32">
        <f>#REF!+"vlM!$$W"</f>
        <v/>
      </c>
      <c r="CZ32">
        <f>#REF!+"vlM!$$X"</f>
        <v/>
      </c>
      <c r="DA32">
        <f>#REF!+"vlM!$$Y"</f>
        <v/>
      </c>
      <c r="DB32">
        <f>#REF!+"vlM!$$Z"</f>
        <v/>
      </c>
      <c r="DC32">
        <f>#REF!+"vlM!$$["</f>
        <v/>
      </c>
      <c r="DD32">
        <f>#REF!+"vlM!$$\"</f>
        <v/>
      </c>
      <c r="DE32" s="1">
        <f>#REF!+"vlM!$$]"</f>
        <v/>
      </c>
      <c r="DF32">
        <f>#REF!+"vlM!$$^"</f>
        <v/>
      </c>
      <c r="DG32">
        <f>#REF!+"vlM!$$_"</f>
        <v/>
      </c>
      <c r="DH32">
        <f>#REF!+"vlM!$$`"</f>
        <v/>
      </c>
      <c r="DI32">
        <f>#REF!+"vlM!$$a"</f>
        <v/>
      </c>
      <c r="DJ32">
        <f>#REF!+"vlM!$$b"</f>
        <v/>
      </c>
      <c r="DK32">
        <f>#REF!+"vlM!$$c"</f>
        <v/>
      </c>
      <c r="DL32">
        <f>#REF!+"vlM!$$d"</f>
        <v/>
      </c>
      <c r="DM32">
        <f>#REF!+"vlM!$$e"</f>
        <v/>
      </c>
      <c r="DN32">
        <f>#REF!+"vlM!$$f"</f>
        <v/>
      </c>
      <c r="DO32">
        <f>#REF!+"vlM!$$g"</f>
        <v/>
      </c>
      <c r="DP32">
        <f>#REF!+"vlM!$$h"</f>
        <v/>
      </c>
      <c r="DQ32">
        <f>#REF!+"vlM!$$i"</f>
        <v/>
      </c>
      <c r="DR32">
        <f>#REF!+"vlM!$$j"</f>
        <v/>
      </c>
      <c r="DS32">
        <f>#REF!+"vlM!$$k"</f>
        <v/>
      </c>
      <c r="DT32" s="1">
        <f>#REF!+"vlM!$$l"</f>
        <v/>
      </c>
      <c r="DU32">
        <f>#REF!+"vlM!$$m"</f>
        <v/>
      </c>
      <c r="DV32">
        <f>#REF!+"vlM!$$n"</f>
        <v/>
      </c>
      <c r="DW32">
        <f>#REF!+"vlM!$$o"</f>
        <v/>
      </c>
      <c r="DX32">
        <f>#REF!+"vlM!$$p"</f>
        <v/>
      </c>
      <c r="DY32">
        <f>#REF!+"vlM!$$q"</f>
        <v/>
      </c>
      <c r="DZ32">
        <f>#REF!+"vlM!$$r"</f>
        <v/>
      </c>
      <c r="EA32">
        <f>#REF!+"vlM!$$s"</f>
        <v/>
      </c>
      <c r="EB32">
        <f>#REF!+"vlM!$$t"</f>
        <v/>
      </c>
      <c r="EC32">
        <f>#REF!+"vlM!$$u"</f>
        <v/>
      </c>
      <c r="ED32">
        <f>#REF!+"vlM!$$v"</f>
        <v/>
      </c>
      <c r="EE32">
        <f>#REF!+"vlM!$$w"</f>
        <v/>
      </c>
      <c r="EF32">
        <f>#REF!+"vlM!$$x"</f>
        <v/>
      </c>
      <c r="EG32">
        <f>#REF!+"vlM!$$y"</f>
        <v/>
      </c>
      <c r="EH32">
        <f>#REF!+"vlM!$$z"</f>
        <v/>
      </c>
      <c r="EI32" s="1">
        <f>#REF!+"vlM!$${"</f>
        <v/>
      </c>
      <c r="EJ32">
        <f>#REF!+"vlM!$$|"</f>
        <v/>
      </c>
      <c r="EK32">
        <f>#REF!+"vlM!$$}"</f>
        <v/>
      </c>
      <c r="EL32">
        <f>#REF!+"vlM!$$~"</f>
        <v/>
      </c>
      <c r="EM32">
        <f>#REF!+"vlM!$%#"</f>
        <v/>
      </c>
      <c r="EN32">
        <f>#REF!+"vlM!$%$"</f>
        <v/>
      </c>
      <c r="EO32">
        <f>#REF!+"vlM!$%%"</f>
        <v/>
      </c>
      <c r="EP32">
        <f>#REF!+"vlM!$%&amp;"</f>
        <v/>
      </c>
      <c r="EQ32">
        <f>#REF!+"vlM!$%'"</f>
        <v/>
      </c>
      <c r="ER32">
        <f>#REF!+"vlM!$%("</f>
        <v/>
      </c>
      <c r="ES32">
        <f>#REF!+"vlM!$%)"</f>
        <v/>
      </c>
      <c r="ET32">
        <f>#REF!+"vlM!$%."</f>
        <v/>
      </c>
      <c r="EU32">
        <f>#REF!+"vlM!$%/"</f>
        <v/>
      </c>
      <c r="EV32">
        <f>#REF!+"vlM!$%0"</f>
        <v/>
      </c>
      <c r="EW32">
        <f>#REF!+"vlM!$%1"</f>
        <v/>
      </c>
      <c r="EX32" s="1">
        <f>#REF!+"vlM!$%2"</f>
        <v/>
      </c>
      <c r="EY32">
        <f>#REF!+"vlM!$%3"</f>
        <v/>
      </c>
      <c r="EZ32">
        <f>#REF!+"vlM!$%4"</f>
        <v/>
      </c>
      <c r="FA32">
        <f>#REF!+"vlM!$%5"</f>
        <v/>
      </c>
      <c r="FB32">
        <f>#REF!+"vlM!$%6"</f>
        <v/>
      </c>
      <c r="FC32">
        <f>#REF!+"vlM!$%7"</f>
        <v/>
      </c>
      <c r="FD32">
        <f>#REF!+"vlM!$%8"</f>
        <v/>
      </c>
      <c r="FE32">
        <f>#REF!+"vlM!$%9"</f>
        <v/>
      </c>
      <c r="FF32">
        <f>#REF!+"vlM!$%:"</f>
        <v/>
      </c>
      <c r="FG32">
        <f>#REF!+"vlM!$%;"</f>
        <v/>
      </c>
      <c r="FH32">
        <f>#REF!+"vlM!$%&lt;"</f>
        <v/>
      </c>
      <c r="FI32">
        <f>#REF!+"vlM!$%="</f>
        <v/>
      </c>
      <c r="FJ32">
        <f>#REF!+"vlM!$%&gt;"</f>
        <v/>
      </c>
      <c r="FK32">
        <f>#REF!+"vlM!$%?"</f>
        <v/>
      </c>
      <c r="FL32">
        <f>#REF!+"vlM!$%@"</f>
        <v/>
      </c>
      <c r="FM32" s="1">
        <f>#REF!+"vlM!$%A"</f>
        <v/>
      </c>
      <c r="FN32">
        <f>#REF!+"vlM!$%B"</f>
        <v/>
      </c>
      <c r="FO32">
        <f>#REF!+"vlM!$%C"</f>
        <v/>
      </c>
      <c r="FP32">
        <f>#REF!+"vlM!$%D"</f>
        <v/>
      </c>
      <c r="FQ32">
        <f>#REF!+"vlM!$%E"</f>
        <v/>
      </c>
      <c r="FR32">
        <f>#REF!+"vlM!$%F"</f>
        <v/>
      </c>
      <c r="FS32">
        <f>#REF!+"vlM!$%G"</f>
        <v/>
      </c>
      <c r="FT32">
        <f>#REF!+"vlM!$%H"</f>
        <v/>
      </c>
      <c r="FU32">
        <f>#REF!+"vlM!$%I"</f>
        <v/>
      </c>
      <c r="FV32">
        <f>#REF!+"vlM!$%J"</f>
        <v/>
      </c>
      <c r="FW32">
        <f>#REF!+"vlM!$%K"</f>
        <v/>
      </c>
      <c r="FX32">
        <f>#REF!+"vlM!$%L"</f>
        <v/>
      </c>
      <c r="FY32">
        <f>#REF!+"vlM!$%M"</f>
        <v/>
      </c>
      <c r="FZ32">
        <f>#REF!+"vlM!$%N"</f>
        <v/>
      </c>
      <c r="GA32">
        <f>#REF!+"vlM!$%O"</f>
        <v/>
      </c>
      <c r="GB32" s="1">
        <f>#REF!+"vlM!$%P"</f>
        <v/>
      </c>
      <c r="GC32">
        <f>#REF!+"vlM!$%Q"</f>
        <v/>
      </c>
      <c r="GD32">
        <f>#REF!+"vlM!$%R"</f>
        <v/>
      </c>
      <c r="GE32">
        <f>#REF!+"vlM!$%S"</f>
        <v/>
      </c>
      <c r="GF32">
        <f>#REF!+"vlM!$%T"</f>
        <v/>
      </c>
      <c r="GG32">
        <f>#REF!+"vlM!$%U"</f>
        <v/>
      </c>
      <c r="GH32">
        <f>#REF!+"vlM!$%V"</f>
        <v/>
      </c>
      <c r="GI32">
        <f>#REF!+"vlM!$%W"</f>
        <v/>
      </c>
      <c r="GJ32">
        <f>#REF!+"vlM!$%X"</f>
        <v/>
      </c>
      <c r="GK32">
        <f>#REF!+"vlM!$%Y"</f>
        <v/>
      </c>
      <c r="GL32">
        <f>#REF!+"vlM!$%Z"</f>
        <v/>
      </c>
      <c r="GM32">
        <f>#REF!+"vlM!$%["</f>
        <v/>
      </c>
      <c r="GN32">
        <f>#REF!+"vlM!$%\"</f>
        <v/>
      </c>
      <c r="GO32">
        <f>#REF!+"vlM!$%]"</f>
        <v/>
      </c>
      <c r="GP32">
        <f>#REF!+"vlM!$%^"</f>
        <v/>
      </c>
      <c r="GQ32" s="1">
        <f>#REF!+"vlM!$%_"</f>
        <v/>
      </c>
      <c r="GR32">
        <f>#REF!+"vlM!$%`"</f>
        <v/>
      </c>
      <c r="GS32">
        <f>#REF!+"vlM!$%a"</f>
        <v/>
      </c>
      <c r="GT32">
        <f>#REF!+"vlM!$%b"</f>
        <v/>
      </c>
      <c r="GU32">
        <f>#REF!+"vlM!$%c"</f>
        <v/>
      </c>
      <c r="GV32">
        <f>#REF!+"vlM!$%d"</f>
        <v/>
      </c>
      <c r="GW32">
        <f>#REF!+"vlM!$%e"</f>
        <v/>
      </c>
      <c r="GX32">
        <f>#REF!+"vlM!$%f"</f>
        <v/>
      </c>
      <c r="GY32">
        <f>#REF!+"vlM!$%g"</f>
        <v/>
      </c>
      <c r="GZ32">
        <f>#REF!+"vlM!$%h"</f>
        <v/>
      </c>
      <c r="HA32">
        <f>#REF!+"vlM!$%i"</f>
        <v/>
      </c>
      <c r="HB32">
        <f>#REF!+"vlM!$%j"</f>
        <v/>
      </c>
      <c r="HC32">
        <f>#REF!+"vlM!$%k"</f>
        <v/>
      </c>
      <c r="HD32">
        <f>#REF!+"vlM!$%l"</f>
        <v/>
      </c>
      <c r="HE32">
        <f>#REF!+"vlM!$%m"</f>
        <v/>
      </c>
      <c r="HF32" s="1">
        <f>#REF!+"vlM!$%n"</f>
        <v/>
      </c>
      <c r="HG32">
        <f>#REF!+"vlM!$%o"</f>
        <v/>
      </c>
      <c r="HH32">
        <f>#REF!+"vlM!$%p"</f>
        <v/>
      </c>
      <c r="HI32">
        <f>#REF!+"vlM!$%q"</f>
        <v/>
      </c>
      <c r="HJ32">
        <f>#REF!+"vlM!$%r"</f>
        <v/>
      </c>
      <c r="HK32">
        <f>#REF!+"vlM!$%s"</f>
        <v/>
      </c>
      <c r="HL32">
        <f>#REF!+"vlM!$%t"</f>
        <v/>
      </c>
      <c r="HM32">
        <f>#REF!+"vlM!$%u"</f>
        <v/>
      </c>
      <c r="HN32">
        <f>#REF!+"vlM!$%v"</f>
        <v/>
      </c>
      <c r="HO32">
        <f>#REF!+"vlM!$%w"</f>
        <v/>
      </c>
      <c r="HP32">
        <f>#REF!+"vlM!$%x"</f>
        <v/>
      </c>
      <c r="HQ32">
        <f>#REF!+"vlM!$%y"</f>
        <v/>
      </c>
      <c r="HR32">
        <f>#REF!+"vlM!$%z"</f>
        <v/>
      </c>
      <c r="HS32">
        <f>#REF!+"vlM!$%{"</f>
        <v/>
      </c>
      <c r="HT32">
        <f>#REF!+"vlM!$%|"</f>
        <v/>
      </c>
      <c r="HU32" s="1">
        <f>#REF!+"vlM!$%}"</f>
        <v/>
      </c>
      <c r="HV32">
        <f>#REF!+"vlM!$%~"</f>
        <v/>
      </c>
      <c r="HW32">
        <f>#REF!+"vlM!$&amp;#"</f>
        <v/>
      </c>
      <c r="HX32">
        <f>#REF!+"vlM!$&amp;$"</f>
        <v/>
      </c>
      <c r="HY32">
        <f>#REF!+"vlM!$&amp;%"</f>
        <v/>
      </c>
      <c r="HZ32">
        <f>#REF!+"vlM!$&amp;&amp;"</f>
        <v/>
      </c>
      <c r="IA32">
        <f>#REF!+"vlM!$&amp;'"</f>
        <v/>
      </c>
      <c r="IB32">
        <f>#REF!+"vlM!$&amp;("</f>
        <v/>
      </c>
      <c r="IC32">
        <f>#REF!+"vlM!$&amp;)"</f>
        <v/>
      </c>
      <c r="ID32">
        <f>#REF!+"vlM!$&amp;."</f>
        <v/>
      </c>
      <c r="IE32">
        <f>#REF!+"vlM!$&amp;/"</f>
        <v/>
      </c>
      <c r="IF32">
        <f>#REF!+"vlM!$&amp;0"</f>
        <v/>
      </c>
      <c r="IG32">
        <f>#REF!+"vlM!$&amp;1"</f>
        <v/>
      </c>
      <c r="IH32">
        <f>#REF!+"vlM!$&amp;2"</f>
        <v/>
      </c>
      <c r="II32">
        <f>#REF!+"vlM!$&amp;3"</f>
        <v/>
      </c>
      <c r="IJ32" s="1">
        <f>#REF!+"vlM!$&amp;4"</f>
        <v/>
      </c>
      <c r="IK32">
        <f>#REF!+"vlM!$&amp;5"</f>
        <v/>
      </c>
      <c r="IL32">
        <f>#REF!+"vlM!$&amp;6"</f>
        <v/>
      </c>
      <c r="IM32">
        <f>#REF!+"vlM!$&amp;7"</f>
        <v/>
      </c>
      <c r="IN32">
        <f>#REF!+"vlM!$&amp;8"</f>
        <v/>
      </c>
      <c r="IO32">
        <f>#REF!+"vlM!$&amp;9"</f>
        <v/>
      </c>
      <c r="IP32">
        <f>#REF!+"vlM!$&amp;:"</f>
        <v/>
      </c>
      <c r="IQ32">
        <f>#REF!+"vlM!$&amp;;"</f>
        <v/>
      </c>
      <c r="IR32">
        <f>#REF!+"vlM!$&amp;&lt;"</f>
        <v/>
      </c>
      <c r="IS32">
        <f>#REF!+"vlM!$&amp;="</f>
        <v/>
      </c>
      <c r="IT32">
        <f>#REF!+"vlM!$&amp;&gt;"</f>
        <v/>
      </c>
      <c r="IU32">
        <f>#REF!+"vlM!$&amp;?"</f>
        <v/>
      </c>
      <c r="IV32">
        <f>#REF!+"vlM!$&amp;@"</f>
        <v/>
      </c>
    </row>
    <row r="33">
      <c r="F33">
        <f>#REF!+"vlM!$&amp;A"</f>
        <v/>
      </c>
      <c r="G33">
        <f>#REF!+"vlM!$&amp;B"</f>
        <v/>
      </c>
      <c r="H33" s="1">
        <f>#REF!+"vlM!$&amp;C"</f>
        <v/>
      </c>
      <c r="I33">
        <f>#REF!+"vlM!$&amp;D"</f>
        <v/>
      </c>
      <c r="J33">
        <f>#REF!+"vlM!$&amp;E"</f>
        <v/>
      </c>
      <c r="K33">
        <f>#REF!+"vlM!$&amp;F"</f>
        <v/>
      </c>
      <c r="L33">
        <f>#REF!+"vlM!$&amp;G"</f>
        <v/>
      </c>
      <c r="M33">
        <f>#REF!+"vlM!$&amp;H"</f>
        <v/>
      </c>
      <c r="N33">
        <f>#REF!+"vlM!$&amp;I"</f>
        <v/>
      </c>
      <c r="O33">
        <f>#REF!+"vlM!$&amp;J"</f>
        <v/>
      </c>
      <c r="P33">
        <f>#REF!+"vlM!$&amp;K"</f>
        <v/>
      </c>
      <c r="Q33">
        <f>#REF!+"vlM!$&amp;L"</f>
        <v/>
      </c>
      <c r="R33">
        <f>#REF!+"vlM!$&amp;M"</f>
        <v/>
      </c>
      <c r="S33">
        <f>#REF!+"vlM!$&amp;N"</f>
        <v/>
      </c>
      <c r="T33">
        <f>#REF!+"vlM!$&amp;O"</f>
        <v/>
      </c>
      <c r="U33">
        <f>#REF!+"vlM!$&amp;P"</f>
        <v/>
      </c>
      <c r="V33">
        <f>#REF!+"vlM!$&amp;Q"</f>
        <v/>
      </c>
      <c r="W33" s="1">
        <f>#REF!+"vlM!$&amp;R"</f>
        <v/>
      </c>
      <c r="X33">
        <f>#REF!+"vlM!$&amp;S"</f>
        <v/>
      </c>
      <c r="Y33">
        <f>#REF!+"vlM!$&amp;T"</f>
        <v/>
      </c>
      <c r="Z33">
        <f>#REF!+"vlM!$&amp;U"</f>
        <v/>
      </c>
      <c r="AA33">
        <f>#REF!+"vlM!$&amp;V"</f>
        <v/>
      </c>
      <c r="AB33">
        <f>#REF!+"vlM!$&amp;W"</f>
        <v/>
      </c>
      <c r="AC33">
        <f>#REF!+"vlM!$&amp;X"</f>
        <v/>
      </c>
      <c r="AD33">
        <f>#REF!+"vlM!$&amp;Y"</f>
        <v/>
      </c>
      <c r="AE33">
        <f>#REF!+"vlM!$&amp;Z"</f>
        <v/>
      </c>
      <c r="AF33">
        <f>#REF!+"vlM!$&amp;["</f>
        <v/>
      </c>
      <c r="AG33">
        <f>#REF!+"vlM!$&amp;\"</f>
        <v/>
      </c>
      <c r="AH33">
        <f>#REF!+"vlM!$&amp;]"</f>
        <v/>
      </c>
      <c r="AI33">
        <f>#REF!+"vlM!$&amp;^"</f>
        <v/>
      </c>
      <c r="AJ33">
        <f>#REF!+"vlM!$&amp;_"</f>
        <v/>
      </c>
      <c r="AK33">
        <f>#REF!+"vlM!$&amp;`"</f>
        <v/>
      </c>
      <c r="AL33" s="1">
        <f>#REF!+"vlM!$&amp;a"</f>
        <v/>
      </c>
      <c r="AM33">
        <f>#REF!+"vlM!$&amp;b"</f>
        <v/>
      </c>
      <c r="AN33">
        <f>#REF!+"vlM!$&amp;c"</f>
        <v/>
      </c>
      <c r="AO33">
        <f>#REF!+"vlM!$&amp;d"</f>
        <v/>
      </c>
      <c r="AP33">
        <f>#REF!+"vlM!$&amp;e"</f>
        <v/>
      </c>
      <c r="AQ33">
        <f>#REF!+"vlM!$&amp;f"</f>
        <v/>
      </c>
      <c r="AR33">
        <f>#REF!+"vlM!$&amp;g"</f>
        <v/>
      </c>
      <c r="AS33">
        <f>#REF!+"vlM!$&amp;h"</f>
        <v/>
      </c>
      <c r="AT33">
        <f>#REF!+"vlM!$&amp;i"</f>
        <v/>
      </c>
      <c r="AU33">
        <f>#REF!+"vlM!$&amp;j"</f>
        <v/>
      </c>
      <c r="AV33">
        <f>#REF!+"vlM!$&amp;k"</f>
        <v/>
      </c>
      <c r="AW33">
        <f>#REF!+"vlM!$&amp;l"</f>
        <v/>
      </c>
      <c r="AX33">
        <f>#REF!+"vlM!$&amp;m"</f>
        <v/>
      </c>
      <c r="AY33">
        <f>#REF!+"vlM!$&amp;n"</f>
        <v/>
      </c>
      <c r="AZ33">
        <f>#REF!+"vlM!$&amp;o"</f>
        <v/>
      </c>
      <c r="BA33" s="1">
        <f>#REF!+"vlM!$&amp;p"</f>
        <v/>
      </c>
      <c r="BB33">
        <f>#REF!+"vlM!$&amp;q"</f>
        <v/>
      </c>
      <c r="BC33">
        <f>#REF!+"vlM!$&amp;r"</f>
        <v/>
      </c>
      <c r="BD33">
        <f>#REF!+"vlM!$&amp;s"</f>
        <v/>
      </c>
      <c r="BE33">
        <f>#REF!+"vlM!$&amp;t"</f>
        <v/>
      </c>
      <c r="BF33">
        <f>#REF!+"vlM!$&amp;u"</f>
        <v/>
      </c>
      <c r="BG33">
        <f>#REF!+"vlM!$&amp;v"</f>
        <v/>
      </c>
      <c r="BH33">
        <f>#REF!+"vlM!$&amp;w"</f>
        <v/>
      </c>
      <c r="BI33">
        <f>#REF!+"vlM!$&amp;x"</f>
        <v/>
      </c>
      <c r="BJ33">
        <f>#REF!+"vlM!$&amp;y"</f>
        <v/>
      </c>
      <c r="BK33">
        <f>#REF!+"vlM!$&amp;z"</f>
        <v/>
      </c>
      <c r="BL33">
        <f>#REF!+"vlM!$&amp;{"</f>
        <v/>
      </c>
      <c r="BM33">
        <f>#REF!+"vlM!$&amp;|"</f>
        <v/>
      </c>
      <c r="BN33">
        <f>#REF!+"vlM!$&amp;}"</f>
        <v/>
      </c>
      <c r="BO33">
        <f>#REF!+"vlM!$&amp;~"</f>
        <v/>
      </c>
      <c r="BP33" s="1">
        <f>#REF!+"vlM!$'#"</f>
        <v/>
      </c>
      <c r="BQ33">
        <f>#REF!+"vlM!$'$"</f>
        <v/>
      </c>
      <c r="BR33">
        <f>#REF!+"vlM!$'%"</f>
        <v/>
      </c>
      <c r="BS33">
        <f>#REF!+"vlM!$'&amp;"</f>
        <v/>
      </c>
      <c r="BT33">
        <f>#REF!+"vlM!$''"</f>
        <v/>
      </c>
      <c r="BU33">
        <f>#REF!+"vlM!$'("</f>
        <v/>
      </c>
      <c r="BV33">
        <f>#REF!+"vlM!$')"</f>
        <v/>
      </c>
      <c r="BW33">
        <f>#REF!+"vlM!$'."</f>
        <v/>
      </c>
      <c r="BX33">
        <f>#REF!+"vlM!$'/"</f>
        <v/>
      </c>
      <c r="BY33">
        <f>#REF!+"vlM!$'0"</f>
        <v/>
      </c>
      <c r="BZ33">
        <f>#REF!+"vlM!$'1"</f>
        <v/>
      </c>
      <c r="CA33">
        <f>#REF!+"vlM!$'2"</f>
        <v/>
      </c>
      <c r="CB33">
        <f>#REF!+"vlM!$'3"</f>
        <v/>
      </c>
      <c r="CC33">
        <f>#REF!+"vlM!$'4"</f>
        <v/>
      </c>
      <c r="CD33">
        <f>#REF!+"vlM!$'5"</f>
        <v/>
      </c>
      <c r="CE33" s="1">
        <f>#REF!+"vlM!$'6"</f>
        <v/>
      </c>
      <c r="CF33">
        <f>#REF!+"vlM!$'7"</f>
        <v/>
      </c>
      <c r="CG33">
        <f>#REF!+"vlM!$'8"</f>
        <v/>
      </c>
      <c r="CH33">
        <f>#REF!+"vlM!$'9"</f>
        <v/>
      </c>
      <c r="CI33">
        <f>#REF!+"vlM!$':"</f>
        <v/>
      </c>
      <c r="CJ33">
        <f>#REF!+"vlM!$';"</f>
        <v/>
      </c>
      <c r="CK33">
        <f>#REF!+"vlM!$'&lt;"</f>
        <v/>
      </c>
      <c r="CL33">
        <f>#REF!+"vlM!$'="</f>
        <v/>
      </c>
      <c r="CM33">
        <f>#REF!+"vlM!$'&gt;"</f>
        <v/>
      </c>
      <c r="CN33">
        <f>#REF!+"vlM!$'?"</f>
        <v/>
      </c>
      <c r="CO33">
        <f>#REF!+"vlM!$'@"</f>
        <v/>
      </c>
      <c r="CP33">
        <f>#REF!+"vlM!$'A"</f>
        <v/>
      </c>
      <c r="CQ33">
        <f>#REF!+"vlM!$'B"</f>
        <v/>
      </c>
      <c r="CR33">
        <f>#REF!+"vlM!$'C"</f>
        <v/>
      </c>
      <c r="CS33">
        <f>#REF!+"vlM!$'D"</f>
        <v/>
      </c>
      <c r="CT33" s="1">
        <f>#REF!+"vlM!$'E"</f>
        <v/>
      </c>
      <c r="CU33">
        <f>#REF!+"vlM!$'F"</f>
        <v/>
      </c>
      <c r="CV33">
        <f>#REF!+"vlM!$'G"</f>
        <v/>
      </c>
      <c r="CW33">
        <f>#REF!+"vlM!$'H"</f>
        <v/>
      </c>
      <c r="CX33">
        <f>#REF!+"vlM!$'I"</f>
        <v/>
      </c>
      <c r="CY33">
        <f>#REF!+"vlM!$'J"</f>
        <v/>
      </c>
      <c r="CZ33">
        <f>#REF!+"vlM!$'K"</f>
        <v/>
      </c>
      <c r="DA33">
        <f>#REF!+"vlM!$'L"</f>
        <v/>
      </c>
      <c r="DB33">
        <f>#REF!+"vlM!$'M"</f>
        <v/>
      </c>
      <c r="DC33">
        <f>#REF!+"vlM!$'N"</f>
        <v/>
      </c>
      <c r="DD33">
        <f>#REF!+"vlM!$'O"</f>
        <v/>
      </c>
      <c r="DE33">
        <f>#REF!+"vlM!$'P"</f>
        <v/>
      </c>
      <c r="DF33">
        <f>#REF!+"vlM!$'Q"</f>
        <v/>
      </c>
      <c r="DG33">
        <f>#REF!+"vlM!$'R"</f>
        <v/>
      </c>
      <c r="DH33">
        <f>#REF!+"vlM!$'S"</f>
        <v/>
      </c>
      <c r="DI33" s="1">
        <f>#REF!+"vlM!$'T"</f>
        <v/>
      </c>
      <c r="DJ33">
        <f>#REF!+"vlM!$'U"</f>
        <v/>
      </c>
      <c r="DK33">
        <f>#REF!+"vlM!$'V"</f>
        <v/>
      </c>
      <c r="DL33">
        <f>#REF!+"vlM!$'W"</f>
        <v/>
      </c>
      <c r="DM33">
        <f>#REF!+"vlM!$'X"</f>
        <v/>
      </c>
      <c r="DN33">
        <f>#REF!+"vlM!$'Y"</f>
        <v/>
      </c>
      <c r="DO33">
        <f>#REF!+"vlM!$'Z"</f>
        <v/>
      </c>
      <c r="DP33">
        <f>#REF!+"vlM!$'["</f>
        <v/>
      </c>
      <c r="DQ33">
        <f>#REF!+"vlM!$'\"</f>
        <v/>
      </c>
      <c r="DR33">
        <f>#REF!+"vlM!$']"</f>
        <v/>
      </c>
      <c r="DS33">
        <f>#REF!+"vlM!$'^"</f>
        <v/>
      </c>
      <c r="DT33">
        <f>#REF!+"vlM!$'_"</f>
        <v/>
      </c>
      <c r="DU33">
        <f>#REF!+"vlM!$'`"</f>
        <v/>
      </c>
      <c r="DV33">
        <f>#REF!+"vlM!$'a"</f>
        <v/>
      </c>
      <c r="DW33">
        <f>#REF!+"vlM!$'b"</f>
        <v/>
      </c>
      <c r="DX33" s="1">
        <f>#REF!+"vlM!$'c"</f>
        <v/>
      </c>
      <c r="DY33">
        <f>#REF!+"vlM!$'d"</f>
        <v/>
      </c>
      <c r="DZ33">
        <f>#REF!+"vlM!$'e"</f>
        <v/>
      </c>
      <c r="EA33">
        <f>#REF!+"vlM!$'f"</f>
        <v/>
      </c>
      <c r="EB33">
        <f>#REF!+"vlM!$'g"</f>
        <v/>
      </c>
      <c r="EC33">
        <f>#REF!+"vlM!$'h"</f>
        <v/>
      </c>
      <c r="ED33">
        <f>#REF!+"vlM!$'i"</f>
        <v/>
      </c>
      <c r="EE33">
        <f>#REF!+"vlM!$'j"</f>
        <v/>
      </c>
      <c r="EF33">
        <f>#REF!+"vlM!$'k"</f>
        <v/>
      </c>
      <c r="EG33">
        <f>#REF!+"vlM!$'l"</f>
        <v/>
      </c>
      <c r="EH33">
        <f>#REF!+"vlM!$'m"</f>
        <v/>
      </c>
      <c r="EI33">
        <f>#REF!+"vlM!$'n"</f>
        <v/>
      </c>
      <c r="EJ33">
        <f>#REF!+"vlM!$'o"</f>
        <v/>
      </c>
      <c r="EK33">
        <f>#REF!+"vlM!$'p"</f>
        <v/>
      </c>
      <c r="EL33">
        <f>#REF!+"vlM!$'q"</f>
        <v/>
      </c>
      <c r="EM33" s="1">
        <f>#REF!+"vlM!$'r"</f>
        <v/>
      </c>
      <c r="EN33">
        <f>#REF!+"vlM!$'s"</f>
        <v/>
      </c>
      <c r="EO33">
        <f>#REF!+"vlM!$'t"</f>
        <v/>
      </c>
      <c r="EP33">
        <f>#REF!+"vlM!$'u"</f>
        <v/>
      </c>
      <c r="EQ33">
        <f>#REF!+"vlM!$'v"</f>
        <v/>
      </c>
      <c r="ER33">
        <f>#REF!+"vlM!$'w"</f>
        <v/>
      </c>
      <c r="ES33">
        <f>#REF!+"vlM!$'x"</f>
        <v/>
      </c>
      <c r="ET33">
        <f>#REF!+"vlM!$'y"</f>
        <v/>
      </c>
      <c r="EU33">
        <f>#REF!+"vlM!$'z"</f>
        <v/>
      </c>
      <c r="EV33">
        <f>#REF!+"vlM!$'{"</f>
        <v/>
      </c>
      <c r="EW33">
        <f>#REF!+"vlM!$'|"</f>
        <v/>
      </c>
      <c r="EX33">
        <f>#REF!+"vlM!$'}"</f>
        <v/>
      </c>
      <c r="EY33">
        <f>#REF!+"vlM!$'~"</f>
        <v/>
      </c>
      <c r="EZ33">
        <f>#REF!+"vlM!$(#"</f>
        <v/>
      </c>
      <c r="FA33">
        <f>#REF!+"vlM!$($"</f>
        <v/>
      </c>
      <c r="FB33" s="1">
        <f>#REF!+"vlM!$(%"</f>
        <v/>
      </c>
      <c r="FC33">
        <f>#REF!+"vlM!$(&amp;"</f>
        <v/>
      </c>
      <c r="FD33">
        <f>#REF!+"vlM!$('"</f>
        <v/>
      </c>
      <c r="FE33">
        <f>#REF!+"vlM!$(("</f>
        <v/>
      </c>
      <c r="FF33">
        <f>#REF!+"vlM!$()"</f>
        <v/>
      </c>
      <c r="FG33">
        <f>#REF!+"vlM!$(."</f>
        <v/>
      </c>
      <c r="FH33">
        <f>#REF!+"vlM!$(/"</f>
        <v/>
      </c>
      <c r="FI33">
        <f>#REF!+"vlM!$(0"</f>
        <v/>
      </c>
      <c r="FJ33">
        <f>#REF!+"vlM!$(1"</f>
        <v/>
      </c>
      <c r="FK33">
        <f>#REF!+"vlM!$(2"</f>
        <v/>
      </c>
      <c r="FL33">
        <f>#REF!+"vlM!$(3"</f>
        <v/>
      </c>
      <c r="FM33">
        <f>#REF!+"vlM!$(4"</f>
        <v/>
      </c>
      <c r="FN33">
        <f>#REF!+"vlM!$(5"</f>
        <v/>
      </c>
      <c r="FO33">
        <f>#REF!+"vlM!$(6"</f>
        <v/>
      </c>
      <c r="FP33">
        <f>#REF!+"vlM!$(7"</f>
        <v/>
      </c>
      <c r="FQ33" s="1">
        <f>#REF!+"vlM!$(8"</f>
        <v/>
      </c>
      <c r="FR33">
        <f>#REF!+"vlM!$(9"</f>
        <v/>
      </c>
      <c r="FS33">
        <f>#REF!+"vlM!$(:"</f>
        <v/>
      </c>
      <c r="FT33">
        <f>#REF!+"vlM!$(;"</f>
        <v/>
      </c>
      <c r="FU33">
        <f>#REF!+"vlM!$(&lt;"</f>
        <v/>
      </c>
      <c r="FV33">
        <f>#REF!+"vlM!$(="</f>
        <v/>
      </c>
      <c r="FW33">
        <f>#REF!+"vlM!$(&gt;"</f>
        <v/>
      </c>
      <c r="FX33">
        <f>#REF!+"vlM!$(?"</f>
        <v/>
      </c>
      <c r="FY33">
        <f>#REF!+"vlM!$(@"</f>
        <v/>
      </c>
      <c r="FZ33">
        <f>#REF!+"vlM!$(A"</f>
        <v/>
      </c>
      <c r="GA33">
        <f>#REF!+"vlM!$(B"</f>
        <v/>
      </c>
      <c r="GB33">
        <f>#REF!+"vlM!$(C"</f>
        <v/>
      </c>
      <c r="GC33">
        <f>#REF!+"vlM!$(D"</f>
        <v/>
      </c>
      <c r="GD33">
        <f>#REF!+"vlM!$(E"</f>
        <v/>
      </c>
      <c r="GE33">
        <f>#REF!+"vlM!$(F"</f>
        <v/>
      </c>
      <c r="GF33" s="1">
        <f>#REF!+"vlM!$(G"</f>
        <v/>
      </c>
      <c r="GG33">
        <f>#REF!+"vlM!$(H"</f>
        <v/>
      </c>
      <c r="GH33">
        <f>#REF!+"vlM!$(I"</f>
        <v/>
      </c>
      <c r="GI33">
        <f>#REF!+"vlM!$(J"</f>
        <v/>
      </c>
      <c r="GJ33">
        <f>#REF!+"vlM!$(K"</f>
        <v/>
      </c>
      <c r="GK33">
        <f>#REF!+"vlM!$(L"</f>
        <v/>
      </c>
      <c r="GL33">
        <f>#REF!+"vlM!$(M"</f>
        <v/>
      </c>
      <c r="GM33">
        <f>#REF!+"vlM!$(N"</f>
        <v/>
      </c>
      <c r="GN33">
        <f>#REF!+"vlM!$(O"</f>
        <v/>
      </c>
      <c r="GO33">
        <f>#REF!+"vlM!$(P"</f>
        <v/>
      </c>
      <c r="GP33">
        <f>#REF!+"vlM!$(Q"</f>
        <v/>
      </c>
      <c r="GQ33">
        <f>#REF!+"vlM!$(R"</f>
        <v/>
      </c>
      <c r="GR33">
        <f>#REF!+"vlM!$(S"</f>
        <v/>
      </c>
      <c r="GS33">
        <f>#REF!+"vlM!$(T"</f>
        <v/>
      </c>
      <c r="GT33">
        <f>#REF!+"vlM!$(U"</f>
        <v/>
      </c>
      <c r="GU33" s="1">
        <f>#REF!+"vlM!$(V"</f>
        <v/>
      </c>
      <c r="GV33">
        <f>#REF!+"vlM!$(W"</f>
        <v/>
      </c>
      <c r="GW33">
        <f>#REF!+"vlM!$(X"</f>
        <v/>
      </c>
      <c r="GX33">
        <f>#REF!+"vlM!$(Y"</f>
        <v/>
      </c>
      <c r="GY33">
        <f>#REF!+"vlM!$(Z"</f>
        <v/>
      </c>
      <c r="GZ33">
        <f>#REF!+"vlM!$(["</f>
        <v/>
      </c>
      <c r="HA33">
        <f>#REF!+"vlM!$(\"</f>
        <v/>
      </c>
      <c r="HB33">
        <f>#REF!+"vlM!$(]"</f>
        <v/>
      </c>
      <c r="HC33">
        <f>#REF!+"vlM!$(^"</f>
        <v/>
      </c>
      <c r="HD33">
        <f>#REF!+"vlM!$(_"</f>
        <v/>
      </c>
      <c r="HE33">
        <f>#REF!+"vlM!$(`"</f>
        <v/>
      </c>
      <c r="HF33">
        <f>#REF!+"vlM!$(a"</f>
        <v/>
      </c>
      <c r="HG33">
        <f>#REF!+"vlM!$(b"</f>
        <v/>
      </c>
      <c r="HH33">
        <f>#REF!+"vlM!$(c"</f>
        <v/>
      </c>
      <c r="HI33">
        <f>#REF!+"vlM!$(d"</f>
        <v/>
      </c>
      <c r="HJ33" s="1">
        <f>#REF!+"vlM!$(e"</f>
        <v/>
      </c>
      <c r="HK33">
        <f>#REF!+"vlM!$(f"</f>
        <v/>
      </c>
      <c r="HL33">
        <f>#REF!+"vlM!$(g"</f>
        <v/>
      </c>
      <c r="HM33">
        <f>#REF!+"vlM!$(h"</f>
        <v/>
      </c>
      <c r="HN33">
        <f>#REF!+"vlM!$(i"</f>
        <v/>
      </c>
      <c r="HO33">
        <f>#REF!+"vlM!$(j"</f>
        <v/>
      </c>
      <c r="HP33">
        <f>#REF!+"vlM!$(k"</f>
        <v/>
      </c>
      <c r="HQ33">
        <f>#REF!+"vlM!$(l"</f>
        <v/>
      </c>
      <c r="HR33">
        <f>#REF!+"vlM!$(m"</f>
        <v/>
      </c>
      <c r="HS33">
        <f>#REF!+"vlM!$(n"</f>
        <v/>
      </c>
      <c r="HT33">
        <f>#REF!+"vlM!$(o"</f>
        <v/>
      </c>
      <c r="HU33">
        <f>#REF!+"vlM!$(p"</f>
        <v/>
      </c>
      <c r="HV33">
        <f>#REF!+"vlM!$(q"</f>
        <v/>
      </c>
      <c r="HW33">
        <f>#REF!+"vlM!$(r"</f>
        <v/>
      </c>
      <c r="HX33">
        <f>#REF!+"vlM!$(s"</f>
        <v/>
      </c>
      <c r="HY33" s="1">
        <f>#REF!+"vlM!$(t"</f>
        <v/>
      </c>
      <c r="HZ33">
        <f>#REF!+"vlM!$(u"</f>
        <v/>
      </c>
      <c r="IA33">
        <f>#REF!+"vlM!$(v"</f>
        <v/>
      </c>
      <c r="IB33">
        <f>#REF!+"vlM!$(w"</f>
        <v/>
      </c>
      <c r="IC33">
        <f>#REF!+"vlM!$(x"</f>
        <v/>
      </c>
      <c r="ID33">
        <f>#REF!+"vlM!$(y"</f>
        <v/>
      </c>
      <c r="IE33">
        <f>#REF!+"vlM!$(z"</f>
        <v/>
      </c>
      <c r="IF33">
        <f>#REF!+"vlM!$({"</f>
        <v/>
      </c>
      <c r="IG33">
        <f>#REF!+"vlM!$(|"</f>
        <v/>
      </c>
      <c r="IH33">
        <f>#REF!+"vlM!$(}"</f>
        <v/>
      </c>
      <c r="II33">
        <f>#REF!+"vlM!$(~"</f>
        <v/>
      </c>
      <c r="IJ33">
        <f>#REF!+"vlM!$)#"</f>
        <v/>
      </c>
      <c r="IK33">
        <f>#REF!+"vlM!$)$"</f>
        <v/>
      </c>
      <c r="IL33">
        <f>#REF!+"vlM!$)%"</f>
        <v/>
      </c>
      <c r="IM33">
        <f>#REF!+"vlM!$)&amp;"</f>
        <v/>
      </c>
      <c r="IN33" s="1">
        <f>#REF!+"vlM!$)'"</f>
        <v/>
      </c>
      <c r="IO33">
        <f>#REF!+"vlM!$)("</f>
        <v/>
      </c>
      <c r="IP33">
        <f>#REF!+"vlM!$))"</f>
        <v/>
      </c>
      <c r="IQ33">
        <f>#REF!+"vlM!$)."</f>
        <v/>
      </c>
      <c r="IR33">
        <f>#REF!+"vlM!$)/"</f>
        <v/>
      </c>
      <c r="IS33">
        <f>#REF!+"vlM!$)0"</f>
        <v/>
      </c>
      <c r="IT33">
        <f>#REF!+"vlM!$)1"</f>
        <v/>
      </c>
      <c r="IU33">
        <f>#REF!+"vlM!$)2"</f>
        <v/>
      </c>
      <c r="IV33">
        <f>#REF!+"vlM!$)3"</f>
        <v/>
      </c>
    </row>
    <row r="34">
      <c r="F34">
        <f>#REF!+"vlM!$)4"</f>
        <v/>
      </c>
      <c r="G34">
        <f>#REF!+"vlM!$)5"</f>
        <v/>
      </c>
      <c r="H34">
        <f>#REF!+"vlM!$)6"</f>
        <v/>
      </c>
      <c r="I34">
        <f>#REF!+"vlM!$)7"</f>
        <v/>
      </c>
      <c r="J34">
        <f>#REF!+"vlM!$)8"</f>
        <v/>
      </c>
      <c r="K34">
        <f>#REF!+"vlM!$)9"</f>
        <v/>
      </c>
      <c r="L34" s="1">
        <f>#REF!+"vlM!$):"</f>
        <v/>
      </c>
      <c r="M34">
        <f>#REF!+"vlM!$);"</f>
        <v/>
      </c>
      <c r="N34">
        <f>#REF!+"vlM!$)&lt;"</f>
        <v/>
      </c>
      <c r="O34">
        <f>#REF!+"vlM!$)="</f>
        <v/>
      </c>
      <c r="P34">
        <f>#REF!+"vlM!$)&gt;"</f>
        <v/>
      </c>
      <c r="Q34">
        <f>#REF!+"vlM!$)?"</f>
        <v/>
      </c>
      <c r="R34">
        <f>#REF!+"vlM!$)@"</f>
        <v/>
      </c>
      <c r="S34">
        <f>#REF!+"vlM!$)A"</f>
        <v/>
      </c>
      <c r="T34">
        <f>#REF!+"vlM!$)B"</f>
        <v/>
      </c>
      <c r="U34">
        <f>#REF!+"vlM!$)C"</f>
        <v/>
      </c>
      <c r="V34">
        <f>#REF!+"vlM!$)D"</f>
        <v/>
      </c>
      <c r="W34">
        <f>#REF!+"vlM!$)E"</f>
        <v/>
      </c>
      <c r="X34">
        <f>#REF!+"vlM!$)F"</f>
        <v/>
      </c>
      <c r="Y34">
        <f>#REF!+"vlM!$)G"</f>
        <v/>
      </c>
      <c r="Z34">
        <f>#REF!+"vlM!$)H"</f>
        <v/>
      </c>
      <c r="AA34" s="1">
        <f>#REF!+"vlM!$)I"</f>
        <v/>
      </c>
      <c r="AB34">
        <f>#REF!+"vlM!$)J"</f>
        <v/>
      </c>
      <c r="AC34">
        <f>#REF!+"vlM!$)K"</f>
        <v/>
      </c>
      <c r="AD34">
        <f>#REF!+"vlM!$)L"</f>
        <v/>
      </c>
      <c r="AE34">
        <f>#REF!+"vlM!$)M"</f>
        <v/>
      </c>
      <c r="AF34">
        <f>#REF!+"vlM!$)N"</f>
        <v/>
      </c>
      <c r="AG34">
        <f>#REF!+"vlM!$)O"</f>
        <v/>
      </c>
      <c r="AH34">
        <f>#REF!+"vlM!$)P"</f>
        <v/>
      </c>
      <c r="AI34">
        <f>#REF!+"vlM!$)Q"</f>
        <v/>
      </c>
      <c r="AJ34">
        <f>#REF!+"vlM!$)R"</f>
        <v/>
      </c>
      <c r="AK34">
        <f>#REF!+"vlM!$)S"</f>
        <v/>
      </c>
      <c r="AL34">
        <f>#REF!+"vlM!$)T"</f>
        <v/>
      </c>
      <c r="AM34">
        <f>#REF!+"vlM!$)U"</f>
        <v/>
      </c>
      <c r="AN34">
        <f>#REF!+"vlM!$)V"</f>
        <v/>
      </c>
      <c r="AO34">
        <f>#REF!+"vlM!$)W"</f>
        <v/>
      </c>
      <c r="AP34" s="1">
        <f>#REF!+"vlM!$)X"</f>
        <v/>
      </c>
      <c r="AQ34">
        <f>#REF!+"vlM!$)Y"</f>
        <v/>
      </c>
      <c r="AR34">
        <f>#REF!+"vlM!$)Z"</f>
        <v/>
      </c>
      <c r="AS34">
        <f>#REF!+"vlM!$)["</f>
        <v/>
      </c>
      <c r="AT34">
        <f>#REF!+"vlM!$)\"</f>
        <v/>
      </c>
      <c r="AU34">
        <f>#REF!+"vlM!$)]"</f>
        <v/>
      </c>
      <c r="AV34">
        <f>#REF!+"vlM!$)^"</f>
        <v/>
      </c>
      <c r="AW34">
        <f>#REF!+"vlM!$)_"</f>
        <v/>
      </c>
      <c r="AX34">
        <f>#REF!+"vlM!$)`"</f>
        <v/>
      </c>
      <c r="AY34">
        <f>#REF!+"vlM!$)a"</f>
        <v/>
      </c>
      <c r="AZ34">
        <f>#REF!+"vlM!$)b"</f>
        <v/>
      </c>
      <c r="BA34">
        <f>#REF!+"vlM!$)c"</f>
        <v/>
      </c>
      <c r="BB34">
        <f>#REF!+"vlM!$)d"</f>
        <v/>
      </c>
      <c r="BC34">
        <f>#REF!+"vlM!$)e"</f>
        <v/>
      </c>
      <c r="BD34">
        <f>#REF!+"vlM!$)f"</f>
        <v/>
      </c>
      <c r="BE34" s="1">
        <f>#REF!+"vlM!$)g"</f>
        <v/>
      </c>
      <c r="BF34">
        <f>#REF!+"vlM!$)h"</f>
        <v/>
      </c>
      <c r="BG34">
        <f>#REF!+"vlM!$)i"</f>
        <v/>
      </c>
      <c r="BH34">
        <f>#REF!+"vlM!$)j"</f>
        <v/>
      </c>
      <c r="BI34">
        <f>#REF!+"vlM!$)k"</f>
        <v/>
      </c>
      <c r="BJ34">
        <f>#REF!+"vlM!$)l"</f>
        <v/>
      </c>
      <c r="BK34">
        <f>#REF!+"vlM!$)m"</f>
        <v/>
      </c>
      <c r="BL34">
        <f>#REF!+"vlM!$)n"</f>
        <v/>
      </c>
      <c r="BM34">
        <f>#REF!+"vlM!$)o"</f>
        <v/>
      </c>
      <c r="BN34">
        <f>#REF!+"vlM!$)p"</f>
        <v/>
      </c>
      <c r="BO34">
        <f>#REF!+"vlM!$)q"</f>
        <v/>
      </c>
      <c r="BP34">
        <f>#REF!+"vlM!$)r"</f>
        <v/>
      </c>
      <c r="BQ34">
        <f>#REF!+"vlM!$)s"</f>
        <v/>
      </c>
      <c r="BR34">
        <f>#REF!+"vlM!$)t"</f>
        <v/>
      </c>
      <c r="BS34">
        <f>#REF!+"vlM!$)u"</f>
        <v/>
      </c>
      <c r="BT34" s="1">
        <f>#REF!+"vlM!$)v"</f>
        <v/>
      </c>
      <c r="BU34">
        <f>#REF!+"vlM!$)w"</f>
        <v/>
      </c>
      <c r="BV34">
        <f>#REF!+"vlM!$)x"</f>
        <v/>
      </c>
      <c r="BW34">
        <f>#REF!+"vlM!$)y"</f>
        <v/>
      </c>
      <c r="BX34">
        <f>#REF!+"vlM!$)z"</f>
        <v/>
      </c>
      <c r="BY34">
        <f>#REF!+"vlM!$){"</f>
        <v/>
      </c>
      <c r="BZ34">
        <f>#REF!+"vlM!$)|"</f>
        <v/>
      </c>
      <c r="CA34">
        <f>#REF!+"vlM!$)}"</f>
        <v/>
      </c>
      <c r="CB34">
        <f>#REF!+"vlM!$)~"</f>
        <v/>
      </c>
      <c r="CC34">
        <f>#REF!+"vlM!$.#"</f>
        <v/>
      </c>
      <c r="CD34">
        <f>#REF!+"vlM!$.$"</f>
        <v/>
      </c>
      <c r="CE34">
        <f>#REF!+"vlM!$.%"</f>
        <v/>
      </c>
      <c r="CF34">
        <f>#REF!+"vlM!$.&amp;"</f>
        <v/>
      </c>
      <c r="CG34">
        <f>#REF!+"vlM!$.'"</f>
        <v/>
      </c>
      <c r="CH34">
        <f>#REF!+"vlM!$.("</f>
        <v/>
      </c>
      <c r="CI34" s="1">
        <f>#REF!+"vlM!$.)"</f>
        <v/>
      </c>
      <c r="CJ34">
        <f>#REF!+"vlM!$.."</f>
        <v/>
      </c>
      <c r="CK34">
        <f>#REF!+"vlM!$./"</f>
        <v/>
      </c>
      <c r="CL34">
        <f>#REF!+"vlM!$.0"</f>
        <v/>
      </c>
      <c r="CM34">
        <f>#REF!+"vlM!$.1"</f>
        <v/>
      </c>
      <c r="CN34">
        <f>#REF!+"vlM!$.2"</f>
        <v/>
      </c>
      <c r="CO34">
        <f>#REF!+"vlM!$.3"</f>
        <v/>
      </c>
      <c r="CP34">
        <f>#REF!+"vlM!$.4"</f>
        <v/>
      </c>
      <c r="CQ34">
        <f>#REF!+"vlM!$.5"</f>
        <v/>
      </c>
      <c r="CR34">
        <f>#REF!+"vlM!$.6"</f>
        <v/>
      </c>
      <c r="CS34">
        <f>#REF!+"vlM!$.7"</f>
        <v/>
      </c>
      <c r="CT34">
        <f>#REF!+"vlM!$.8"</f>
        <v/>
      </c>
      <c r="CU34">
        <f>#REF!+"vlM!$.9"</f>
        <v/>
      </c>
      <c r="CV34">
        <f>#REF!+"vlM!$.:"</f>
        <v/>
      </c>
      <c r="CW34">
        <f>#REF!+"vlM!$.;"</f>
        <v/>
      </c>
      <c r="CX34" s="1">
        <f>#REF!+"vlM!$.&lt;"</f>
        <v/>
      </c>
      <c r="CY34">
        <f>#REF!+"vlM!$.="</f>
        <v/>
      </c>
      <c r="CZ34">
        <f>#REF!+"vlM!$.&gt;"</f>
        <v/>
      </c>
      <c r="DA34">
        <f>#REF!+"vlM!$.?"</f>
        <v/>
      </c>
      <c r="DB34">
        <f>#REF!+"vlM!$.@"</f>
        <v/>
      </c>
      <c r="DC34">
        <f>#REF!+"vlM!$.A"</f>
        <v/>
      </c>
      <c r="DD34">
        <f>#REF!+"vlM!$.B"</f>
        <v/>
      </c>
      <c r="DE34">
        <f>#REF!+"vlM!$.C"</f>
        <v/>
      </c>
      <c r="DF34">
        <f>#REF!+"vlM!$.D"</f>
        <v/>
      </c>
      <c r="DG34">
        <f>#REF!+"vlM!$.E"</f>
        <v/>
      </c>
      <c r="DH34">
        <f>#REF!+"vlM!$.F"</f>
        <v/>
      </c>
      <c r="DI34">
        <f>#REF!+"vlM!$.G"</f>
        <v/>
      </c>
      <c r="DJ34">
        <f>#REF!+"vlM!$.H"</f>
        <v/>
      </c>
      <c r="DK34">
        <f>#REF!+"vlM!$.I"</f>
        <v/>
      </c>
      <c r="DL34">
        <f>#REF!+"vlM!$.J"</f>
        <v/>
      </c>
      <c r="DM34" s="1">
        <f>#REF!+"vlM!$.K"</f>
        <v/>
      </c>
      <c r="DN34">
        <f>#REF!+"vlM!$.L"</f>
        <v/>
      </c>
      <c r="DO34">
        <f>#REF!+"vlM!$.M"</f>
        <v/>
      </c>
      <c r="DP34">
        <f>#REF!+"vlM!$.N"</f>
        <v/>
      </c>
      <c r="DQ34">
        <f>#REF!+"vlM!$.O"</f>
        <v/>
      </c>
      <c r="DR34">
        <f>#REF!+"vlM!$.P"</f>
        <v/>
      </c>
      <c r="DS34">
        <f>#REF!+"vlM!$.Q"</f>
        <v/>
      </c>
      <c r="DT34">
        <f>#REF!+"vlM!$.R"</f>
        <v/>
      </c>
      <c r="DU34">
        <f>#REF!+"vlM!$.S"</f>
        <v/>
      </c>
      <c r="DV34">
        <f>#REF!+"vlM!$.T"</f>
        <v/>
      </c>
      <c r="DW34">
        <f>#REF!+"vlM!$.U"</f>
        <v/>
      </c>
      <c r="DX34">
        <f>#REF!+"vlM!$.V"</f>
        <v/>
      </c>
      <c r="DY34">
        <f>#REF!+"vlM!$.W"</f>
        <v/>
      </c>
      <c r="DZ34">
        <f>#REF!+"vlM!$.X"</f>
        <v/>
      </c>
      <c r="EA34">
        <f>#REF!+"vlM!$.Y"</f>
        <v/>
      </c>
      <c r="EB34" s="1">
        <f>#REF!+"vlM!$.Z"</f>
        <v/>
      </c>
      <c r="EC34">
        <f>#REF!+"vlM!$.["</f>
        <v/>
      </c>
      <c r="ED34">
        <f>#REF!+"vlM!$.\"</f>
        <v/>
      </c>
      <c r="EE34">
        <f>#REF!+"vlM!$.]"</f>
        <v/>
      </c>
      <c r="EF34">
        <f>#REF!+"vlM!$.^"</f>
        <v/>
      </c>
      <c r="EG34">
        <f>#REF!+"vlM!$._"</f>
        <v/>
      </c>
      <c r="EH34">
        <f>#REF!+"vlM!$.`"</f>
        <v/>
      </c>
      <c r="EI34">
        <f>#REF!+"vlM!$.a"</f>
        <v/>
      </c>
      <c r="EJ34">
        <f>#REF!+"vlM!$.b"</f>
        <v/>
      </c>
      <c r="EK34">
        <f>#REF!+"vlM!$.c"</f>
        <v/>
      </c>
      <c r="EL34">
        <f>#REF!+"vlM!$.d"</f>
        <v/>
      </c>
      <c r="EM34">
        <f>#REF!+"vlM!$.e"</f>
        <v/>
      </c>
      <c r="EN34">
        <f>#REF!+"vlM!$.f"</f>
        <v/>
      </c>
      <c r="EO34">
        <f>#REF!+"vlM!$.g"</f>
        <v/>
      </c>
      <c r="EP34">
        <f>#REF!+"vlM!$.h"</f>
        <v/>
      </c>
      <c r="EQ34" s="1">
        <f>#REF!+"vlM!$.i"</f>
        <v/>
      </c>
      <c r="ER34">
        <f>#REF!+"vlM!$.j"</f>
        <v/>
      </c>
      <c r="ES34">
        <f>#REF!+"vlM!$.k"</f>
        <v/>
      </c>
      <c r="ET34">
        <f>#REF!+"vlM!$.l"</f>
        <v/>
      </c>
      <c r="EU34">
        <f>#REF!+"vlM!$.m"</f>
        <v/>
      </c>
      <c r="EV34">
        <f>#REF!+"vlM!$.n"</f>
        <v/>
      </c>
      <c r="EW34">
        <f>#REF!+"vlM!$.o"</f>
        <v/>
      </c>
      <c r="EX34">
        <f>#REF!+"vlM!$.p"</f>
        <v/>
      </c>
      <c r="EY34">
        <f>#REF!+"vlM!$.q"</f>
        <v/>
      </c>
      <c r="EZ34">
        <f>#REF!+"vlM!$.r"</f>
        <v/>
      </c>
      <c r="FA34">
        <f>#REF!+"vlM!$.s"</f>
        <v/>
      </c>
      <c r="FB34">
        <f>#REF!+"vlM!$.t"</f>
        <v/>
      </c>
      <c r="FC34">
        <f>#REF!+"vlM!$.u"</f>
        <v/>
      </c>
      <c r="FD34">
        <f>#REF!+"vlM!$.v"</f>
        <v/>
      </c>
      <c r="FE34">
        <f>#REF!+"vlM!$.w"</f>
        <v/>
      </c>
      <c r="FF34" s="1">
        <f>#REF!+"vlM!$.x"</f>
        <v/>
      </c>
      <c r="FG34">
        <f>#REF!+"vlM!$.y"</f>
        <v/>
      </c>
      <c r="FH34">
        <f>#REF!+"vlM!$.z"</f>
        <v/>
      </c>
      <c r="FI34">
        <f>#REF!+"vlM!$.{"</f>
        <v/>
      </c>
      <c r="FJ34">
        <f>#REF!+"vlM!$.|"</f>
        <v/>
      </c>
      <c r="FK34">
        <f>#REF!+"vlM!$.}"</f>
        <v/>
      </c>
      <c r="FL34">
        <f>#REF!+"vlM!$.~"</f>
        <v/>
      </c>
      <c r="FM34">
        <f>#REF!+"vlM!$/#"</f>
        <v/>
      </c>
      <c r="FN34">
        <f>#REF!+"vlM!$/$"</f>
        <v/>
      </c>
      <c r="FO34">
        <f>#REF!+"vlM!$/%"</f>
        <v/>
      </c>
      <c r="FP34">
        <f>#REF!+"vlM!$/&amp;"</f>
        <v/>
      </c>
      <c r="FQ34">
        <f>#REF!+"vlM!$/'"</f>
        <v/>
      </c>
      <c r="FR34">
        <f>#REF!+"vlM!$/("</f>
        <v/>
      </c>
      <c r="FS34">
        <f>#REF!+"vlM!$/)"</f>
        <v/>
      </c>
      <c r="FT34">
        <f>#REF!+"vlM!$/."</f>
        <v/>
      </c>
      <c r="FU34" s="1">
        <f>#REF!+"vlM!$//"</f>
        <v/>
      </c>
      <c r="FV34">
        <f>#REF!+"vlM!$/0"</f>
        <v/>
      </c>
      <c r="FW34">
        <f>#REF!+"vlM!$/1"</f>
        <v/>
      </c>
      <c r="FX34">
        <f>#REF!+"vlM!$/2"</f>
        <v/>
      </c>
      <c r="FY34">
        <f>#REF!+"vlM!$/3"</f>
        <v/>
      </c>
      <c r="FZ34">
        <f>#REF!+"vlM!$/4"</f>
        <v/>
      </c>
      <c r="GA34">
        <f>#REF!+"vlM!$/5"</f>
        <v/>
      </c>
      <c r="GB34">
        <f>#REF!+"vlM!$/6"</f>
        <v/>
      </c>
      <c r="GC34">
        <f>#REF!+"vlM!$/7"</f>
        <v/>
      </c>
      <c r="GD34">
        <f>#REF!+"vlM!$/8"</f>
        <v/>
      </c>
      <c r="GE34">
        <f>#REF!+"vlM!$/9"</f>
        <v/>
      </c>
      <c r="GF34">
        <f>#REF!+"vlM!$/:"</f>
        <v/>
      </c>
      <c r="GG34">
        <f>#REF!+"vlM!$/;"</f>
        <v/>
      </c>
      <c r="GH34">
        <f>#REF!+"vlM!$/&lt;"</f>
        <v/>
      </c>
      <c r="GI34">
        <f>#REF!+"vlM!$/="</f>
        <v/>
      </c>
      <c r="GJ34" s="1">
        <f>#REF!+"vlM!$/&gt;"</f>
        <v/>
      </c>
      <c r="GK34">
        <f>#REF!+"vlM!$/?"</f>
        <v/>
      </c>
      <c r="GL34">
        <f>#REF!+"vlM!$/@"</f>
        <v/>
      </c>
      <c r="GM34">
        <f>#REF!+"vlM!$/A"</f>
        <v/>
      </c>
      <c r="GN34">
        <f>#REF!+"vlM!$/B"</f>
        <v/>
      </c>
      <c r="GO34">
        <f>#REF!+"vlM!$/C"</f>
        <v/>
      </c>
      <c r="GP34">
        <f>#REF!+"vlM!$/D"</f>
        <v/>
      </c>
      <c r="GQ34">
        <f>#REF!+"vlM!$/E"</f>
        <v/>
      </c>
      <c r="GR34">
        <f>#REF!+"vlM!$/F"</f>
        <v/>
      </c>
      <c r="GS34">
        <f>#REF!+"vlM!$/G"</f>
        <v/>
      </c>
      <c r="GT34">
        <f>#REF!+"vlM!$/H"</f>
        <v/>
      </c>
      <c r="GU34">
        <f>#REF!+"vlM!$/I"</f>
        <v/>
      </c>
      <c r="GV34">
        <f>#REF!+"vlM!$/J"</f>
        <v/>
      </c>
      <c r="GW34">
        <f>#REF!+"vlM!$/K"</f>
        <v/>
      </c>
      <c r="GX34">
        <f>#REF!+"vlM!$/L"</f>
        <v/>
      </c>
      <c r="GY34" s="1">
        <f>#REF!+"vlM!$/M"</f>
        <v/>
      </c>
      <c r="GZ34">
        <f>#REF!+"vlM!$/N"</f>
        <v/>
      </c>
      <c r="HA34">
        <f>#REF!+"vlM!$/O"</f>
        <v/>
      </c>
      <c r="HB34">
        <f>#REF!+"vlM!$/P"</f>
        <v/>
      </c>
      <c r="HC34">
        <f>#REF!+"vlM!$/Q"</f>
        <v/>
      </c>
      <c r="HD34">
        <f>#REF!+"vlM!$/R"</f>
        <v/>
      </c>
      <c r="HE34">
        <f>#REF!+"vlM!$/S"</f>
        <v/>
      </c>
      <c r="HF34">
        <f>#REF!+"vlM!$/T"</f>
        <v/>
      </c>
      <c r="HG34">
        <f>#REF!+"vlM!$/U"</f>
        <v/>
      </c>
      <c r="HH34">
        <f>#REF!+"vlM!$/V"</f>
        <v/>
      </c>
      <c r="HI34">
        <f>#REF!+"vlM!$/W"</f>
        <v/>
      </c>
      <c r="HJ34">
        <f>#REF!+"vlM!$/X"</f>
        <v/>
      </c>
      <c r="HK34">
        <f>#REF!+"vlM!$/Y"</f>
        <v/>
      </c>
      <c r="HL34">
        <f>#REF!+"vlM!$/Z"</f>
        <v/>
      </c>
      <c r="HM34">
        <f>#REF!+"vlM!$/["</f>
        <v/>
      </c>
      <c r="HN34" s="1">
        <f>#REF!+"vlM!$/\"</f>
        <v/>
      </c>
      <c r="HO34">
        <f>#REF!+"vlM!$/]"</f>
        <v/>
      </c>
      <c r="HP34">
        <f>#REF!+"vlM!$/^"</f>
        <v/>
      </c>
      <c r="HQ34">
        <f>#REF!+"vlM!$/_"</f>
        <v/>
      </c>
      <c r="HR34">
        <f>#REF!+"vlM!$/`"</f>
        <v/>
      </c>
      <c r="HS34">
        <f>#REF!+"vlM!$/a"</f>
        <v/>
      </c>
      <c r="HT34">
        <f>#REF!+"vlM!$/b"</f>
        <v/>
      </c>
      <c r="HU34">
        <f>#REF!+"vlM!$/c"</f>
        <v/>
      </c>
      <c r="HV34">
        <f>#REF!+"vlM!$/d"</f>
        <v/>
      </c>
      <c r="HW34">
        <f>#REF!+"vlM!$/e"</f>
        <v/>
      </c>
      <c r="HX34">
        <f>#REF!+"vlM!$/f"</f>
        <v/>
      </c>
      <c r="HY34">
        <f>#REF!+"vlM!$/g"</f>
        <v/>
      </c>
      <c r="HZ34">
        <f>#REF!+"vlM!$/h"</f>
        <v/>
      </c>
      <c r="IA34">
        <f>#REF!+"vlM!$/i"</f>
        <v/>
      </c>
      <c r="IB34">
        <f>#REF!+"vlM!$/j"</f>
        <v/>
      </c>
      <c r="IC34" s="1">
        <f>#REF!+"vlM!$/k"</f>
        <v/>
      </c>
      <c r="ID34">
        <f>#REF!+"vlM!$/l"</f>
        <v/>
      </c>
      <c r="IE34">
        <f>#REF!+"vlM!$/m"</f>
        <v/>
      </c>
      <c r="IF34">
        <f>#REF!+"vlM!$/n"</f>
        <v/>
      </c>
      <c r="IG34">
        <f>#REF!+"vlM!$/o"</f>
        <v/>
      </c>
      <c r="IH34">
        <f>#REF!+"vlM!$/p"</f>
        <v/>
      </c>
      <c r="II34">
        <f>#REF!+"vlM!$/q"</f>
        <v/>
      </c>
      <c r="IJ34">
        <f>#REF!+"vlM!$/r"</f>
        <v/>
      </c>
      <c r="IK34">
        <f>#REF!+"vlM!$/s"</f>
        <v/>
      </c>
      <c r="IL34">
        <f>#REF!+"vlM!$/t"</f>
        <v/>
      </c>
      <c r="IM34">
        <f>#REF!+"vlM!$/u"</f>
        <v/>
      </c>
      <c r="IN34">
        <f>#REF!+"vlM!$/v"</f>
        <v/>
      </c>
      <c r="IO34">
        <f>#REF!+"vlM!$/w"</f>
        <v/>
      </c>
      <c r="IP34">
        <f>#REF!+"vlM!$/x"</f>
        <v/>
      </c>
      <c r="IQ34">
        <f>#REF!+"vlM!$/y"</f>
        <v/>
      </c>
      <c r="IR34" s="1">
        <f>#REF!+"vlM!$/z"</f>
        <v/>
      </c>
      <c r="IS34">
        <f>#REF!+"vlM!$/{"</f>
        <v/>
      </c>
      <c r="IT34">
        <f>#REF!+"vlM!$/|"</f>
        <v/>
      </c>
      <c r="IU34">
        <f>#REF!+"vlM!$/}"</f>
        <v/>
      </c>
      <c r="IV34">
        <f>#REF!+"vlM!$/~"</f>
        <v/>
      </c>
    </row>
    <row r="35">
      <c r="F35">
        <f>#REF!+"vlM!$0#"</f>
        <v/>
      </c>
      <c r="G35">
        <f>#REF!+"vlM!$0$"</f>
        <v/>
      </c>
      <c r="H35">
        <f>#REF!+"vlM!$0%"</f>
        <v/>
      </c>
      <c r="I35">
        <f>#REF!+"vlM!$0&amp;"</f>
        <v/>
      </c>
      <c r="J35">
        <f>#REF!+"vlM!$0'"</f>
        <v/>
      </c>
      <c r="K35">
        <f>#REF!+"vlM!$0("</f>
        <v/>
      </c>
      <c r="L35">
        <f>#REF!+"vlM!$0)"</f>
        <v/>
      </c>
      <c r="M35">
        <f>#REF!+"vlM!$0."</f>
        <v/>
      </c>
      <c r="N35">
        <f>#REF!+"vlM!$0/"</f>
        <v/>
      </c>
      <c r="O35">
        <f>#REF!+"vlM!$00"</f>
        <v/>
      </c>
      <c r="P35" s="1">
        <f>#REF!+"vlM!$01"</f>
        <v/>
      </c>
      <c r="Q35">
        <f>#REF!+"vlM!$02"</f>
        <v/>
      </c>
      <c r="R35">
        <f>#REF!+"vlM!$03"</f>
        <v/>
      </c>
      <c r="S35">
        <f>#REF!+"vlM!$04"</f>
        <v/>
      </c>
      <c r="T35">
        <f>#REF!+"vlM!$05"</f>
        <v/>
      </c>
      <c r="U35">
        <f>#REF!+"vlM!$06"</f>
        <v/>
      </c>
      <c r="V35">
        <f>#REF!+"vlM!$07"</f>
        <v/>
      </c>
      <c r="W35">
        <f>#REF!+"vlM!$08"</f>
        <v/>
      </c>
      <c r="X35">
        <f>#REF!+"vlM!$09"</f>
        <v/>
      </c>
      <c r="Y35">
        <f>#REF!+"vlM!$0:"</f>
        <v/>
      </c>
      <c r="Z35">
        <f>#REF!+"vlM!$0;"</f>
        <v/>
      </c>
      <c r="AA35">
        <f>#REF!+"vlM!$0&lt;"</f>
        <v/>
      </c>
      <c r="AB35">
        <f>#REF!+"vlM!$0="</f>
        <v/>
      </c>
      <c r="AC35">
        <f>#REF!+"vlM!$0&gt;"</f>
        <v/>
      </c>
      <c r="AD35">
        <f>#REF!+"vlM!$0?"</f>
        <v/>
      </c>
      <c r="AE35" s="1">
        <f>#REF!+"vlM!$0@"</f>
        <v/>
      </c>
      <c r="AF35">
        <f>#REF!+"vlM!$0A"</f>
        <v/>
      </c>
      <c r="AG35">
        <f>#REF!+"vlM!$0B"</f>
        <v/>
      </c>
      <c r="AH35">
        <f>#REF!+"vlM!$0C"</f>
        <v/>
      </c>
      <c r="AI35">
        <f>#REF!+"vlM!$0D"</f>
        <v/>
      </c>
      <c r="AJ35">
        <f>#REF!+"vlM!$0E"</f>
        <v/>
      </c>
      <c r="AK35">
        <f>#REF!+"vlM!$0F"</f>
        <v/>
      </c>
      <c r="AL35">
        <f>#REF!+"vlM!$0G"</f>
        <v/>
      </c>
      <c r="AM35">
        <f>#REF!+"vlM!$0H"</f>
        <v/>
      </c>
      <c r="AN35">
        <f>#REF!+"vlM!$0I"</f>
        <v/>
      </c>
      <c r="AO35">
        <f>#REF!+"vlM!$0J"</f>
        <v/>
      </c>
      <c r="AP35">
        <f>#REF!+"vlM!$0K"</f>
        <v/>
      </c>
      <c r="AQ35">
        <f>#REF!+"vlM!$0L"</f>
        <v/>
      </c>
      <c r="AR35">
        <f>#REF!*"vlM!$0Q"</f>
        <v/>
      </c>
      <c r="AS35">
        <f>#REF!*"vlM!$0R"</f>
        <v/>
      </c>
      <c r="AT35">
        <f>#REF!*"vlM!$0S"</f>
        <v/>
      </c>
      <c r="AU35">
        <f>#REF!*"vlM!$0T"</f>
        <v/>
      </c>
      <c r="AV35">
        <f>#REF!*"vlM!$0U"</f>
        <v/>
      </c>
      <c r="AW35">
        <f>#REF!*"vlM!$0V"</f>
        <v/>
      </c>
      <c r="AX35">
        <f>#REF!*"vlM!$0W"</f>
        <v/>
      </c>
      <c r="AY35">
        <f>#REF!*"vlM!$0X"</f>
        <v/>
      </c>
      <c r="AZ35">
        <f>#REF!*"vlM!$0Y"</f>
        <v/>
      </c>
      <c r="BA35">
        <f>#REF!*"vlM!$0Z"</f>
        <v/>
      </c>
      <c r="BB35">
        <f>#REF!*"vlM!$0["</f>
        <v/>
      </c>
      <c r="BC35">
        <f>#REF!*"vlM!$0\"</f>
        <v/>
      </c>
      <c r="BD35">
        <f>#REF!*"vlM!$0]"</f>
        <v/>
      </c>
      <c r="BE35">
        <f>#REF!*"vlM!$0^"</f>
        <v/>
      </c>
      <c r="BF35">
        <f>#REF!*"vlM!$0_"</f>
        <v/>
      </c>
      <c r="BG35">
        <f>#REF!*"vlM!$0`"</f>
        <v/>
      </c>
      <c r="BH35">
        <f>#REF!*"vlM!$0a"</f>
        <v/>
      </c>
      <c r="BI35">
        <f>#REF!*"vlM!$0b"</f>
        <v/>
      </c>
      <c r="BJ35">
        <f>#REF!*"vlM!$0c"</f>
        <v/>
      </c>
      <c r="BK35">
        <f>#REF!*"vlM!$0d"</f>
        <v/>
      </c>
      <c r="BL35">
        <f>#REF!*"vlM!$0e"</f>
        <v/>
      </c>
      <c r="BM35">
        <f>#REF!*"vlM!$0f"</f>
        <v/>
      </c>
      <c r="BN35">
        <f>#REF!*"vlM!$0g"</f>
        <v/>
      </c>
      <c r="BO35">
        <f>#REF!*"vlM!$0h"</f>
        <v/>
      </c>
      <c r="BP35">
        <f>#REF!*"vlM!$0i"</f>
        <v/>
      </c>
      <c r="BQ35">
        <f>#REF!*"vlM!$0j"</f>
        <v/>
      </c>
      <c r="BR35">
        <f>#REF!*"vlM!$0k"</f>
        <v/>
      </c>
      <c r="BS35">
        <f>#REF!*"vlM!$0l"</f>
        <v/>
      </c>
      <c r="BT35">
        <f>#REF!*"vlM!$0m"</f>
        <v/>
      </c>
      <c r="BU35">
        <f>#REF!*"vlM!$0n"</f>
        <v/>
      </c>
      <c r="BV35">
        <f>#REF!*"vlM!$0o"</f>
        <v/>
      </c>
      <c r="BW35">
        <f>#REF!*"vlM!$0p"</f>
        <v/>
      </c>
      <c r="BX35">
        <f>#REF!*"vlM!$0q"</f>
        <v/>
      </c>
      <c r="BY35">
        <f>#REF!*"vlM!$0r"</f>
        <v/>
      </c>
      <c r="BZ35">
        <f>#REF!*"vlM!$0s"</f>
        <v/>
      </c>
      <c r="CA35">
        <f>#REF!*"vlM!$0t"</f>
        <v/>
      </c>
      <c r="CB35">
        <f>#REF!*"vlM!$0u"</f>
        <v/>
      </c>
      <c r="CC35">
        <f>#REF!*"vlM!$0v"</f>
        <v/>
      </c>
      <c r="CD35">
        <f>#REF!*"vlM!$0w"</f>
        <v/>
      </c>
      <c r="CE35">
        <f>#REF!*"vlM!$0x"</f>
        <v/>
      </c>
      <c r="CF35">
        <f>#REF!*"vlM!$0y"</f>
        <v/>
      </c>
      <c r="CG35">
        <f>#REF!*"vlM!$0z"</f>
        <v/>
      </c>
      <c r="CH35">
        <f>#REF!*"vlM!$0{"</f>
        <v/>
      </c>
      <c r="CI35">
        <f>#REF!*"vlM!$0|"</f>
        <v/>
      </c>
      <c r="CJ35">
        <f>#REF!*"vlM!$0}"</f>
        <v/>
      </c>
      <c r="CK35">
        <f>#REF!*"vlM!$0~"</f>
        <v/>
      </c>
      <c r="CL35">
        <f>#REF!*"vlM!$1#"</f>
        <v/>
      </c>
      <c r="CM35">
        <f>#REF!*"vlM!$1$"</f>
        <v/>
      </c>
      <c r="CN35">
        <f>#REF!*"vlM!$1%"</f>
        <v/>
      </c>
      <c r="CO35">
        <f>#REF!*"vlM!$1&amp;"</f>
        <v/>
      </c>
      <c r="CP35">
        <f>#REF!*"vlM!$1'"</f>
        <v/>
      </c>
      <c r="CQ35">
        <f>#REF!*"vlM!$1("</f>
        <v/>
      </c>
      <c r="CR35">
        <f>#REF!*"vlM!$1)"</f>
        <v/>
      </c>
      <c r="CS35">
        <f>#REF!*"vlM!$1."</f>
        <v/>
      </c>
      <c r="CT35">
        <f>#REF!*"vlM!$1/"</f>
        <v/>
      </c>
      <c r="CU35">
        <f>#REF!*"vlM!$10"</f>
        <v/>
      </c>
      <c r="CV35">
        <f>#REF!*"vlM!$11"</f>
        <v/>
      </c>
      <c r="CW35">
        <f>#REF!*"vlM!$12"</f>
        <v/>
      </c>
      <c r="CX35">
        <f>#REF!*"vlM!$13"</f>
        <v/>
      </c>
      <c r="CY35">
        <f>#REF!*"vlM!$14"</f>
        <v/>
      </c>
      <c r="CZ35">
        <f>#REF!*"vlM!$15"</f>
        <v/>
      </c>
      <c r="DA35">
        <f>#REF!*"vlM!$16"</f>
        <v/>
      </c>
      <c r="DB35">
        <f>#REF!*"vlM!$17"</f>
        <v/>
      </c>
      <c r="DC35">
        <f>#REF!*"vlM!$18"</f>
        <v/>
      </c>
      <c r="DD35">
        <f>#REF!*"vlM!$19"</f>
        <v/>
      </c>
      <c r="DE35">
        <f>#REF!-"vlM!$1:"</f>
        <v/>
      </c>
      <c r="DF35">
        <f>#REF!-"vlM!$1;"</f>
        <v/>
      </c>
      <c r="DG35">
        <f>#REF!-"vlM!$1&lt;"</f>
        <v/>
      </c>
      <c r="DH35">
        <f>#REF!-"vlM!$1="</f>
        <v/>
      </c>
      <c r="DI35">
        <f>#REF!-"vlM!$1&gt;"</f>
        <v/>
      </c>
      <c r="DJ35">
        <f>#REF!-"vlM!$1?"</f>
        <v/>
      </c>
      <c r="DK35">
        <f>#REF!-"vlM!$1@"</f>
        <v/>
      </c>
      <c r="DL35">
        <f>#REF!-"vlM!$1A"</f>
        <v/>
      </c>
      <c r="DM35">
        <f>#REF!-"vlM!$1B"</f>
        <v/>
      </c>
      <c r="DN35">
        <f>#REF!-"vlM!$1C"</f>
        <v/>
      </c>
      <c r="DO35">
        <f>#REF!-"vlM!$1D"</f>
        <v/>
      </c>
      <c r="DP35">
        <f>#REF!-"vlM!$1E"</f>
        <v/>
      </c>
      <c r="DQ35">
        <f>#REF!-"vlM!$1F"</f>
        <v/>
      </c>
      <c r="DR35">
        <f>#REF!-"vlM!$1G"</f>
        <v/>
      </c>
      <c r="DS35">
        <f>#REF!-"vlM!$1H"</f>
        <v/>
      </c>
      <c r="DT35">
        <f>#REF!-"vlM!$1I"</f>
        <v/>
      </c>
      <c r="DU35">
        <f>#REF!-"vlM!$1J"</f>
        <v/>
      </c>
      <c r="DV35">
        <f>#REF!-"vlM!$1K"</f>
        <v/>
      </c>
      <c r="DW35">
        <f>#REF!-"vlM!$1L"</f>
        <v/>
      </c>
      <c r="DX35">
        <f>#REF!-"vlM!$1M"</f>
        <v/>
      </c>
      <c r="DY35">
        <f>#REF!-"vlM!$1N"</f>
        <v/>
      </c>
      <c r="DZ35">
        <f>#REF!-"vlM!$1O"</f>
        <v/>
      </c>
      <c r="EA35">
        <f>#REF!-"vlM!$1P"</f>
        <v/>
      </c>
      <c r="EB35">
        <f>#REF!-"vlM!$1Q"</f>
        <v/>
      </c>
      <c r="EC35">
        <f>#REF!-"vlM!$1R"</f>
        <v/>
      </c>
      <c r="ED35">
        <f>#REF!-"vlM!$1S"</f>
        <v/>
      </c>
      <c r="EE35">
        <f>#REF!-"vlM!$1T"</f>
        <v/>
      </c>
      <c r="EF35">
        <f>#REF!-"vlM!$1U"</f>
        <v/>
      </c>
      <c r="EG35">
        <f>#REF!-"vlM!$1V"</f>
        <v/>
      </c>
      <c r="EH35">
        <f>#REF!-"vlM!$1W"</f>
        <v/>
      </c>
      <c r="EI35">
        <f>#REF!-"vlM!$1X"</f>
        <v/>
      </c>
      <c r="EJ35">
        <f>#REF!-"vlM!$1Y"</f>
        <v/>
      </c>
      <c r="EK35">
        <f>#REF!-"vlM!$1Z"</f>
        <v/>
      </c>
      <c r="EL35">
        <f>#REF!-"vlM!$1["</f>
        <v/>
      </c>
      <c r="EM35">
        <f>#REF!-"vlM!$1\"</f>
        <v/>
      </c>
      <c r="EN35">
        <f>#REF!-"vlM!$1]"</f>
        <v/>
      </c>
      <c r="EO35">
        <f>#REF!-"vlM!$1^"</f>
        <v/>
      </c>
      <c r="EP35">
        <f>#REF!-"vlM!$1_"</f>
        <v/>
      </c>
      <c r="EQ35">
        <f>#REF!-"vlM!$1`"</f>
        <v/>
      </c>
      <c r="ER35">
        <f>#REF!-"vlM!$1a"</f>
        <v/>
      </c>
      <c r="ES35">
        <f>#REF!-"vlM!$1b"</f>
        <v/>
      </c>
      <c r="ET35">
        <f>#REF!-"vlM!$1c"</f>
        <v/>
      </c>
      <c r="EU35">
        <f>#REF!-"vlM!$1d"</f>
        <v/>
      </c>
      <c r="EV35">
        <f>#REF!-"vlM!$1e"</f>
        <v/>
      </c>
      <c r="EW35">
        <f>#REF!-"vlM!$1f"</f>
        <v/>
      </c>
      <c r="EX35">
        <f>#REF!-"vlM!$1g"</f>
        <v/>
      </c>
      <c r="EY35">
        <f>#REF!-"vlM!$1h"</f>
        <v/>
      </c>
      <c r="EZ35">
        <f>#REF!-"vlM!$1i"</f>
        <v/>
      </c>
      <c r="FA35">
        <f>#REF!-"vlM!$1j"</f>
        <v/>
      </c>
      <c r="FB35">
        <f>#REF!-"vlM!$1k"</f>
        <v/>
      </c>
      <c r="FC35">
        <f>#REF!-"vlM!$1l"</f>
        <v/>
      </c>
      <c r="FD35">
        <f>#REF!-"vlM!$1m"</f>
        <v/>
      </c>
      <c r="FE35">
        <f>#REF!-"vlM!$1n"</f>
        <v/>
      </c>
      <c r="FF35">
        <f>#REF!-"vlM!$1o"</f>
        <v/>
      </c>
      <c r="FG35">
        <f>#REF!-"vlM!$1p"</f>
        <v/>
      </c>
      <c r="FH35">
        <f>#REF!-"vlM!$1q"</f>
        <v/>
      </c>
      <c r="FI35">
        <f>#REF!-"vlM!$1r"</f>
        <v/>
      </c>
      <c r="FJ35">
        <f>#REF!-"vlM!$1s"</f>
        <v/>
      </c>
      <c r="FK35">
        <f>#REF!-"vlM!$1t"</f>
        <v/>
      </c>
      <c r="FL35">
        <f>#REF!-"vlM!$1u"</f>
        <v/>
      </c>
      <c r="FM35">
        <f>#REF!-"vlM!$1v"</f>
        <v/>
      </c>
      <c r="FN35">
        <f>#REF!-"vlM!$1w"</f>
        <v/>
      </c>
      <c r="FO35">
        <f>#REF!-"vlM!$1x"</f>
        <v/>
      </c>
      <c r="FP35">
        <f>#REF!-"vlM!$1y"</f>
        <v/>
      </c>
      <c r="FQ35">
        <f>#REF!-"vlM!$1z"</f>
        <v/>
      </c>
      <c r="FR35">
        <f>#REF!-"vlM!$1{"</f>
        <v/>
      </c>
      <c r="FS35">
        <f>#REF!-"vlM!$1|"</f>
        <v/>
      </c>
      <c r="FT35">
        <f>#REF!-"vlM!$1}"</f>
        <v/>
      </c>
      <c r="FU35">
        <f>#REF!-"vlM!$1~"</f>
        <v/>
      </c>
      <c r="FV35">
        <f>#REF!-"vlM!$2#"</f>
        <v/>
      </c>
      <c r="FW35">
        <f>#REF!-"vlM!$2$"</f>
        <v/>
      </c>
      <c r="FX35">
        <f>#REF!-"vlM!$2%"</f>
        <v/>
      </c>
      <c r="FY35">
        <f>#REF!-"vlM!$2&amp;"</f>
        <v/>
      </c>
      <c r="FZ35">
        <f>#REF!-"vlM!$2'"</f>
        <v/>
      </c>
      <c r="GA35">
        <f>#REF!-"vlM!$2("</f>
        <v/>
      </c>
      <c r="GB35">
        <f>#REF!-"vlM!$2)"</f>
        <v/>
      </c>
      <c r="GC35">
        <f>#REF!-"vlM!$2."</f>
        <v/>
      </c>
      <c r="GD35">
        <f>#REF!-"vlM!$2/"</f>
        <v/>
      </c>
      <c r="GE35">
        <f>#REF!-"vlM!$20"</f>
        <v/>
      </c>
      <c r="GF35">
        <f>#REF!-"vlM!$21"</f>
        <v/>
      </c>
      <c r="GG35">
        <f>#REF!-"vlM!$22"</f>
        <v/>
      </c>
      <c r="GH35">
        <f>#REF!-"vlM!$23"</f>
        <v/>
      </c>
      <c r="GI35">
        <f>#REF!-"vlM!$24"</f>
        <v/>
      </c>
      <c r="GJ35">
        <f>#REF!-"vlM!$25"</f>
        <v/>
      </c>
      <c r="GK35">
        <f>#REF!-"vlM!$26"</f>
        <v/>
      </c>
      <c r="GL35">
        <f>#REF!-"vlM!$27"</f>
        <v/>
      </c>
      <c r="GM35">
        <f>#REF!-"vlM!$28"</f>
        <v/>
      </c>
      <c r="GN35">
        <f>#REF!-"vlM!$29"</f>
        <v/>
      </c>
      <c r="GO35">
        <f>#REF!-"vlM!$2:"</f>
        <v/>
      </c>
      <c r="GP35">
        <f>#REF!-"vlM!$2;"</f>
        <v/>
      </c>
      <c r="GQ35">
        <f>#REF!-"vlM!$2&lt;"</f>
        <v/>
      </c>
      <c r="GR35">
        <f>#REF!-"vlM!$2="</f>
        <v/>
      </c>
      <c r="GS35">
        <f>#REF!-"vlM!$2&gt;"</f>
        <v/>
      </c>
      <c r="GT35">
        <f>#REF!-"vlM!$2?"</f>
        <v/>
      </c>
      <c r="GU35">
        <f>#REF!-"vlM!$2@"</f>
        <v/>
      </c>
      <c r="GV35">
        <f>#REF!-"vlM!$2A"</f>
        <v/>
      </c>
      <c r="GW35">
        <f>#REF!-"vlM!$2B"</f>
        <v/>
      </c>
      <c r="GX35">
        <f>#REF!-"vlM!$2C"</f>
        <v/>
      </c>
      <c r="GY35">
        <f>#REF!-"vlM!$2D"</f>
        <v/>
      </c>
      <c r="GZ35">
        <f>#REF!-"vlM!$2E"</f>
        <v/>
      </c>
      <c r="HA35">
        <f>#REF!-"vlM!$2F"</f>
        <v/>
      </c>
      <c r="HB35">
        <f>#REF!-"vlM!$2G"</f>
        <v/>
      </c>
      <c r="HC35">
        <f>#REF!-"vlM!$2H"</f>
        <v/>
      </c>
      <c r="HD35">
        <f>#REF!-"vlM!$2I"</f>
        <v/>
      </c>
      <c r="HE35">
        <f>#REF!-"vlM!$2J"</f>
        <v/>
      </c>
      <c r="HF35">
        <f>#REF!-"vlM!$2K"</f>
        <v/>
      </c>
      <c r="HG35">
        <f>#REF!-"vlM!$2L"</f>
        <v/>
      </c>
      <c r="HH35">
        <f>#REF!-"vlM!$2M"</f>
        <v/>
      </c>
      <c r="HI35">
        <f>#REF!-"vlM!$2N"</f>
        <v/>
      </c>
      <c r="HJ35">
        <f>#REF!-"vlM!$2O"</f>
        <v/>
      </c>
      <c r="HK35">
        <f>#REF!-"vlM!$2P"</f>
        <v/>
      </c>
      <c r="HL35">
        <f>#REF!-"vlM!$2Q"</f>
        <v/>
      </c>
      <c r="HM35">
        <f>#REF!-"vlM!$2R"</f>
        <v/>
      </c>
      <c r="HN35">
        <f>#REF!-"vlM!$2S"</f>
        <v/>
      </c>
      <c r="HO35">
        <f>#REF!-"vlM!$2T"</f>
        <v/>
      </c>
      <c r="HP35">
        <f>#REF!-"vlM!$2U"</f>
        <v/>
      </c>
      <c r="HQ35">
        <f>#REF!-"vlM!$2V"</f>
        <v/>
      </c>
      <c r="HR35">
        <f>#REF!-"vlM!$2W"</f>
        <v/>
      </c>
      <c r="HS35">
        <f>#REF!-"vlM!$2X"</f>
        <v/>
      </c>
      <c r="HT35">
        <f>#REF!-"vlM!$2Y"</f>
        <v/>
      </c>
      <c r="HU35">
        <f>#REF!-"vlM!$2Z"</f>
        <v/>
      </c>
      <c r="HV35">
        <f>#REF!-"vlM!$2["</f>
        <v/>
      </c>
      <c r="HW35">
        <f>#REF!-"vlM!$2\"</f>
        <v/>
      </c>
      <c r="HX35">
        <f>#REF!-"vlM!$2]"</f>
        <v/>
      </c>
      <c r="HY35">
        <f>#REF!-"vlM!$2^"</f>
        <v/>
      </c>
      <c r="HZ35">
        <f>#REF!-"vlM!$2_"</f>
        <v/>
      </c>
      <c r="IA35">
        <f>#REF!-"vlM!$2`"</f>
        <v/>
      </c>
      <c r="IB35">
        <f>#REF!-"vlM!$2a"</f>
        <v/>
      </c>
      <c r="IC35">
        <f>#REF!-"vlM!$2b"</f>
        <v/>
      </c>
      <c r="ID35">
        <f>#REF!-"vlM!$2c"</f>
        <v/>
      </c>
      <c r="IE35">
        <f>#REF!-"vlM!$2d"</f>
        <v/>
      </c>
      <c r="IF35">
        <f>#REF!-"vlM!$2e"</f>
        <v/>
      </c>
      <c r="IG35">
        <f>#REF!-"vlM!$2f"</f>
        <v/>
      </c>
      <c r="IH35">
        <f>#REF!-"vlM!$2g"</f>
        <v/>
      </c>
      <c r="II35">
        <f>#REF!-"vlM!$2h"</f>
        <v/>
      </c>
      <c r="IJ35">
        <f>#REF!-"vlM!$2i"</f>
        <v/>
      </c>
      <c r="IK35">
        <f>#REF!-"vlM!$2j"</f>
        <v/>
      </c>
      <c r="IL35">
        <f>#REF!-"vlM!$2k"</f>
        <v/>
      </c>
      <c r="IM35">
        <f>#REF!-"vlM!$2l"</f>
        <v/>
      </c>
      <c r="IN35">
        <f>#REF!-"vlM!$2m"</f>
        <v/>
      </c>
      <c r="IO35">
        <f>#REF!-"vlM!$2n"</f>
        <v/>
      </c>
      <c r="IP35">
        <f>#REF!-"vlM!$2o"</f>
        <v/>
      </c>
      <c r="IQ35">
        <f>#REF!-"vlM!$2p"</f>
        <v/>
      </c>
      <c r="IR35">
        <f>#REF!-"vlM!$2q"</f>
        <v/>
      </c>
      <c r="IS35">
        <f>#REF!-"vlM!$2r"</f>
        <v/>
      </c>
      <c r="IT35">
        <f>#REF!-"vlM!$2s"</f>
        <v/>
      </c>
      <c r="IU35">
        <f>#REF!-"vlM!$2t"</f>
        <v/>
      </c>
      <c r="IV35">
        <f>#REF!-"vlM!$2u"</f>
        <v/>
      </c>
    </row>
    <row r="36">
      <c r="F36">
        <f>#REF!-"vlM!$2v"</f>
        <v/>
      </c>
      <c r="G36">
        <f>#REF!-"vlM!$2w"</f>
        <v/>
      </c>
      <c r="H36">
        <f>#REF!-"vlM!$2x"</f>
        <v/>
      </c>
      <c r="I36">
        <f>#REF!-"vlM!$2y"</f>
        <v/>
      </c>
      <c r="J36">
        <f>#REF!-"vlM!$2z"</f>
        <v/>
      </c>
      <c r="K36">
        <f>#REF!-"vlM!$2{"</f>
        <v/>
      </c>
      <c r="L36">
        <f>#REF!-"vlM!$2|"</f>
        <v/>
      </c>
      <c r="M36">
        <f>#REF!-"vlM!$2}"</f>
        <v/>
      </c>
      <c r="N36">
        <f>#REF!-"vlM!$2~"</f>
        <v/>
      </c>
      <c r="O36">
        <f>#REF!-"vlM!$3#"</f>
        <v/>
      </c>
      <c r="P36">
        <f>#REF!-"vlM!$3$"</f>
        <v/>
      </c>
      <c r="Q36">
        <f>#REF!-"vlM!$3%"</f>
        <v/>
      </c>
      <c r="R36">
        <f>#REF!-"vlM!$3&amp;"</f>
        <v/>
      </c>
      <c r="S36">
        <f>#REF!-"vlM!$3'"</f>
        <v/>
      </c>
      <c r="T36">
        <f>#REF!-"vlM!$3("</f>
        <v/>
      </c>
      <c r="U36">
        <f>#REF!-"vlM!$3)"</f>
        <v/>
      </c>
      <c r="V36">
        <f>#REF!-"vlM!$3."</f>
        <v/>
      </c>
      <c r="W36">
        <f>#REF!-"vlM!$3/"</f>
        <v/>
      </c>
      <c r="X36">
        <f>#REF!-"vlM!$30"</f>
        <v/>
      </c>
      <c r="Y36">
        <f>#REF!-"vlM!$31"</f>
        <v/>
      </c>
      <c r="Z36">
        <f>#REF!-"vlM!$32"</f>
        <v/>
      </c>
      <c r="AA36">
        <f>#REF!-"vlM!$33"</f>
        <v/>
      </c>
      <c r="AB36">
        <f>#REF!-"vlM!$34"</f>
        <v/>
      </c>
      <c r="AC36">
        <f>#REF!-"vlM!$35"</f>
        <v/>
      </c>
      <c r="AD36">
        <f>#REF!-"vlM!$36"</f>
        <v/>
      </c>
      <c r="AE36">
        <f>#REF!-"vlM!$37"</f>
        <v/>
      </c>
      <c r="AF36">
        <f>#REF!-"vlM!$38"</f>
        <v/>
      </c>
      <c r="AG36">
        <f>#REF!-"vlM!$39"</f>
        <v/>
      </c>
      <c r="AH36">
        <f>#REF!-"vlM!$3:"</f>
        <v/>
      </c>
      <c r="AI36">
        <f>#REF!-"vlM!$3;"</f>
        <v/>
      </c>
      <c r="AJ36">
        <f>#REF!-"vlM!$3&lt;"</f>
        <v/>
      </c>
      <c r="AK36">
        <f>#REF!-"vlM!$3="</f>
        <v/>
      </c>
      <c r="AL36">
        <f>#REF!-"vlM!$3&gt;"</f>
        <v/>
      </c>
      <c r="AM36">
        <f>#REF!-"vlM!$3?"</f>
        <v/>
      </c>
      <c r="AN36">
        <f>#REF!-"vlM!$3@"</f>
        <v/>
      </c>
      <c r="AO36">
        <f>#REF!-"vlM!$3A"</f>
        <v/>
      </c>
      <c r="AP36">
        <f>#REF!-"vlM!$3B"</f>
        <v/>
      </c>
      <c r="AQ36">
        <f>#REF!-"vlM!$3C"</f>
        <v/>
      </c>
      <c r="AR36">
        <f>#REF!-"vlM!$3D"</f>
        <v/>
      </c>
      <c r="AS36">
        <f>#REF!-"vlM!$3E"</f>
        <v/>
      </c>
      <c r="AT36">
        <f>#REF!-"vlM!$3F"</f>
        <v/>
      </c>
      <c r="AU36">
        <f>#REF!-"vlM!$3G"</f>
        <v/>
      </c>
      <c r="AV36">
        <f>#REF!-"vlM!$3H"</f>
        <v/>
      </c>
      <c r="AW36">
        <f>#REF!-"vlM!$3I"</f>
        <v/>
      </c>
      <c r="AX36">
        <f>#REF!-"vlM!$3J"</f>
        <v/>
      </c>
      <c r="AY36">
        <f>#REF!-"vlM!$3K"</f>
        <v/>
      </c>
      <c r="AZ36">
        <f>#REF!-"vlM!$3L"</f>
        <v/>
      </c>
      <c r="BA36">
        <f>#REF!-"vlM!$3M"</f>
        <v/>
      </c>
      <c r="BB36">
        <f>#REF!-"vlM!$3N"</f>
        <v/>
      </c>
      <c r="BC36">
        <f>#REF!-"vlM!$3O"</f>
        <v/>
      </c>
      <c r="BD36">
        <f>#REF!-"vlM!$3P"</f>
        <v/>
      </c>
      <c r="BE36">
        <f>#REF!-"vlM!$3Q"</f>
        <v/>
      </c>
      <c r="BF36">
        <f>#REF!-"vlM!$3R"</f>
        <v/>
      </c>
      <c r="BG36">
        <f>#REF!-"vlM!$3S"</f>
        <v/>
      </c>
      <c r="BH36">
        <f>#REF!-"vlM!$3T"</f>
        <v/>
      </c>
      <c r="BI36">
        <f>#REF!-"vlM!$3U"</f>
        <v/>
      </c>
      <c r="BJ36">
        <f>#REF!-"vlM!$3V"</f>
        <v/>
      </c>
      <c r="BK36">
        <f>#REF!-"vlM!$3W"</f>
        <v/>
      </c>
      <c r="BL36">
        <f>#REF!-"vlM!$3X"</f>
        <v/>
      </c>
      <c r="BM36">
        <f>#REF!-"vlM!$3Y"</f>
        <v/>
      </c>
      <c r="BN36">
        <f>#REF!-"vlM!$3Z"</f>
        <v/>
      </c>
      <c r="BO36">
        <f>#REF!-"vlM!$3["</f>
        <v/>
      </c>
      <c r="BP36">
        <f>#REF!-"vlM!$3\"</f>
        <v/>
      </c>
      <c r="BQ36">
        <f>#REF!-"vlM!$3]"</f>
        <v/>
      </c>
      <c r="BR36">
        <f>#REF!-"vlM!$3^"</f>
        <v/>
      </c>
      <c r="BS36">
        <f>#REF!-"vlM!$3_"</f>
        <v/>
      </c>
      <c r="BT36">
        <f>#REF!-"vlM!$3`"</f>
        <v/>
      </c>
      <c r="BU36">
        <f>#REF!-"vlM!$3a"</f>
        <v/>
      </c>
      <c r="BV36">
        <f>#REF!-"vlM!$3b"</f>
        <v/>
      </c>
      <c r="BW36">
        <f>#REF!-"vlM!$3c"</f>
        <v/>
      </c>
      <c r="BX36">
        <f>#REF!-"vlM!$3d"</f>
        <v/>
      </c>
      <c r="BY36">
        <f>#REF!-"vlM!$3e"</f>
        <v/>
      </c>
      <c r="BZ36">
        <f>#REF!-"vlM!$3f"</f>
        <v/>
      </c>
      <c r="CA36">
        <f>#REF!-"vlM!$3g"</f>
        <v/>
      </c>
      <c r="CB36">
        <f>#REF!-"vlM!$3h"</f>
        <v/>
      </c>
      <c r="CC36">
        <f>#REF!-"vlM!$3i"</f>
        <v/>
      </c>
      <c r="CD36">
        <f>#REF!-"vlM!$3j"</f>
        <v/>
      </c>
      <c r="CE36">
        <f>#REF!-"vlM!$3k"</f>
        <v/>
      </c>
      <c r="CF36">
        <f>#REF!-"vlM!$3l"</f>
        <v/>
      </c>
      <c r="CG36">
        <f>#REF!-"vlM!$3m"</f>
        <v/>
      </c>
      <c r="CH36">
        <f>#REF!-"vlM!$3n"</f>
        <v/>
      </c>
      <c r="CI36">
        <f>#REF!-"vlM!$3o"</f>
        <v/>
      </c>
      <c r="CJ36">
        <f>#REF!-"vlM!$3p"</f>
        <v/>
      </c>
      <c r="CK36">
        <f>#REF!+"vlM!$3q"</f>
        <v/>
      </c>
      <c r="CL36">
        <f>#REF!+"vlM!$3r"</f>
        <v/>
      </c>
      <c r="CM36">
        <f>#REF!+"vlM!$3s"</f>
        <v/>
      </c>
      <c r="CN36">
        <f>#REF!+"vlM!$3t"</f>
        <v/>
      </c>
      <c r="CO36">
        <f>#REF!+"vlM!$3u"</f>
        <v/>
      </c>
      <c r="CP36">
        <f>#REF!+"vlM!$3v"</f>
        <v/>
      </c>
      <c r="CQ36">
        <f>#REF!+"vlM!$3w"</f>
        <v/>
      </c>
      <c r="CR36">
        <f>#REF!+"vlM!$3x"</f>
        <v/>
      </c>
      <c r="CS36">
        <f>#REF!+"vlM!$3y"</f>
        <v/>
      </c>
      <c r="CT36">
        <f>#REF!+"vlM!$3z"</f>
        <v/>
      </c>
      <c r="CU36">
        <f>#REF!+"vlM!$3{"</f>
        <v/>
      </c>
      <c r="CV36">
        <f>#REF!+"vlM!$3|"</f>
        <v/>
      </c>
      <c r="CW36">
        <f>#REF!+"vlM!$3}"</f>
        <v/>
      </c>
      <c r="CX36">
        <f>#REF!+"vlM!$3~"</f>
        <v/>
      </c>
      <c r="CY36">
        <f>#REF!+"vlM!$4#"</f>
        <v/>
      </c>
      <c r="CZ36">
        <f>#REF!+"vlM!$4$"</f>
        <v/>
      </c>
      <c r="DA36">
        <f>#REF!+"vlM!$4%"</f>
        <v/>
      </c>
      <c r="DB36">
        <f>#REF!+"vlM!$4&amp;"</f>
        <v/>
      </c>
      <c r="DC36">
        <f>#REF!+"vlM!$4'"</f>
        <v/>
      </c>
      <c r="DD36">
        <f>#REF!+"vlM!$4("</f>
        <v/>
      </c>
      <c r="DE36">
        <f>#REF!+"vlM!$4)"</f>
        <v/>
      </c>
      <c r="DF36">
        <f>#REF!+"vlM!$4."</f>
        <v/>
      </c>
      <c r="DG36">
        <f>#REF!+"vlM!$4/"</f>
        <v/>
      </c>
      <c r="DH36">
        <f>#REF!+"vlM!$40"</f>
        <v/>
      </c>
      <c r="DI36">
        <f>#REF!+"vlM!$41"</f>
        <v/>
      </c>
      <c r="DJ36">
        <f>#REF!+"vlM!$42"</f>
        <v/>
      </c>
      <c r="DK36">
        <f>#REF!+"vlM!$43"</f>
        <v/>
      </c>
      <c r="DL36">
        <f>#REF!+"vlM!$44"</f>
        <v/>
      </c>
      <c r="DM36">
        <f>#REF!+"vlM!$45"</f>
        <v/>
      </c>
      <c r="DN36">
        <f>#REF!+"vlM!$46"</f>
        <v/>
      </c>
      <c r="DO36">
        <f>#REF!+"vlM!$47"</f>
        <v/>
      </c>
      <c r="DP36">
        <f>#REF!+"vlM!$48"</f>
        <v/>
      </c>
      <c r="DQ36">
        <f>#REF!+"vlM!$49"</f>
        <v/>
      </c>
      <c r="DR36">
        <f>#REF!+"vlM!$4:"</f>
        <v/>
      </c>
      <c r="DS36">
        <f>#REF!+"vlM!$4;"</f>
        <v/>
      </c>
      <c r="DT36">
        <f>#REF!+"vlM!$4&lt;"</f>
        <v/>
      </c>
      <c r="DU36">
        <f>#REF!+"vlM!$4="</f>
        <v/>
      </c>
      <c r="DV36">
        <f>#REF!+"vlM!$4&gt;"</f>
        <v/>
      </c>
      <c r="DW36">
        <f>#REF!+"vlM!$4?"</f>
        <v/>
      </c>
      <c r="DX36">
        <f>#REF!+"vlM!$4@"</f>
        <v/>
      </c>
      <c r="DY36">
        <f>#REF!+"vlM!$4A"</f>
        <v/>
      </c>
      <c r="DZ36">
        <f>#REF!+"vlM!$4B"</f>
        <v/>
      </c>
      <c r="EA36">
        <f>#REF!+"vlM!$4C"</f>
        <v/>
      </c>
      <c r="EB36">
        <f>#REF!+"vlM!$4D"</f>
        <v/>
      </c>
      <c r="EC36">
        <f>#REF!+"vlM!$4E"</f>
        <v/>
      </c>
      <c r="ED36">
        <f>#REF!+"vlM!$4F"</f>
        <v/>
      </c>
      <c r="EE36">
        <f>#REF!+"vlM!$4G"</f>
        <v/>
      </c>
      <c r="EF36">
        <f>#REF!+"vlM!$4H"</f>
        <v/>
      </c>
      <c r="EG36">
        <f>#REF!+"vlM!$4I"</f>
        <v/>
      </c>
      <c r="EH36">
        <f>#REF!+"vlM!$4J"</f>
        <v/>
      </c>
      <c r="EI36">
        <f>#REF!+"vlM!$4K"</f>
        <v/>
      </c>
      <c r="EJ36">
        <f>#REF!+"vlM!$4L"</f>
        <v/>
      </c>
      <c r="EK36">
        <f>#REF!+"vlM!$4M"</f>
        <v/>
      </c>
      <c r="EL36">
        <f>#REF!+"vlM!$4N"</f>
        <v/>
      </c>
      <c r="EM36">
        <f>#REF!+"vlM!$4O"</f>
        <v/>
      </c>
      <c r="EN36">
        <f>#REF!+"vlM!$4P"</f>
        <v/>
      </c>
      <c r="EO36">
        <f>#REF!+"vlM!$4Q"</f>
        <v/>
      </c>
      <c r="EP36">
        <f>#REF!+"vlM!$4R"</f>
        <v/>
      </c>
      <c r="EQ36">
        <f>#REF!+"vlM!$4S"</f>
        <v/>
      </c>
      <c r="ER36">
        <f>#REF!+"vlM!$4T"</f>
        <v/>
      </c>
      <c r="ES36">
        <f>#REF!+"vlM!$4U"</f>
        <v/>
      </c>
      <c r="ET36">
        <f>#REF!+"vlM!$4V"</f>
        <v/>
      </c>
      <c r="EU36">
        <f>#REF!+"vlM!$4W"</f>
        <v/>
      </c>
      <c r="EV36">
        <f>#REF!+"vlM!$4X"</f>
        <v/>
      </c>
      <c r="EW36">
        <f>#REF!+"vlM!$4Y"</f>
        <v/>
      </c>
      <c r="EX36">
        <f>#REF!+"vlM!$4Z"</f>
        <v/>
      </c>
      <c r="EY36">
        <f>#REF!+"vlM!$4["</f>
        <v/>
      </c>
      <c r="EZ36">
        <f>#REF!+"vlM!$4\"</f>
        <v/>
      </c>
      <c r="FA36">
        <f>#REF!+"vlM!$4]"</f>
        <v/>
      </c>
      <c r="FB36">
        <f>#REF!+"vlM!$4^"</f>
        <v/>
      </c>
      <c r="FC36">
        <f>#REF!+"vlM!$4_"</f>
        <v/>
      </c>
      <c r="FD36">
        <f>#REF!+"vlM!$4`"</f>
        <v/>
      </c>
      <c r="FE36">
        <f>#REF!+"vlM!$4a"</f>
        <v/>
      </c>
      <c r="FF36">
        <f>#REF!+"vlM!$4b"</f>
        <v/>
      </c>
      <c r="FG36">
        <f>#REF!+"vlM!$4c"</f>
        <v/>
      </c>
      <c r="FH36">
        <f>#REF!+"vlM!$4d"</f>
        <v/>
      </c>
      <c r="FI36">
        <f>#REF!+"vlM!$4e"</f>
        <v/>
      </c>
      <c r="FJ36">
        <f>#REF!+"vlM!$4f"</f>
        <v/>
      </c>
      <c r="FK36" s="16">
        <f>#REF!+"vlM!$4g"</f>
        <v/>
      </c>
      <c r="FL36">
        <f>#REF!+"vlM!$4h"</f>
        <v/>
      </c>
      <c r="FM36">
        <f>#REF!+"vlM!$4i"</f>
        <v/>
      </c>
      <c r="FN36">
        <f>#REF!+"vlM!$4j"</f>
        <v/>
      </c>
      <c r="FO36">
        <f>#REF!+"vlM!$4k"</f>
        <v/>
      </c>
      <c r="FP36">
        <f>#REF!+"vlM!$4l"</f>
        <v/>
      </c>
      <c r="FQ36">
        <f>#REF!+"vlM!$4m"</f>
        <v/>
      </c>
      <c r="FR36">
        <f>#REF!+"vlM!$4n"</f>
        <v/>
      </c>
      <c r="FS36">
        <f>#REF!+"vlM!$4o"</f>
        <v/>
      </c>
      <c r="FT36">
        <f>#REF!+"vlM!$4p"</f>
        <v/>
      </c>
      <c r="FU36">
        <f>#REF!+"vlM!$4q"</f>
        <v/>
      </c>
      <c r="FV36">
        <f>#REF!+"vlM!$4r"</f>
        <v/>
      </c>
      <c r="FW36">
        <f>#REF!+"vlM!$4s"</f>
        <v/>
      </c>
      <c r="FX36">
        <f>#REF!+"vlM!$4t"</f>
        <v/>
      </c>
      <c r="FY36">
        <f>#REF!+"vlM!$4u"</f>
        <v/>
      </c>
      <c r="FZ36">
        <f>#REF!+"vlM!$4v"</f>
        <v/>
      </c>
      <c r="GA36">
        <f>#REF!+"vlM!$4w"</f>
        <v/>
      </c>
      <c r="GB36">
        <f>#REF!+"vlM!$4x"</f>
        <v/>
      </c>
      <c r="GC36">
        <f>#REF!+"vlM!$4y"</f>
        <v/>
      </c>
      <c r="GD36">
        <f>#REF!+"vlM!$4z"</f>
        <v/>
      </c>
      <c r="GE36">
        <f>#REF!+"vlM!$4{"</f>
        <v/>
      </c>
      <c r="GF36">
        <f>#REF!+"vlM!$4|"</f>
        <v/>
      </c>
      <c r="GG36">
        <f>#REF!+"vlM!$4}"</f>
        <v/>
      </c>
      <c r="GH36">
        <f>#REF!+"vlM!$4~"</f>
        <v/>
      </c>
      <c r="GI36">
        <f>#REF!+"vlM!$5#"</f>
        <v/>
      </c>
      <c r="GJ36">
        <f>#REF!+"vlM!$5$"</f>
        <v/>
      </c>
      <c r="GK36">
        <f>#REF!+"vlM!$5%"</f>
        <v/>
      </c>
      <c r="GL36">
        <f>#REF!+"vlM!$5&amp;"</f>
        <v/>
      </c>
      <c r="GM36">
        <f>#REF!+"vlM!$5'"</f>
        <v/>
      </c>
      <c r="GN36">
        <f>#REF!+"vlM!$5("</f>
        <v/>
      </c>
      <c r="GO36">
        <f>#REF!+"vlM!$5)"</f>
        <v/>
      </c>
      <c r="GP36">
        <f>#REF!+"vlM!$5."</f>
        <v/>
      </c>
      <c r="GQ36">
        <f>#REF!+"vlM!$5/"</f>
        <v/>
      </c>
      <c r="GR36">
        <f>#REF!+"vlM!$50"</f>
        <v/>
      </c>
      <c r="GS36">
        <f>#REF!+"vlM!$51"</f>
        <v/>
      </c>
      <c r="GT36">
        <f>#REF!+"vlM!$52"</f>
        <v/>
      </c>
      <c r="GU36">
        <f>#REF!+"vlM!$53"</f>
        <v/>
      </c>
      <c r="GV36">
        <f>#REF!+"vlM!$54"</f>
        <v/>
      </c>
      <c r="GW36">
        <f>#REF!+"vlM!$55"</f>
        <v/>
      </c>
      <c r="GX36">
        <f>#REF!+"vlM!$56"</f>
        <v/>
      </c>
      <c r="GY36">
        <f>#REF!+"vlM!$57"</f>
        <v/>
      </c>
      <c r="GZ36">
        <f>#REF!+"vlM!$58"</f>
        <v/>
      </c>
      <c r="HA36">
        <f>#REF!+"vlM!$59"</f>
        <v/>
      </c>
      <c r="HB36">
        <f>#REF!+"vlM!$5:"</f>
        <v/>
      </c>
      <c r="HC36">
        <f>#REF!+"vlM!$5;"</f>
        <v/>
      </c>
      <c r="HD36">
        <f>#REF!+"vlM!$5&lt;"</f>
        <v/>
      </c>
      <c r="HE36">
        <f>#REF!+"vlM!$5="</f>
        <v/>
      </c>
      <c r="HF36">
        <f>#REF!+"vlM!$5&gt;"</f>
        <v/>
      </c>
      <c r="HG36">
        <f>#REF!+"vlM!$5?"</f>
        <v/>
      </c>
      <c r="HH36">
        <f>#REF!+"vlM!$5@"</f>
        <v/>
      </c>
      <c r="HI36">
        <f>#REF!+"vlM!$5A"</f>
        <v/>
      </c>
      <c r="HJ36">
        <f>#REF!+"vlM!$5B"</f>
        <v/>
      </c>
      <c r="HK36">
        <f>#REF!+"vlM!$5C"</f>
        <v/>
      </c>
      <c r="HL36">
        <f>#REF!+"vlM!$5D"</f>
        <v/>
      </c>
      <c r="HM36">
        <f>#REF!+"vlM!$5E"</f>
        <v/>
      </c>
      <c r="HN36">
        <f>#REF!+"vlM!$5F"</f>
        <v/>
      </c>
      <c r="HO36">
        <f>#REF!+"vlM!$5G"</f>
        <v/>
      </c>
      <c r="HP36">
        <f>#REF!+"vlM!$5H"</f>
        <v/>
      </c>
      <c r="HQ36">
        <f>#REF!+"vlM!$5I"</f>
        <v/>
      </c>
      <c r="HR36">
        <f>#REF!+"vlM!$5J"</f>
        <v/>
      </c>
      <c r="HS36">
        <f>#REF!+"vlM!$5K"</f>
        <v/>
      </c>
      <c r="HT36">
        <f>#REF!+"vlM!$5L"</f>
        <v/>
      </c>
      <c r="HU36">
        <f>#REF!+"vlM!$5M"</f>
        <v/>
      </c>
      <c r="HV36">
        <f>#REF!+"vlM!$5N"</f>
        <v/>
      </c>
      <c r="HW36">
        <f>#REF!+"vlM!$5O"</f>
        <v/>
      </c>
      <c r="HX36">
        <f>#REF!+"vlM!$5P"</f>
        <v/>
      </c>
      <c r="HY36">
        <f>#REF!+"vlM!$5Q"</f>
        <v/>
      </c>
      <c r="HZ36">
        <f>#REF!+"vlM!$5R"</f>
        <v/>
      </c>
      <c r="IA36">
        <f>#REF!+"vlM!$5S"</f>
        <v/>
      </c>
      <c r="IB36">
        <f>#REF!+"vlM!$5T"</f>
        <v/>
      </c>
      <c r="IC36">
        <f>#REF!+"vlM!$5U"</f>
        <v/>
      </c>
      <c r="ID36">
        <f>#REF!+"vlM!$5V"</f>
        <v/>
      </c>
      <c r="IE36" s="16">
        <f>#REF!+"vlM!$5W"</f>
        <v/>
      </c>
      <c r="IF36">
        <f>#REF!+"vlM!$5X"</f>
        <v/>
      </c>
      <c r="IG36">
        <f>#REF!+"vlM!$5Y"</f>
        <v/>
      </c>
      <c r="IH36">
        <f>#REF!+"vlM!$5Z"</f>
        <v/>
      </c>
      <c r="II36">
        <f>#REF!+"vlM!$5["</f>
        <v/>
      </c>
      <c r="IJ36">
        <f>#REF!+"vlM!$5\"</f>
        <v/>
      </c>
      <c r="IK36">
        <f>#REF!+"vlM!$5]"</f>
        <v/>
      </c>
      <c r="IL36">
        <f>#REF!+"vlM!$5^"</f>
        <v/>
      </c>
      <c r="IM36">
        <f>#REF!+"vlM!$5_"</f>
        <v/>
      </c>
      <c r="IN36">
        <f>#REF!+"vlM!$5`"</f>
        <v/>
      </c>
      <c r="IO36">
        <f>#REF!+"vlM!$5a"</f>
        <v/>
      </c>
      <c r="IP36">
        <f>#REF!+"vlM!$5b"</f>
        <v/>
      </c>
      <c r="IQ36">
        <f>#REF!+"vlM!$5c"</f>
        <v/>
      </c>
      <c r="IR36">
        <f>#REF!+"vlM!$5d"</f>
        <v/>
      </c>
      <c r="IS36">
        <f>#REF!+"vlM!$5e"</f>
        <v/>
      </c>
      <c r="IT36">
        <f>#REF!+"vlM!$5f"</f>
        <v/>
      </c>
      <c r="IU36">
        <f>#REF!+"vlM!$5g"</f>
        <v/>
      </c>
      <c r="IV36">
        <f>#REF!+"vlM!$5h"</f>
        <v/>
      </c>
    </row>
    <row r="37">
      <c r="F37">
        <f>#REF!+"vlM!$5i"</f>
        <v/>
      </c>
      <c r="G37">
        <f>#REF!+"vlM!$5j"</f>
        <v/>
      </c>
      <c r="H37">
        <f>#REF!+"vlM!$5k"</f>
        <v/>
      </c>
      <c r="I37">
        <f>#REF!+"vlM!$5l"</f>
        <v/>
      </c>
      <c r="J37">
        <f>#REF!+"vlM!$5m"</f>
        <v/>
      </c>
      <c r="K37">
        <f>#REF!+"vlM!$5n"</f>
        <v/>
      </c>
      <c r="L37">
        <f>#REF!+"vlM!$5o"</f>
        <v/>
      </c>
      <c r="M37">
        <f>#REF!+"vlM!$5p"</f>
        <v/>
      </c>
      <c r="N37">
        <f>#REF!+"vlM!$5q"</f>
        <v/>
      </c>
      <c r="O37">
        <f>#REF!+"vlM!$5r"</f>
        <v/>
      </c>
      <c r="P37">
        <f>#REF!+"vlM!$5s"</f>
        <v/>
      </c>
      <c r="Q37">
        <f>#REF!+"vlM!$5t"</f>
        <v/>
      </c>
      <c r="R37">
        <f>#REF!+"vlM!$5u"</f>
        <v/>
      </c>
      <c r="S37">
        <f>#REF!+"vlM!$5v"</f>
        <v/>
      </c>
      <c r="T37">
        <f>#REF!+"vlM!$5w"</f>
        <v/>
      </c>
      <c r="U37">
        <f>#REF!+"vlM!$5x"</f>
        <v/>
      </c>
      <c r="V37">
        <f>#REF!+"vlM!$5y"</f>
        <v/>
      </c>
      <c r="W37">
        <f>#REF!+"vlM!$5z"</f>
        <v/>
      </c>
      <c r="X37">
        <f>#REF!+"vlM!$5{"</f>
        <v/>
      </c>
      <c r="Y37">
        <f>#REF!+"vlM!$5|"</f>
        <v/>
      </c>
      <c r="Z37">
        <f>#REF!+"vlM!$5}"</f>
        <v/>
      </c>
      <c r="AA37">
        <f>#REF!+"vlM!$5~"</f>
        <v/>
      </c>
      <c r="AB37">
        <f>#REF!+"vlM!$6#"</f>
        <v/>
      </c>
      <c r="AC37">
        <f>#REF!+"vlM!$6$"</f>
        <v/>
      </c>
      <c r="AD37">
        <f>#REF!+"vlM!$6%"</f>
        <v/>
      </c>
      <c r="AE37">
        <f>#REF!+"vlM!$6&amp;"</f>
        <v/>
      </c>
      <c r="AF37">
        <f>#REF!+"vlM!$6'"</f>
        <v/>
      </c>
      <c r="AG37">
        <f>#REF!+"vlM!$6("</f>
        <v/>
      </c>
      <c r="AH37">
        <f>#REF!+"vlM!$6)"</f>
        <v/>
      </c>
      <c r="AI37">
        <f>#REF!+"vlM!$6."</f>
        <v/>
      </c>
      <c r="AJ37">
        <f>#REF!+"vlM!$6/"</f>
        <v/>
      </c>
      <c r="AK37">
        <f>#REF!+"vlM!$60"</f>
        <v/>
      </c>
      <c r="AL37">
        <f>#REF!+"vlM!$61"</f>
        <v/>
      </c>
      <c r="AM37">
        <f>#REF!+"vlM!$62"</f>
        <v/>
      </c>
      <c r="AN37">
        <f>#REF!+"vlM!$63"</f>
        <v/>
      </c>
      <c r="AO37">
        <f>#REF!+"vlM!$64"</f>
        <v/>
      </c>
      <c r="AP37">
        <f>#REF!+"vlM!$65"</f>
        <v/>
      </c>
      <c r="AQ37">
        <f>#REF!+"vlM!$66"</f>
        <v/>
      </c>
      <c r="AR37">
        <f>#REF!+"vlM!$67"</f>
        <v/>
      </c>
      <c r="AS37">
        <f>#REF!+"vlM!$68"</f>
        <v/>
      </c>
      <c r="AT37">
        <f>#REF!+"vlM!$69"</f>
        <v/>
      </c>
      <c r="AU37">
        <f>#REF!+"vlM!$6:"</f>
        <v/>
      </c>
      <c r="AV37">
        <f>#REF!+"vlM!$6;"</f>
        <v/>
      </c>
      <c r="AW37">
        <f>#REF!+"vlM!$6&lt;"</f>
        <v/>
      </c>
      <c r="AX37">
        <f>#REF!+"vlM!$6="</f>
        <v/>
      </c>
      <c r="AY37">
        <f>#REF!+"vlM!$6&gt;"</f>
        <v/>
      </c>
      <c r="AZ37">
        <f>#REF!+"vlM!$6?"</f>
        <v/>
      </c>
      <c r="BA37">
        <f>#REF!+"vlM!$6@"</f>
        <v/>
      </c>
      <c r="BB37">
        <f>#REF!+"vlM!$6A"</f>
        <v/>
      </c>
      <c r="BC37">
        <f>#REF!+"vlM!$6B"</f>
        <v/>
      </c>
      <c r="BD37">
        <f>#REF!+"vlM!$6C"</f>
        <v/>
      </c>
      <c r="BE37">
        <f>#REF!+"vlM!$6D"</f>
        <v/>
      </c>
      <c r="BF37">
        <f>#REF!+"vlM!$6E"</f>
        <v/>
      </c>
      <c r="BG37">
        <f>#REF!+"vlM!$6F"</f>
        <v/>
      </c>
      <c r="BH37">
        <f>#REF!+"vlM!$6G"</f>
        <v/>
      </c>
      <c r="BI37">
        <f>#REF!+"vlM!$6H"</f>
        <v/>
      </c>
      <c r="BJ37">
        <f>#REF!+"vlM!$6I"</f>
        <v/>
      </c>
      <c r="BK37">
        <f>#REF!+"vlM!$6J"</f>
        <v/>
      </c>
      <c r="BL37">
        <f>#REF!+"vlM!$6K"</f>
        <v/>
      </c>
      <c r="BM37">
        <f>#REF!+"vlM!$6L"</f>
        <v/>
      </c>
      <c r="BN37">
        <f>#REF!+"vlM!$6M"</f>
        <v/>
      </c>
      <c r="BO37">
        <f>#REF!+"vlM!$6N"</f>
        <v/>
      </c>
      <c r="BP37">
        <f>#REF!+"vlM!$6O"</f>
        <v/>
      </c>
      <c r="BQ37">
        <f>#REF!+"vlM!$6P"</f>
        <v/>
      </c>
      <c r="BR37">
        <f>#REF!+"vlM!$6Q"</f>
        <v/>
      </c>
      <c r="BS37">
        <f>#REF!+"vlM!$6R"</f>
        <v/>
      </c>
      <c r="BT37">
        <f>#REF!+"vlM!$6S"</f>
        <v/>
      </c>
      <c r="BU37">
        <f>#REF!+"vlM!$6T"</f>
        <v/>
      </c>
      <c r="BV37">
        <f>#REF!+"vlM!$6U"</f>
        <v/>
      </c>
      <c r="BW37">
        <f>#REF!+"vlM!$6V"</f>
        <v/>
      </c>
      <c r="BX37">
        <f>#REF!+"vlM!$6W"</f>
        <v/>
      </c>
      <c r="BY37">
        <f>#REF!+"vlM!$6X"</f>
        <v/>
      </c>
      <c r="BZ37">
        <f>#REF!+"vlM!$6Y"</f>
        <v/>
      </c>
      <c r="CA37">
        <f>#REF!+"vlM!$6Z"</f>
        <v/>
      </c>
      <c r="CB37">
        <f>#REF!+"vlM!$6["</f>
        <v/>
      </c>
      <c r="CC37">
        <f>#REF!+"vlM!$6\"</f>
        <v/>
      </c>
      <c r="CD37">
        <f>#REF!+"vlM!$6]"</f>
        <v/>
      </c>
      <c r="CE37">
        <f>#REF!+"vlM!$6^"</f>
        <v/>
      </c>
      <c r="CF37">
        <f>#REF!+"vlM!$6_"</f>
        <v/>
      </c>
      <c r="CG37">
        <f>#REF!+"vlM!$6`"</f>
        <v/>
      </c>
      <c r="CH37">
        <f>#REF!+"vlM!$6a"</f>
        <v/>
      </c>
      <c r="CI37">
        <f>#REF!+"vlM!$6b"</f>
        <v/>
      </c>
      <c r="CJ37">
        <f>#REF!+"vlM!$6c"</f>
        <v/>
      </c>
      <c r="CK37">
        <f>#REF!+"vlM!$6d"</f>
        <v/>
      </c>
      <c r="CL37">
        <f>#REF!+"vlM!$6e"</f>
        <v/>
      </c>
      <c r="CM37">
        <f>#REF!+"vlM!$6f"</f>
        <v/>
      </c>
      <c r="CN37">
        <f>#REF!+"vlM!$6g"</f>
        <v/>
      </c>
      <c r="CO37">
        <f>#REF!+"vlM!$6h"</f>
        <v/>
      </c>
      <c r="CP37">
        <f>#REF!+"vlM!$6i"</f>
        <v/>
      </c>
      <c r="CQ37">
        <f>#REF!+"vlM!$6j"</f>
        <v/>
      </c>
      <c r="CR37">
        <f>#REF!+"vlM!$6k"</f>
        <v/>
      </c>
      <c r="CS37">
        <f>#REF!+"vlM!$6l"</f>
        <v/>
      </c>
      <c r="CT37">
        <f>#REF!+"vlM!$6m"</f>
        <v/>
      </c>
      <c r="CU37">
        <f>#REF!+"vlM!$6n"</f>
        <v/>
      </c>
      <c r="CV37">
        <f>#REF!+"vlM!$6o"</f>
        <v/>
      </c>
      <c r="CW37">
        <f>#REF!+"vlM!$6p"</f>
        <v/>
      </c>
      <c r="CX37">
        <f>#REF!+"vlM!$6q"</f>
        <v/>
      </c>
      <c r="CY37">
        <f>#REF!+"vlM!$6r"</f>
        <v/>
      </c>
      <c r="CZ37">
        <f>#REF!+"vlM!$6s"</f>
        <v/>
      </c>
      <c r="DA37">
        <f>#REF!+"vlM!$6t"</f>
        <v/>
      </c>
      <c r="DB37">
        <f>#REF!+"vlM!$6u"</f>
        <v/>
      </c>
      <c r="DC37">
        <f>#REF!+"vlM!$6v"</f>
        <v/>
      </c>
      <c r="DD37">
        <f>#REF!+"vlM!$6w"</f>
        <v/>
      </c>
      <c r="DE37">
        <f>#REF!*"vlM!$6x"</f>
        <v/>
      </c>
      <c r="DF37">
        <f>#REF!*"vlM!$6y"</f>
        <v/>
      </c>
      <c r="DG37">
        <f>#REF!*"vlM!$6z"</f>
        <v/>
      </c>
      <c r="DH37">
        <f>#REF!*"vlM!$6{"</f>
        <v/>
      </c>
      <c r="DI37">
        <f>#REF!*"vlM!$6|"</f>
        <v/>
      </c>
      <c r="DJ37">
        <f>#REF!*"vlM!$6}"</f>
        <v/>
      </c>
      <c r="DK37">
        <f>#REF!*"vlM!$6~"</f>
        <v/>
      </c>
      <c r="DL37">
        <f>#REF!*"vlM!$7#"</f>
        <v/>
      </c>
      <c r="DM37">
        <f>#REF!*"vlM!$7$"</f>
        <v/>
      </c>
      <c r="DN37">
        <f>#REF!*"vlM!$7%"</f>
        <v/>
      </c>
      <c r="DO37">
        <f>#REF!*"vlM!$7&amp;"</f>
        <v/>
      </c>
      <c r="DP37">
        <f>#REF!*"vlM!$7'"</f>
        <v/>
      </c>
      <c r="DQ37">
        <f>#REF!*"vlM!$7("</f>
        <v/>
      </c>
      <c r="DR37">
        <f>#REF!*"vlM!$7)"</f>
        <v/>
      </c>
      <c r="DS37">
        <f>#REF!*"vlM!$7."</f>
        <v/>
      </c>
      <c r="DT37">
        <f>#REF!*"vlM!$7/"</f>
        <v/>
      </c>
      <c r="DU37">
        <f>#REF!*"vlM!$70"</f>
        <v/>
      </c>
      <c r="DV37">
        <f>#REF!*"vlM!$71"</f>
        <v/>
      </c>
      <c r="DW37">
        <f>#REF!*"vlM!$72"</f>
        <v/>
      </c>
      <c r="DX37">
        <f>#REF!*"vlM!$73"</f>
        <v/>
      </c>
      <c r="DY37">
        <f>#REF!*"vlM!$74"</f>
        <v/>
      </c>
      <c r="DZ37">
        <f>#REF!*"vlM!$75"</f>
        <v/>
      </c>
      <c r="EA37">
        <f>#REF!*"vlM!$76"</f>
        <v/>
      </c>
      <c r="EB37">
        <f>#REF!*"vlM!$77"</f>
        <v/>
      </c>
      <c r="EC37">
        <f>#REF!*"vlM!$78"</f>
        <v/>
      </c>
      <c r="ED37">
        <f>#REF!*"vlM!$79"</f>
        <v/>
      </c>
      <c r="EE37">
        <f>#REF!*"vlM!$7:"</f>
        <v/>
      </c>
      <c r="EF37">
        <f>#REF!*"vlM!$7;"</f>
        <v/>
      </c>
      <c r="EG37">
        <f>#REF!*"vlM!$7&lt;"</f>
        <v/>
      </c>
      <c r="EH37">
        <f>#REF!*"vlM!$7="</f>
        <v/>
      </c>
      <c r="EI37">
        <f>#REF!*"vlM!$7&gt;"</f>
        <v/>
      </c>
      <c r="EJ37">
        <f>#REF!*"vlM!$7?"</f>
        <v/>
      </c>
      <c r="EK37">
        <f>#REF!*"vlM!$7@"</f>
        <v/>
      </c>
      <c r="EL37">
        <f>#REF!*"vlM!$7A"</f>
        <v/>
      </c>
      <c r="EM37">
        <f>#REF!*"vlM!$7B"</f>
        <v/>
      </c>
      <c r="EN37">
        <f>#REF!*"vlM!$7C"</f>
        <v/>
      </c>
      <c r="EO37">
        <f>#REF!*"vlM!$7D"</f>
        <v/>
      </c>
      <c r="EP37">
        <f>#REF!*"vlM!$7E"</f>
        <v/>
      </c>
      <c r="EQ37">
        <f>#REF!*"vlM!$7F"</f>
        <v/>
      </c>
      <c r="ER37">
        <f>#REF!*"vlM!$7G"</f>
        <v/>
      </c>
      <c r="ES37">
        <f>#REF!*"vlM!$7H"</f>
        <v/>
      </c>
      <c r="ET37">
        <f>#REF!*"vlM!$7I"</f>
        <v/>
      </c>
      <c r="EU37">
        <f>#REF!*"vlM!$7J"</f>
        <v/>
      </c>
      <c r="EV37">
        <f>#REF!*"vlM!$7K"</f>
        <v/>
      </c>
      <c r="EW37">
        <f>#REF!*"vlM!$7L"</f>
        <v/>
      </c>
      <c r="EX37">
        <f>#REF!*"vlM!$7M"</f>
        <v/>
      </c>
      <c r="EY37">
        <f>#REF!*"vlM!$7N"</f>
        <v/>
      </c>
      <c r="EZ37">
        <f>#REF!*"vlM!$7O"</f>
        <v/>
      </c>
      <c r="FA37">
        <f>#REF!*"vlM!$7P"</f>
        <v/>
      </c>
      <c r="FB37">
        <f>#REF!*"vlM!$7Q"</f>
        <v/>
      </c>
      <c r="FC37">
        <f>#REF!*"vlM!$7R"</f>
        <v/>
      </c>
      <c r="FD37">
        <f>#REF!*"vlM!$7S"</f>
        <v/>
      </c>
      <c r="FE37">
        <f>#REF!*"vlM!$7T"</f>
        <v/>
      </c>
      <c r="FF37">
        <f>#REF!-"vlM!$7U"</f>
        <v/>
      </c>
      <c r="FG37">
        <f>#REF!-"vlM!$7V"</f>
        <v/>
      </c>
      <c r="FH37">
        <f>#REF!-"vlM!$7W"</f>
        <v/>
      </c>
      <c r="FI37">
        <f>#REF!-"vlM!$7X"</f>
        <v/>
      </c>
      <c r="FJ37">
        <f>#REF!-"vlM!$7Y"</f>
        <v/>
      </c>
      <c r="FK37">
        <f>#REF!-"vlM!$7Z"</f>
        <v/>
      </c>
      <c r="FL37">
        <f>#REF!-"vlM!$7["</f>
        <v/>
      </c>
      <c r="FM37">
        <f>#REF!-"vlM!$7\"</f>
        <v/>
      </c>
      <c r="FN37">
        <f>#REF!-"vlM!$7]"</f>
        <v/>
      </c>
      <c r="FO37">
        <f>#REF!-"vlM!$7^"</f>
        <v/>
      </c>
      <c r="FP37">
        <f>#REF!-"vlM!$7_"</f>
        <v/>
      </c>
      <c r="FQ37">
        <f>#REF!-"vlM!$7`"</f>
        <v/>
      </c>
      <c r="FR37">
        <f>#REF!-"vlM!$7a"</f>
        <v/>
      </c>
      <c r="FS37">
        <f>#REF!-"vlM!$7b"</f>
        <v/>
      </c>
      <c r="FT37">
        <f>#REF!-"vlM!$7c"</f>
        <v/>
      </c>
      <c r="FU37">
        <f>#REF!-"vlM!$7d"</f>
        <v/>
      </c>
      <c r="FV37">
        <f>#REF!-"vlM!$7e"</f>
        <v/>
      </c>
      <c r="FW37">
        <f>#REF!-"vlM!$7f"</f>
        <v/>
      </c>
      <c r="FX37">
        <f>#REF!-"vlM!$7g"</f>
        <v/>
      </c>
      <c r="FY37">
        <f>#REF!-"vlM!$7h"</f>
        <v/>
      </c>
      <c r="FZ37">
        <f>#REF!-"vlM!$7i"</f>
        <v/>
      </c>
      <c r="GA37">
        <f>#REF!-"vlM!$7j"</f>
        <v/>
      </c>
      <c r="GB37">
        <f>#REF!-"vlM!$7k"</f>
        <v/>
      </c>
      <c r="GC37">
        <f>#REF!-"vlM!$7l"</f>
        <v/>
      </c>
      <c r="GD37">
        <f>#REF!-"vlM!$7m"</f>
        <v/>
      </c>
      <c r="GE37">
        <f>#REF!-"vlM!$7n"</f>
        <v/>
      </c>
      <c r="GF37">
        <f>#REF!-"vlM!$7o"</f>
        <v/>
      </c>
      <c r="GG37">
        <f>#REF!-"vlM!$7p"</f>
        <v/>
      </c>
      <c r="GH37">
        <f>#REF!-"vlM!$7q"</f>
        <v/>
      </c>
      <c r="GI37">
        <f>#REF!-"vlM!$7r"</f>
        <v/>
      </c>
      <c r="GJ37">
        <f>#REF!-"vlM!$7s"</f>
        <v/>
      </c>
      <c r="GK37">
        <f>#REF!-"vlM!$7t"</f>
        <v/>
      </c>
      <c r="GL37">
        <f>#REF!-"vlM!$7u"</f>
        <v/>
      </c>
      <c r="GM37">
        <f>#REF!-"vlM!$7v"</f>
        <v/>
      </c>
      <c r="GN37">
        <f>#REF!-"vlM!$7w"</f>
        <v/>
      </c>
      <c r="GO37">
        <f>#REF!-"vlM!$7x"</f>
        <v/>
      </c>
      <c r="GP37">
        <f>#REF!-"vlM!$7y"</f>
        <v/>
      </c>
      <c r="GQ37">
        <f>#REF!-"vlM!$7z"</f>
        <v/>
      </c>
      <c r="GR37">
        <f>#REF!-"vlM!$7{"</f>
        <v/>
      </c>
      <c r="GS37">
        <f>#REF!-"vlM!$7|"</f>
        <v/>
      </c>
      <c r="GT37">
        <f>#REF!-"vlM!$7}"</f>
        <v/>
      </c>
      <c r="GU37">
        <f>#REF!-"vlM!$7~"</f>
        <v/>
      </c>
      <c r="GV37">
        <f>#REF!-"vlM!$8#"</f>
        <v/>
      </c>
      <c r="GW37">
        <f>#REF!-"vlM!$8$"</f>
        <v/>
      </c>
      <c r="GX37">
        <f>#REF!-"vlM!$8%"</f>
        <v/>
      </c>
      <c r="GY37">
        <f>#REF!-"vlM!$8&amp;"</f>
        <v/>
      </c>
      <c r="GZ37">
        <f>#REF!-"vlM!$8'"</f>
        <v/>
      </c>
      <c r="HA37">
        <f>#REF!-"vlM!$8("</f>
        <v/>
      </c>
      <c r="HB37">
        <f>#REF!-"vlM!$8)"</f>
        <v/>
      </c>
      <c r="HC37">
        <f>#REF!-"vlM!$8."</f>
        <v/>
      </c>
      <c r="HD37">
        <f>#REF!-"vlM!$8/"</f>
        <v/>
      </c>
      <c r="HE37">
        <f>#REF!-"vlM!$80"</f>
        <v/>
      </c>
      <c r="HF37">
        <f>#REF!-"vlM!$81"</f>
        <v/>
      </c>
      <c r="HG37">
        <f>#REF!-"vlM!$82"</f>
        <v/>
      </c>
      <c r="HH37">
        <f>#REF!-"vlM!$83"</f>
        <v/>
      </c>
      <c r="HI37">
        <f>#REF!-"vlM!$84"</f>
        <v/>
      </c>
      <c r="HJ37">
        <f>#REF!-"vlM!$85"</f>
        <v/>
      </c>
      <c r="HK37">
        <f>#REF!-"vlM!$86"</f>
        <v/>
      </c>
      <c r="HL37">
        <f>#REF!-"vlM!$87"</f>
        <v/>
      </c>
      <c r="HM37">
        <f>#REF!-"vlM!$88"</f>
        <v/>
      </c>
      <c r="HN37">
        <f>#REF!-"vlM!$89"</f>
        <v/>
      </c>
      <c r="HO37">
        <f>#REF!-"vlM!$8:"</f>
        <v/>
      </c>
      <c r="HP37">
        <f>#REF!-"vlM!$8;"</f>
        <v/>
      </c>
      <c r="HQ37">
        <f>#REF!-"vlM!$8&lt;"</f>
        <v/>
      </c>
      <c r="HR37">
        <f>#REF!-"vlM!$8="</f>
        <v/>
      </c>
      <c r="HS37">
        <f>#REF!-"vlM!$8&gt;"</f>
        <v/>
      </c>
      <c r="HT37">
        <f>#REF!-"vlM!$8?"</f>
        <v/>
      </c>
      <c r="HU37">
        <f>#REF!-"vlM!$8@"</f>
        <v/>
      </c>
      <c r="HV37">
        <f>#REF!-"vlM!$8A"</f>
        <v/>
      </c>
      <c r="HW37">
        <f>#REF!-"vlM!$8B"</f>
        <v/>
      </c>
      <c r="HX37">
        <f>#REF!-"vlM!$8C"</f>
        <v/>
      </c>
      <c r="HY37">
        <f>#REF!-"vlM!$8D"</f>
        <v/>
      </c>
      <c r="HZ37">
        <f>#REF!-"vlM!$8E"</f>
        <v/>
      </c>
      <c r="IA37">
        <f>#REF!-"vlM!$8F"</f>
        <v/>
      </c>
      <c r="IB37">
        <f>#REF!-"vlM!$8G"</f>
        <v/>
      </c>
      <c r="IC37">
        <f>#REF!-"vlM!$8H"</f>
        <v/>
      </c>
      <c r="ID37">
        <f>#REF!-"vlM!$8I"</f>
        <v/>
      </c>
      <c r="IE37">
        <f>#REF!-"vlM!$8J"</f>
        <v/>
      </c>
      <c r="IF37">
        <f>#REF!-"vlM!$8K"</f>
        <v/>
      </c>
      <c r="IG37">
        <f>#REF!-"vlM!$8L"</f>
        <v/>
      </c>
      <c r="IH37">
        <f>#REF!-"vlM!$8M"</f>
        <v/>
      </c>
      <c r="II37">
        <f>#REF!-"vlM!$8N"</f>
        <v/>
      </c>
      <c r="IJ37">
        <f>#REF!-"vlM!$8O"</f>
        <v/>
      </c>
      <c r="IK37">
        <f>#REF!-"vlM!$8P"</f>
        <v/>
      </c>
      <c r="IL37">
        <f>#REF!-"vlM!$8Q"</f>
        <v/>
      </c>
      <c r="IM37">
        <f>#REF!-"vlM!$8R"</f>
        <v/>
      </c>
      <c r="IN37">
        <f>#REF!-"vlM!$8S"</f>
        <v/>
      </c>
      <c r="IO37">
        <f>#REF!-"vlM!$8T"</f>
        <v/>
      </c>
      <c r="IP37">
        <f>#REF!-"vlM!$8U"</f>
        <v/>
      </c>
      <c r="IQ37">
        <f>#REF!-"vlM!$8V"</f>
        <v/>
      </c>
      <c r="IR37">
        <f>#REF!-"vlM!$8W"</f>
        <v/>
      </c>
      <c r="IS37">
        <f>#REF!-"vlM!$8X"</f>
        <v/>
      </c>
      <c r="IT37">
        <f>#REF!-"vlM!$8Y"</f>
        <v/>
      </c>
      <c r="IU37">
        <f>#REF!-"vlM!$8Z"</f>
        <v/>
      </c>
      <c r="IV37">
        <f>#REF!-"vlM!$8["</f>
        <v/>
      </c>
    </row>
    <row r="38">
      <c r="F38">
        <f>#REF!-"vlM!$8\"</f>
        <v/>
      </c>
      <c r="G38">
        <f>#REF!-"vlM!$8]"</f>
        <v/>
      </c>
      <c r="H38">
        <f>#REF!-"vlM!$8^"</f>
        <v/>
      </c>
      <c r="I38">
        <f>#REF!-"vlM!$8_"</f>
        <v/>
      </c>
      <c r="J38">
        <f>#REF!-"vlM!$8`"</f>
        <v/>
      </c>
      <c r="K38">
        <f>#REF!-"vlM!$8a"</f>
        <v/>
      </c>
      <c r="L38">
        <f>#REF!-"vlM!$8b"</f>
        <v/>
      </c>
      <c r="M38">
        <f>#REF!-"vlM!$8c"</f>
        <v/>
      </c>
      <c r="N38">
        <f>#REF!-"vlM!$8d"</f>
        <v/>
      </c>
      <c r="O38">
        <f>#REF!-"vlM!$8e"</f>
        <v/>
      </c>
      <c r="P38">
        <f>#REF!-"vlM!$8f"</f>
        <v/>
      </c>
      <c r="Q38">
        <f>#REF!-"vlM!$8g"</f>
        <v/>
      </c>
      <c r="R38">
        <f>#REF!-"vlM!$8h"</f>
        <v/>
      </c>
      <c r="S38">
        <f>#REF!-"vlM!$8i"</f>
        <v/>
      </c>
      <c r="T38">
        <f>#REF!-"vlM!$8j"</f>
        <v/>
      </c>
      <c r="U38">
        <f>#REF!-"vlM!$8k"</f>
        <v/>
      </c>
      <c r="V38">
        <f>#REF!-"vlM!$8l"</f>
        <v/>
      </c>
      <c r="W38">
        <f>#REF!-"vlM!$8m"</f>
        <v/>
      </c>
      <c r="X38">
        <f>#REF!-"vlM!$8n"</f>
        <v/>
      </c>
      <c r="Y38">
        <f>#REF!-"vlM!$8o"</f>
        <v/>
      </c>
      <c r="Z38">
        <f>#REF!-"vlM!$8p"</f>
        <v/>
      </c>
      <c r="AA38">
        <f>#REF!-"vlM!$8q"</f>
        <v/>
      </c>
      <c r="AB38">
        <f>#REF!-"vlM!$8r"</f>
        <v/>
      </c>
      <c r="AC38">
        <f>#REF!-"vlM!$8s"</f>
        <v/>
      </c>
      <c r="AD38">
        <f>#REF!-"vlM!$8t"</f>
        <v/>
      </c>
      <c r="AE38">
        <f>#REF!-"vlM!$8u"</f>
        <v/>
      </c>
      <c r="AF38">
        <f>#REF!-"vlM!$8v"</f>
        <v/>
      </c>
      <c r="AG38">
        <f>#REF!-"vlM!$8w"</f>
        <v/>
      </c>
      <c r="AH38">
        <f>#REF!-"vlM!$8x"</f>
        <v/>
      </c>
      <c r="AI38">
        <f>#REF!-"vlM!$8y"</f>
        <v/>
      </c>
      <c r="AJ38">
        <f>#REF!-"vlM!$8z"</f>
        <v/>
      </c>
      <c r="AK38">
        <f>#REF!-"vlM!$8{"</f>
        <v/>
      </c>
      <c r="AL38">
        <f>#REF!-"vlM!$8|"</f>
        <v/>
      </c>
      <c r="AM38">
        <f>#REF!-"vlM!$8}"</f>
        <v/>
      </c>
      <c r="AN38">
        <f>#REF!-"vlM!$8~"</f>
        <v/>
      </c>
      <c r="AO38">
        <f>#REF!-"vlM!$9#"</f>
        <v/>
      </c>
      <c r="AP38">
        <f>#REF!-"vlM!$9$"</f>
        <v/>
      </c>
      <c r="AQ38">
        <f>#REF!-"vlM!$9%"</f>
        <v/>
      </c>
      <c r="AR38">
        <f>#REF!-"vlM!$9&amp;"</f>
        <v/>
      </c>
      <c r="AS38">
        <f>#REF!-"vlM!$9'"</f>
        <v/>
      </c>
      <c r="AT38">
        <f>#REF!-"vlM!$9("</f>
        <v/>
      </c>
      <c r="AU38">
        <f>#REF!-"vlM!$9)"</f>
        <v/>
      </c>
      <c r="AV38">
        <f>#REF!-"vlM!$9."</f>
        <v/>
      </c>
      <c r="AW38">
        <f>#REF!-"vlM!$9/"</f>
        <v/>
      </c>
      <c r="AX38">
        <f>#REF!-"vlM!$90"</f>
        <v/>
      </c>
      <c r="AY38">
        <f>#REF!-"vlM!$91"</f>
        <v/>
      </c>
      <c r="AZ38">
        <f>#REF!-"vlM!$92"</f>
        <v/>
      </c>
      <c r="BA38">
        <f>#REF!-"vlM!$93"</f>
        <v/>
      </c>
      <c r="BB38">
        <f>#REF!-"vlM!$94"</f>
        <v/>
      </c>
      <c r="BC38">
        <f>#REF!-"vlM!$95"</f>
        <v/>
      </c>
      <c r="BD38">
        <f>#REF!-"vlM!$96"</f>
        <v/>
      </c>
      <c r="BE38">
        <f>#REF!-"vlM!$97"</f>
        <v/>
      </c>
      <c r="BF38">
        <f>#REF!-"vlM!$98"</f>
        <v/>
      </c>
      <c r="BG38">
        <f>#REF!-"vlM!$99"</f>
        <v/>
      </c>
      <c r="BH38">
        <f>#REF!-"vlM!$9:"</f>
        <v/>
      </c>
      <c r="BI38">
        <f>#REF!-"vlM!$9;"</f>
        <v/>
      </c>
      <c r="BJ38">
        <f>#REF!-"vlM!$9&lt;"</f>
        <v/>
      </c>
      <c r="BK38">
        <f>#REF!-"vlM!$9="</f>
        <v/>
      </c>
      <c r="BL38">
        <f>#REF!-"vlM!$9&gt;"</f>
        <v/>
      </c>
      <c r="BM38">
        <f>#REF!-"vlM!$9?"</f>
        <v/>
      </c>
      <c r="BN38">
        <f>#REF!-"vlM!$9@"</f>
        <v/>
      </c>
      <c r="BO38">
        <f>#REF!-"vlM!$9A"</f>
        <v/>
      </c>
      <c r="BP38">
        <f>#REF!-"vlM!$9B"</f>
        <v/>
      </c>
      <c r="BQ38">
        <f>#REF!-"vlM!$9C"</f>
        <v/>
      </c>
      <c r="BR38">
        <f>#REF!-"vlM!$9D"</f>
        <v/>
      </c>
      <c r="BS38">
        <f>#REF!-"vlM!$9E"</f>
        <v/>
      </c>
      <c r="BT38">
        <f>#REF!-"vlM!$9F"</f>
        <v/>
      </c>
      <c r="BU38">
        <f>#REF!-"vlM!$9G"</f>
        <v/>
      </c>
      <c r="BV38">
        <f>#REF!-"vlM!$9H"</f>
        <v/>
      </c>
      <c r="BW38">
        <f>#REF!-"vlM!$9I"</f>
        <v/>
      </c>
      <c r="BX38">
        <f>#REF!-"vlM!$9J"</f>
        <v/>
      </c>
      <c r="BY38">
        <f>#REF!-"vlM!$9K"</f>
        <v/>
      </c>
      <c r="BZ38">
        <f>#REF!-"vlM!$9L"</f>
        <v/>
      </c>
      <c r="CA38">
        <f>#REF!-"vlM!$9M"</f>
        <v/>
      </c>
      <c r="CB38">
        <f>#REF!-"vlM!$9N"</f>
        <v/>
      </c>
      <c r="CC38">
        <f>#REF!-"vlM!$9O"</f>
        <v/>
      </c>
      <c r="CD38">
        <f>#REF!-"vlM!$9P"</f>
        <v/>
      </c>
      <c r="CE38">
        <f>#REF!-"vlM!$9Q"</f>
        <v/>
      </c>
      <c r="CF38">
        <f>#REF!-"vlM!$9R"</f>
        <v/>
      </c>
      <c r="CG38">
        <f>#REF!-"vlM!$9S"</f>
        <v/>
      </c>
      <c r="CH38">
        <f>#REF!-"vlM!$9T"</f>
        <v/>
      </c>
      <c r="CI38">
        <f>#REF!-"vlM!$9U"</f>
        <v/>
      </c>
      <c r="CJ38">
        <f>#REF!-"vlM!$9V"</f>
        <v/>
      </c>
      <c r="CK38">
        <f>#REF!-"vlM!$9W"</f>
        <v/>
      </c>
      <c r="CL38">
        <f>#REF!-"vlM!$9X"</f>
        <v/>
      </c>
      <c r="CM38">
        <f>#REF!-"vlM!$9Y"</f>
        <v/>
      </c>
      <c r="CN38">
        <f>#REF!-"vlM!$9Z"</f>
        <v/>
      </c>
      <c r="CO38">
        <f>#REF!-"vlM!$9["</f>
        <v/>
      </c>
      <c r="CP38">
        <f>#REF!-"vlM!$9\"</f>
        <v/>
      </c>
      <c r="CQ38">
        <f>#REF!-"vlM!$9]"</f>
        <v/>
      </c>
      <c r="CR38">
        <f>#REF!-"vlM!$9^"</f>
        <v/>
      </c>
      <c r="CS38">
        <f>#REF!-"vlM!$9_"</f>
        <v/>
      </c>
      <c r="CT38">
        <f>#REF!-"vlM!$9`"</f>
        <v/>
      </c>
      <c r="CU38">
        <f>#REF!-"vlM!$9a"</f>
        <v/>
      </c>
      <c r="CV38">
        <f>#REF!-"vlM!$9b"</f>
        <v/>
      </c>
      <c r="CW38">
        <f>#REF!-"vlM!$9c"</f>
        <v/>
      </c>
      <c r="CX38">
        <f>#REF!-"vlM!$9d"</f>
        <v/>
      </c>
      <c r="CY38">
        <f>#REF!-"vlM!$9e"</f>
        <v/>
      </c>
      <c r="CZ38">
        <f>#REF!-"vlM!$9f"</f>
        <v/>
      </c>
      <c r="DA38">
        <f>#REF!-"vlM!$9g"</f>
        <v/>
      </c>
      <c r="DB38">
        <f>#REF!-"vlM!$9h"</f>
        <v/>
      </c>
      <c r="DC38">
        <f>#REF!-"vlM!$9i"</f>
        <v/>
      </c>
      <c r="DD38">
        <f>#REF!-"vlM!$9j"</f>
        <v/>
      </c>
      <c r="DE38">
        <f>#REF!-"vlM!$9k"</f>
        <v/>
      </c>
      <c r="DF38">
        <f>#REF!-"vlM!$9l"</f>
        <v/>
      </c>
      <c r="DG38">
        <f>#REF!-"vlM!$9m"</f>
        <v/>
      </c>
      <c r="DH38">
        <f>#REF!-"vlM!$9n"</f>
        <v/>
      </c>
      <c r="DI38">
        <f>#REF!-"vlM!$9o"</f>
        <v/>
      </c>
      <c r="DJ38">
        <f>#REF!-"vlM!$9p"</f>
        <v/>
      </c>
      <c r="DK38">
        <f>#REF!-"vlM!$9q"</f>
        <v/>
      </c>
      <c r="DL38">
        <f>#REF!-"vlM!$9r"</f>
        <v/>
      </c>
      <c r="DM38">
        <f>#REF!-"vlM!$9s"</f>
        <v/>
      </c>
      <c r="DN38">
        <f>#REF!-"vlM!$9t"</f>
        <v/>
      </c>
      <c r="DO38">
        <f>#REF!-"vlM!$9u"</f>
        <v/>
      </c>
      <c r="DP38">
        <f>#REF!-"vlM!$9v"</f>
        <v/>
      </c>
      <c r="DQ38">
        <f>#REF!-"vlM!$9w"</f>
        <v/>
      </c>
      <c r="DR38">
        <f>#REF!-"vlM!$9x"</f>
        <v/>
      </c>
      <c r="DS38">
        <f>#REF!-"vlM!$9y"</f>
        <v/>
      </c>
      <c r="DT38">
        <f>#REF!-"vlM!$9z"</f>
        <v/>
      </c>
      <c r="DU38">
        <f>#REF!-"vlM!$9{"</f>
        <v/>
      </c>
      <c r="DV38">
        <f>#REF!-"vlM!$9|"</f>
        <v/>
      </c>
      <c r="DW38">
        <f>#REF!-"vlM!$9}"</f>
        <v/>
      </c>
      <c r="DX38">
        <f>#REF!-"vlM!$9~"</f>
        <v/>
      </c>
      <c r="DY38">
        <f>#REF!-"vlM!$:#"</f>
        <v/>
      </c>
      <c r="DZ38">
        <f>#REF!-"vlM!$:$"</f>
        <v/>
      </c>
      <c r="EA38">
        <f>#REF!-"vlM!$:%"</f>
        <v/>
      </c>
      <c r="EB38">
        <f>#REF!-"vlM!$:&amp;"</f>
        <v/>
      </c>
      <c r="EC38">
        <f>#REF!-"vlM!$:'"</f>
        <v/>
      </c>
      <c r="ED38">
        <f>#REF!-"vlM!$:("</f>
        <v/>
      </c>
      <c r="EE38">
        <f>#REF!-"vlM!$:)"</f>
        <v/>
      </c>
      <c r="EF38">
        <f>#REF!-"vlM!$:."</f>
        <v/>
      </c>
      <c r="EG38">
        <f>#REF!-"vlM!$:/"</f>
        <v/>
      </c>
      <c r="EH38">
        <f>#REF!-"vlM!$:0"</f>
        <v/>
      </c>
      <c r="EI38">
        <f>#REF!-"vlM!$:1"</f>
        <v/>
      </c>
      <c r="EJ38">
        <f>#REF!-"vlM!$:2"</f>
        <v/>
      </c>
      <c r="EK38">
        <f>#REF!-"vlM!$:3"</f>
        <v/>
      </c>
      <c r="EL38">
        <f>#REF!-"vlM!$:4"</f>
        <v/>
      </c>
      <c r="EM38">
        <f>#REF!-"vlM!$:5"</f>
        <v/>
      </c>
      <c r="EN38">
        <f>#REF!-"vlM!$:6"</f>
        <v/>
      </c>
      <c r="EO38">
        <f>#REF!-"vlM!$:7"</f>
        <v/>
      </c>
      <c r="EP38">
        <f>#REF!-"vlM!$:8"</f>
        <v/>
      </c>
      <c r="EQ38">
        <f>#REF!-"vlM!$:9"</f>
        <v/>
      </c>
      <c r="ER38">
        <f>#REF!-"vlM!$::"</f>
        <v/>
      </c>
      <c r="ES38">
        <f>#REF!-"vlM!$:;"</f>
        <v/>
      </c>
      <c r="ET38">
        <f>#REF!-"vlM!$:&lt;"</f>
        <v/>
      </c>
      <c r="EU38">
        <f>#REF!-"vlM!$:="</f>
        <v/>
      </c>
      <c r="EV38">
        <f>#REF!-"vlM!$:&gt;"</f>
        <v/>
      </c>
      <c r="EW38">
        <f>#REF!-"vlM!$:?"</f>
        <v/>
      </c>
      <c r="EX38">
        <f>#REF!-"vlM!$:@"</f>
        <v/>
      </c>
      <c r="EY38">
        <f>#REF!-"vlM!$:A"</f>
        <v/>
      </c>
      <c r="EZ38">
        <f>#REF!-"vlM!$:B"</f>
        <v/>
      </c>
      <c r="FA38">
        <f>#REF!-"vlM!$:C"</f>
        <v/>
      </c>
      <c r="FB38">
        <f>#REF!-"vlM!$:D"</f>
        <v/>
      </c>
      <c r="FC38">
        <f>#REF!-"vlM!$:E"</f>
        <v/>
      </c>
      <c r="FD38">
        <f>#REF!-"vlM!$:F"</f>
        <v/>
      </c>
      <c r="FE38">
        <f>#REF!-"vlM!$:G"</f>
        <v/>
      </c>
      <c r="FF38">
        <f>#REF!-"vlM!$:H"</f>
        <v/>
      </c>
      <c r="FG38">
        <f>#REF!-"vlM!$:I"</f>
        <v/>
      </c>
      <c r="FH38">
        <f>#REF!-"vlM!$:J"</f>
        <v/>
      </c>
      <c r="FI38">
        <f>#REF!-"vlM!$:K"</f>
        <v/>
      </c>
      <c r="FJ38">
        <f>#REF!-"vlM!$:L"</f>
        <v/>
      </c>
      <c r="FK38">
        <f>#REF!-"vlM!$:M"</f>
        <v/>
      </c>
      <c r="FL38">
        <f>#REF!-"vlM!$:N"</f>
        <v/>
      </c>
      <c r="FM38">
        <f>#REF!-"vlM!$:O"</f>
        <v/>
      </c>
      <c r="FN38">
        <f>#REF!-"vlM!$:P"</f>
        <v/>
      </c>
      <c r="FO38">
        <f>#REF!-"vlM!$:Q"</f>
        <v/>
      </c>
      <c r="FP38">
        <f>#REF!-"vlM!$:R"</f>
        <v/>
      </c>
      <c r="FQ38">
        <f>#REF!-"vlM!$:S"</f>
        <v/>
      </c>
      <c r="FR38">
        <f>#REF!-"vlM!$:T"</f>
        <v/>
      </c>
      <c r="FS38">
        <f>#REF!-"vlM!$:U"</f>
        <v/>
      </c>
      <c r="FT38">
        <f>#REF!-"vlM!$:V"</f>
        <v/>
      </c>
      <c r="FU38">
        <f>#REF!-"vlM!$:W"</f>
        <v/>
      </c>
      <c r="FV38">
        <f>#REF!-"vlM!$:X"</f>
        <v/>
      </c>
      <c r="FW38">
        <f>#REF!-"vlM!$:Y"</f>
        <v/>
      </c>
      <c r="FX38">
        <f>#REF!-"vlM!$:Z"</f>
        <v/>
      </c>
      <c r="FY38">
        <f>#REF!-"vlM!$:["</f>
        <v/>
      </c>
      <c r="FZ38">
        <f>#REF!-"vlM!$:\"</f>
        <v/>
      </c>
      <c r="GA38">
        <f>#REF!-"vlM!$:]"</f>
        <v/>
      </c>
      <c r="GB38">
        <f>#REF!-"vlM!$:^"</f>
        <v/>
      </c>
      <c r="GC38">
        <f>#REF!-"vlM!$:_"</f>
        <v/>
      </c>
      <c r="GD38">
        <f>#REF!-"vlM!$:`"</f>
        <v/>
      </c>
      <c r="GE38">
        <f>#REF!-"vlM!$:a"</f>
        <v/>
      </c>
      <c r="GF38">
        <f>#REF!-"vlM!$:b"</f>
        <v/>
      </c>
      <c r="GG38">
        <f>#REF!-"vlM!$:c"</f>
        <v/>
      </c>
      <c r="GH38">
        <f>#REF!-"vlM!$:d"</f>
        <v/>
      </c>
      <c r="GI38">
        <f>#REF!-"vlM!$:e"</f>
        <v/>
      </c>
      <c r="GJ38">
        <f>#REF!-"vlM!$:f"</f>
        <v/>
      </c>
      <c r="GK38">
        <f>#REF!-"vlM!$:g"</f>
        <v/>
      </c>
      <c r="GL38">
        <f>#REF!-"vlM!$:h"</f>
        <v/>
      </c>
      <c r="GM38">
        <f>#REF!-"vlM!$:i"</f>
        <v/>
      </c>
      <c r="GN38">
        <f>#REF!-"vlM!$:j"</f>
        <v/>
      </c>
      <c r="GO38">
        <f>#REF!-"vlM!$:k"</f>
        <v/>
      </c>
      <c r="GP38">
        <f>#REF!-"vlM!$:l"</f>
        <v/>
      </c>
      <c r="GQ38">
        <f>#REF!-"vlM!$:m"</f>
        <v/>
      </c>
      <c r="GR38">
        <f>#REF!-"vlM!$:n"</f>
        <v/>
      </c>
      <c r="GS38">
        <f>#REF!-"vlM!$:o"</f>
        <v/>
      </c>
      <c r="GT38">
        <f>#REF!-"vlM!$:p"</f>
        <v/>
      </c>
      <c r="GU38">
        <f>#REF!-"vlM!$:q"</f>
        <v/>
      </c>
      <c r="GV38">
        <f>#REF!-"vlM!$:r"</f>
        <v/>
      </c>
      <c r="GW38">
        <f>#REF!-"vlM!$:s"</f>
        <v/>
      </c>
      <c r="GX38">
        <f>#REF!-"vlM!$:t"</f>
        <v/>
      </c>
      <c r="GY38">
        <f>#REF!-"vlM!$:u"</f>
        <v/>
      </c>
      <c r="GZ38">
        <f>#REF!-"vlM!$:v"</f>
        <v/>
      </c>
      <c r="HA38">
        <f>#REF!-"vlM!$:w"</f>
        <v/>
      </c>
      <c r="HB38">
        <f>#REF!-"vlM!$:x"</f>
        <v/>
      </c>
      <c r="HC38">
        <f>#REF!-"vlM!$:y"</f>
        <v/>
      </c>
      <c r="HD38">
        <f>#REF!-"vlM!$:z"</f>
        <v/>
      </c>
      <c r="HE38">
        <f>#REF!-"vlM!$:{"</f>
        <v/>
      </c>
      <c r="HF38">
        <f>#REF!-"vlM!$:|"</f>
        <v/>
      </c>
      <c r="HG38">
        <f>#REF!-"vlM!$:}"</f>
        <v/>
      </c>
      <c r="HH38">
        <f>#REF!-"vlM!$:~"</f>
        <v/>
      </c>
      <c r="HI38">
        <f>#REF!-"vlM!$;#"</f>
        <v/>
      </c>
      <c r="HJ38">
        <f>#REF!-"vlM!$;$"</f>
        <v/>
      </c>
      <c r="HK38">
        <f>#REF!-"vlM!$;%"</f>
        <v/>
      </c>
      <c r="HL38">
        <f>#REF!-"vlM!$;&amp;"</f>
        <v/>
      </c>
      <c r="HM38">
        <f>#REF!-"vlM!$;'"</f>
        <v/>
      </c>
      <c r="HN38">
        <f>#REF!-"vlM!$;("</f>
        <v/>
      </c>
      <c r="HO38">
        <f>#REF!-"vlM!$;)"</f>
        <v/>
      </c>
      <c r="HP38">
        <f>#REF!-"vlM!$;."</f>
        <v/>
      </c>
      <c r="HQ38">
        <f>#REF!-"vlM!$;/"</f>
        <v/>
      </c>
      <c r="HR38">
        <f>#REF!-"vlM!$;0"</f>
        <v/>
      </c>
      <c r="HS38">
        <f>#REF!-"vlM!$;1"</f>
        <v/>
      </c>
      <c r="HT38">
        <f>#REF!-"vlM!$;2"</f>
        <v/>
      </c>
      <c r="HU38">
        <f>#REF!-"vlM!$;3"</f>
        <v/>
      </c>
      <c r="HV38">
        <f>#REF!-"vlM!$;4"</f>
        <v/>
      </c>
      <c r="HW38">
        <f>#REF!-"vlM!$;5"</f>
        <v/>
      </c>
      <c r="HX38">
        <f>#REF!-"vlM!$;6"</f>
        <v/>
      </c>
      <c r="HY38">
        <f>#REF!-"vlM!$;7"</f>
        <v/>
      </c>
      <c r="HZ38">
        <f>#REF!-"vlM!$;8"</f>
        <v/>
      </c>
      <c r="IA38">
        <f>#REF!-"vlM!$;9"</f>
        <v/>
      </c>
      <c r="IB38">
        <f>#REF!-"vlM!$;:"</f>
        <v/>
      </c>
      <c r="IC38">
        <f>#REF!-"vlM!$;;"</f>
        <v/>
      </c>
      <c r="ID38">
        <f>#REF!-"vlM!$;&lt;"</f>
        <v/>
      </c>
      <c r="IE38">
        <f>#REF!-"vlM!$;="</f>
        <v/>
      </c>
      <c r="IF38">
        <f>#REF!-"vlM!$;&gt;"</f>
        <v/>
      </c>
      <c r="IG38">
        <f>#REF!-"vlM!$;?"</f>
        <v/>
      </c>
      <c r="IH38">
        <f>#REF!-"vlM!$;@"</f>
        <v/>
      </c>
      <c r="II38">
        <f>#REF!-"vlM!$;A"</f>
        <v/>
      </c>
      <c r="IJ38">
        <f>#REF!-"vlM!$;B"</f>
        <v/>
      </c>
      <c r="IK38">
        <f>#REF!-"vlM!$;C"</f>
        <v/>
      </c>
      <c r="IL38">
        <f>#REF!-"vlM!$;D"</f>
        <v/>
      </c>
      <c r="IM38">
        <f>#REF!-"vlM!$;E"</f>
        <v/>
      </c>
      <c r="IN38">
        <f>#REF!-"vlM!$;F"</f>
        <v/>
      </c>
      <c r="IO38">
        <f>#REF!-"vlM!$;G"</f>
        <v/>
      </c>
      <c r="IP38">
        <f>#REF!-"vlM!$;H"</f>
        <v/>
      </c>
      <c r="IQ38">
        <f>#REF!-"vlM!$;I"</f>
        <v/>
      </c>
      <c r="IR38">
        <f>#REF!-"vlM!$;J"</f>
        <v/>
      </c>
      <c r="IS38">
        <f>#REF!-"vlM!$;K"</f>
        <v/>
      </c>
      <c r="IT38">
        <f>#REF!-"vlM!$;L"</f>
        <v/>
      </c>
      <c r="IU38">
        <f>#REF!-"vlM!$;M"</f>
        <v/>
      </c>
      <c r="IV38">
        <f>#REF!-"vlM!$;N"</f>
        <v/>
      </c>
    </row>
    <row r="39">
      <c r="F39">
        <f>#REF!-"vlM!$;O"</f>
        <v/>
      </c>
      <c r="G39">
        <f>#REF!-"vlM!$;P"</f>
        <v/>
      </c>
      <c r="H39">
        <f>#REF!-"vlM!$;Q"</f>
        <v/>
      </c>
      <c r="I39">
        <f>#REF!-"vlM!$;R"</f>
        <v/>
      </c>
      <c r="J39">
        <f>#REF!-"vlM!$;S"</f>
        <v/>
      </c>
      <c r="K39">
        <f>#REF!-"vlM!$;T"</f>
        <v/>
      </c>
      <c r="L39">
        <f>#REF!-"vlM!$;U"</f>
        <v/>
      </c>
      <c r="M39">
        <f>#REF!-"vlM!$;V"</f>
        <v/>
      </c>
      <c r="N39">
        <f>#REF!-"vlM!$;W"</f>
        <v/>
      </c>
      <c r="O39">
        <f>#REF!-"vlM!$;X"</f>
        <v/>
      </c>
      <c r="P39">
        <f>#REF!-"vlM!$;Y"</f>
        <v/>
      </c>
      <c r="Q39">
        <f>#REF!-"vlM!$;Z"</f>
        <v/>
      </c>
      <c r="R39">
        <f>#REF!-"vlM!$;["</f>
        <v/>
      </c>
      <c r="S39">
        <f>#REF!-"vlM!$;\"</f>
        <v/>
      </c>
      <c r="T39">
        <f>#REF!-"vlM!$;]"</f>
        <v/>
      </c>
      <c r="U39">
        <f>#REF!-"vlM!$;^"</f>
        <v/>
      </c>
      <c r="V39">
        <f>#REF!-"vlM!$;_"</f>
        <v/>
      </c>
      <c r="W39">
        <f>#REF!-"vlM!$;`"</f>
        <v/>
      </c>
      <c r="X39">
        <f>#REF!-"vlM!$;a"</f>
        <v/>
      </c>
      <c r="Y39">
        <f>#REF!-"vlM!$;b"</f>
        <v/>
      </c>
      <c r="Z39">
        <f>#REF!-"vlM!$;c"</f>
        <v/>
      </c>
      <c r="AA39">
        <f>#REF!-"vlM!$;d"</f>
        <v/>
      </c>
      <c r="AB39">
        <f>#REF!-"vlM!$;e"</f>
        <v/>
      </c>
      <c r="AC39">
        <f>#REF!-"vlM!$;f"</f>
        <v/>
      </c>
      <c r="AD39">
        <f>#REF!-"vlM!$;g"</f>
        <v/>
      </c>
      <c r="AE39">
        <f>#REF!-"vlM!$;h"</f>
        <v/>
      </c>
      <c r="AF39">
        <f>#REF!-"vlM!$;i"</f>
        <v/>
      </c>
      <c r="AG39">
        <f>#REF!-"vlM!$;j"</f>
        <v/>
      </c>
      <c r="AH39">
        <f>#REF!-"vlM!$;k"</f>
        <v/>
      </c>
      <c r="AI39">
        <f>#REF!-"vlM!$;l"</f>
        <v/>
      </c>
      <c r="AJ39">
        <f>#REF!-"vlM!$;m"</f>
        <v/>
      </c>
      <c r="AK39">
        <f>#REF!-"vlM!$;n"</f>
        <v/>
      </c>
      <c r="AL39">
        <f>#REF!-"vlM!$;o"</f>
        <v/>
      </c>
      <c r="AM39">
        <f>#REF!-"vlM!$;p"</f>
        <v/>
      </c>
      <c r="AN39">
        <f>#REF!-"vlM!$;q"</f>
        <v/>
      </c>
      <c r="AO39">
        <f>#REF!-"vlM!$;r"</f>
        <v/>
      </c>
      <c r="AP39">
        <f>#REF!-"vlM!$;s"</f>
        <v/>
      </c>
      <c r="AQ39">
        <f>#REF!-"vlM!$;t"</f>
        <v/>
      </c>
      <c r="AR39">
        <f>#REF!-"vlM!$;u"</f>
        <v/>
      </c>
      <c r="AS39">
        <f>#REF!-"vlM!$;v"</f>
        <v/>
      </c>
      <c r="AT39">
        <f>#REF!-"vlM!$;w"</f>
        <v/>
      </c>
      <c r="AU39">
        <f>#REF!-"vlM!$;x"</f>
        <v/>
      </c>
      <c r="AV39">
        <f>#REF!-"vlM!$;y"</f>
        <v/>
      </c>
      <c r="AW39">
        <f>#REF!-"vlM!$;z"</f>
        <v/>
      </c>
      <c r="AX39">
        <f>#REF!-"vlM!$;{"</f>
        <v/>
      </c>
      <c r="AY39">
        <f>#REF!-"vlM!$;|"</f>
        <v/>
      </c>
      <c r="AZ39">
        <f>#REF!-"vlM!$;}"</f>
        <v/>
      </c>
      <c r="BA39">
        <f>#REF!-"vlM!$;~"</f>
        <v/>
      </c>
      <c r="BB39">
        <f>#REF!-"vlM!$&lt;#"</f>
        <v/>
      </c>
      <c r="BC39">
        <f>#REF!-"vlM!$&lt;$"</f>
        <v/>
      </c>
      <c r="BD39">
        <f>#REF!-"vlM!$&lt;%"</f>
        <v/>
      </c>
      <c r="BE39">
        <f>#REF!-"vlM!$&lt;&amp;"</f>
        <v/>
      </c>
      <c r="BF39">
        <f>#REF!-"vlM!$&lt;'"</f>
        <v/>
      </c>
      <c r="BG39">
        <f>#REF!-"vlM!$&lt;("</f>
        <v/>
      </c>
      <c r="BH39">
        <f>#REF!-"vlM!$&lt;)"</f>
        <v/>
      </c>
      <c r="BI39">
        <f>#REF!-"vlM!$&lt;."</f>
        <v/>
      </c>
      <c r="BJ39">
        <f>#REF!-"vlM!$&lt;/"</f>
        <v/>
      </c>
      <c r="BK39">
        <f>#REF!-"vlM!$&lt;0"</f>
        <v/>
      </c>
      <c r="BL39">
        <f>#REF!-"vlM!$&lt;1"</f>
        <v/>
      </c>
      <c r="BM39">
        <f>#REF!-"vlM!$&lt;2"</f>
        <v/>
      </c>
      <c r="BN39">
        <f>#REF!-"vlM!$&lt;3"</f>
        <v/>
      </c>
      <c r="BO39">
        <f>#REF!-"vlM!$&lt;4"</f>
        <v/>
      </c>
      <c r="BP39">
        <f>#REF!-"vlM!$&lt;5"</f>
        <v/>
      </c>
      <c r="BQ39">
        <f>#REF!-"vlM!$&lt;6"</f>
        <v/>
      </c>
      <c r="BR39">
        <f>#REF!-"vlM!$&lt;7"</f>
        <v/>
      </c>
      <c r="BS39">
        <f>#REF!-"vlM!$&lt;8"</f>
        <v/>
      </c>
      <c r="BT39">
        <f>#REF!-"vlM!$&lt;9"</f>
        <v/>
      </c>
      <c r="BU39">
        <f>#REF!-"vlM!$&lt;:"</f>
        <v/>
      </c>
      <c r="BV39">
        <f>#REF!-"vlM!$&lt;;"</f>
        <v/>
      </c>
      <c r="BW39">
        <f>#REF!-"vlM!$&lt;&lt;"</f>
        <v/>
      </c>
      <c r="BX39">
        <f>#REF!-"vlM!$&lt;="</f>
        <v/>
      </c>
      <c r="BY39">
        <f>#REF!-"vlM!$&lt;&gt;"</f>
        <v/>
      </c>
      <c r="BZ39">
        <f>#REF!-"vlM!$&lt;?"</f>
        <v/>
      </c>
      <c r="CA39">
        <f>#REF!-"vlM!$&lt;@"</f>
        <v/>
      </c>
      <c r="CB39">
        <f>#REF!-"vlM!$&lt;A"</f>
        <v/>
      </c>
      <c r="CC39">
        <f>#REF!-"vlM!$&lt;B"</f>
        <v/>
      </c>
      <c r="CD39">
        <f>#REF!-"vlM!$&lt;C"</f>
        <v/>
      </c>
      <c r="CE39">
        <f>#REF!-"vlM!$&lt;D"</f>
        <v/>
      </c>
      <c r="CF39">
        <f>#REF!-"vlM!$&lt;E"</f>
        <v/>
      </c>
      <c r="CG39">
        <f>#REF!-"vlM!$&lt;F"</f>
        <v/>
      </c>
      <c r="CH39">
        <f>#REF!-"vlM!$&lt;G"</f>
        <v/>
      </c>
      <c r="CI39">
        <f>#REF!-"vlM!$&lt;H"</f>
        <v/>
      </c>
      <c r="CJ39">
        <f>#REF!-"vlM!$&lt;I"</f>
        <v/>
      </c>
      <c r="CK39">
        <f>#REF!-"vlM!$&lt;J"</f>
        <v/>
      </c>
      <c r="CL39">
        <f>#REF!-"vlM!$&lt;K"</f>
        <v/>
      </c>
      <c r="CM39">
        <f>#REF!-"vlM!$&lt;L"</f>
        <v/>
      </c>
      <c r="CN39">
        <f>#REF!-"vlM!$&lt;M"</f>
        <v/>
      </c>
      <c r="CO39">
        <f>#REF!-"vlM!$&lt;N"</f>
        <v/>
      </c>
      <c r="CP39">
        <f>#REF!-"vlM!$&lt;O"</f>
        <v/>
      </c>
      <c r="CQ39">
        <f>#REF!-"vlM!$&lt;P"</f>
        <v/>
      </c>
      <c r="CR39">
        <f>#REF!-"vlM!$&lt;Q"</f>
        <v/>
      </c>
      <c r="CS39">
        <f>#REF!-"vlM!$&lt;R"</f>
        <v/>
      </c>
      <c r="CT39">
        <f>#REF!-"vlM!$&lt;S"</f>
        <v/>
      </c>
      <c r="CU39">
        <f>#REF!-"vlM!$&lt;T"</f>
        <v/>
      </c>
      <c r="CV39">
        <f>#REF!-"vlM!$&lt;U"</f>
        <v/>
      </c>
      <c r="CW39">
        <f>#REF!-"vlM!$&lt;V"</f>
        <v/>
      </c>
      <c r="CX39">
        <f>#REF!-"vlM!$&lt;W"</f>
        <v/>
      </c>
      <c r="CY39">
        <f>#REF!-"vlM!$&lt;X"</f>
        <v/>
      </c>
      <c r="CZ39">
        <f>#REF!-"vlM!$&lt;Y"</f>
        <v/>
      </c>
      <c r="DA39">
        <f>#REF!-"vlM!$&lt;Z"</f>
        <v/>
      </c>
      <c r="DB39">
        <f>#REF!-"vlM!$&lt;["</f>
        <v/>
      </c>
      <c r="DC39">
        <f>#REF!-"vlM!$&lt;\"</f>
        <v/>
      </c>
      <c r="DD39">
        <f>#REF!-"vlM!$&lt;]"</f>
        <v/>
      </c>
      <c r="DE39">
        <f>#REF!-"vlM!$&lt;^"</f>
        <v/>
      </c>
      <c r="DF39">
        <f>#REF!-"vlM!$&lt;_"</f>
        <v/>
      </c>
      <c r="DG39">
        <f>#REF!-"vlM!$&lt;`"</f>
        <v/>
      </c>
      <c r="DH39">
        <f>#REF!-"vlM!$&lt;a"</f>
        <v/>
      </c>
      <c r="DI39">
        <f>#REF!-"vlM!$&lt;b"</f>
        <v/>
      </c>
      <c r="DJ39">
        <f>#REF!-"vlM!$&lt;c"</f>
        <v/>
      </c>
      <c r="DK39">
        <f>#REF!-"vlM!$&lt;d"</f>
        <v/>
      </c>
      <c r="DL39">
        <f>#REF!-"vlM!$&lt;e"</f>
        <v/>
      </c>
      <c r="DM39">
        <f>#REF!-"vlM!$&lt;f"</f>
        <v/>
      </c>
      <c r="DN39">
        <f>#REF!-"vlM!$&lt;g"</f>
        <v/>
      </c>
      <c r="DO39">
        <f>#REF!-"vlM!$&lt;h"</f>
        <v/>
      </c>
      <c r="DP39">
        <f>#REF!-"vlM!$&lt;i"</f>
        <v/>
      </c>
      <c r="DQ39">
        <f>#REF!-"vlM!$&lt;j"</f>
        <v/>
      </c>
      <c r="DR39">
        <f>#REF!-"vlM!$&lt;k"</f>
        <v/>
      </c>
      <c r="DS39">
        <f>#REF!-"vlM!$&lt;l"</f>
        <v/>
      </c>
      <c r="DT39">
        <f>#REF!-"vlM!$&lt;m"</f>
        <v/>
      </c>
      <c r="DU39">
        <f>#REF!-"vlM!$&lt;n"</f>
        <v/>
      </c>
      <c r="DV39">
        <f>#REF!-"vlM!$&lt;o"</f>
        <v/>
      </c>
      <c r="DW39">
        <f>#REF!-"vlM!$&lt;p"</f>
        <v/>
      </c>
      <c r="DX39">
        <f>#REF!-"vlM!$&lt;q"</f>
        <v/>
      </c>
      <c r="DY39">
        <f>#REF!-"vlM!$&lt;r"</f>
        <v/>
      </c>
      <c r="DZ39">
        <f>#REF!-"vlM!$&lt;s"</f>
        <v/>
      </c>
      <c r="EA39">
        <f>#REF!-"vlM!$&lt;t"</f>
        <v/>
      </c>
      <c r="EB39">
        <f>#REF!-"vlM!$&lt;u"</f>
        <v/>
      </c>
      <c r="EC39">
        <f>#REF!-"vlM!$&lt;v"</f>
        <v/>
      </c>
      <c r="ED39">
        <f>#REF!-"vlM!$&lt;w"</f>
        <v/>
      </c>
      <c r="EE39">
        <f>#REF!-"vlM!$&lt;x"</f>
        <v/>
      </c>
      <c r="EF39">
        <f>#REF!-"vlM!$&lt;y"</f>
        <v/>
      </c>
      <c r="EG39">
        <f>#REF!-"vlM!$&lt;z"</f>
        <v/>
      </c>
      <c r="EH39">
        <f>#REF!-"vlM!$&lt;{"</f>
        <v/>
      </c>
      <c r="EI39">
        <f>#REF!-"vlM!$&lt;|"</f>
        <v/>
      </c>
      <c r="EJ39">
        <f>#REF!-"vlM!$&lt;}"</f>
        <v/>
      </c>
      <c r="EK39">
        <f>#REF!-"vlM!$&lt;~"</f>
        <v/>
      </c>
      <c r="EL39">
        <f>#REF!-"vlM!$=#"</f>
        <v/>
      </c>
      <c r="EM39">
        <f>#REF!-"vlM!$=$"</f>
        <v/>
      </c>
      <c r="EN39">
        <f>#REF!-"vlM!$=%"</f>
        <v/>
      </c>
      <c r="EO39">
        <f>#REF!-"vlM!$=&amp;"</f>
        <v/>
      </c>
      <c r="EP39">
        <f>#REF!-"vlM!$='"</f>
        <v/>
      </c>
      <c r="EQ39">
        <f>#REF!-"vlM!$=("</f>
        <v/>
      </c>
      <c r="ER39">
        <f>#REF!-"vlM!$=)"</f>
        <v/>
      </c>
      <c r="ES39">
        <f>#REF!-"vlM!$=."</f>
        <v/>
      </c>
      <c r="ET39">
        <f>#REF!-"vlM!$=/"</f>
        <v/>
      </c>
      <c r="EU39">
        <f>#REF!-"vlM!$=0"</f>
        <v/>
      </c>
      <c r="EV39">
        <f>#REF!-"vlM!$=1"</f>
        <v/>
      </c>
      <c r="EW39">
        <f>#REF!-"vlM!$=2"</f>
        <v/>
      </c>
      <c r="EX39">
        <f>#REF!-"vlM!$=3"</f>
        <v/>
      </c>
      <c r="EY39">
        <f>#REF!-"vlM!$=4"</f>
        <v/>
      </c>
      <c r="EZ39">
        <f>#REF!-"vlM!$=5"</f>
        <v/>
      </c>
      <c r="FA39">
        <f>#REF!-"vlM!$=6"</f>
        <v/>
      </c>
      <c r="FB39">
        <f>#REF!-"vlM!$=7"</f>
        <v/>
      </c>
      <c r="FC39">
        <f>#REF!-"vlM!$=8"</f>
        <v/>
      </c>
      <c r="FD39">
        <f>#REF!-"vlM!$=9"</f>
        <v/>
      </c>
      <c r="FE39">
        <f>#REF!-"vlM!$=:"</f>
        <v/>
      </c>
      <c r="FF39">
        <f>#REF!-"vlM!$=;"</f>
        <v/>
      </c>
      <c r="FG39">
        <f>#REF!-"vlM!$=&lt;"</f>
        <v/>
      </c>
      <c r="FH39">
        <f>#REF!-"vlM!$=="</f>
        <v/>
      </c>
      <c r="FI39">
        <f>#REF!-"vlM!$=&gt;"</f>
        <v/>
      </c>
      <c r="FJ39">
        <f>#REF!-"vlM!$=?"</f>
        <v/>
      </c>
      <c r="FK39">
        <f>#REF!-"vlM!$=@"</f>
        <v/>
      </c>
      <c r="FL39">
        <f>#REF!-"vlM!$=A"</f>
        <v/>
      </c>
      <c r="FM39">
        <f>#REF!-"vlM!$=B"</f>
        <v/>
      </c>
      <c r="FN39">
        <f>#REF!-"vlM!$=C"</f>
        <v/>
      </c>
      <c r="FO39">
        <f>#REF!-"vlM!$=D"</f>
        <v/>
      </c>
      <c r="FP39">
        <f>#REF!-"vlM!$=E"</f>
        <v/>
      </c>
      <c r="FQ39">
        <f>#REF!-"vlM!$=F"</f>
        <v/>
      </c>
      <c r="FR39">
        <f>#REF!-"vlM!$=G"</f>
        <v/>
      </c>
      <c r="FS39">
        <f>#REF!-"vlM!$=H"</f>
        <v/>
      </c>
      <c r="FT39">
        <f>#REF!-"vlM!$=I"</f>
        <v/>
      </c>
      <c r="FU39">
        <f>#REF!-"vlM!$=J"</f>
        <v/>
      </c>
      <c r="FV39">
        <f>#REF!-"vlM!$=K"</f>
        <v/>
      </c>
      <c r="FW39">
        <f>#REF!-"vlM!$=L"</f>
        <v/>
      </c>
      <c r="FX39">
        <f>#REF!-"vlM!$=M"</f>
        <v/>
      </c>
      <c r="FY39">
        <f>#REF!-"vlM!$=N"</f>
        <v/>
      </c>
      <c r="FZ39">
        <f>#REF!-"vlM!$=O"</f>
        <v/>
      </c>
      <c r="GA39">
        <f>#REF!-"vlM!$=P"</f>
        <v/>
      </c>
      <c r="GB39">
        <f>#REF!-"vlM!$=Q"</f>
        <v/>
      </c>
      <c r="GC39">
        <f>#REF!-"vlM!$=R"</f>
        <v/>
      </c>
      <c r="GD39">
        <f>#REF!-"vlM!$=S"</f>
        <v/>
      </c>
      <c r="GE39">
        <f>#REF!-"vlM!$=T"</f>
        <v/>
      </c>
      <c r="GF39">
        <f>#REF!-"vlM!$=U"</f>
        <v/>
      </c>
      <c r="GG39">
        <f>#REF!-"vlM!$=V"</f>
        <v/>
      </c>
      <c r="GH39">
        <f>#REF!-"vlM!$=W"</f>
        <v/>
      </c>
      <c r="GI39">
        <f>#REF!-"vlM!$=X"</f>
        <v/>
      </c>
      <c r="GJ39">
        <f>#REF!-"vlM!$=Y"</f>
        <v/>
      </c>
      <c r="GK39">
        <f>#REF!-"vlM!$=Z"</f>
        <v/>
      </c>
      <c r="GL39">
        <f>#REF!-"vlM!$=["</f>
        <v/>
      </c>
      <c r="GM39">
        <f>#REF!-"vlM!$=\"</f>
        <v/>
      </c>
      <c r="GN39">
        <f>#REF!-"vlM!$=]"</f>
        <v/>
      </c>
      <c r="GO39">
        <f>#REF!-"vlM!$=^"</f>
        <v/>
      </c>
      <c r="GP39">
        <f>#REF!-"vlM!$=_"</f>
        <v/>
      </c>
      <c r="GQ39">
        <f>#REF!-"vlM!$=`"</f>
        <v/>
      </c>
      <c r="GR39">
        <f>#REF!-"vlM!$=a"</f>
        <v/>
      </c>
      <c r="GS39">
        <f>#REF!-"vlM!$=b"</f>
        <v/>
      </c>
      <c r="GT39">
        <f>#REF!-"vlM!$=c"</f>
        <v/>
      </c>
      <c r="GU39">
        <f>#REF!-"vlM!$=d"</f>
        <v/>
      </c>
      <c r="GV39">
        <f>#REF!-"vlM!$=e"</f>
        <v/>
      </c>
      <c r="GW39">
        <f>#REF!-"vlM!$=f"</f>
        <v/>
      </c>
      <c r="GX39">
        <f>#REF!-"vlM!$=g"</f>
        <v/>
      </c>
      <c r="GY39">
        <f>#REF!-"vlM!$=h"</f>
        <v/>
      </c>
      <c r="GZ39">
        <f>#REF!-"vlM!$=i"</f>
        <v/>
      </c>
      <c r="HA39">
        <f>#REF!-"vlM!$=j"</f>
        <v/>
      </c>
      <c r="HB39">
        <f>#REF!-"vlM!$=k"</f>
        <v/>
      </c>
      <c r="HC39">
        <f>#REF!-"vlM!$=l"</f>
        <v/>
      </c>
      <c r="HD39">
        <f>#REF!-"vlM!$=m"</f>
        <v/>
      </c>
      <c r="HE39">
        <f>#REF!-"vlM!$=n"</f>
        <v/>
      </c>
      <c r="HF39">
        <f>#REF!-"vlM!$=o"</f>
        <v/>
      </c>
      <c r="HG39">
        <f>#REF!-"vlM!$=p"</f>
        <v/>
      </c>
      <c r="HH39">
        <f>#REF!-"vlM!$=q"</f>
        <v/>
      </c>
      <c r="HI39">
        <f>#REF!-"vlM!$=r"</f>
        <v/>
      </c>
      <c r="HJ39">
        <f>#REF!-"vlM!$=s"</f>
        <v/>
      </c>
      <c r="HK39">
        <f>#REF!-"vlM!$=t"</f>
        <v/>
      </c>
      <c r="HL39">
        <f>#REF!-"vlM!$=u"</f>
        <v/>
      </c>
      <c r="HM39">
        <f>#REF!-"vlM!$=v"</f>
        <v/>
      </c>
      <c r="HN39">
        <f>#REF!-"vlM!$=w"</f>
        <v/>
      </c>
      <c r="HO39">
        <f>#REF!-"vlM!$=x"</f>
        <v/>
      </c>
      <c r="HP39">
        <f>#REF!-"vlM!$=y"</f>
        <v/>
      </c>
      <c r="HQ39">
        <f>#REF!-"vlM!$=z"</f>
        <v/>
      </c>
      <c r="HR39">
        <f>#REF!-"vlM!$={"</f>
        <v/>
      </c>
      <c r="HS39">
        <f>#REF!-"vlM!$=|"</f>
        <v/>
      </c>
      <c r="HT39">
        <f>#REF!-"vlM!$=}"</f>
        <v/>
      </c>
      <c r="HU39">
        <f>#REF!-"vlM!$=~"</f>
        <v/>
      </c>
      <c r="HV39">
        <f>#REF!-"vlM!$&gt;#"</f>
        <v/>
      </c>
      <c r="HW39">
        <f>#REF!-"vlM!$&gt;$"</f>
        <v/>
      </c>
      <c r="HX39">
        <f>#REF!-"vlM!$&gt;%"</f>
        <v/>
      </c>
      <c r="HY39">
        <f>#REF!-"vlM!$&gt;&amp;"</f>
        <v/>
      </c>
      <c r="HZ39">
        <f>#REF!-"vlM!$&gt;'"</f>
        <v/>
      </c>
      <c r="IA39">
        <f>#REF!-"vlM!$&gt;("</f>
        <v/>
      </c>
      <c r="IB39">
        <f>#REF!-"vlM!$&gt;)"</f>
        <v/>
      </c>
      <c r="IC39">
        <f>#REF!-"vlM!$&gt;."</f>
        <v/>
      </c>
      <c r="ID39">
        <f>#REF!-"vlM!$&gt;/"</f>
        <v/>
      </c>
      <c r="IE39">
        <f>#REF!-"vlM!$&gt;0"</f>
        <v/>
      </c>
      <c r="IF39">
        <f>#REF!-"vlM!$&gt;1"</f>
        <v/>
      </c>
      <c r="IG39">
        <f>#REF!-"vlM!$&gt;2"</f>
        <v/>
      </c>
      <c r="IH39">
        <f>#REF!-"vlM!$&gt;3"</f>
        <v/>
      </c>
      <c r="II39">
        <f>#REF!-"vlM!$&gt;4"</f>
        <v/>
      </c>
      <c r="IJ39">
        <f>#REF!-"vlM!$&gt;5"</f>
        <v/>
      </c>
      <c r="IK39">
        <f>#REF!-"vlM!$&gt;6"</f>
        <v/>
      </c>
      <c r="IL39">
        <f>#REF!-"vlM!$&gt;7"</f>
        <v/>
      </c>
      <c r="IM39">
        <f>#REF!-"vlM!$&gt;8"</f>
        <v/>
      </c>
      <c r="IN39">
        <f>#REF!-"vlM!$&gt;9"</f>
        <v/>
      </c>
      <c r="IO39">
        <f>#REF!-"vlM!$&gt;:"</f>
        <v/>
      </c>
      <c r="IP39">
        <f>#REF!-"vlM!$&gt;;"</f>
        <v/>
      </c>
      <c r="IQ39">
        <f>#REF!-"vlM!$&gt;&lt;"</f>
        <v/>
      </c>
      <c r="IR39">
        <f>#REF!-"vlM!$&gt;="</f>
        <v/>
      </c>
      <c r="IS39">
        <f>#REF!-"vlM!$&gt;&gt;"</f>
        <v/>
      </c>
      <c r="IT39">
        <f>#REF!-"vlM!$&gt;?"</f>
        <v/>
      </c>
      <c r="IU39">
        <f>#REF!-"vlM!$&gt;@"</f>
        <v/>
      </c>
      <c r="IV39">
        <f>#REF!-"vlM!$&gt;A"</f>
        <v/>
      </c>
    </row>
    <row r="40">
      <c r="F40">
        <f>#REF!-"vlM!$&gt;B"</f>
        <v/>
      </c>
      <c r="G40">
        <f>#REF!-"vlM!$&gt;C"</f>
        <v/>
      </c>
      <c r="H40">
        <f>#REF!-"vlM!$&gt;D"</f>
        <v/>
      </c>
      <c r="I40">
        <f>#REF!-"vlM!$&gt;E"</f>
        <v/>
      </c>
      <c r="J40">
        <f>#REF!-"vlM!$&gt;F"</f>
        <v/>
      </c>
      <c r="K40">
        <f>#REF!-"vlM!$&gt;G"</f>
        <v/>
      </c>
      <c r="L40">
        <f>#REF!-"vlM!$&gt;H"</f>
        <v/>
      </c>
      <c r="M40">
        <f>#REF!-"vlM!$&gt;I"</f>
        <v/>
      </c>
      <c r="N40">
        <f>#REF!-"vlM!$&gt;J"</f>
        <v/>
      </c>
      <c r="O40">
        <f>#REF!-"vlM!$&gt;K"</f>
        <v/>
      </c>
      <c r="P40">
        <f>#REF!-"vlM!$&gt;L"</f>
        <v/>
      </c>
      <c r="Q40">
        <f>#REF!-"vlM!$&gt;M"</f>
        <v/>
      </c>
      <c r="R40">
        <f>#REF!-"vlM!$&gt;N"</f>
        <v/>
      </c>
      <c r="S40">
        <f>#REF!-"vlM!$&gt;O"</f>
        <v/>
      </c>
      <c r="T40">
        <f>#REF!-"vlM!$&gt;P"</f>
        <v/>
      </c>
      <c r="U40">
        <f>#REF!-"vlM!$&gt;Q"</f>
        <v/>
      </c>
      <c r="V40">
        <f>#REF!-"vlM!$&gt;R"</f>
        <v/>
      </c>
      <c r="W40">
        <f>#REF!-"vlM!$&gt;S"</f>
        <v/>
      </c>
      <c r="X40">
        <f>#REF!-"vlM!$&gt;T"</f>
        <v/>
      </c>
      <c r="Y40">
        <f>#REF!-"vlM!$&gt;U"</f>
        <v/>
      </c>
      <c r="Z40">
        <f>#REF!-"vlM!$&gt;V"</f>
        <v/>
      </c>
      <c r="AA40">
        <f>#REF!-"vlM!$&gt;W"</f>
        <v/>
      </c>
      <c r="AB40">
        <f>#REF!-"vlM!$&gt;X"</f>
        <v/>
      </c>
      <c r="AC40">
        <f>#REF!-"vlM!$&gt;Y"</f>
        <v/>
      </c>
      <c r="AD40">
        <f>#REF!-"vlM!$&gt;Z"</f>
        <v/>
      </c>
      <c r="AE40">
        <f>#REF!-"vlM!$&gt;["</f>
        <v/>
      </c>
      <c r="AF40">
        <f>#REF!-"vlM!$&gt;\"</f>
        <v/>
      </c>
      <c r="AG40">
        <f>#REF!-"vlM!$&gt;]"</f>
        <v/>
      </c>
      <c r="AH40">
        <f>#REF!-"vlM!$&gt;^"</f>
        <v/>
      </c>
      <c r="AI40">
        <f>#REF!-"vlM!$&gt;_"</f>
        <v/>
      </c>
      <c r="AJ40">
        <f>#REF!-"vlM!$&gt;`"</f>
        <v/>
      </c>
      <c r="AK40">
        <f>#REF!-"vlM!$&gt;a"</f>
        <v/>
      </c>
      <c r="AL40">
        <f>#REF!-"vlM!$&gt;b"</f>
        <v/>
      </c>
      <c r="AM40">
        <f>#REF!-"vlM!$&gt;c"</f>
        <v/>
      </c>
      <c r="AN40">
        <f>#REF!-"vlM!$&gt;d"</f>
        <v/>
      </c>
      <c r="AO40">
        <f>#REF!-"vlM!$&gt;e"</f>
        <v/>
      </c>
      <c r="AP40">
        <f>#REF!-"vlM!$&gt;f"</f>
        <v/>
      </c>
      <c r="AQ40">
        <f>#REF!-"vlM!$&gt;g"</f>
        <v/>
      </c>
      <c r="AR40">
        <f>#REF!-"vlM!$&gt;h"</f>
        <v/>
      </c>
      <c r="AS40">
        <f>#REF!-"vlM!$&gt;i"</f>
        <v/>
      </c>
      <c r="AT40">
        <f>#REF!-"vlM!$&gt;j"</f>
        <v/>
      </c>
      <c r="AU40">
        <f>#REF!-"vlM!$&gt;k"</f>
        <v/>
      </c>
      <c r="AV40">
        <f>#REF!-"vlM!$&gt;l"</f>
        <v/>
      </c>
      <c r="AW40">
        <f>#REF!-"vlM!$&gt;m"</f>
        <v/>
      </c>
      <c r="AX40">
        <f>#REF!-"vlM!$&gt;n"</f>
        <v/>
      </c>
      <c r="AY40">
        <f>#REF!-"vlM!$&gt;o"</f>
        <v/>
      </c>
      <c r="AZ40">
        <f>#REF!-"vlM!$&gt;p"</f>
        <v/>
      </c>
      <c r="BA40">
        <f>#REF!-"vlM!$&gt;q"</f>
        <v/>
      </c>
      <c r="BB40">
        <f>#REF!-"vlM!$&gt;r"</f>
        <v/>
      </c>
      <c r="BC40">
        <f>#REF!-"vlM!$&gt;s"</f>
        <v/>
      </c>
      <c r="BD40">
        <f>#REF!-"vlM!$&gt;t"</f>
        <v/>
      </c>
      <c r="BE40">
        <f>#REF!-"vlM!$&gt;u"</f>
        <v/>
      </c>
      <c r="BF40">
        <f>#REF!-"vlM!$&gt;v"</f>
        <v/>
      </c>
      <c r="BG40">
        <f>#REF!-"vlM!$&gt;w"</f>
        <v/>
      </c>
      <c r="BH40">
        <f>#REF!-"vlM!$&gt;x"</f>
        <v/>
      </c>
      <c r="BI40">
        <f>#REF!-"vlM!$&gt;y"</f>
        <v/>
      </c>
      <c r="BJ40">
        <f>#REF!-"vlM!$&gt;z"</f>
        <v/>
      </c>
      <c r="BK40">
        <f>#REF!-"vlM!$&gt;{"</f>
        <v/>
      </c>
      <c r="BL40">
        <f>#REF!-"vlM!$&gt;|"</f>
        <v/>
      </c>
      <c r="BM40">
        <f>#REF!-"vlM!$&gt;}"</f>
        <v/>
      </c>
      <c r="BN40">
        <f>#REF!-"vlM!$&gt;~"</f>
        <v/>
      </c>
      <c r="BO40">
        <f>#REF!-"vlM!$?#"</f>
        <v/>
      </c>
      <c r="BP40">
        <f>#REF!-"vlM!$?$"</f>
        <v/>
      </c>
      <c r="BQ40">
        <f>#REF!-"vlM!$?%"</f>
        <v/>
      </c>
      <c r="BR40">
        <f>#REF!-"vlM!$?&amp;"</f>
        <v/>
      </c>
      <c r="BS40">
        <f>#REF!-"vlM!$?'"</f>
        <v/>
      </c>
      <c r="BT40">
        <f>#REF!-"vlM!$?("</f>
        <v/>
      </c>
      <c r="BU40">
        <f>#REF!-"vlM!$?)"</f>
        <v/>
      </c>
      <c r="BV40">
        <f>#REF!-"vlM!$?."</f>
        <v/>
      </c>
      <c r="BW40">
        <f>#REF!-"vlM!$?/"</f>
        <v/>
      </c>
      <c r="BX40">
        <f>#REF!-"vlM!$?0"</f>
        <v/>
      </c>
      <c r="BY40">
        <f>#REF!-"vlM!$?1"</f>
        <v/>
      </c>
      <c r="BZ40">
        <f>#REF!-"vlM!$?2"</f>
        <v/>
      </c>
      <c r="CA40">
        <f>#REF!-"vlM!$?3"</f>
        <v/>
      </c>
      <c r="CB40">
        <f>#REF!-"vlM!$?4"</f>
        <v/>
      </c>
      <c r="CC40">
        <f>#REF!-"vlM!$?5"</f>
        <v/>
      </c>
      <c r="CD40">
        <f>#REF!-"vlM!$?6"</f>
        <v/>
      </c>
      <c r="CE40">
        <f>#REF!-"vlM!$?7"</f>
        <v/>
      </c>
      <c r="CF40">
        <f>#REF!-"vlM!$?8"</f>
        <v/>
      </c>
      <c r="CG40">
        <f>#REF!-"vlM!$?9"</f>
        <v/>
      </c>
      <c r="CH40">
        <f>#REF!-"vlM!$?:"</f>
        <v/>
      </c>
      <c r="CI40">
        <f>#REF!-"vlM!$?;"</f>
        <v/>
      </c>
      <c r="CJ40">
        <f>#REF!-"vlM!$?&lt;"</f>
        <v/>
      </c>
      <c r="CK40">
        <f>#REF!-"vlM!$?="</f>
        <v/>
      </c>
      <c r="CL40">
        <f>#REF!-"vlM!$?&gt;"</f>
        <v/>
      </c>
      <c r="CM40">
        <f>#REF!-"vlM!$??"</f>
        <v/>
      </c>
      <c r="CN40">
        <f>#REF!-"vlM!$?@"</f>
        <v/>
      </c>
      <c r="CO40">
        <f>#REF!-"vlM!$?A"</f>
        <v/>
      </c>
      <c r="CP40">
        <f>#REF!-"vlM!$?B"</f>
        <v/>
      </c>
      <c r="CQ40">
        <f>#REF!-"vlM!$?C"</f>
        <v/>
      </c>
      <c r="CR40">
        <f>#REF!-"vlM!$?D"</f>
        <v/>
      </c>
      <c r="CS40">
        <f>#REF!-"vlM!$?E"</f>
        <v/>
      </c>
      <c r="CT40">
        <f>#REF!-"vlM!$?F"</f>
        <v/>
      </c>
      <c r="CU40">
        <f>#REF!-"vlM!$?G"</f>
        <v/>
      </c>
      <c r="CV40">
        <f>#REF!-"vlM!$?H"</f>
        <v/>
      </c>
      <c r="CW40">
        <f>#REF!-"vlM!$?I"</f>
        <v/>
      </c>
      <c r="CX40">
        <f>#REF!-"vlM!$?J"</f>
        <v/>
      </c>
      <c r="CY40">
        <f>#REF!-"vlM!$?K"</f>
        <v/>
      </c>
      <c r="CZ40">
        <f>#REF!-"vlM!$?L"</f>
        <v/>
      </c>
      <c r="DA40">
        <f>#REF!-"vlM!$?M"</f>
        <v/>
      </c>
      <c r="DB40">
        <f>#REF!-"vlM!$?N"</f>
        <v/>
      </c>
      <c r="DC40">
        <f>#REF!-"vlM!$?O"</f>
        <v/>
      </c>
      <c r="DD40">
        <f>#REF!-"vlM!$?P"</f>
        <v/>
      </c>
      <c r="DE40">
        <f>#REF!-"vlM!$?Q"</f>
        <v/>
      </c>
      <c r="DF40">
        <f>#REF!-"vlM!$?R"</f>
        <v/>
      </c>
      <c r="DG40">
        <f>#REF!-"vlM!$?S"</f>
        <v/>
      </c>
      <c r="DH40">
        <f>#REF!-"vlM!$?T"</f>
        <v/>
      </c>
      <c r="DI40">
        <f>#REF!-"vlM!$?U"</f>
        <v/>
      </c>
      <c r="DJ40">
        <f>#REF!-"vlM!$?V"</f>
        <v/>
      </c>
      <c r="DK40">
        <f>#REF!-"vlM!$?W"</f>
        <v/>
      </c>
      <c r="DL40">
        <f>#REF!-"vlM!$?X"</f>
        <v/>
      </c>
      <c r="DM40">
        <f>#REF!-"vlM!$?Y"</f>
        <v/>
      </c>
      <c r="DN40">
        <f>#REF!-"vlM!$?Z"</f>
        <v/>
      </c>
      <c r="DO40">
        <f>#REF!-"vlM!$?["</f>
        <v/>
      </c>
      <c r="DP40">
        <f>#REF!-"vlM!$?\"</f>
        <v/>
      </c>
      <c r="DQ40">
        <f>#REF!-"vlM!$?]"</f>
        <v/>
      </c>
      <c r="DR40">
        <f>#REF!-"vlM!$?^"</f>
        <v/>
      </c>
      <c r="DS40">
        <f>#REF!-"vlM!$?_"</f>
        <v/>
      </c>
      <c r="DT40">
        <f>#REF!-"vlM!$?`"</f>
        <v/>
      </c>
      <c r="DU40">
        <f>#REF!-"vlM!$?a"</f>
        <v/>
      </c>
      <c r="DV40">
        <f>#REF!-"vlM!$?b"</f>
        <v/>
      </c>
      <c r="DW40">
        <f>#REF!-"vlM!$?c"</f>
        <v/>
      </c>
      <c r="DX40">
        <f>#REF!-"vlM!$?d"</f>
        <v/>
      </c>
      <c r="DY40">
        <f>#REF!-"vlM!$?e"</f>
        <v/>
      </c>
      <c r="DZ40">
        <f>#REF!-"vlM!$?f"</f>
        <v/>
      </c>
      <c r="EA40">
        <f>#REF!-"vlM!$?g"</f>
        <v/>
      </c>
      <c r="EB40">
        <f>#REF!-"vlM!$?h"</f>
        <v/>
      </c>
      <c r="EC40">
        <f>#REF!-"vlM!$?i"</f>
        <v/>
      </c>
      <c r="ED40">
        <f>#REF!-"vlM!$?j"</f>
        <v/>
      </c>
      <c r="EE40">
        <f>#REF!-"vlM!$?k"</f>
        <v/>
      </c>
      <c r="EF40">
        <f>#REF!-"vlM!$?l"</f>
        <v/>
      </c>
      <c r="EG40">
        <f>#REF!-"vlM!$?m"</f>
        <v/>
      </c>
      <c r="EH40">
        <f>#REF!-"vlM!$?n"</f>
        <v/>
      </c>
      <c r="EI40">
        <f>#REF!-"vlM!$?o"</f>
        <v/>
      </c>
      <c r="EJ40">
        <f>#REF!-"vlM!$?p"</f>
        <v/>
      </c>
      <c r="EK40">
        <f>#REF!-"vlM!$?q"</f>
        <v/>
      </c>
      <c r="EL40">
        <f>#REF!-"vlM!$?r"</f>
        <v/>
      </c>
      <c r="EM40">
        <f>#REF!-"vlM!$?s"</f>
        <v/>
      </c>
      <c r="EN40">
        <f>#REF!-"vlM!$?t"</f>
        <v/>
      </c>
      <c r="EO40">
        <f>#REF!-"vlM!$?u"</f>
        <v/>
      </c>
      <c r="EP40">
        <f>#REF!-"vlM!$?v"</f>
        <v/>
      </c>
      <c r="EQ40">
        <f>#REF!-"vlM!$?w"</f>
        <v/>
      </c>
      <c r="ER40">
        <f>#REF!-"vlM!$?x"</f>
        <v/>
      </c>
      <c r="ES40">
        <f>#REF!-"vlM!$?y"</f>
        <v/>
      </c>
      <c r="ET40">
        <f>#REF!-"vlM!$?z"</f>
        <v/>
      </c>
      <c r="EU40">
        <f>#REF!-"vlM!$?{"</f>
        <v/>
      </c>
      <c r="EV40">
        <f>#REF!-"vlM!$?|"</f>
        <v/>
      </c>
      <c r="EW40">
        <f>#REF!-"vlM!$?}"</f>
        <v/>
      </c>
      <c r="EX40">
        <f>#REF!-"vlM!$?~"</f>
        <v/>
      </c>
      <c r="EY40">
        <f>#REF!-"vlM!$@#"</f>
        <v/>
      </c>
      <c r="EZ40">
        <f>#REF!-"vlM!$@$"</f>
        <v/>
      </c>
      <c r="FA40">
        <f>#REF!-"vlM!$@%"</f>
        <v/>
      </c>
      <c r="FB40">
        <f>#REF!-"vlM!$@&amp;"</f>
        <v/>
      </c>
      <c r="FC40">
        <f>#REF!-"vlM!$@'"</f>
        <v/>
      </c>
      <c r="FD40">
        <f>#REF!-"vlM!$@("</f>
        <v/>
      </c>
      <c r="FE40">
        <f>#REF!-"vlM!$@)"</f>
        <v/>
      </c>
      <c r="FF40">
        <f>#REF!-"vlM!$@."</f>
        <v/>
      </c>
      <c r="FG40">
        <f>#REF!-"vlM!$@/"</f>
        <v/>
      </c>
      <c r="FH40">
        <f>#REF!-"vlM!$@0"</f>
        <v/>
      </c>
      <c r="FI40">
        <f>#REF!-"vlM!$@1"</f>
        <v/>
      </c>
      <c r="FJ40">
        <f>#REF!-"vlM!$@2"</f>
        <v/>
      </c>
      <c r="FK40">
        <f>#REF!-"vlM!$@3"</f>
        <v/>
      </c>
      <c r="FL40">
        <f>#REF!-"vlM!$@4"</f>
        <v/>
      </c>
      <c r="FM40">
        <f>#REF!-"vlM!$@5"</f>
        <v/>
      </c>
      <c r="FN40">
        <f>#REF!-"vlM!$@6"</f>
        <v/>
      </c>
      <c r="FO40">
        <f>#REF!-"vlM!$@7"</f>
        <v/>
      </c>
      <c r="FP40">
        <f>#REF!-"vlM!$@8"</f>
        <v/>
      </c>
      <c r="FQ40">
        <f>#REF!-"vlM!$@9"</f>
        <v/>
      </c>
      <c r="FR40">
        <f>#REF!-"vlM!$@:"</f>
        <v/>
      </c>
      <c r="FS40">
        <f>#REF!-"vlM!$@;"</f>
        <v/>
      </c>
      <c r="FT40">
        <f>#REF!-"vlM!$@&lt;"</f>
        <v/>
      </c>
      <c r="FU40">
        <f>#REF!-"vlM!$@="</f>
        <v/>
      </c>
      <c r="FV40">
        <f>#REF!-"vlM!$@&gt;"</f>
        <v/>
      </c>
      <c r="FW40">
        <f>#REF!-"vlM!$@?"</f>
        <v/>
      </c>
      <c r="FX40">
        <f>#REF!-"vlM!$@@"</f>
        <v/>
      </c>
      <c r="FY40">
        <f>#REF!-"vlM!$@A"</f>
        <v/>
      </c>
      <c r="FZ40">
        <f>#REF!-"vlM!$@B"</f>
        <v/>
      </c>
      <c r="GA40">
        <f>#REF!-"vlM!$@C"</f>
        <v/>
      </c>
      <c r="GB40">
        <f>#REF!-"vlM!$@D"</f>
        <v/>
      </c>
      <c r="GC40">
        <f>#REF!-"vlM!$@E"</f>
        <v/>
      </c>
      <c r="GD40">
        <f>#REF!-"vlM!$@F"</f>
        <v/>
      </c>
      <c r="GE40">
        <f>#REF!-"vlM!$@G"</f>
        <v/>
      </c>
      <c r="GF40">
        <f>#REF!-"vlM!$@H"</f>
        <v/>
      </c>
      <c r="GG40">
        <f>#REF!-"vlM!$@I"</f>
        <v/>
      </c>
      <c r="GH40">
        <f>#REF!-"vlM!$@J"</f>
        <v/>
      </c>
      <c r="GI40">
        <f>#REF!-"vlM!$@K"</f>
        <v/>
      </c>
      <c r="GJ40">
        <f>#REF!-"vlM!$@L"</f>
        <v/>
      </c>
      <c r="GK40">
        <f>#REF!-"vlM!$@M"</f>
        <v/>
      </c>
      <c r="GL40">
        <f>#REF!-"vlM!$@N"</f>
        <v/>
      </c>
      <c r="GM40">
        <f>#REF!-"vlM!$@O"</f>
        <v/>
      </c>
      <c r="GN40">
        <f>#REF!-"vlM!$@P"</f>
        <v/>
      </c>
      <c r="GO40">
        <f>#REF!-"vlM!$@Q"</f>
        <v/>
      </c>
      <c r="GP40">
        <f>#REF!-"vlM!$@R"</f>
        <v/>
      </c>
      <c r="GQ40">
        <f>#REF!-"vlM!$@S"</f>
        <v/>
      </c>
      <c r="GR40">
        <f>#REF!-"vlM!$@T"</f>
        <v/>
      </c>
      <c r="GS40">
        <f>#REF!-"vlM!$@U"</f>
        <v/>
      </c>
      <c r="GT40">
        <f>#REF!-"vlM!$@V"</f>
        <v/>
      </c>
      <c r="GU40">
        <f>#REF!-"vlM!$@W"</f>
        <v/>
      </c>
      <c r="GV40">
        <f>#REF!-"vlM!$@X"</f>
        <v/>
      </c>
      <c r="GW40">
        <f>#REF!-"vlM!$@Y"</f>
        <v/>
      </c>
      <c r="GX40">
        <f>#REF!-"vlM!$@Z"</f>
        <v/>
      </c>
      <c r="GY40">
        <f>#REF!-"vlM!$@["</f>
        <v/>
      </c>
      <c r="GZ40">
        <f>#REF!-"vlM!$@\"</f>
        <v/>
      </c>
      <c r="HA40">
        <f>#REF!-"vlM!$@]"</f>
        <v/>
      </c>
      <c r="HB40">
        <f>#REF!-"vlM!$@^"</f>
        <v/>
      </c>
      <c r="HC40">
        <f>#REF!-"vlM!$@_"</f>
        <v/>
      </c>
      <c r="HD40">
        <f>#REF!-"vlM!$@`"</f>
        <v/>
      </c>
      <c r="HE40">
        <f>#REF!-"vlM!$@a"</f>
        <v/>
      </c>
      <c r="HF40">
        <f>#REF!-"vlM!$@b"</f>
        <v/>
      </c>
      <c r="HG40">
        <f>#REF!-"vlM!$@c"</f>
        <v/>
      </c>
      <c r="HH40">
        <f>#REF!-"vlM!$@d"</f>
        <v/>
      </c>
      <c r="HI40">
        <f>#REF!-"vlM!$@e"</f>
        <v/>
      </c>
      <c r="HJ40">
        <f>#REF!-"vlM!$@f"</f>
        <v/>
      </c>
      <c r="HK40">
        <f>#REF!-"vlM!$@g"</f>
        <v/>
      </c>
      <c r="HL40">
        <f>#REF!-"vlM!$@h"</f>
        <v/>
      </c>
      <c r="HM40">
        <f>#REF!-"vlM!$@i"</f>
        <v/>
      </c>
      <c r="HN40">
        <f>#REF!-"vlM!$@j"</f>
        <v/>
      </c>
      <c r="HO40">
        <f>#REF!-"vlM!$@k"</f>
        <v/>
      </c>
      <c r="HP40">
        <f>#REF!-"vlM!$@l"</f>
        <v/>
      </c>
      <c r="HQ40">
        <f>#REF!-"vlM!$@m"</f>
        <v/>
      </c>
      <c r="HR40">
        <f>#REF!-"vlM!$@n"</f>
        <v/>
      </c>
      <c r="HS40">
        <f>#REF!-"vlM!$@o"</f>
        <v/>
      </c>
      <c r="HT40">
        <f>#REF!-"vlM!$@p"</f>
        <v/>
      </c>
      <c r="HU40">
        <f>#REF!-"vlM!$@q"</f>
        <v/>
      </c>
      <c r="HV40">
        <f>#REF!-"vlM!$@r"</f>
        <v/>
      </c>
      <c r="HW40">
        <f>#REF!-"vlM!$@s"</f>
        <v/>
      </c>
      <c r="HX40">
        <f>#REF!-"vlM!$@t"</f>
        <v/>
      </c>
      <c r="HY40">
        <f>#REF!-"vlM!$@u"</f>
        <v/>
      </c>
      <c r="HZ40">
        <f>#REF!-"vlM!$@v"</f>
        <v/>
      </c>
      <c r="IA40">
        <f>#REF!-"vlM!$@w"</f>
        <v/>
      </c>
      <c r="IB40">
        <f>#REF!-"vlM!$@x"</f>
        <v/>
      </c>
      <c r="IC40">
        <f>#REF!-"vlM!$@y"</f>
        <v/>
      </c>
      <c r="ID40">
        <f>#REF!-"vlM!$@z"</f>
        <v/>
      </c>
      <c r="IE40">
        <f>#REF!-"vlM!$@{"</f>
        <v/>
      </c>
      <c r="IF40">
        <f>#REF!-"vlM!$@|"</f>
        <v/>
      </c>
      <c r="IG40">
        <f>#REF!-"vlM!$@}"</f>
        <v/>
      </c>
      <c r="IH40">
        <f>#REF!-"vlM!$@~"</f>
        <v/>
      </c>
      <c r="II40">
        <f>#REF!-"vlM!$A#"</f>
        <v/>
      </c>
      <c r="IJ40">
        <f>#REF!-"vlM!$A$"</f>
        <v/>
      </c>
      <c r="IK40">
        <f>#REF!-"vlM!$A%"</f>
        <v/>
      </c>
      <c r="IL40">
        <f>#REF!-"vlM!$A&amp;"</f>
        <v/>
      </c>
      <c r="IM40">
        <f>#REF!-"vlM!$A'"</f>
        <v/>
      </c>
      <c r="IN40">
        <f>#REF!-"vlM!$A("</f>
        <v/>
      </c>
      <c r="IO40">
        <f>#REF!-"vlM!$A)"</f>
        <v/>
      </c>
      <c r="IP40">
        <f>#REF!-"vlM!$A."</f>
        <v/>
      </c>
      <c r="IQ40">
        <f>#REF!-"vlM!$A/"</f>
        <v/>
      </c>
      <c r="IR40">
        <f>#REF!-"vlM!$A0"</f>
        <v/>
      </c>
      <c r="IS40">
        <f>#REF!-"vlM!$A1"</f>
        <v/>
      </c>
      <c r="IT40">
        <f>#REF!-"vlM!$A2"</f>
        <v/>
      </c>
      <c r="IU40">
        <f>#REF!-"vlM!$A3"</f>
        <v/>
      </c>
      <c r="IV40">
        <f>#REF!-"vlM!$A4"</f>
        <v/>
      </c>
    </row>
    <row r="41">
      <c r="F41">
        <f>#REF!-"vlM!$A5"</f>
        <v/>
      </c>
      <c r="G41">
        <f>#REF!-"vlM!$A6"</f>
        <v/>
      </c>
      <c r="H41">
        <f>#REF!-"vlM!$A7"</f>
        <v/>
      </c>
      <c r="I41">
        <f>#REF!-"vlM!$A8"</f>
        <v/>
      </c>
      <c r="J41">
        <f>#REF!-"vlM!$A9"</f>
        <v/>
      </c>
      <c r="K41">
        <f>#REF!-"vlM!$A:"</f>
        <v/>
      </c>
      <c r="L41">
        <f>#REF!-"vlM!$A;"</f>
        <v/>
      </c>
      <c r="M41">
        <f>#REF!-"vlM!$A&lt;"</f>
        <v/>
      </c>
      <c r="N41">
        <f>#REF!-"vlM!$A="</f>
        <v/>
      </c>
      <c r="O41">
        <f>#REF!-"vlM!$A&gt;"</f>
        <v/>
      </c>
      <c r="P41">
        <f>#REF!-"vlM!$A?"</f>
        <v/>
      </c>
      <c r="Q41">
        <f>#REF!-"vlM!$A@"</f>
        <v/>
      </c>
      <c r="R41">
        <f>#REF!-"vlM!$AA"</f>
        <v/>
      </c>
      <c r="S41">
        <f>#REF!-"vlM!$AB"</f>
        <v/>
      </c>
      <c r="T41">
        <f>#REF!-"vlM!$AC"</f>
        <v/>
      </c>
      <c r="U41">
        <f>#REF!-"vlM!$AD"</f>
        <v/>
      </c>
      <c r="V41">
        <f>#REF!-"vlM!$AE"</f>
        <v/>
      </c>
      <c r="W41">
        <f>#REF!-"vlM!$AF"</f>
        <v/>
      </c>
      <c r="X41">
        <f>#REF!-"vlM!$AG"</f>
        <v/>
      </c>
      <c r="Y41">
        <f>#REF!-"vlM!$AH"</f>
        <v/>
      </c>
      <c r="Z41">
        <f>#REF!-"vlM!$AI"</f>
        <v/>
      </c>
      <c r="AA41">
        <f>#REF!-"vlM!$AJ"</f>
        <v/>
      </c>
      <c r="AB41">
        <f>#REF!-"vlM!$AK"</f>
        <v/>
      </c>
      <c r="AC41">
        <f>#REF!-"vlM!$AL"</f>
        <v/>
      </c>
      <c r="AD41">
        <f>#REF!-"vlM!$AM"</f>
        <v/>
      </c>
      <c r="AE41">
        <f>#REF!-"vlM!$AN"</f>
        <v/>
      </c>
      <c r="AF41">
        <f>#REF!-"vlM!$AO"</f>
        <v/>
      </c>
      <c r="AG41">
        <f>#REF!-"vlM!$AP"</f>
        <v/>
      </c>
      <c r="AH41">
        <f>#REF!-"vlM!$AQ"</f>
        <v/>
      </c>
      <c r="AI41">
        <f>#REF!-"vlM!$AR"</f>
        <v/>
      </c>
      <c r="AJ41">
        <f>#REF!-"vlM!$AS"</f>
        <v/>
      </c>
      <c r="AK41">
        <f>#REF!-"vlM!$AT"</f>
        <v/>
      </c>
      <c r="AL41">
        <f>#REF!-"vlM!$AU"</f>
        <v/>
      </c>
      <c r="AM41">
        <f>#REF!-"vlM!$AV"</f>
        <v/>
      </c>
      <c r="AN41">
        <f>#REF!-"vlM!$AW"</f>
        <v/>
      </c>
      <c r="AO41">
        <f>#REF!-"vlM!$AX"</f>
        <v/>
      </c>
      <c r="AP41">
        <f>#REF!-"vlM!$AY"</f>
        <v/>
      </c>
      <c r="AQ41">
        <f>#REF!-"vlM!$AZ"</f>
        <v/>
      </c>
      <c r="AR41">
        <f>#REF!-"vlM!$A["</f>
        <v/>
      </c>
      <c r="AS41">
        <f>#REF!-"vlM!$A\"</f>
        <v/>
      </c>
      <c r="AT41">
        <f>#REF!-"vlM!$A]"</f>
        <v/>
      </c>
      <c r="AU41">
        <f>#REF!-"vlM!$A^"</f>
        <v/>
      </c>
      <c r="AV41">
        <f>#REF!-"vlM!$A_"</f>
        <v/>
      </c>
      <c r="AW41">
        <f>#REF!-"vlM!$A`"</f>
        <v/>
      </c>
      <c r="AX41">
        <f>#REF!-"vlM!$Aa"</f>
        <v/>
      </c>
      <c r="AY41">
        <f>#REF!-"vlM!$Ab"</f>
        <v/>
      </c>
      <c r="AZ41">
        <f>#REF!-"vlM!$Ac"</f>
        <v/>
      </c>
      <c r="BA41">
        <f>#REF!-"vlM!$Ad"</f>
        <v/>
      </c>
      <c r="BB41">
        <f>#REF!-"vlM!$Ae"</f>
        <v/>
      </c>
      <c r="BC41">
        <f>#REF!-"vlM!$Af"</f>
        <v/>
      </c>
      <c r="BD41">
        <f>#REF!-"vlM!$Ag"</f>
        <v/>
      </c>
      <c r="BE41">
        <f>#REF!-"vlM!$Ah"</f>
        <v/>
      </c>
      <c r="BF41">
        <f>#REF!-"vlM!$Ai"</f>
        <v/>
      </c>
      <c r="BG41">
        <f>#REF!-"vlM!$Aj"</f>
        <v/>
      </c>
      <c r="BH41">
        <f>#REF!-"vlM!$Ak"</f>
        <v/>
      </c>
      <c r="BI41">
        <f>#REF!-"vlM!$Al"</f>
        <v/>
      </c>
      <c r="BJ41">
        <f>#REF!-"vlM!$Am"</f>
        <v/>
      </c>
      <c r="BK41">
        <f>#REF!-"vlM!$An"</f>
        <v/>
      </c>
      <c r="BL41">
        <f>#REF!-"vlM!$Ao"</f>
        <v/>
      </c>
      <c r="BM41">
        <f>#REF!-"vlM!$Ap"</f>
        <v/>
      </c>
      <c r="BN41">
        <f>#REF!-"vlM!$Aq"</f>
        <v/>
      </c>
      <c r="BO41">
        <f>#REF!-"vlM!$Ar"</f>
        <v/>
      </c>
      <c r="BP41">
        <f>#REF!-"vlM!$As"</f>
        <v/>
      </c>
      <c r="BQ41">
        <f>#REF!-"vlM!$At"</f>
        <v/>
      </c>
      <c r="BR41">
        <f>#REF!-"vlM!$Au"</f>
        <v/>
      </c>
      <c r="BS41">
        <f>#REF!-"vlM!$Av"</f>
        <v/>
      </c>
      <c r="BT41">
        <f>#REF!-"vlM!$Aw"</f>
        <v/>
      </c>
      <c r="BU41">
        <f>#REF!-"vlM!$Ax"</f>
        <v/>
      </c>
      <c r="BV41">
        <f>#REF!-"vlM!$Ay"</f>
        <v/>
      </c>
      <c r="BW41">
        <f>#REF!-"vlM!$Az"</f>
        <v/>
      </c>
      <c r="BX41">
        <f>#REF!-"vlM!$A{"</f>
        <v/>
      </c>
      <c r="BY41">
        <f>#REF!-"vlM!$A|"</f>
        <v/>
      </c>
      <c r="BZ41">
        <f>#REF!-"vlM!$A}"</f>
        <v/>
      </c>
      <c r="CA41">
        <f>#REF!-"vlM!$A~"</f>
        <v/>
      </c>
      <c r="CB41">
        <f>#REF!-"vlM!$B#"</f>
        <v/>
      </c>
      <c r="CC41">
        <f>#REF!-"vlM!$B$"</f>
        <v/>
      </c>
      <c r="CD41">
        <f>#REF!-"vlM!$B%"</f>
        <v/>
      </c>
      <c r="CE41">
        <f>#REF!-"vlM!$B&amp;"</f>
        <v/>
      </c>
      <c r="CF41">
        <f>#REF!-"vlM!$B'"</f>
        <v/>
      </c>
      <c r="CG41">
        <f>#REF!-"vlM!$B("</f>
        <v/>
      </c>
      <c r="CH41">
        <f>#REF!-"vlM!$B)"</f>
        <v/>
      </c>
      <c r="CI41">
        <f>#REF!-"vlM!$B."</f>
        <v/>
      </c>
      <c r="CJ41">
        <f>#REF!-"vlM!$B/"</f>
        <v/>
      </c>
      <c r="CK41">
        <f>#REF!-"vlM!$B0"</f>
        <v/>
      </c>
      <c r="CL41">
        <f>#REF!-"vlM!$B1"</f>
        <v/>
      </c>
      <c r="CM41">
        <f>#REF!-"vlM!$B2"</f>
        <v/>
      </c>
      <c r="CN41">
        <f>#REF!-"vlM!$B3"</f>
        <v/>
      </c>
      <c r="CO41">
        <f>#REF!-"vlM!$B4"</f>
        <v/>
      </c>
      <c r="CP41">
        <f>#REF!-"vlM!$B5"</f>
        <v/>
      </c>
      <c r="CQ41">
        <f>#REF!-"vlM!$B6"</f>
        <v/>
      </c>
      <c r="CR41">
        <f>#REF!-"vlM!$B7"</f>
        <v/>
      </c>
      <c r="CS41">
        <f>#REF!-"vlM!$B8"</f>
        <v/>
      </c>
      <c r="CT41">
        <f>#REF!-"vlM!$B9"</f>
        <v/>
      </c>
      <c r="CU41">
        <f>#REF!-"vlM!$B:"</f>
        <v/>
      </c>
      <c r="CV41">
        <f>#REF!-"vlM!$B;"</f>
        <v/>
      </c>
      <c r="CW41">
        <f>#REF!-"vlM!$B&lt;"</f>
        <v/>
      </c>
      <c r="CX41">
        <f>#REF!-"vlM!$B="</f>
        <v/>
      </c>
      <c r="CY41">
        <f>#REF!-"vlM!$B&gt;"</f>
        <v/>
      </c>
      <c r="CZ41">
        <f>#REF!-"vlM!$B?"</f>
        <v/>
      </c>
      <c r="DA41">
        <f>#REF!-"vlM!$B@"</f>
        <v/>
      </c>
      <c r="DB41">
        <f>#REF!-"vlM!$BA"</f>
        <v/>
      </c>
      <c r="DC41">
        <f>#REF!-"vlM!$BB"</f>
        <v/>
      </c>
      <c r="DD41">
        <f>#REF!-"vlM!$BC"</f>
        <v/>
      </c>
      <c r="DE41">
        <f>#REF!-"vlM!$BD"</f>
        <v/>
      </c>
      <c r="DF41">
        <f>#REF!-"vlM!$BE"</f>
        <v/>
      </c>
      <c r="DG41">
        <f>#REF!-"vlM!$BF"</f>
        <v/>
      </c>
      <c r="DH41">
        <f>#REF!-"vlM!$BG"</f>
        <v/>
      </c>
      <c r="DI41">
        <f>#REF!-"vlM!$BH"</f>
        <v/>
      </c>
      <c r="DJ41">
        <f>#REF!-"vlM!$BI"</f>
        <v/>
      </c>
      <c r="DK41">
        <f>#REF!-"vlM!$BJ"</f>
        <v/>
      </c>
      <c r="DL41">
        <f>#REF!-"vlM!$BK"</f>
        <v/>
      </c>
      <c r="DM41">
        <f>#REF!-"vlM!$BL"</f>
        <v/>
      </c>
      <c r="DN41">
        <f>#REF!-"vlM!$BM"</f>
        <v/>
      </c>
      <c r="DO41">
        <f>#REF!-"vlM!$BN"</f>
        <v/>
      </c>
      <c r="DP41">
        <f>#REF!-"vlM!$BO"</f>
        <v/>
      </c>
      <c r="DQ41">
        <f>#REF!-"vlM!$BP"</f>
        <v/>
      </c>
      <c r="DR41">
        <f>#REF!-"vlM!$BQ"</f>
        <v/>
      </c>
      <c r="DS41">
        <f>#REF!-"vlM!$BR"</f>
        <v/>
      </c>
      <c r="DT41">
        <f>#REF!-"vlM!$BS"</f>
        <v/>
      </c>
      <c r="DU41">
        <f>#REF!-"vlM!$BT"</f>
        <v/>
      </c>
      <c r="DV41">
        <f>#REF!-"vlM!$BU"</f>
        <v/>
      </c>
      <c r="DW41">
        <f>#REF!-"vlM!$BV"</f>
        <v/>
      </c>
      <c r="DX41">
        <f>#REF!-"vlM!$BW"</f>
        <v/>
      </c>
      <c r="DY41">
        <f>#REF!-"vlM!$BX"</f>
        <v/>
      </c>
      <c r="DZ41">
        <f>#REF!-"vlM!$BY"</f>
        <v/>
      </c>
      <c r="EA41">
        <f>#REF!-"vlM!$BZ"</f>
        <v/>
      </c>
      <c r="EB41">
        <f>#REF!-"vlM!$B["</f>
        <v/>
      </c>
      <c r="EC41">
        <f>#REF!-"vlM!$B\"</f>
        <v/>
      </c>
      <c r="ED41">
        <f>#REF!-"vlM!$B]"</f>
        <v/>
      </c>
      <c r="EE41">
        <f>#REF!-"vlM!$B^"</f>
        <v/>
      </c>
      <c r="EF41">
        <f>#REF!-"vlM!$B_"</f>
        <v/>
      </c>
      <c r="EG41">
        <f>#REF!-"vlM!$B`"</f>
        <v/>
      </c>
      <c r="EH41">
        <f>#REF!-"vlM!$Ba"</f>
        <v/>
      </c>
      <c r="EI41">
        <f>#REF!-"vlM!$Bb"</f>
        <v/>
      </c>
      <c r="EJ41">
        <f>#REF!-"vlM!$Bc"</f>
        <v/>
      </c>
      <c r="EK41">
        <f>#REF!-"vlM!$Bd"</f>
        <v/>
      </c>
      <c r="EL41">
        <f>#REF!-"vlM!$Be"</f>
        <v/>
      </c>
      <c r="EM41">
        <f>#REF!-"vlM!$Bf"</f>
        <v/>
      </c>
      <c r="EN41">
        <f>#REF!-"vlM!$Bg"</f>
        <v/>
      </c>
      <c r="EO41">
        <f>#REF!-"vlM!$Bh"</f>
        <v/>
      </c>
      <c r="EP41">
        <f>#REF!-"vlM!$Bi"</f>
        <v/>
      </c>
      <c r="EQ41">
        <f>#REF!-"vlM!$Bj"</f>
        <v/>
      </c>
      <c r="ER41">
        <f>#REF!-"vlM!$Bk"</f>
        <v/>
      </c>
      <c r="ES41">
        <f>#REF!-"vlM!$Bl"</f>
        <v/>
      </c>
      <c r="ET41">
        <f>#REF!-"vlM!$Bm"</f>
        <v/>
      </c>
      <c r="EU41">
        <f>#REF!-"vlM!$Bn"</f>
        <v/>
      </c>
      <c r="EV41">
        <f>#REF!-"vlM!$Bo"</f>
        <v/>
      </c>
      <c r="EW41">
        <f>#REF!-"vlM!$Bp"</f>
        <v/>
      </c>
      <c r="EX41">
        <f>#REF!-"vlM!$Bq"</f>
        <v/>
      </c>
      <c r="EY41">
        <f>#REF!-"vlM!$Br"</f>
        <v/>
      </c>
      <c r="EZ41">
        <f>#REF!-"vlM!$Bs"</f>
        <v/>
      </c>
      <c r="FA41">
        <f>#REF!-"vlM!$Bt"</f>
        <v/>
      </c>
      <c r="FB41">
        <f>#REF!-"vlM!$Bu"</f>
        <v/>
      </c>
      <c r="FC41">
        <f>#REF!-"vlM!$Bv"</f>
        <v/>
      </c>
      <c r="FD41">
        <f>#REF!-"vlM!$Bw"</f>
        <v/>
      </c>
      <c r="FE41">
        <f>#REF!-"vlM!$Bx"</f>
        <v/>
      </c>
      <c r="FF41">
        <f>#REF!-"vlM!$By"</f>
        <v/>
      </c>
      <c r="FG41">
        <f>#REF!-"vlM!$Bz"</f>
        <v/>
      </c>
      <c r="FH41">
        <f>#REF!-"vlM!$B{"</f>
        <v/>
      </c>
      <c r="FI41">
        <f>#REF!-"vlM!$B|"</f>
        <v/>
      </c>
      <c r="FJ41">
        <f>#REF!-"vlM!$B}"</f>
        <v/>
      </c>
      <c r="FK41">
        <f>#REF!-"vlM!$B~"</f>
        <v/>
      </c>
      <c r="FL41">
        <f>#REF!-"vlM!$C#"</f>
        <v/>
      </c>
      <c r="FM41">
        <f>#REF!-"vlM!$C$"</f>
        <v/>
      </c>
      <c r="FN41">
        <f>#REF!-"vlM!$C%"</f>
        <v/>
      </c>
      <c r="FO41">
        <f>#REF!-"vlM!$C&amp;"</f>
        <v/>
      </c>
      <c r="FP41">
        <f>#REF!-"vlM!$C'"</f>
        <v/>
      </c>
      <c r="FQ41">
        <f>#REF!-"vlM!$C("</f>
        <v/>
      </c>
      <c r="FR41">
        <f>#REF!-"vlM!$C)"</f>
        <v/>
      </c>
      <c r="FS41">
        <f>#REF!-"vlM!$C."</f>
        <v/>
      </c>
      <c r="FT41">
        <f>#REF!-"vlM!$C/"</f>
        <v/>
      </c>
      <c r="FU41">
        <f>#REF!-"vlM!$C0"</f>
        <v/>
      </c>
      <c r="FV41">
        <f>#REF!-"vlM!$C1"</f>
        <v/>
      </c>
      <c r="FW41">
        <f>#REF!-"vlM!$C2"</f>
        <v/>
      </c>
      <c r="FX41">
        <f>#REF!-"vlM!$C3"</f>
        <v/>
      </c>
      <c r="FY41">
        <f>#REF!-"vlM!$C4"</f>
        <v/>
      </c>
      <c r="FZ41">
        <f>#REF!-"vlM!$C5"</f>
        <v/>
      </c>
      <c r="GA41">
        <f>#REF!-"vlM!$C6"</f>
        <v/>
      </c>
      <c r="GB41">
        <f>#REF!-"vlM!$C7"</f>
        <v/>
      </c>
      <c r="GC41">
        <f>#REF!-"vlM!$C8"</f>
        <v/>
      </c>
      <c r="GD41">
        <f>#REF!-"vlM!$C9"</f>
        <v/>
      </c>
      <c r="GE41">
        <f>#REF!-"vlM!$C:"</f>
        <v/>
      </c>
      <c r="GF41">
        <f>#REF!-"vlM!$C;"</f>
        <v/>
      </c>
      <c r="GG41">
        <f>#REF!-"vlM!$C&lt;"</f>
        <v/>
      </c>
      <c r="GH41">
        <f>#REF!-"vlM!$C="</f>
        <v/>
      </c>
      <c r="GI41">
        <f>#REF!-"vlM!$C&gt;"</f>
        <v/>
      </c>
      <c r="GJ41">
        <f>#REF!-"vlM!$C?"</f>
        <v/>
      </c>
      <c r="GK41">
        <f>#REF!-"vlM!$C@"</f>
        <v/>
      </c>
      <c r="GL41">
        <f>#REF!-"vlM!$CA"</f>
        <v/>
      </c>
      <c r="GM41">
        <f>#REF!-"vlM!$CB"</f>
        <v/>
      </c>
      <c r="GN41">
        <f>#REF!-"vlM!$CC"</f>
        <v/>
      </c>
      <c r="GO41">
        <f>#REF!-"vlM!$CD"</f>
        <v/>
      </c>
      <c r="GP41">
        <f>#REF!-"vlM!$CE"</f>
        <v/>
      </c>
      <c r="GQ41">
        <f>#REF!-"vlM!$CF"</f>
        <v/>
      </c>
      <c r="GR41">
        <f>#REF!-"vlM!$CG"</f>
        <v/>
      </c>
      <c r="GS41">
        <f>#REF!-"vlM!$CH"</f>
        <v/>
      </c>
      <c r="GT41">
        <f>#REF!-"vlM!$CI"</f>
        <v/>
      </c>
      <c r="GU41">
        <f>#REF!-"vlM!$CJ"</f>
        <v/>
      </c>
      <c r="GV41">
        <f>#REF!-"vlM!$CK"</f>
        <v/>
      </c>
      <c r="GW41">
        <f>#REF!-"vlM!$CL"</f>
        <v/>
      </c>
      <c r="GX41">
        <f>#REF!-"vlM!$CM"</f>
        <v/>
      </c>
      <c r="GY41">
        <f>#REF!-"vlM!$CN"</f>
        <v/>
      </c>
      <c r="GZ41">
        <f>#REF!-"vlM!$CO"</f>
        <v/>
      </c>
      <c r="HA41">
        <f>#REF!-"vlM!$CP"</f>
        <v/>
      </c>
      <c r="HB41">
        <f>#REF!-"vlM!$CQ"</f>
        <v/>
      </c>
      <c r="HC41">
        <f>#REF!-"vlM!$CR"</f>
        <v/>
      </c>
      <c r="HD41">
        <f>#REF!-"vlM!$CS"</f>
        <v/>
      </c>
      <c r="HE41">
        <f>#REF!-"vlM!$CT"</f>
        <v/>
      </c>
      <c r="HF41">
        <f>#REF!+"vlM!$CU"</f>
        <v/>
      </c>
      <c r="HG41">
        <f>#REF!+"vlM!$CV"</f>
        <v/>
      </c>
      <c r="HH41">
        <f>#REF!+"vlM!$CW"</f>
        <v/>
      </c>
      <c r="HI41">
        <f>#REF!+"vlM!$CX"</f>
        <v/>
      </c>
      <c r="HJ41">
        <f>#REF!+"vlM!$CY"</f>
        <v/>
      </c>
      <c r="HK41">
        <f>#REF!+"vlM!$CZ"</f>
        <v/>
      </c>
      <c r="HL41">
        <f>#REF!+"vlM!$C["</f>
        <v/>
      </c>
      <c r="HM41">
        <f>#REF!+"vlM!$C\"</f>
        <v/>
      </c>
      <c r="HN41">
        <f>#REF!+"vlM!$C]"</f>
        <v/>
      </c>
      <c r="HO41">
        <f>#REF!+"vlM!$C^"</f>
        <v/>
      </c>
      <c r="HP41">
        <f>#REF!+"vlM!$C_"</f>
        <v/>
      </c>
      <c r="HQ41">
        <f>#REF!+"vlM!$C`"</f>
        <v/>
      </c>
      <c r="HR41">
        <f>#REF!+"vlM!$Ca"</f>
        <v/>
      </c>
      <c r="HS41">
        <f>#REF!+"vlM!$Cb"</f>
        <v/>
      </c>
      <c r="HT41">
        <f>#REF!+"vlM!$Cc"</f>
        <v/>
      </c>
      <c r="HU41">
        <f>#REF!+"vlM!$Cd"</f>
        <v/>
      </c>
      <c r="HV41">
        <f>#REF!+"vlM!$Ce"</f>
        <v/>
      </c>
      <c r="HW41">
        <f>#REF!+"vlM!$Cf"</f>
        <v/>
      </c>
      <c r="HX41">
        <f>#REF!+"vlM!$Cg"</f>
        <v/>
      </c>
      <c r="HY41">
        <f>#REF!+"vlM!$Ch"</f>
        <v/>
      </c>
      <c r="HZ41">
        <f>#REF!+"vlM!$Ci"</f>
        <v/>
      </c>
      <c r="IA41">
        <f>#REF!+"vlM!$Cj"</f>
        <v/>
      </c>
      <c r="IB41">
        <f>#REF!+"vlM!$Ck"</f>
        <v/>
      </c>
      <c r="IC41">
        <f>#REF!+"vlM!$Cl"</f>
        <v/>
      </c>
      <c r="ID41">
        <f>#REF!+"vlM!$Cm"</f>
        <v/>
      </c>
      <c r="IE41">
        <f>#REF!+"vlM!$Cn"</f>
        <v/>
      </c>
      <c r="IF41">
        <f>#REF!+"vlM!$Co"</f>
        <v/>
      </c>
      <c r="IG41">
        <f>#REF!+"vlM!$Cp"</f>
        <v/>
      </c>
      <c r="IH41">
        <f>#REF!+"vlM!$Cq"</f>
        <v/>
      </c>
      <c r="II41">
        <f>#REF!+"vlM!$Cr"</f>
        <v/>
      </c>
      <c r="IJ41">
        <f>#REF!+"vlM!$Cs"</f>
        <v/>
      </c>
      <c r="IK41">
        <f>#REF!+"vlM!$Ct"</f>
        <v/>
      </c>
      <c r="IL41">
        <f>#REF!+"vlM!$Cu"</f>
        <v/>
      </c>
      <c r="IM41">
        <f>#REF!+"vlM!$Cv"</f>
        <v/>
      </c>
      <c r="IN41">
        <f>#REF!+"vlM!$Cw"</f>
        <v/>
      </c>
      <c r="IO41">
        <f>#REF!+"vlM!$Cx"</f>
        <v/>
      </c>
      <c r="IP41">
        <f>#REF!+"vlM!$Cy"</f>
        <v/>
      </c>
      <c r="IQ41">
        <f>#REF!+"vlM!$Cz"</f>
        <v/>
      </c>
      <c r="IR41">
        <f>#REF!+"vlM!$C{"</f>
        <v/>
      </c>
      <c r="IS41">
        <f>#REF!+"vlM!$C|"</f>
        <v/>
      </c>
      <c r="IT41">
        <f>#REF!+"vlM!$C}"</f>
        <v/>
      </c>
      <c r="IU41">
        <f>#REF!+"vlM!$C~"</f>
        <v/>
      </c>
      <c r="IV41">
        <f>#REF!+"vlM!$D#"</f>
        <v/>
      </c>
    </row>
    <row r="42">
      <c r="F42">
        <f>#REF!+"vlM!$D$"</f>
        <v/>
      </c>
      <c r="G42">
        <f>#REF!+"vlM!$D%"</f>
        <v/>
      </c>
      <c r="H42">
        <f>#REF!+"vlM!$D&amp;"</f>
        <v/>
      </c>
      <c r="I42">
        <f>#REF!+"vlM!$D'"</f>
        <v/>
      </c>
      <c r="J42">
        <f>#REF!+"vlM!$D("</f>
        <v/>
      </c>
      <c r="K42">
        <f>#REF!+"vlM!$D)"</f>
        <v/>
      </c>
      <c r="L42">
        <f>#REF!+"vlM!$D."</f>
        <v/>
      </c>
      <c r="M42">
        <f>#REF!+"vlM!$D/"</f>
        <v/>
      </c>
      <c r="N42">
        <f>#REF!+"vlM!$D0"</f>
        <v/>
      </c>
      <c r="O42">
        <f>#REF!+"vlM!$D1"</f>
        <v/>
      </c>
      <c r="P42">
        <f>#REF!+"vlM!$D2"</f>
        <v/>
      </c>
      <c r="Q42">
        <f>#REF!+"vlM!$D3"</f>
        <v/>
      </c>
      <c r="R42">
        <f>#REF!+"vlM!$D4"</f>
        <v/>
      </c>
      <c r="S42">
        <f>#REF!+"vlM!$D5"</f>
        <v/>
      </c>
      <c r="T42">
        <f>#REF!+"vlM!$D6"</f>
        <v/>
      </c>
      <c r="U42">
        <f>#REF!+"vlM!$D7"</f>
        <v/>
      </c>
      <c r="V42">
        <f>#REF!+"vlM!$D8"</f>
        <v/>
      </c>
      <c r="W42">
        <f>#REF!+"vlM!$D9"</f>
        <v/>
      </c>
      <c r="X42">
        <f>#REF!+"vlM!$D:"</f>
        <v/>
      </c>
      <c r="Y42">
        <f>#REF!+"vlM!$D;"</f>
        <v/>
      </c>
      <c r="Z42">
        <f>#REF!+"vlM!$D&lt;"</f>
        <v/>
      </c>
      <c r="AA42">
        <f>#REF!+"vlM!$D="</f>
        <v/>
      </c>
      <c r="AB42">
        <f>#REF!+"vlM!$D&gt;"</f>
        <v/>
      </c>
      <c r="AC42">
        <f>#REF!+"vlM!$D?"</f>
        <v/>
      </c>
      <c r="AD42">
        <f>#REF!+"vlM!$D@"</f>
        <v/>
      </c>
      <c r="AE42">
        <f>#REF!+"vlM!$DA"</f>
        <v/>
      </c>
      <c r="AF42">
        <f>#REF!+"vlM!$DB"</f>
        <v/>
      </c>
      <c r="AG42">
        <f>#REF!+"vlM!$DC"</f>
        <v/>
      </c>
      <c r="AH42">
        <f>#REF!+"vlM!$DD"</f>
        <v/>
      </c>
      <c r="AI42">
        <f>#REF!+"vlM!$DE"</f>
        <v/>
      </c>
      <c r="AJ42">
        <f>#REF!+"vlM!$DF"</f>
        <v/>
      </c>
      <c r="AK42">
        <f>#REF!+"vlM!$DG"</f>
        <v/>
      </c>
      <c r="AL42">
        <f>#REF!+"vlM!$DH"</f>
        <v/>
      </c>
      <c r="AM42">
        <f>#REF!+"vlM!$DI"</f>
        <v/>
      </c>
      <c r="AN42">
        <f>#REF!+"vlM!$DJ"</f>
        <v/>
      </c>
      <c r="AO42">
        <f>#REF!+"vlM!$DK"</f>
        <v/>
      </c>
      <c r="AP42">
        <f>#REF!+"vlM!$DL"</f>
        <v/>
      </c>
      <c r="AQ42">
        <f>#REF!+"vlM!$DM"</f>
        <v/>
      </c>
      <c r="AR42">
        <f>#REF!+"vlM!$DN"</f>
        <v/>
      </c>
      <c r="AS42">
        <f>#REF!+"vlM!$DO"</f>
        <v/>
      </c>
      <c r="AT42">
        <f>#REF!+"vlM!$DP"</f>
        <v/>
      </c>
      <c r="AU42">
        <f>#REF!+"vlM!$DQ"</f>
        <v/>
      </c>
      <c r="AV42">
        <f>#REF!+"vlM!$DR"</f>
        <v/>
      </c>
      <c r="AW42">
        <f>#REF!+"vlM!$DS"</f>
        <v/>
      </c>
      <c r="AX42">
        <f>#REF!+"vlM!$DT"</f>
        <v/>
      </c>
      <c r="AY42">
        <f>#REF!+"vlM!$DU"</f>
        <v/>
      </c>
      <c r="AZ42">
        <f>#REF!+"vlM!$DV"</f>
        <v/>
      </c>
      <c r="BA42">
        <f>#REF!+"vlM!$DW"</f>
        <v/>
      </c>
      <c r="BB42">
        <f>#REF!+"vlM!$DX"</f>
        <v/>
      </c>
      <c r="BC42">
        <f>#REF!+"vlM!$DY"</f>
        <v/>
      </c>
      <c r="BD42">
        <f>#REF!+"vlM!$DZ"</f>
        <v/>
      </c>
      <c r="BE42">
        <f>#REF!+"vlM!$D["</f>
        <v/>
      </c>
      <c r="BF42">
        <f>#REF!+"vlM!$D\"</f>
        <v/>
      </c>
      <c r="BG42">
        <f>#REF!+"vlM!$D]"</f>
        <v/>
      </c>
      <c r="BH42">
        <f>#REF!+"vlM!$D^"</f>
        <v/>
      </c>
      <c r="BI42">
        <f>#REF!+"vlM!$D_"</f>
        <v/>
      </c>
      <c r="BJ42">
        <f>#REF!+"vlM!$D`"</f>
        <v/>
      </c>
      <c r="BK42">
        <f>#REF!+"vlM!$Da"</f>
        <v/>
      </c>
      <c r="BL42">
        <f>#REF!+"vlM!$Db"</f>
        <v/>
      </c>
      <c r="BM42">
        <f>#REF!+"vlM!$Dc"</f>
        <v/>
      </c>
      <c r="BN42">
        <f>#REF!+"vlM!$Dd"</f>
        <v/>
      </c>
      <c r="BO42">
        <f>#REF!+"vlM!$De"</f>
        <v/>
      </c>
      <c r="BP42">
        <f>#REF!+"vlM!$Df"</f>
        <v/>
      </c>
      <c r="BQ42">
        <f>#REF!+"vlM!$Dg"</f>
        <v/>
      </c>
      <c r="BR42">
        <f>#REF!+"vlM!$Dh"</f>
        <v/>
      </c>
      <c r="BS42">
        <f>#REF!+"vlM!$Di"</f>
        <v/>
      </c>
      <c r="BT42">
        <f>#REF!+"vlM!$Dj"</f>
        <v/>
      </c>
      <c r="BU42">
        <f>#REF!+"vlM!$Dk"</f>
        <v/>
      </c>
      <c r="BV42">
        <f>#REF!+"vlM!$Dl"</f>
        <v/>
      </c>
      <c r="BW42">
        <f>#REF!+"vlM!$Dm"</f>
        <v/>
      </c>
      <c r="BX42">
        <f>#REF!+"vlM!$Dn"</f>
        <v/>
      </c>
      <c r="BY42">
        <f>#REF!+"vlM!$Do"</f>
        <v/>
      </c>
      <c r="BZ42">
        <f>#REF!+"vlM!$Dp"</f>
        <v/>
      </c>
      <c r="CA42">
        <f>#REF!+"vlM!$Dq"</f>
        <v/>
      </c>
      <c r="CB42">
        <f>#REF!+"vlM!$Dr"</f>
        <v/>
      </c>
      <c r="CC42">
        <f>#REF!+"vlM!$Ds"</f>
        <v/>
      </c>
      <c r="CD42">
        <f>#REF!+"vlM!$Dt"</f>
        <v/>
      </c>
      <c r="CE42">
        <f>#REF!+"vlM!$Du"</f>
        <v/>
      </c>
      <c r="CF42">
        <f>#REF!+"vlM!$Dv"</f>
        <v/>
      </c>
      <c r="CG42">
        <f>#REF!+"vlM!$Dw"</f>
        <v/>
      </c>
      <c r="CH42">
        <f>#REF!+"vlM!$Dx"</f>
        <v/>
      </c>
      <c r="CI42">
        <f>#REF!+"vlM!$Dy"</f>
        <v/>
      </c>
      <c r="CJ42">
        <f>#REF!+"vlM!$Dz"</f>
        <v/>
      </c>
      <c r="CK42">
        <f>#REF!+"vlM!$D{"</f>
        <v/>
      </c>
      <c r="CL42">
        <f>#REF!+"vlM!$D|"</f>
        <v/>
      </c>
      <c r="CM42">
        <f>#REF!+"vlM!$D}"</f>
        <v/>
      </c>
      <c r="CN42">
        <f>#REF!+"vlM!$D~"</f>
        <v/>
      </c>
      <c r="CO42">
        <f>#REF!+"vlM!$E#"</f>
        <v/>
      </c>
      <c r="CP42">
        <f>#REF!+"vlM!$E$"</f>
        <v/>
      </c>
      <c r="CQ42">
        <f>#REF!+"vlM!$E%"</f>
        <v/>
      </c>
      <c r="CR42">
        <f>#REF!+"vlM!$E&amp;"</f>
        <v/>
      </c>
      <c r="CS42">
        <f>#REF!+"vlM!$E'"</f>
        <v/>
      </c>
      <c r="CT42">
        <f>#REF!+"vlM!$E("</f>
        <v/>
      </c>
      <c r="CU42">
        <f>#REF!+"vlM!$E)"</f>
        <v/>
      </c>
      <c r="CV42">
        <f>#REF!+"vlM!$E."</f>
        <v/>
      </c>
      <c r="CW42">
        <f>#REF!+"vlM!$E/"</f>
        <v/>
      </c>
      <c r="CX42">
        <f>#REF!+"vlM!$E0"</f>
        <v/>
      </c>
      <c r="CY42">
        <f>#REF!+"vlM!$E1"</f>
        <v/>
      </c>
      <c r="CZ42">
        <f>#REF!+"vlM!$E2"</f>
        <v/>
      </c>
      <c r="DA42">
        <f>#REF!+"vlM!$E3"</f>
        <v/>
      </c>
      <c r="DB42">
        <f>#REF!+"vlM!$E4"</f>
        <v/>
      </c>
      <c r="DC42">
        <f>#REF!+"vlM!$E5"</f>
        <v/>
      </c>
      <c r="DD42">
        <f>#REF!+"vlM!$E6"</f>
        <v/>
      </c>
      <c r="DE42">
        <f>#REF!+"vlM!$E7"</f>
        <v/>
      </c>
      <c r="DF42">
        <f>#REF!+"vlM!$E8"</f>
        <v/>
      </c>
      <c r="DG42">
        <f>#REF!+"vlM!$E9"</f>
        <v/>
      </c>
      <c r="DH42">
        <f>#REF!+"vlM!$E:"</f>
        <v/>
      </c>
      <c r="DI42">
        <f>#REF!+"vlM!$E;"</f>
        <v/>
      </c>
      <c r="DJ42">
        <f>#REF!+"vlM!$E&lt;"</f>
        <v/>
      </c>
      <c r="DK42">
        <f>#REF!+"vlM!$E="</f>
        <v/>
      </c>
      <c r="DL42">
        <f>#REF!+"vlM!$E&gt;"</f>
        <v/>
      </c>
      <c r="DM42">
        <f>#REF!+"vlM!$E?"</f>
        <v/>
      </c>
      <c r="DN42">
        <f>#REF!+"vlM!$E@"</f>
        <v/>
      </c>
      <c r="DO42">
        <f>#REF!+"vlM!$EA"</f>
        <v/>
      </c>
      <c r="DP42">
        <f>#REF!+"vlM!$EB"</f>
        <v/>
      </c>
      <c r="DQ42">
        <f>#REF!+"vlM!$EC"</f>
        <v/>
      </c>
      <c r="DR42">
        <f>#REF!+"vlM!$ED"</f>
        <v/>
      </c>
      <c r="DS42">
        <f>#REF!+"vlM!$EE"</f>
        <v/>
      </c>
      <c r="DT42">
        <f>#REF!+"vlM!$EF"</f>
        <v/>
      </c>
      <c r="DU42">
        <f>#REF!+"vlM!$EG"</f>
        <v/>
      </c>
      <c r="DV42">
        <f>#REF!+"vlM!$EH"</f>
        <v/>
      </c>
      <c r="DW42">
        <f>#REF!+"vlM!$EI"</f>
        <v/>
      </c>
      <c r="DX42">
        <f>#REF!+"vlM!$EJ"</f>
        <v/>
      </c>
      <c r="DY42">
        <f>#REF!+"vlM!$EK"</f>
        <v/>
      </c>
      <c r="DZ42">
        <f>#REF!+"vlM!$EL"</f>
        <v/>
      </c>
      <c r="EA42">
        <f>#REF!+"vlM!$EM"</f>
        <v/>
      </c>
      <c r="EB42">
        <f>#REF!+"vlM!$EN"</f>
        <v/>
      </c>
      <c r="EC42">
        <f>#REF!+"vlM!$EO"</f>
        <v/>
      </c>
      <c r="ED42">
        <f>#REF!+"vlM!$EP"</f>
        <v/>
      </c>
      <c r="EE42">
        <f>#REF!+"vlM!$EQ"</f>
        <v/>
      </c>
      <c r="EF42">
        <f>#REF!+"vlM!$ER"</f>
        <v/>
      </c>
      <c r="EG42">
        <f>#REF!+"vlM!$ES"</f>
        <v/>
      </c>
      <c r="EH42">
        <f>#REF!+"vlM!$ET"</f>
        <v/>
      </c>
      <c r="EI42">
        <f>#REF!+"vlM!$EU"</f>
        <v/>
      </c>
      <c r="EJ42">
        <f>#REF!+"vlM!$EV"</f>
        <v/>
      </c>
      <c r="EK42">
        <f>#REF!+"vlM!$EW"</f>
        <v/>
      </c>
      <c r="EL42">
        <f>#REF!+"vlM!$EX"</f>
        <v/>
      </c>
      <c r="EM42">
        <f>#REF!+"vlM!$EY"</f>
        <v/>
      </c>
      <c r="EN42">
        <f>#REF!+"vlM!$EZ"</f>
        <v/>
      </c>
      <c r="EO42">
        <f>#REF!+"vlM!$E["</f>
        <v/>
      </c>
      <c r="EP42">
        <f>#REF!+"vlM!$E\"</f>
        <v/>
      </c>
      <c r="EQ42">
        <f>#REF!+"vlM!$E]"</f>
        <v/>
      </c>
      <c r="ER42">
        <f>#REF!+"vlM!$E^"</f>
        <v/>
      </c>
      <c r="ES42">
        <f>#REF!+"vlM!$E_"</f>
        <v/>
      </c>
      <c r="ET42">
        <f>#REF!+"vlM!$E`"</f>
        <v/>
      </c>
      <c r="EU42">
        <f>#REF!+"vlM!$Ea"</f>
        <v/>
      </c>
      <c r="EV42">
        <f>#REF!+"vlM!$Eb"</f>
        <v/>
      </c>
      <c r="EW42">
        <f>#REF!+"vlM!$Ec"</f>
        <v/>
      </c>
      <c r="EX42">
        <f>#REF!+"vlM!$Ed"</f>
        <v/>
      </c>
      <c r="EY42">
        <f>#REF!+"vlM!$Ee"</f>
        <v/>
      </c>
      <c r="EZ42">
        <f>#REF!+"vlM!$Ef"</f>
        <v/>
      </c>
      <c r="FA42">
        <f>#REF!+"vlM!$Eg"</f>
        <v/>
      </c>
      <c r="FB42">
        <f>#REF!+"vlM!$Eh"</f>
        <v/>
      </c>
      <c r="FC42">
        <f>#REF!+"vlM!$Ei"</f>
        <v/>
      </c>
      <c r="FD42">
        <f>#REF!+"vlM!$Ej"</f>
        <v/>
      </c>
      <c r="FE42">
        <f>#REF!+"vlM!$Ek"</f>
        <v/>
      </c>
      <c r="FF42">
        <f>#REF!+"vlM!$El"</f>
        <v/>
      </c>
      <c r="FG42">
        <f>#REF!+"vlM!$Em"</f>
        <v/>
      </c>
      <c r="FH42">
        <f>#REF!+"vlM!$En"</f>
        <v/>
      </c>
      <c r="FI42">
        <f>#REF!+"vlM!$Eo"</f>
        <v/>
      </c>
      <c r="FJ42">
        <f>#REF!+"vlM!$Ep"</f>
        <v/>
      </c>
      <c r="FK42">
        <f>#REF!+"vlM!$Eq"</f>
        <v/>
      </c>
      <c r="FL42">
        <f>#REF!+"vlM!$Er"</f>
        <v/>
      </c>
      <c r="FM42">
        <f>#REF!+"vlM!$Es"</f>
        <v/>
      </c>
      <c r="FN42">
        <f>#REF!+"vlM!$Et"</f>
        <v/>
      </c>
      <c r="FO42">
        <f>#REF!+"vlM!$Eu"</f>
        <v/>
      </c>
      <c r="FP42">
        <f>#REF!+"vlM!$Ev"</f>
        <v/>
      </c>
      <c r="FQ42">
        <f>#REF!+"vlM!$Ew"</f>
        <v/>
      </c>
      <c r="FR42">
        <f>#REF!+"vlM!$Ex"</f>
        <v/>
      </c>
      <c r="FS42">
        <f>#REF!+"vlM!$Ey"</f>
        <v/>
      </c>
      <c r="FT42">
        <f>#REF!+"vlM!$Ez"</f>
        <v/>
      </c>
      <c r="FU42">
        <f>#REF!+"vlM!$E{"</f>
        <v/>
      </c>
      <c r="FV42">
        <f>#REF!+"vlM!$E|"</f>
        <v/>
      </c>
      <c r="FW42">
        <f>#REF!+"vlM!$E}"</f>
        <v/>
      </c>
      <c r="FX42">
        <f>#REF!+"vlM!$E~"</f>
        <v/>
      </c>
      <c r="FY42">
        <f>#REF!+"vlM!$F#"</f>
        <v/>
      </c>
      <c r="FZ42">
        <f>#REF!+"vlM!$F$"</f>
        <v/>
      </c>
      <c r="GA42">
        <f>#REF!+"vlM!$F%"</f>
        <v/>
      </c>
      <c r="GB42">
        <f>#REF!+"vlM!$F&amp;"</f>
        <v/>
      </c>
      <c r="GC42">
        <f>#REF!+"vlM!$F'"</f>
        <v/>
      </c>
      <c r="GD42">
        <f>#REF!+"vlM!$F("</f>
        <v/>
      </c>
      <c r="GE42">
        <f>#REF!+"vlM!$F)"</f>
        <v/>
      </c>
      <c r="GF42">
        <f>#REF!+"vlM!$F."</f>
        <v/>
      </c>
      <c r="GG42">
        <f>#REF!+"vlM!$F/"</f>
        <v/>
      </c>
      <c r="GH42">
        <f>#REF!+"vlM!$F0"</f>
        <v/>
      </c>
      <c r="GI42">
        <f>#REF!+"vlM!$F1"</f>
        <v/>
      </c>
      <c r="GJ42">
        <f>#REF!+"vlM!$F2"</f>
        <v/>
      </c>
      <c r="GK42">
        <f>#REF!+"vlM!$F3"</f>
        <v/>
      </c>
      <c r="GL42">
        <f>#REF!+"vlM!$F4"</f>
        <v/>
      </c>
      <c r="GM42">
        <f>#REF!+"vlM!$F5"</f>
        <v/>
      </c>
      <c r="GN42">
        <f>#REF!+"vlM!$F6"</f>
        <v/>
      </c>
      <c r="GO42">
        <f>#REF!+"vlM!$F7"</f>
        <v/>
      </c>
      <c r="GP42">
        <f>#REF!+"vlM!$F8"</f>
        <v/>
      </c>
      <c r="GQ42">
        <f>#REF!+"vlM!$F9"</f>
        <v/>
      </c>
      <c r="GR42">
        <f>#REF!+"vlM!$F:"</f>
        <v/>
      </c>
      <c r="GS42">
        <f>#REF!+"vlM!$F;"</f>
        <v/>
      </c>
      <c r="GT42">
        <f>#REF!+"vlM!$F&lt;"</f>
        <v/>
      </c>
      <c r="GU42">
        <f>#REF!+"vlM!$F="</f>
        <v/>
      </c>
      <c r="GV42">
        <f>#REF!+"vlM!$F&gt;"</f>
        <v/>
      </c>
      <c r="GW42">
        <f>#REF!+"vlM!$F?"</f>
        <v/>
      </c>
      <c r="GX42">
        <f>#REF!+"vlM!$F@"</f>
        <v/>
      </c>
      <c r="GY42">
        <f>#REF!+"vlM!$FA"</f>
        <v/>
      </c>
      <c r="GZ42">
        <f>#REF!+"vlM!$FB"</f>
        <v/>
      </c>
      <c r="HA42">
        <f>#REF!+"vlM!$FC"</f>
        <v/>
      </c>
      <c r="HB42">
        <f>#REF!+"vlM!$FD"</f>
        <v/>
      </c>
      <c r="HC42">
        <f>#REF!+"vlM!$FE"</f>
        <v/>
      </c>
      <c r="HD42">
        <f>#REF!+"vlM!$FF"</f>
        <v/>
      </c>
      <c r="HE42">
        <f>#REF!+"vlM!$FG"</f>
        <v/>
      </c>
      <c r="HF42">
        <f>#REF!+"vlM!$FH"</f>
        <v/>
      </c>
      <c r="HG42">
        <f>#REF!+"vlM!$FI"</f>
        <v/>
      </c>
      <c r="HH42">
        <f>#REF!+"vlM!$FJ"</f>
        <v/>
      </c>
      <c r="HI42">
        <f>#REF!+"vlM!$FK"</f>
        <v/>
      </c>
      <c r="HJ42">
        <f>#REF!+"vlM!$FL"</f>
        <v/>
      </c>
      <c r="HK42">
        <f>#REF!+"vlM!$FM"</f>
        <v/>
      </c>
      <c r="HL42">
        <f>#REF!+"vlM!$FN"</f>
        <v/>
      </c>
      <c r="HM42">
        <f>#REF!+"vlM!$FO"</f>
        <v/>
      </c>
      <c r="HN42">
        <f>#REF!+"vlM!$FP"</f>
        <v/>
      </c>
      <c r="HO42">
        <f>#REF!+"vlM!$FQ"</f>
        <v/>
      </c>
      <c r="HP42">
        <f>#REF!+"vlM!$FR"</f>
        <v/>
      </c>
      <c r="HQ42">
        <f>#REF!+"vlM!$FS"</f>
        <v/>
      </c>
      <c r="HR42">
        <f>#REF!+"vlM!$FT"</f>
        <v/>
      </c>
      <c r="HS42">
        <f>#REF!+"vlM!$FU"</f>
        <v/>
      </c>
      <c r="HT42">
        <f>#REF!+"vlM!$FV"</f>
        <v/>
      </c>
      <c r="HU42">
        <f>#REF!+"vlM!$FW"</f>
        <v/>
      </c>
      <c r="HV42">
        <f>#REF!+"vlM!$FX"</f>
        <v/>
      </c>
      <c r="HW42">
        <f>#REF!+"vlM!$FY"</f>
        <v/>
      </c>
      <c r="HX42">
        <f>#REF!+"vlM!$FZ"</f>
        <v/>
      </c>
      <c r="HY42">
        <f>#REF!+"vlM!$F["</f>
        <v/>
      </c>
      <c r="HZ42">
        <f>#REF!+"vlM!$F\"</f>
        <v/>
      </c>
      <c r="IA42">
        <f>#REF!+"vlM!$F]"</f>
        <v/>
      </c>
      <c r="IB42">
        <f>#REF!+"vlM!$F^"</f>
        <v/>
      </c>
      <c r="IC42">
        <f>#REF!+"vlM!$F_"</f>
        <v/>
      </c>
      <c r="ID42">
        <f>#REF!+"vlM!$F`"</f>
        <v/>
      </c>
      <c r="IE42">
        <f>#REF!+"vlM!$Fa"</f>
        <v/>
      </c>
      <c r="IF42">
        <f>#REF!+"vlM!$Fb"</f>
        <v/>
      </c>
      <c r="IG42">
        <f>#REF!+"vlM!$Fc"</f>
        <v/>
      </c>
      <c r="IH42">
        <f>#REF!+"vlM!$Fd"</f>
        <v/>
      </c>
      <c r="II42">
        <f>#REF!+"vlM!$Fe"</f>
        <v/>
      </c>
      <c r="IJ42">
        <f>#REF!+"vlM!$Ff"</f>
        <v/>
      </c>
      <c r="IK42">
        <f>#REF!+"vlM!$Fg"</f>
        <v/>
      </c>
      <c r="IL42">
        <f>#REF!+"vlM!$Fh"</f>
        <v/>
      </c>
      <c r="IM42">
        <f>#REF!+"vlM!$Fi"</f>
        <v/>
      </c>
      <c r="IN42">
        <f>#REF!+"vlM!$Fj"</f>
        <v/>
      </c>
      <c r="IO42">
        <f>#REF!+"vlM!$Fk"</f>
        <v/>
      </c>
      <c r="IP42">
        <f>#REF!+"vlM!$Fl"</f>
        <v/>
      </c>
      <c r="IQ42">
        <f>#REF!+"vlM!$Fm"</f>
        <v/>
      </c>
      <c r="IR42">
        <f>#REF!+"vlM!$Fn"</f>
        <v/>
      </c>
      <c r="IS42">
        <f>#REF!+"vlM!$Fo"</f>
        <v/>
      </c>
      <c r="IT42">
        <f>#REF!+"vlM!$Fp"</f>
        <v/>
      </c>
      <c r="IU42">
        <f>#REF!+"vlM!$Fq"</f>
        <v/>
      </c>
      <c r="IV42">
        <f>#REF!+"vlM!$Fr"</f>
        <v/>
      </c>
    </row>
    <row r="43">
      <c r="F43">
        <f>#REF!+"vlM!$Fs"</f>
        <v/>
      </c>
      <c r="G43">
        <f>#REF!+"vlM!$Ft"</f>
        <v/>
      </c>
      <c r="H43">
        <f>#REF!+"vlM!$Fu"</f>
        <v/>
      </c>
      <c r="I43">
        <f>#REF!+"vlM!$Fv"</f>
        <v/>
      </c>
      <c r="J43">
        <f>#REF!+"vlM!$Fw"</f>
        <v/>
      </c>
      <c r="K43">
        <f>#REF!+"vlM!$Fx"</f>
        <v/>
      </c>
      <c r="L43">
        <f>#REF!+"vlM!$Fy"</f>
        <v/>
      </c>
      <c r="M43">
        <f>#REF!+"vlM!$Fz"</f>
        <v/>
      </c>
      <c r="N43">
        <f>#REF!+"vlM!$F{"</f>
        <v/>
      </c>
      <c r="O43">
        <f>#REF!+"vlM!$F|"</f>
        <v/>
      </c>
      <c r="P43">
        <f>#REF!+"vlM!$F}"</f>
        <v/>
      </c>
      <c r="Q43">
        <f>#REF!+"vlM!$F~"</f>
        <v/>
      </c>
      <c r="R43">
        <f>#REF!+"vlM!$G#"</f>
        <v/>
      </c>
      <c r="S43">
        <f>#REF!+"vlM!$G$"</f>
        <v/>
      </c>
      <c r="T43">
        <f>#REF!+"vlM!$G%"</f>
        <v/>
      </c>
      <c r="U43">
        <f>#REF!+"vlM!$G&amp;"</f>
        <v/>
      </c>
      <c r="V43">
        <f>#REF!+"vlM!$G'"</f>
        <v/>
      </c>
      <c r="W43">
        <f>#REF!+"vlM!$G("</f>
        <v/>
      </c>
      <c r="X43">
        <f>#REF!+"vlM!$G)"</f>
        <v/>
      </c>
      <c r="Y43">
        <f>#REF!+"vlM!$G."</f>
        <v/>
      </c>
      <c r="Z43">
        <f>#REF!+"vlM!$G/"</f>
        <v/>
      </c>
      <c r="AA43">
        <f>#REF!+"vlM!$G0"</f>
        <v/>
      </c>
      <c r="AB43">
        <f>#REF!+"vlM!$G1"</f>
        <v/>
      </c>
      <c r="AC43">
        <f>#REF!+"vlM!$G2"</f>
        <v/>
      </c>
      <c r="AD43">
        <f>#REF!+"vlM!$G3"</f>
        <v/>
      </c>
      <c r="AE43">
        <f>#REF!+"vlM!$G4"</f>
        <v/>
      </c>
      <c r="AF43">
        <f>#REF!+"vlM!$G5"</f>
        <v/>
      </c>
      <c r="AG43">
        <f>#REF!+"vlM!$G6"</f>
        <v/>
      </c>
      <c r="AH43">
        <f>#REF!+"vlM!$G7"</f>
        <v/>
      </c>
      <c r="AI43">
        <f>#REF!+"vlM!$G8"</f>
        <v/>
      </c>
      <c r="AJ43">
        <f>#REF!+"vlM!$G9"</f>
        <v/>
      </c>
      <c r="AK43">
        <f>#REF!+"vlM!$G:"</f>
        <v/>
      </c>
      <c r="AL43">
        <f>#REF!+"vlM!$G;"</f>
        <v/>
      </c>
      <c r="AM43">
        <f>#REF!+"vlM!$G&lt;"</f>
        <v/>
      </c>
      <c r="AN43">
        <f>#REF!+"vlM!$G="</f>
        <v/>
      </c>
      <c r="AO43">
        <f>#REF!+"vlM!$G&gt;"</f>
        <v/>
      </c>
      <c r="AP43">
        <f>#REF!+"vlM!$G?"</f>
        <v/>
      </c>
      <c r="AQ43">
        <f>#REF!+"vlM!$G@"</f>
        <v/>
      </c>
      <c r="AR43">
        <f>#REF!+"vlM!$GA"</f>
        <v/>
      </c>
      <c r="AS43">
        <f>#REF!+"vlM!$GB"</f>
        <v/>
      </c>
      <c r="AT43">
        <f>#REF!+"vlM!$GC"</f>
        <v/>
      </c>
      <c r="AU43">
        <f>#REF!+"vlM!$GD"</f>
        <v/>
      </c>
      <c r="AV43">
        <f>#REF!+"vlM!$GE"</f>
        <v/>
      </c>
      <c r="AW43">
        <f>#REF!+"vlM!$GF"</f>
        <v/>
      </c>
      <c r="AX43">
        <f>#REF!+"vlM!$GG"</f>
        <v/>
      </c>
      <c r="AY43">
        <f>#REF!+"vlM!$GH"</f>
        <v/>
      </c>
      <c r="AZ43">
        <f>#REF!+"vlM!$GI"</f>
        <v/>
      </c>
      <c r="BA43">
        <f>#REF!+"vlM!$GJ"</f>
        <v/>
      </c>
      <c r="BB43">
        <f>#REF!+"vlM!$GK"</f>
        <v/>
      </c>
      <c r="BC43">
        <f>#REF!+"vlM!$GL"</f>
        <v/>
      </c>
      <c r="BD43">
        <f>#REF!+"vlM!$GM"</f>
        <v/>
      </c>
      <c r="BE43">
        <f>#REF!+"vlM!$GN"</f>
        <v/>
      </c>
      <c r="BF43">
        <f>#REF!+"vlM!$GO"</f>
        <v/>
      </c>
      <c r="BG43">
        <f>#REF!+"vlM!$GP"</f>
        <v/>
      </c>
      <c r="BH43">
        <f>#REF!+"vlM!$GQ"</f>
        <v/>
      </c>
      <c r="BI43">
        <f>#REF!+"vlM!$GR"</f>
        <v/>
      </c>
      <c r="BJ43">
        <f>#REF!+"vlM!$GS"</f>
        <v/>
      </c>
      <c r="BK43">
        <f>#REF!+"vlM!$GT"</f>
        <v/>
      </c>
      <c r="BL43">
        <f>#REF!+"vlM!$GU"</f>
        <v/>
      </c>
      <c r="BM43">
        <f>#REF!+"vlM!$GV"</f>
        <v/>
      </c>
      <c r="BN43">
        <f>#REF!+"vlM!$GW"</f>
        <v/>
      </c>
      <c r="BO43">
        <f>#REF!+"vlM!$GX"</f>
        <v/>
      </c>
      <c r="BP43">
        <f>#REF!+"vlM!$GY"</f>
        <v/>
      </c>
      <c r="BQ43">
        <f>#REF!+"vlM!$GZ"</f>
        <v/>
      </c>
      <c r="BR43">
        <f>#REF!+"vlM!$G["</f>
        <v/>
      </c>
      <c r="BS43">
        <f>#REF!+"vlM!$G\"</f>
        <v/>
      </c>
      <c r="BT43">
        <f>#REF!+"vlM!$G]"</f>
        <v/>
      </c>
      <c r="BU43">
        <f>#REF!+"vlM!$G^"</f>
        <v/>
      </c>
      <c r="BV43">
        <f>#REF!+"vlM!$G_"</f>
        <v/>
      </c>
      <c r="BW43">
        <f>#REF!+"vlM!$G`"</f>
        <v/>
      </c>
      <c r="BX43">
        <f>#REF!+"vlM!$Ga"</f>
        <v/>
      </c>
      <c r="BY43">
        <f>#REF!+"vlM!$Gb"</f>
        <v/>
      </c>
      <c r="BZ43">
        <f>#REF!+"vlM!$Gc"</f>
        <v/>
      </c>
      <c r="CA43">
        <f>#REF!+"vlM!$Gd"</f>
        <v/>
      </c>
      <c r="CB43">
        <f>#REF!+"vlM!$Ge"</f>
        <v/>
      </c>
      <c r="CC43">
        <f>#REF!+"vlM!$Gf"</f>
        <v/>
      </c>
      <c r="CD43">
        <f>#REF!+"vlM!$Gg"</f>
        <v/>
      </c>
      <c r="CE43">
        <f>#REF!+"vlM!$Gh"</f>
        <v/>
      </c>
      <c r="CF43">
        <f>#REF!+"vlM!$Gi"</f>
        <v/>
      </c>
      <c r="CG43">
        <f>#REF!+"vlM!$Gj"</f>
        <v/>
      </c>
      <c r="CH43">
        <f>#REF!+"vlM!$Gk"</f>
        <v/>
      </c>
      <c r="CI43">
        <f>#REF!+"vlM!$Gl"</f>
        <v/>
      </c>
      <c r="CJ43">
        <f>#REF!+"vlM!$Gm"</f>
        <v/>
      </c>
      <c r="CK43">
        <f>#REF!+"vlM!$Gn"</f>
        <v/>
      </c>
      <c r="CL43">
        <f>#REF!+"vlM!$Go"</f>
        <v/>
      </c>
      <c r="CM43">
        <f>#REF!+"vlM!$Gp"</f>
        <v/>
      </c>
      <c r="CN43">
        <f>#REF!+"vlM!$Gq"</f>
        <v/>
      </c>
      <c r="CO43">
        <f>#REF!+"vlM!$Gr"</f>
        <v/>
      </c>
      <c r="CP43">
        <f>#REF!+"vlM!$Gs"</f>
        <v/>
      </c>
      <c r="CQ43">
        <f>#REF!+"vlM!$Gt"</f>
        <v/>
      </c>
      <c r="CR43">
        <f>#REF!+"vlM!$Gu"</f>
        <v/>
      </c>
      <c r="CS43">
        <f>#REF!+"vlM!$Gv"</f>
        <v/>
      </c>
      <c r="CT43">
        <f>#REF!+"vlM!$Gw"</f>
        <v/>
      </c>
      <c r="CU43">
        <f>#REF!+"vlM!$Gx"</f>
        <v/>
      </c>
      <c r="CV43">
        <f>#REF!+"vlM!$Gy"</f>
        <v/>
      </c>
      <c r="CW43">
        <f>#REF!+"vlM!$Gz"</f>
        <v/>
      </c>
      <c r="CX43">
        <f>#REF!+"vlM!$G{"</f>
        <v/>
      </c>
      <c r="CY43">
        <f>#REF!+"vlM!$G|"</f>
        <v/>
      </c>
      <c r="CZ43">
        <f>#REF!+"vlM!$G}"</f>
        <v/>
      </c>
      <c r="DA43">
        <f>#REF!+"vlM!$G~"</f>
        <v/>
      </c>
      <c r="DB43">
        <f>#REF!+"vlM!$H#"</f>
        <v/>
      </c>
      <c r="DC43">
        <f>#REF!+"vlM!$H$"</f>
        <v/>
      </c>
      <c r="DD43">
        <f>#REF!+"vlM!$H%"</f>
        <v/>
      </c>
      <c r="DE43">
        <f>#REF!+"vlM!$H&amp;"</f>
        <v/>
      </c>
      <c r="DF43">
        <f>#REF!+"vlM!$H'"</f>
        <v/>
      </c>
      <c r="DG43">
        <f>#REF!+"vlM!$H("</f>
        <v/>
      </c>
      <c r="DH43">
        <f>#REF!+"vlM!$H)"</f>
        <v/>
      </c>
      <c r="DI43">
        <f>#REF!+"vlM!$H."</f>
        <v/>
      </c>
      <c r="DJ43">
        <f>#REF!+"vlM!$H/"</f>
        <v/>
      </c>
      <c r="DK43">
        <f>#REF!+"vlM!$H0"</f>
        <v/>
      </c>
      <c r="DL43">
        <f>#REF!+"vlM!$H1"</f>
        <v/>
      </c>
      <c r="DM43">
        <f>#REF!+"vlM!$H2"</f>
        <v/>
      </c>
      <c r="DN43">
        <f>#REF!+"vlM!$H3"</f>
        <v/>
      </c>
      <c r="DO43">
        <f>#REF!+"vlM!$H4"</f>
        <v/>
      </c>
      <c r="DP43">
        <f>#REF!+"vlM!$H5"</f>
        <v/>
      </c>
      <c r="DQ43">
        <f>#REF!+"vlM!$H6"</f>
        <v/>
      </c>
      <c r="DR43">
        <f>#REF!+"vlM!$H7"</f>
        <v/>
      </c>
      <c r="DS43">
        <f>#REF!+"vlM!$H8"</f>
        <v/>
      </c>
      <c r="DT43">
        <f>#REF!+"vlM!$H9"</f>
        <v/>
      </c>
      <c r="DU43">
        <f>#REF!+"vlM!$H:"</f>
        <v/>
      </c>
      <c r="DV43">
        <f>#REF!+"vlM!$H;"</f>
        <v/>
      </c>
      <c r="DW43">
        <f>#REF!+"vlM!$H&lt;"</f>
        <v/>
      </c>
      <c r="DX43">
        <f>#REF!+"vlM!$H="</f>
        <v/>
      </c>
      <c r="DY43">
        <f>#REF!+"vlM!$H&gt;"</f>
        <v/>
      </c>
      <c r="DZ43">
        <f>#REF!+"vlM!$H?"</f>
        <v/>
      </c>
      <c r="EA43">
        <f>#REF!+"vlM!$H@"</f>
        <v/>
      </c>
      <c r="EB43">
        <f>#REF!+"vlM!$HA"</f>
        <v/>
      </c>
      <c r="EC43">
        <f>#REF!+"vlM!$HB"</f>
        <v/>
      </c>
      <c r="ED43">
        <f>#REF!+"vlM!$HC"</f>
        <v/>
      </c>
      <c r="EE43">
        <f>#REF!+"vlM!$HD"</f>
        <v/>
      </c>
      <c r="EF43">
        <f>#REF!+"vlM!$HE"</f>
        <v/>
      </c>
      <c r="EG43">
        <f>#REF!+"vlM!$HF"</f>
        <v/>
      </c>
      <c r="EH43">
        <f>#REF!+"vlM!$HG"</f>
        <v/>
      </c>
      <c r="EI43">
        <f>#REF!+"vlM!$HH"</f>
        <v/>
      </c>
      <c r="EJ43">
        <f>#REF!+"vlM!$HI"</f>
        <v/>
      </c>
      <c r="EK43">
        <f>#REF!+"vlM!$HJ"</f>
        <v/>
      </c>
      <c r="EL43">
        <f>#REF!+"vlM!$HK"</f>
        <v/>
      </c>
      <c r="EM43">
        <f>#REF!+"vlM!$HL"</f>
        <v/>
      </c>
      <c r="EN43">
        <f>#REF!+"vlM!$HM"</f>
        <v/>
      </c>
      <c r="EO43">
        <f>#REF!+"vlM!$HN"</f>
        <v/>
      </c>
      <c r="EP43">
        <f>#REF!+"vlM!$HO"</f>
        <v/>
      </c>
      <c r="EQ43">
        <f>#REF!+"vlM!$HP"</f>
        <v/>
      </c>
      <c r="ER43">
        <f>#REF!+"vlM!$HQ"</f>
        <v/>
      </c>
      <c r="ES43">
        <f>#REF!+"vlM!$HR"</f>
        <v/>
      </c>
      <c r="ET43">
        <f>#REF!+"vlM!$HS"</f>
        <v/>
      </c>
      <c r="EU43">
        <f>#REF!+"vlM!$HT"</f>
        <v/>
      </c>
      <c r="EV43">
        <f>#REF!+"vlM!$HU"</f>
        <v/>
      </c>
      <c r="EW43">
        <f>#REF!+"vlM!$HV"</f>
        <v/>
      </c>
      <c r="EX43">
        <f>#REF!+"vlM!$HW"</f>
        <v/>
      </c>
      <c r="EY43">
        <f>#REF!+"vlM!$HX"</f>
        <v/>
      </c>
      <c r="EZ43">
        <f>#REF!+"vlM!$HY"</f>
        <v/>
      </c>
      <c r="FA43">
        <f>#REF!+"vlM!$HZ"</f>
        <v/>
      </c>
      <c r="FB43">
        <f>#REF!+"vlM!$H["</f>
        <v/>
      </c>
      <c r="FC43">
        <f>#REF!+"vlM!$H\"</f>
        <v/>
      </c>
      <c r="FD43">
        <f>#REF!+"vlM!$H]"</f>
        <v/>
      </c>
      <c r="FE43">
        <f>#REF!+"vlM!$H^"</f>
        <v/>
      </c>
      <c r="FF43">
        <f>#REF!+"vlM!$H_"</f>
        <v/>
      </c>
      <c r="FG43">
        <f>#REF!+"vlM!$H`"</f>
        <v/>
      </c>
      <c r="FH43">
        <f>#REF!+"vlM!$Ha"</f>
        <v/>
      </c>
      <c r="FI43">
        <f>#REF!+"vlM!$Hb"</f>
        <v/>
      </c>
      <c r="FJ43">
        <f>#REF!+"vlM!$Hc"</f>
        <v/>
      </c>
      <c r="FK43">
        <f>#REF!+"vlM!$Hd"</f>
        <v/>
      </c>
      <c r="FL43">
        <f>#REF!+"vlM!$He"</f>
        <v/>
      </c>
      <c r="FM43">
        <f>#REF!+"vlM!$Hf"</f>
        <v/>
      </c>
      <c r="FN43">
        <f>#REF!+"vlM!$Hg"</f>
        <v/>
      </c>
      <c r="FO43">
        <f>#REF!+"vlM!$Hh"</f>
        <v/>
      </c>
      <c r="FP43">
        <f>#REF!+"vlM!$Hi"</f>
        <v/>
      </c>
      <c r="FQ43">
        <f>#REF!+"vlM!$Hj"</f>
        <v/>
      </c>
      <c r="FR43">
        <f>#REF!+"vlM!$Hk"</f>
        <v/>
      </c>
      <c r="FS43">
        <f>#REF!+"vlM!$Hl"</f>
        <v/>
      </c>
      <c r="FT43">
        <f>#REF!+"vlM!$Hm"</f>
        <v/>
      </c>
      <c r="FU43">
        <f>#REF!+"vlM!$Hn"</f>
        <v/>
      </c>
      <c r="FV43">
        <f>#REF!+"vlM!$Ho"</f>
        <v/>
      </c>
      <c r="FW43">
        <f>#REF!+"vlM!$Hp"</f>
        <v/>
      </c>
      <c r="FX43">
        <f>#REF!+"vlM!$Hq"</f>
        <v/>
      </c>
      <c r="FY43">
        <f>#REF!+"vlM!$Hr"</f>
        <v/>
      </c>
      <c r="FZ43">
        <f>#REF!+"vlM!$Hs"</f>
        <v/>
      </c>
      <c r="GA43">
        <f>#REF!+"vlM!$Ht"</f>
        <v/>
      </c>
      <c r="GB43">
        <f>#REF!+"vlM!$Hu"</f>
        <v/>
      </c>
      <c r="GC43">
        <f>#REF!+"vlM!$Hv"</f>
        <v/>
      </c>
      <c r="GD43">
        <f>#REF!+"vlM!$Hw"</f>
        <v/>
      </c>
      <c r="GE43">
        <f>#REF!+"vlM!$Hx"</f>
        <v/>
      </c>
      <c r="GF43">
        <f>#REF!+"vlM!$Hy"</f>
        <v/>
      </c>
      <c r="GG43">
        <f>#REF!+"vlM!$Hz"</f>
        <v/>
      </c>
      <c r="GH43">
        <f>#REF!+"vlM!$H{"</f>
        <v/>
      </c>
      <c r="GI43">
        <f>#REF!+"vlM!$H|"</f>
        <v/>
      </c>
      <c r="GJ43">
        <f>#REF!+"vlM!$H}"</f>
        <v/>
      </c>
      <c r="GK43">
        <f>#REF!+"vlM!$H~"</f>
        <v/>
      </c>
      <c r="GL43">
        <f>#REF!+"vlM!$I#"</f>
        <v/>
      </c>
      <c r="GM43">
        <f>#REF!+"vlM!$I$"</f>
        <v/>
      </c>
      <c r="GN43">
        <f>#REF!+"vlM!$I%"</f>
        <v/>
      </c>
      <c r="GO43">
        <f>#REF!+"vlM!$I&amp;"</f>
        <v/>
      </c>
      <c r="GP43">
        <f>#REF!+"vlM!$I'"</f>
        <v/>
      </c>
      <c r="GQ43">
        <f>#REF!+"vlM!$I("</f>
        <v/>
      </c>
      <c r="GR43">
        <f>#REF!+"vlM!$I)"</f>
        <v/>
      </c>
      <c r="GS43">
        <f>#REF!+"vlM!$I."</f>
        <v/>
      </c>
      <c r="GT43">
        <f>#REF!+"vlM!$I/"</f>
        <v/>
      </c>
      <c r="GU43">
        <f>#REF!+"vlM!$I0"</f>
        <v/>
      </c>
      <c r="GV43">
        <f>#REF!+"vlM!$I1"</f>
        <v/>
      </c>
      <c r="GW43">
        <f>#REF!+"vlM!$I2"</f>
        <v/>
      </c>
      <c r="GX43">
        <f>#REF!+"vlM!$I3"</f>
        <v/>
      </c>
      <c r="GY43">
        <f>#REF!+"vlM!$I4"</f>
        <v/>
      </c>
      <c r="GZ43">
        <f>#REF!+"vlM!$I5"</f>
        <v/>
      </c>
      <c r="HA43">
        <f>#REF!+"vlM!$I6"</f>
        <v/>
      </c>
      <c r="HB43">
        <f>#REF!+"vlM!$I7"</f>
        <v/>
      </c>
      <c r="HC43">
        <f>#REF!+"vlM!$I8"</f>
        <v/>
      </c>
      <c r="HD43">
        <f>#REF!+"vlM!$I9"</f>
        <v/>
      </c>
      <c r="HE43">
        <f>#REF!+"vlM!$I:"</f>
        <v/>
      </c>
      <c r="HF43">
        <f>#REF!+"vlM!$I;"</f>
        <v/>
      </c>
      <c r="HG43">
        <f>#REF!+"vlM!$I&lt;"</f>
        <v/>
      </c>
      <c r="HH43">
        <f>#REF!+"vlM!$I="</f>
        <v/>
      </c>
      <c r="HI43">
        <f>#REF!+"vlM!$I&gt;"</f>
        <v/>
      </c>
      <c r="HJ43">
        <f>#REF!+"vlM!$I?"</f>
        <v/>
      </c>
      <c r="HK43">
        <f>#REF!+"vlM!$I@"</f>
        <v/>
      </c>
      <c r="HL43">
        <f>#REF!+"vlM!$IA"</f>
        <v/>
      </c>
      <c r="HM43">
        <f>#REF!+"vlM!$IB"</f>
        <v/>
      </c>
      <c r="HN43">
        <f>#REF!+"vlM!$IC"</f>
        <v/>
      </c>
      <c r="HO43">
        <f>#REF!+"vlM!$ID"</f>
        <v/>
      </c>
      <c r="HP43">
        <f>#REF!+"vlM!$IE"</f>
        <v/>
      </c>
      <c r="HQ43">
        <f>#REF!+"vlM!$IF"</f>
        <v/>
      </c>
      <c r="HR43">
        <f>#REF!+"vlM!$IG"</f>
        <v/>
      </c>
      <c r="HS43">
        <f>#REF!+"vlM!$IH"</f>
        <v/>
      </c>
      <c r="HT43">
        <f>#REF!+"vlM!$II"</f>
        <v/>
      </c>
      <c r="HU43">
        <f>#REF!+"vlM!$IJ"</f>
        <v/>
      </c>
      <c r="HV43">
        <f>#REF!+"vlM!$IK"</f>
        <v/>
      </c>
      <c r="HW43">
        <f>#REF!+"vlM!$IL"</f>
        <v/>
      </c>
      <c r="HX43">
        <f>#REF!+"vlM!$IM"</f>
        <v/>
      </c>
      <c r="HY43">
        <f>#REF!+"vlM!$IN"</f>
        <v/>
      </c>
      <c r="HZ43">
        <f>#REF!+"vlM!$IO"</f>
        <v/>
      </c>
      <c r="IA43">
        <f>#REF!+"vlM!$IP"</f>
        <v/>
      </c>
      <c r="IB43">
        <f>#REF!+"vlM!$IQ"</f>
        <v/>
      </c>
      <c r="IC43">
        <f>#REF!+"vlM!$IR"</f>
        <v/>
      </c>
      <c r="ID43">
        <f>#REF!+"vlM!$IS"</f>
        <v/>
      </c>
      <c r="IE43">
        <f>#REF!+"vlM!$IT"</f>
        <v/>
      </c>
      <c r="IF43">
        <f>#REF!+"vlM!$IU"</f>
        <v/>
      </c>
      <c r="IG43">
        <f>#REF!+"vlM!$IV"</f>
        <v/>
      </c>
      <c r="IH43">
        <f>#REF!+"vlM!$IW"</f>
        <v/>
      </c>
      <c r="II43">
        <f>#REF!+"vlM!$IX"</f>
        <v/>
      </c>
      <c r="IJ43">
        <f>#REF!+"vlM!$IY"</f>
        <v/>
      </c>
      <c r="IK43">
        <f>#REF!+"vlM!$IZ"</f>
        <v/>
      </c>
      <c r="IL43">
        <f>#REF!+"vlM!$I["</f>
        <v/>
      </c>
      <c r="IM43">
        <f>#REF!+"vlM!$I\"</f>
        <v/>
      </c>
      <c r="IN43">
        <f>#REF!+"vlM!$I]"</f>
        <v/>
      </c>
      <c r="IO43">
        <f>#REF!+"vlM!$I^"</f>
        <v/>
      </c>
      <c r="IP43">
        <f>#REF!+"vlM!$I_"</f>
        <v/>
      </c>
      <c r="IQ43">
        <f>#REF!+"vlM!$I`"</f>
        <v/>
      </c>
      <c r="IR43">
        <f>#REF!+"vlM!$Ia"</f>
        <v/>
      </c>
      <c r="IS43">
        <f>#REF!+"vlM!$Ib"</f>
        <v/>
      </c>
      <c r="IT43">
        <f>#REF!+"vlM!$Ic"</f>
        <v/>
      </c>
      <c r="IU43">
        <f>#REF!+"vlM!$Id"</f>
        <v/>
      </c>
      <c r="IV43">
        <f>#REF!+"vlM!$Ie"</f>
        <v/>
      </c>
    </row>
    <row r="44">
      <c r="F44">
        <f>#REF!+"vlM!$If"</f>
        <v/>
      </c>
      <c r="G44">
        <f>#REF!+"vlM!$Ig"</f>
        <v/>
      </c>
      <c r="H44">
        <f>#REF!+"vlM!$Ih"</f>
        <v/>
      </c>
      <c r="I44">
        <f>#REF!+"vlM!$Ii"</f>
        <v/>
      </c>
      <c r="J44">
        <f>#REF!+"vlM!$Ij"</f>
        <v/>
      </c>
      <c r="K44">
        <f>#REF!+"vlM!$Ik"</f>
        <v/>
      </c>
      <c r="L44">
        <f>#REF!+"vlM!$Il"</f>
        <v/>
      </c>
      <c r="M44">
        <f>#REF!+"vlM!$Im"</f>
        <v/>
      </c>
      <c r="N44">
        <f>#REF!+"vlM!$In"</f>
        <v/>
      </c>
      <c r="O44">
        <f>#REF!+"vlM!$Io"</f>
        <v/>
      </c>
      <c r="P44">
        <f>#REF!+"vlM!$Ip"</f>
        <v/>
      </c>
      <c r="Q44">
        <f>#REF!+"vlM!$Iq"</f>
        <v/>
      </c>
      <c r="R44">
        <f>#REF!+"vlM!$Ir"</f>
        <v/>
      </c>
      <c r="S44">
        <f>#REF!+"vlM!$Is"</f>
        <v/>
      </c>
      <c r="T44">
        <f>#REF!+"vlM!$It"</f>
        <v/>
      </c>
      <c r="U44">
        <f>#REF!+"vlM!$Iu"</f>
        <v/>
      </c>
      <c r="V44">
        <f>#REF!+"vlM!$Iv"</f>
        <v/>
      </c>
      <c r="W44">
        <f>#REF!+"vlM!$Iw"</f>
        <v/>
      </c>
      <c r="X44">
        <f>#REF!+"vlM!$Ix"</f>
        <v/>
      </c>
      <c r="Y44">
        <f>#REF!+"vlM!$Iy"</f>
        <v/>
      </c>
      <c r="Z44">
        <f>#REF!+"vlM!$Iz"</f>
        <v/>
      </c>
      <c r="AA44">
        <f>#REF!+"vlM!$I{"</f>
        <v/>
      </c>
      <c r="AB44">
        <f>#REF!+"vlM!$I|"</f>
        <v/>
      </c>
      <c r="AC44">
        <f>#REF!+"vlM!$I}"</f>
        <v/>
      </c>
      <c r="AD44">
        <f>#REF!+"vlM!$I~"</f>
        <v/>
      </c>
      <c r="AE44">
        <f>#REF!+"vlM!$J#"</f>
        <v/>
      </c>
      <c r="AF44">
        <f>#REF!+"vlM!$J$"</f>
        <v/>
      </c>
      <c r="AG44">
        <f>#REF!+"vlM!$J%"</f>
        <v/>
      </c>
      <c r="AH44">
        <f>#REF!+"vlM!$J&amp;"</f>
        <v/>
      </c>
      <c r="AI44">
        <f>#REF!+"vlM!$J'"</f>
        <v/>
      </c>
      <c r="AJ44">
        <f>#REF!+"vlM!$J("</f>
        <v/>
      </c>
      <c r="AK44">
        <f>#REF!+"vlM!$J)"</f>
        <v/>
      </c>
      <c r="AL44">
        <f>#REF!+"vlM!$J."</f>
        <v/>
      </c>
      <c r="AM44">
        <f>#REF!+"vlM!$J/"</f>
        <v/>
      </c>
      <c r="AN44">
        <f>#REF!+"vlM!$J0"</f>
        <v/>
      </c>
      <c r="AO44">
        <f>#REF!+"vlM!$J1"</f>
        <v/>
      </c>
      <c r="AP44">
        <f>#REF!+"vlM!$J2"</f>
        <v/>
      </c>
      <c r="AQ44">
        <f>#REF!+"vlM!$J3"</f>
        <v/>
      </c>
      <c r="AR44">
        <f>#REF!+"vlM!$J4"</f>
        <v/>
      </c>
      <c r="AS44">
        <f>#REF!+"vlM!$J5"</f>
        <v/>
      </c>
      <c r="AT44">
        <f>#REF!+"vlM!$J6"</f>
        <v/>
      </c>
      <c r="AU44">
        <f>#REF!+"vlM!$J7"</f>
        <v/>
      </c>
      <c r="AV44">
        <f>#REF!+"vlM!$J8"</f>
        <v/>
      </c>
      <c r="AW44">
        <f>#REF!+"vlM!$J9"</f>
        <v/>
      </c>
      <c r="AX44">
        <f>#REF!+"vlM!$J:"</f>
        <v/>
      </c>
      <c r="AY44">
        <f>#REF!+"vlM!$J;"</f>
        <v/>
      </c>
      <c r="AZ44">
        <f>#REF!+"vlM!$J&lt;"</f>
        <v/>
      </c>
      <c r="BA44">
        <f>#REF!+"vlM!$J="</f>
        <v/>
      </c>
      <c r="BB44">
        <f>#REF!+"vlM!$J&gt;"</f>
        <v/>
      </c>
      <c r="BC44">
        <f>#REF!+"vlM!$J?"</f>
        <v/>
      </c>
      <c r="BD44">
        <f>#REF!+"vlM!$J@"</f>
        <v/>
      </c>
      <c r="BE44">
        <f>#REF!+"vlM!$JA"</f>
        <v/>
      </c>
      <c r="BF44">
        <f>#REF!+"vlM!$JB"</f>
        <v/>
      </c>
      <c r="BG44">
        <f>#REF!+"vlM!$JC"</f>
        <v/>
      </c>
      <c r="BH44">
        <f>#REF!+"vlM!$JD"</f>
        <v/>
      </c>
      <c r="BI44">
        <f>#REF!+"vlM!$JE"</f>
        <v/>
      </c>
      <c r="BJ44">
        <f>#REF!+"vlM!$JF"</f>
        <v/>
      </c>
      <c r="BK44">
        <f>#REF!+"vlM!$JG"</f>
        <v/>
      </c>
      <c r="BL44">
        <f>#REF!+"vlM!$JH"</f>
        <v/>
      </c>
      <c r="BM44">
        <f>#REF!+"vlM!$JI"</f>
        <v/>
      </c>
      <c r="BN44">
        <f>#REF!+"vlM!$JJ"</f>
        <v/>
      </c>
      <c r="BO44">
        <f>#REF!+"vlM!$JK"</f>
        <v/>
      </c>
      <c r="BP44">
        <f>#REF!+"vlM!$JL"</f>
        <v/>
      </c>
      <c r="BQ44">
        <f>#REF!+"vlM!$JM"</f>
        <v/>
      </c>
      <c r="BR44">
        <f>#REF!+"vlM!$JN"</f>
        <v/>
      </c>
      <c r="BS44">
        <f>#REF!+"vlM!$JO"</f>
        <v/>
      </c>
      <c r="BT44">
        <f>#REF!+"vlM!$JP"</f>
        <v/>
      </c>
      <c r="BU44">
        <f>#REF!+"vlM!$JQ"</f>
        <v/>
      </c>
      <c r="BV44">
        <f>#REF!+"vlM!$JR"</f>
        <v/>
      </c>
      <c r="BW44">
        <f>#REF!+"vlM!$JS"</f>
        <v/>
      </c>
      <c r="BX44">
        <f>#REF!+"vlM!$JT"</f>
        <v/>
      </c>
      <c r="BY44">
        <f>#REF!+"vlM!$JU"</f>
        <v/>
      </c>
      <c r="BZ44">
        <f>#REF!+"vlM!$JV"</f>
        <v/>
      </c>
      <c r="CA44">
        <f>#REF!+"vlM!$JW"</f>
        <v/>
      </c>
      <c r="CB44">
        <f>#REF!+"vlM!$JX"</f>
        <v/>
      </c>
      <c r="CC44">
        <f>#REF!+"vlM!$JY"</f>
        <v/>
      </c>
      <c r="CD44">
        <f>#REF!+"vlM!$JZ"</f>
        <v/>
      </c>
      <c r="CE44">
        <f>#REF!+"vlM!$J["</f>
        <v/>
      </c>
      <c r="CF44">
        <f>#REF!+"vlM!$J\"</f>
        <v/>
      </c>
      <c r="CG44">
        <f>#REF!+"vlM!$J]"</f>
        <v/>
      </c>
      <c r="CH44">
        <f>#REF!+"vlM!$J^"</f>
        <v/>
      </c>
      <c r="CI44">
        <f>#REF!+"vlM!$J_"</f>
        <v/>
      </c>
      <c r="CJ44">
        <f>#REF!+"vlM!$J`"</f>
        <v/>
      </c>
      <c r="CK44">
        <f>#REF!+"vlM!$Ja"</f>
        <v/>
      </c>
      <c r="CL44">
        <f>#REF!+"vlM!$Jb"</f>
        <v/>
      </c>
      <c r="CM44">
        <f>#REF!+"vlM!$Jc"</f>
        <v/>
      </c>
      <c r="CN44">
        <f>#REF!+"vlM!$Jd"</f>
        <v/>
      </c>
      <c r="CO44">
        <f>#REF!+"vlM!$Je"</f>
        <v/>
      </c>
      <c r="CP44">
        <f>#REF!+"vlM!$Jf"</f>
        <v/>
      </c>
      <c r="CQ44">
        <f>#REF!+"vlM!$Jg"</f>
        <v/>
      </c>
      <c r="CR44">
        <f>#REF!+"vlM!$Jh"</f>
        <v/>
      </c>
      <c r="CS44">
        <f>#REF!+"vlM!$Ji"</f>
        <v/>
      </c>
      <c r="CT44">
        <f>#REF!+"vlM!$Jj"</f>
        <v/>
      </c>
      <c r="CU44">
        <f>#REF!+"vlM!$Jk"</f>
        <v/>
      </c>
      <c r="CV44">
        <f>#REF!+"vlM!$Jl"</f>
        <v/>
      </c>
      <c r="CW44">
        <f>#REF!+"vlM!$Jm"</f>
        <v/>
      </c>
      <c r="CX44">
        <f>#REF!+"vlM!$Jn"</f>
        <v/>
      </c>
      <c r="CY44">
        <f>#REF!+"vlM!$Jo"</f>
        <v/>
      </c>
      <c r="CZ44">
        <f>#REF!+"vlM!$Jp"</f>
        <v/>
      </c>
      <c r="DA44">
        <f>#REF!+"vlM!$Jq"</f>
        <v/>
      </c>
      <c r="DB44">
        <f>#REF!+"vlM!$Jr"</f>
        <v/>
      </c>
      <c r="DC44">
        <f>#REF!+"vlM!$Js"</f>
        <v/>
      </c>
      <c r="DD44">
        <f>#REF!+"vlM!$Jt"</f>
        <v/>
      </c>
      <c r="DE44">
        <f>#REF!+"vlM!$Ju"</f>
        <v/>
      </c>
      <c r="DF44">
        <f>#REF!+"vlM!$Jv"</f>
        <v/>
      </c>
      <c r="DG44">
        <f>#REF!+"vlM!$Jw"</f>
        <v/>
      </c>
      <c r="DH44">
        <f>#REF!+"vlM!$Jx"</f>
        <v/>
      </c>
      <c r="DI44">
        <f>#REF!+"vlM!$Jy"</f>
        <v/>
      </c>
      <c r="DJ44">
        <f>#REF!+"vlM!$Jz"</f>
        <v/>
      </c>
      <c r="DK44">
        <f>#REF!+"vlM!$J{"</f>
        <v/>
      </c>
      <c r="DL44">
        <f>#REF!+"vlM!$J|"</f>
        <v/>
      </c>
      <c r="DM44">
        <f>#REF!+"vlM!$J}"</f>
        <v/>
      </c>
      <c r="DN44">
        <f>#REF!+"vlM!$J~"</f>
        <v/>
      </c>
      <c r="DO44">
        <f>#REF!+"vlM!$K#"</f>
        <v/>
      </c>
      <c r="DP44">
        <f>#REF!+"vlM!$K$"</f>
        <v/>
      </c>
      <c r="DQ44">
        <f>#REF!+"vlM!$K%"</f>
        <v/>
      </c>
      <c r="DR44">
        <f>#REF!+"vlM!$K&amp;"</f>
        <v/>
      </c>
      <c r="DS44">
        <f>#REF!+"vlM!$K'"</f>
        <v/>
      </c>
      <c r="DT44">
        <f>#REF!+"vlM!$K("</f>
        <v/>
      </c>
      <c r="DU44">
        <f>#REF!+"vlM!$K)"</f>
        <v/>
      </c>
      <c r="DV44">
        <f>#REF!+"vlM!$K."</f>
        <v/>
      </c>
      <c r="DW44">
        <f>#REF!+"vlM!$K/"</f>
        <v/>
      </c>
      <c r="DX44">
        <f>#REF!+"vlM!$K0"</f>
        <v/>
      </c>
      <c r="DY44">
        <f>#REF!+"vlM!$K1"</f>
        <v/>
      </c>
      <c r="DZ44">
        <f>#REF!+"vlM!$K2"</f>
        <v/>
      </c>
      <c r="EA44">
        <f>#REF!+"vlM!$K3"</f>
        <v/>
      </c>
      <c r="EB44">
        <f>#REF!+"vlM!$K4"</f>
        <v/>
      </c>
      <c r="EC44">
        <f>#REF!+"vlM!$K5"</f>
        <v/>
      </c>
      <c r="ED44">
        <f>#REF!+"vlM!$K6"</f>
        <v/>
      </c>
      <c r="EE44">
        <f>#REF!+"vlM!$K7"</f>
        <v/>
      </c>
      <c r="EF44">
        <f>#REF!+"vlM!$K8"</f>
        <v/>
      </c>
      <c r="EG44">
        <f>#REF!+"vlM!$K9"</f>
        <v/>
      </c>
      <c r="EH44">
        <f>#REF!+"vlM!$K:"</f>
        <v/>
      </c>
      <c r="EI44">
        <f>#REF!+"vlM!$K;"</f>
        <v/>
      </c>
      <c r="EJ44">
        <f>#REF!+"vlM!$K&lt;"</f>
        <v/>
      </c>
      <c r="EK44">
        <f>#REF!+"vlM!$K="</f>
        <v/>
      </c>
      <c r="EL44">
        <f>#REF!+"vlM!$K&gt;"</f>
        <v/>
      </c>
      <c r="EM44">
        <f>#REF!+"vlM!$K?"</f>
        <v/>
      </c>
      <c r="EN44">
        <f>#REF!+"vlM!$K@"</f>
        <v/>
      </c>
      <c r="EO44">
        <f>#REF!+"vlM!$KA"</f>
        <v/>
      </c>
      <c r="EP44">
        <f>#REF!+"vlM!$KB"</f>
        <v/>
      </c>
      <c r="EQ44">
        <f>#REF!+"vlM!$KC"</f>
        <v/>
      </c>
      <c r="ER44">
        <f>#REF!+"vlM!$KD"</f>
        <v/>
      </c>
      <c r="ES44">
        <f>#REF!+"vlM!$KE"</f>
        <v/>
      </c>
      <c r="ET44">
        <f>#REF!+"vlM!$KF"</f>
        <v/>
      </c>
      <c r="EU44">
        <f>#REF!+"vlM!$KG"</f>
        <v/>
      </c>
      <c r="EV44">
        <f>#REF!+"vlM!$KH"</f>
        <v/>
      </c>
      <c r="EW44">
        <f>#REF!+"vlM!$KI"</f>
        <v/>
      </c>
      <c r="EX44">
        <f>#REF!+"vlM!$KJ"</f>
        <v/>
      </c>
      <c r="EY44">
        <f>#REF!+"vlM!$KK"</f>
        <v/>
      </c>
      <c r="EZ44">
        <f>#REF!+"vlM!$KL"</f>
        <v/>
      </c>
      <c r="FA44">
        <f>#REF!+"vlM!$KM"</f>
        <v/>
      </c>
      <c r="FB44">
        <f>#REF!+"vlM!$KN"</f>
        <v/>
      </c>
      <c r="FC44">
        <f>#REF!+"vlM!$KO"</f>
        <v/>
      </c>
      <c r="FD44">
        <f>#REF!+"vlM!$KP"</f>
        <v/>
      </c>
      <c r="FE44">
        <f>#REF!+"vlM!$KQ"</f>
        <v/>
      </c>
      <c r="FF44">
        <f>#REF!+"vlM!$KR"</f>
        <v/>
      </c>
      <c r="FG44">
        <f>#REF!+"vlM!$KS"</f>
        <v/>
      </c>
      <c r="FH44">
        <f>#REF!+"vlM!$KT"</f>
        <v/>
      </c>
      <c r="FI44">
        <f>#REF!+"vlM!$KU"</f>
        <v/>
      </c>
      <c r="FJ44">
        <f>#REF!+"vlM!$KV"</f>
        <v/>
      </c>
      <c r="FK44">
        <f>#REF!+"vlM!$KW"</f>
        <v/>
      </c>
      <c r="FL44">
        <f>#REF!+"vlM!$KX"</f>
        <v/>
      </c>
      <c r="FM44">
        <f>#REF!+"vlM!$KY"</f>
        <v/>
      </c>
      <c r="FN44">
        <f>#REF!+"vlM!$KZ"</f>
        <v/>
      </c>
      <c r="FO44">
        <f>#REF!+"vlM!$K["</f>
        <v/>
      </c>
      <c r="FP44">
        <f>#REF!+"vlM!$K\"</f>
        <v/>
      </c>
      <c r="FQ44">
        <f>#REF!+"vlM!$K]"</f>
        <v/>
      </c>
      <c r="FR44">
        <f>#REF!+"vlM!$K^"</f>
        <v/>
      </c>
      <c r="FS44">
        <f>#REF!+"vlM!$K_"</f>
        <v/>
      </c>
      <c r="FT44">
        <f>#REF!+"vlM!$K`"</f>
        <v/>
      </c>
      <c r="FU44">
        <f>#REF!+"vlM!$Ka"</f>
        <v/>
      </c>
      <c r="FV44">
        <f>#REF!+"vlM!$Kb"</f>
        <v/>
      </c>
      <c r="FW44">
        <f>#REF!+"vlM!$Kc"</f>
        <v/>
      </c>
      <c r="FX44">
        <f>#REF!+"vlM!$Kd"</f>
        <v/>
      </c>
      <c r="FY44">
        <f>#REF!+"vlM!$Ke"</f>
        <v/>
      </c>
      <c r="FZ44">
        <f>#REF!+"vlM!$Kf"</f>
        <v/>
      </c>
      <c r="GA44">
        <f>#REF!+"vlM!$Kg"</f>
        <v/>
      </c>
      <c r="GB44">
        <f>#REF!+"vlM!$Kh"</f>
        <v/>
      </c>
      <c r="GC44">
        <f>#REF!+"vlM!$Ki"</f>
        <v/>
      </c>
      <c r="GD44">
        <f>#REF!+"vlM!$Kj"</f>
        <v/>
      </c>
      <c r="GE44">
        <f>#REF!+"vlM!$Kk"</f>
        <v/>
      </c>
      <c r="GF44">
        <f>#REF!+"vlM!$Kl"</f>
        <v/>
      </c>
      <c r="GG44">
        <f>#REF!+"vlM!$Km"</f>
        <v/>
      </c>
      <c r="GH44">
        <f>#REF!+"vlM!$Kn"</f>
        <v/>
      </c>
      <c r="GI44">
        <f>#REF!+"vlM!$Ko"</f>
        <v/>
      </c>
      <c r="GJ44">
        <f>#REF!+"vlM!$Kp"</f>
        <v/>
      </c>
      <c r="GK44">
        <f>#REF!+"vlM!$Kq"</f>
        <v/>
      </c>
      <c r="GL44">
        <f>#REF!+"vlM!$Kr"</f>
        <v/>
      </c>
      <c r="GM44">
        <f>#REF!+"vlM!$Ks"</f>
        <v/>
      </c>
      <c r="GN44">
        <f>#REF!+"vlM!$Kt"</f>
        <v/>
      </c>
      <c r="GO44">
        <f>#REF!+"vlM!$Ku"</f>
        <v/>
      </c>
      <c r="GP44">
        <f>#REF!+"vlM!$Kv"</f>
        <v/>
      </c>
      <c r="GQ44">
        <f>#REF!+"vlM!$Kw"</f>
        <v/>
      </c>
      <c r="GR44">
        <f>#REF!+"vlM!$Kx"</f>
        <v/>
      </c>
      <c r="GS44">
        <f>#REF!+"vlM!$Ky"</f>
        <v/>
      </c>
      <c r="GT44">
        <f>#REF!+"vlM!$Kz"</f>
        <v/>
      </c>
      <c r="GU44">
        <f>#REF!+"vlM!$K{"</f>
        <v/>
      </c>
      <c r="GV44">
        <f>#REF!+"vlM!$K|"</f>
        <v/>
      </c>
      <c r="GW44">
        <f>#REF!+"vlM!$K}"</f>
        <v/>
      </c>
      <c r="GX44">
        <f>#REF!+"vlM!$K~"</f>
        <v/>
      </c>
      <c r="GY44">
        <f>#REF!+"vlM!$L#"</f>
        <v/>
      </c>
      <c r="GZ44">
        <f>#REF!+"vlM!$L$"</f>
        <v/>
      </c>
      <c r="HA44">
        <f>#REF!+"vlM!$L%"</f>
        <v/>
      </c>
      <c r="HB44">
        <f>#REF!+"vlM!$L&amp;"</f>
        <v/>
      </c>
      <c r="HC44">
        <f>#REF!+"vlM!$L'"</f>
        <v/>
      </c>
      <c r="HD44">
        <f>#REF!+"vlM!$L("</f>
        <v/>
      </c>
      <c r="HE44">
        <f>#REF!+"vlM!$L)"</f>
        <v/>
      </c>
      <c r="HF44">
        <f>#REF!+"vlM!$L."</f>
        <v/>
      </c>
      <c r="HG44">
        <f>#REF!+"vlM!$L/"</f>
        <v/>
      </c>
      <c r="HH44">
        <f>#REF!+"vlM!$L0"</f>
        <v/>
      </c>
      <c r="HI44">
        <f>#REF!+"vlM!$L1"</f>
        <v/>
      </c>
      <c r="HJ44">
        <f>#REF!+"vlM!$L2"</f>
        <v/>
      </c>
      <c r="HK44">
        <f>#REF!+"vlM!$L3"</f>
        <v/>
      </c>
      <c r="HL44">
        <f>#REF!+"vlM!$L4"</f>
        <v/>
      </c>
      <c r="HM44">
        <f>#REF!+"vlM!$L5"</f>
        <v/>
      </c>
      <c r="HN44">
        <f>#REF!+"vlM!$L6"</f>
        <v/>
      </c>
      <c r="HO44">
        <f>#REF!+"vlM!$L7"</f>
        <v/>
      </c>
      <c r="HP44">
        <f>#REF!+"vlM!$L8"</f>
        <v/>
      </c>
      <c r="HQ44">
        <f>#REF!+"vlM!$L9"</f>
        <v/>
      </c>
      <c r="HR44">
        <f>#REF!+"vlM!$L:"</f>
        <v/>
      </c>
      <c r="HS44">
        <f>#REF!+"vlM!$L;"</f>
        <v/>
      </c>
      <c r="HT44">
        <f>#REF!+"vlM!$L&lt;"</f>
        <v/>
      </c>
      <c r="HU44">
        <f>#REF!+"vlM!$L="</f>
        <v/>
      </c>
      <c r="HV44">
        <f>#REF!+"vlM!$L&gt;"</f>
        <v/>
      </c>
      <c r="HW44">
        <f>#REF!+"vlM!$L?"</f>
        <v/>
      </c>
      <c r="HX44">
        <f>#REF!+"vlM!$L@"</f>
        <v/>
      </c>
      <c r="HY44">
        <f>#REF!+"vlM!$LA"</f>
        <v/>
      </c>
      <c r="HZ44">
        <f>#REF!+"vlM!$LB"</f>
        <v/>
      </c>
      <c r="IA44">
        <f>#REF!+"vlM!$LC"</f>
        <v/>
      </c>
      <c r="IB44">
        <f>#REF!+"vlM!$LD"</f>
        <v/>
      </c>
      <c r="IC44">
        <f>#REF!+"vlM!$LE"</f>
        <v/>
      </c>
      <c r="ID44">
        <f>#REF!+"vlM!$LF"</f>
        <v/>
      </c>
      <c r="IE44">
        <f>#REF!+"vlM!$LG"</f>
        <v/>
      </c>
      <c r="IF44">
        <f>#REF!+"vlM!$LH"</f>
        <v/>
      </c>
      <c r="IG44">
        <f>#REF!+"vlM!$LI"</f>
        <v/>
      </c>
      <c r="IH44">
        <f>#REF!+"vlM!$LJ"</f>
        <v/>
      </c>
      <c r="II44">
        <f>#REF!+"vlM!$LK"</f>
        <v/>
      </c>
      <c r="IJ44">
        <f>#REF!+"vlM!$LL"</f>
        <v/>
      </c>
      <c r="IK44">
        <f>#REF!+"vlM!$LM"</f>
        <v/>
      </c>
      <c r="IL44">
        <f>#REF!+"vlM!$LN"</f>
        <v/>
      </c>
      <c r="IM44">
        <f>#REF!+"vlM!$LO"</f>
        <v/>
      </c>
      <c r="IN44">
        <f>#REF!+"vlM!$LP"</f>
        <v/>
      </c>
      <c r="IO44">
        <f>#REF!+"vlM!$LQ"</f>
        <v/>
      </c>
      <c r="IP44">
        <f>#REF!+"vlM!$LR"</f>
        <v/>
      </c>
      <c r="IQ44">
        <f>#REF!+"vlM!$LS"</f>
        <v/>
      </c>
      <c r="IR44">
        <f>#REF!+"vlM!$LT"</f>
        <v/>
      </c>
      <c r="IS44">
        <f>#REF!+"vlM!$LU"</f>
        <v/>
      </c>
      <c r="IT44">
        <f>#REF!+"vlM!$LV"</f>
        <v/>
      </c>
      <c r="IU44">
        <f>#REF!+"vlM!$LW"</f>
        <v/>
      </c>
      <c r="IV44">
        <f>#REF!+"vlM!$LX"</f>
        <v/>
      </c>
    </row>
    <row r="45">
      <c r="F45">
        <f>#REF!+"vlM!$LY"</f>
        <v/>
      </c>
      <c r="G45">
        <f>#REF!+"vlM!$LZ"</f>
        <v/>
      </c>
      <c r="H45">
        <f>#REF!+"vlM!$L["</f>
        <v/>
      </c>
      <c r="I45">
        <f>#REF!+"vlM!$L\"</f>
        <v/>
      </c>
      <c r="J45">
        <f>#REF!+"vlM!$L]"</f>
        <v/>
      </c>
      <c r="K45">
        <f>#REF!+"vlM!$L^"</f>
        <v/>
      </c>
      <c r="L45">
        <f>#REF!+"vlM!$L_"</f>
        <v/>
      </c>
      <c r="M45">
        <f>#REF!+"vlM!$L`"</f>
        <v/>
      </c>
      <c r="N45">
        <f>#REF!+"vlM!$La"</f>
        <v/>
      </c>
      <c r="O45">
        <f>#REF!+"vlM!$Lb"</f>
        <v/>
      </c>
      <c r="P45">
        <f>#REF!+"vlM!$Lc"</f>
        <v/>
      </c>
      <c r="Q45">
        <f>#REF!+"vlM!$Ld"</f>
        <v/>
      </c>
      <c r="R45">
        <f>#REF!+"vlM!$Le"</f>
        <v/>
      </c>
      <c r="S45">
        <f>#REF!+"vlM!$Lf"</f>
        <v/>
      </c>
      <c r="T45">
        <f>#REF!+"vlM!$Lg"</f>
        <v/>
      </c>
      <c r="U45">
        <f>#REF!+"vlM!$Lh"</f>
        <v/>
      </c>
      <c r="V45">
        <f>#REF!+"vlM!$Li"</f>
        <v/>
      </c>
      <c r="W45">
        <f>#REF!+"vlM!$Lj"</f>
        <v/>
      </c>
      <c r="X45">
        <f>#REF!+"vlM!$Lk"</f>
        <v/>
      </c>
      <c r="Y45">
        <f>#REF!+"vlM!$Ll"</f>
        <v/>
      </c>
      <c r="Z45">
        <f>#REF!+"vlM!$Lm"</f>
        <v/>
      </c>
      <c r="AA45">
        <f>#REF!+"vlM!$Ln"</f>
        <v/>
      </c>
      <c r="AB45">
        <f>#REF!+"vlM!$Lo"</f>
        <v/>
      </c>
      <c r="AC45">
        <f>#REF!+"vlM!$Lp"</f>
        <v/>
      </c>
      <c r="AD45">
        <f>#REF!+"vlM!$Lq"</f>
        <v/>
      </c>
      <c r="AE45">
        <f>#REF!+"vlM!$Lr"</f>
        <v/>
      </c>
      <c r="AF45">
        <f>#REF!+"vlM!$Ls"</f>
        <v/>
      </c>
      <c r="AG45">
        <f>#REF!+"vlM!$Lt"</f>
        <v/>
      </c>
      <c r="AH45">
        <f>#REF!+"vlM!$Lu"</f>
        <v/>
      </c>
      <c r="AI45">
        <f>#REF!+"vlM!$Lv"</f>
        <v/>
      </c>
      <c r="AJ45">
        <f>#REF!+"vlM!$Lw"</f>
        <v/>
      </c>
      <c r="AK45">
        <f>#REF!+"vlM!$Lx"</f>
        <v/>
      </c>
      <c r="AL45">
        <f>#REF!+"vlM!$Ly"</f>
        <v/>
      </c>
      <c r="AM45">
        <f>#REF!+"vlM!$Lz"</f>
        <v/>
      </c>
      <c r="AN45">
        <f>#REF!+"vlM!$L{"</f>
        <v/>
      </c>
      <c r="AO45">
        <f>#REF!+"vlM!$L|"</f>
        <v/>
      </c>
      <c r="AP45">
        <f>#REF!+"vlM!$L}"</f>
        <v/>
      </c>
      <c r="AQ45">
        <f>#REF!+"vlM!$L~"</f>
        <v/>
      </c>
      <c r="AR45">
        <f>#REF!+"vlM!$M#"</f>
        <v/>
      </c>
      <c r="AS45">
        <f>#REF!+"vlM!$M$"</f>
        <v/>
      </c>
      <c r="AT45">
        <f>#REF!+"vlM!$M%"</f>
        <v/>
      </c>
      <c r="AU45">
        <f>#REF!+"vlM!$M&amp;"</f>
        <v/>
      </c>
      <c r="AV45">
        <f>#REF!+"vlM!$M'"</f>
        <v/>
      </c>
      <c r="AW45">
        <f>#REF!+"vlM!$M("</f>
        <v/>
      </c>
      <c r="AX45">
        <f>#REF!+"vlM!$M)"</f>
        <v/>
      </c>
      <c r="AY45">
        <f>#REF!+"vlM!$M."</f>
        <v/>
      </c>
      <c r="AZ45">
        <f>#REF!+"vlM!$M/"</f>
        <v/>
      </c>
      <c r="BA45">
        <f>#REF!+"vlM!$M0"</f>
        <v/>
      </c>
      <c r="BB45">
        <f>#REF!+"vlM!$M1"</f>
        <v/>
      </c>
      <c r="BC45">
        <f>#REF!+"vlM!$M2"</f>
        <v/>
      </c>
      <c r="BD45">
        <f>#REF!+"vlM!$M3"</f>
        <v/>
      </c>
      <c r="BE45">
        <f>#REF!+"vlM!$M4"</f>
        <v/>
      </c>
      <c r="BF45">
        <f>#REF!+"vlM!$M5"</f>
        <v/>
      </c>
      <c r="BG45">
        <f>#REF!+"vlM!$M6"</f>
        <v/>
      </c>
      <c r="BH45">
        <f>#REF!+"vlM!$M7"</f>
        <v/>
      </c>
      <c r="BI45">
        <f>#REF!+"vlM!$M8"</f>
        <v/>
      </c>
      <c r="BJ45">
        <f>#REF!+"vlM!$M9"</f>
        <v/>
      </c>
      <c r="BK45">
        <f>#REF!+"vlM!$M:"</f>
        <v/>
      </c>
      <c r="BL45">
        <f>#REF!+"vlM!$M;"</f>
        <v/>
      </c>
      <c r="BM45">
        <f>#REF!+"vlM!$M&lt;"</f>
        <v/>
      </c>
      <c r="BN45">
        <f>#REF!+"vlM!$M="</f>
        <v/>
      </c>
      <c r="BO45">
        <f>#REF!+"vlM!$M&gt;"</f>
        <v/>
      </c>
      <c r="BP45">
        <f>#REF!+"vlM!$M?"</f>
        <v/>
      </c>
      <c r="BQ45">
        <f>#REF!+"vlM!$M@"</f>
        <v/>
      </c>
      <c r="BR45">
        <f>#REF!+"vlM!$MA"</f>
        <v/>
      </c>
      <c r="BS45">
        <f>#REF!+"vlM!$MB"</f>
        <v/>
      </c>
      <c r="BT45">
        <f>#REF!+"vlM!$MC"</f>
        <v/>
      </c>
      <c r="BU45">
        <f>#REF!+"vlM!$MD"</f>
        <v/>
      </c>
      <c r="BV45">
        <f>#REF!+"vlM!$ME"</f>
        <v/>
      </c>
      <c r="BW45">
        <f>#REF!+"vlM!$MF"</f>
        <v/>
      </c>
      <c r="BX45">
        <f>#REF!+"vlM!$MG"</f>
        <v/>
      </c>
      <c r="BY45">
        <f>#REF!+"vlM!$MH"</f>
        <v/>
      </c>
      <c r="BZ45">
        <f>#REF!+"vlM!$MI"</f>
        <v/>
      </c>
      <c r="CA45">
        <f>#REF!+"vlM!$MJ"</f>
        <v/>
      </c>
      <c r="CB45">
        <f>#REF!+"vlM!$MK"</f>
        <v/>
      </c>
      <c r="CC45">
        <f>#REF!+"vlM!$ML"</f>
        <v/>
      </c>
      <c r="CD45">
        <f>#REF!+"vlM!$MM"</f>
        <v/>
      </c>
      <c r="CE45">
        <f>#REF!+"vlM!$MN"</f>
        <v/>
      </c>
      <c r="CF45">
        <f>#REF!+"vlM!$MO"</f>
        <v/>
      </c>
      <c r="CG45">
        <f>#REF!+"vlM!$MP"</f>
        <v/>
      </c>
      <c r="CH45">
        <f>#REF!+"vlM!$MQ"</f>
        <v/>
      </c>
      <c r="CI45">
        <f>#REF!+"vlM!$MR"</f>
        <v/>
      </c>
      <c r="CJ45">
        <f>#REF!+"vlM!$MS"</f>
        <v/>
      </c>
      <c r="CK45">
        <f>#REF!+"vlM!$MT"</f>
        <v/>
      </c>
      <c r="CL45">
        <f>#REF!+"vlM!$MU"</f>
        <v/>
      </c>
      <c r="CM45">
        <f>#REF!+"vlM!$MV"</f>
        <v/>
      </c>
      <c r="CN45">
        <f>#REF!+"vlM!$MW"</f>
        <v/>
      </c>
      <c r="CO45">
        <f>#REF!+"vlM!$MX"</f>
        <v/>
      </c>
      <c r="CP45">
        <f>#REF!+"vlM!$MY"</f>
        <v/>
      </c>
      <c r="CQ45">
        <f>#REF!+"vlM!$MZ"</f>
        <v/>
      </c>
      <c r="CR45">
        <f>#REF!+"vlM!$M["</f>
        <v/>
      </c>
      <c r="CS45">
        <f>#REF!+"vlM!$M\"</f>
        <v/>
      </c>
      <c r="CT45">
        <f>#REF!+"vlM!$M]"</f>
        <v/>
      </c>
      <c r="CU45">
        <f>#REF!+"vlM!$M^"</f>
        <v/>
      </c>
      <c r="CV45">
        <f>#REF!+"vlM!$M_"</f>
        <v/>
      </c>
      <c r="CW45">
        <f>#REF!+"vlM!$M`"</f>
        <v/>
      </c>
      <c r="CX45">
        <f>#REF!+"vlM!$Ma"</f>
        <v/>
      </c>
      <c r="CY45">
        <f>#REF!+"vlM!$Mb"</f>
        <v/>
      </c>
      <c r="CZ45">
        <f>#REF!+"vlM!$Mc"</f>
        <v/>
      </c>
      <c r="DA45">
        <f>#REF!+"vlM!$Md"</f>
        <v/>
      </c>
      <c r="DB45">
        <f>#REF!+"vlM!$Me"</f>
        <v/>
      </c>
      <c r="DC45">
        <f>#REF!+"vlM!$Mf"</f>
        <v/>
      </c>
      <c r="DD45">
        <f>#REF!+"vlM!$Mg"</f>
        <v/>
      </c>
      <c r="DE45">
        <f>#REF!+"vlM!$Mh"</f>
        <v/>
      </c>
      <c r="DF45">
        <f>#REF!+"vlM!$Mi"</f>
        <v/>
      </c>
      <c r="DG45">
        <f>#REF!+"vlM!$Mj"</f>
        <v/>
      </c>
      <c r="DH45">
        <f>#REF!+"vlM!$Mk"</f>
        <v/>
      </c>
      <c r="DI45">
        <f>#REF!+"vlM!$Ml"</f>
        <v/>
      </c>
      <c r="DJ45">
        <f>#REF!+"vlM!$Mm"</f>
        <v/>
      </c>
      <c r="DK45">
        <f>#REF!+"vlM!$Mn"</f>
        <v/>
      </c>
      <c r="DL45">
        <f>#REF!+"vlM!$Mo"</f>
        <v/>
      </c>
      <c r="DM45">
        <f>#REF!+"vlM!$Mp"</f>
        <v/>
      </c>
      <c r="DN45">
        <f>#REF!+"vlM!$Mq"</f>
        <v/>
      </c>
      <c r="DO45">
        <f>#REF!+"vlM!$Mr"</f>
        <v/>
      </c>
      <c r="DP45">
        <f>#REF!+"vlM!$Ms"</f>
        <v/>
      </c>
      <c r="DQ45">
        <f>#REF!+"vlM!$Mt"</f>
        <v/>
      </c>
      <c r="DR45">
        <f>#REF!+"vlM!$Mu"</f>
        <v/>
      </c>
      <c r="DS45">
        <f>#REF!+"vlM!$Mv"</f>
        <v/>
      </c>
      <c r="DT45">
        <f>#REF!+"vlM!$Mw"</f>
        <v/>
      </c>
      <c r="DU45">
        <f>#REF!+"vlM!$Mx"</f>
        <v/>
      </c>
      <c r="DV45">
        <f>#REF!+"vlM!$My"</f>
        <v/>
      </c>
      <c r="DW45">
        <f>#REF!+"vlM!$Mz"</f>
        <v/>
      </c>
      <c r="DX45">
        <f>#REF!+"vlM!$M{"</f>
        <v/>
      </c>
      <c r="DY45">
        <f>#REF!+"vlM!$M|"</f>
        <v/>
      </c>
      <c r="DZ45">
        <f>#REF!+"vlM!$M}"</f>
        <v/>
      </c>
      <c r="EA45">
        <f>#REF!+"vlM!$M~"</f>
        <v/>
      </c>
      <c r="EB45">
        <f>#REF!+"vlM!$N#"</f>
        <v/>
      </c>
      <c r="EC45">
        <f>#REF!+"vlM!$N$"</f>
        <v/>
      </c>
      <c r="ED45">
        <f>#REF!+"vlM!$N%"</f>
        <v/>
      </c>
      <c r="EE45">
        <f>#REF!+"vlM!$N&amp;"</f>
        <v/>
      </c>
      <c r="EF45">
        <f>#REF!+"vlM!$N'"</f>
        <v/>
      </c>
      <c r="EG45">
        <f>#REF!+"vlM!$N("</f>
        <v/>
      </c>
      <c r="EH45">
        <f>#REF!+"vlM!$N)"</f>
        <v/>
      </c>
      <c r="EI45">
        <f>#REF!+"vlM!$N."</f>
        <v/>
      </c>
      <c r="EJ45">
        <f>#REF!+"vlM!$N/"</f>
        <v/>
      </c>
      <c r="EK45">
        <f>#REF!+"vlM!$N0"</f>
        <v/>
      </c>
      <c r="EL45">
        <f>#REF!+"vlM!$N1"</f>
        <v/>
      </c>
      <c r="EM45">
        <f>#REF!+"vlM!$N2"</f>
        <v/>
      </c>
      <c r="EN45">
        <f>#REF!+"vlM!$N3"</f>
        <v/>
      </c>
      <c r="EO45">
        <f>#REF!+"vlM!$N4"</f>
        <v/>
      </c>
      <c r="EP45">
        <f>#REF!+"vlM!$N5"</f>
        <v/>
      </c>
      <c r="EQ45">
        <f>#REF!+"vlM!$N6"</f>
        <v/>
      </c>
      <c r="ER45">
        <f>#REF!+"vlM!$N7"</f>
        <v/>
      </c>
      <c r="ES45">
        <f>#REF!+"vlM!$N8"</f>
        <v/>
      </c>
      <c r="ET45">
        <f>#REF!+"vlM!$N9"</f>
        <v/>
      </c>
      <c r="EU45">
        <f>#REF!+"vlM!$N:"</f>
        <v/>
      </c>
      <c r="EV45">
        <f>#REF!+"vlM!$N;"</f>
        <v/>
      </c>
      <c r="EW45">
        <f>#REF!+"vlM!$N&lt;"</f>
        <v/>
      </c>
      <c r="EX45">
        <f>#REF!+"vlM!$N="</f>
        <v/>
      </c>
      <c r="EY45">
        <f>#REF!+"vlM!$N&gt;"</f>
        <v/>
      </c>
      <c r="EZ45">
        <f>#REF!+"vlM!$N?"</f>
        <v/>
      </c>
      <c r="FA45">
        <f>#REF!+"vlM!$N@"</f>
        <v/>
      </c>
      <c r="FB45">
        <f>#REF!+"vlM!$NA"</f>
        <v/>
      </c>
      <c r="FC45">
        <f>#REF!+"vlM!$NB"</f>
        <v/>
      </c>
      <c r="FD45">
        <f>#REF!+"vlM!$NC"</f>
        <v/>
      </c>
      <c r="FE45">
        <f>#REF!+"vlM!$ND"</f>
        <v/>
      </c>
      <c r="FF45">
        <f>#REF!+"vlM!$NE"</f>
        <v/>
      </c>
      <c r="FG45">
        <f>#REF!+"vlM!$NF"</f>
        <v/>
      </c>
      <c r="FH45">
        <f>#REF!+"vlM!$NG"</f>
        <v/>
      </c>
      <c r="FI45">
        <f>#REF!+"vlM!$NH"</f>
        <v/>
      </c>
      <c r="FJ45">
        <f>#REF!+"vlM!$NI"</f>
        <v/>
      </c>
      <c r="FK45">
        <f>#REF!+"vlM!$NJ"</f>
        <v/>
      </c>
      <c r="FL45">
        <f>#REF!+"vlM!$NK"</f>
        <v/>
      </c>
      <c r="FM45">
        <f>#REF!+"vlM!$NL"</f>
        <v/>
      </c>
      <c r="FN45">
        <f>#REF!+"vlM!$NM"</f>
        <v/>
      </c>
      <c r="FO45">
        <f>#REF!+"vlM!$NN"</f>
        <v/>
      </c>
      <c r="FP45">
        <f>#REF!+"vlM!$NO"</f>
        <v/>
      </c>
      <c r="FQ45">
        <f>#REF!+"vlM!$NP"</f>
        <v/>
      </c>
      <c r="FR45">
        <f>#REF!+"vlM!$NQ"</f>
        <v/>
      </c>
      <c r="FS45">
        <f>#REF!+"vlM!$NR"</f>
        <v/>
      </c>
      <c r="FT45">
        <f>#REF!+"vlM!$NS"</f>
        <v/>
      </c>
      <c r="FU45">
        <f>#REF!+"vlM!$NT"</f>
        <v/>
      </c>
      <c r="FV45">
        <f>#REF!+"vlM!$NU"</f>
        <v/>
      </c>
      <c r="FW45">
        <f>#REF!+"vlM!$NV"</f>
        <v/>
      </c>
      <c r="FX45">
        <f>#REF!+"vlM!$NW"</f>
        <v/>
      </c>
      <c r="FY45">
        <f>#REF!+"vlM!$NX"</f>
        <v/>
      </c>
      <c r="FZ45">
        <f>#REF!+"vlM!$NY"</f>
        <v/>
      </c>
      <c r="GA45">
        <f>#REF!+"vlM!$NZ"</f>
        <v/>
      </c>
      <c r="GB45">
        <f>#REF!+"vlM!$N["</f>
        <v/>
      </c>
      <c r="GC45">
        <f>#REF!+"vlM!$N\"</f>
        <v/>
      </c>
      <c r="GD45">
        <f>#REF!+"vlM!$N]"</f>
        <v/>
      </c>
      <c r="GE45">
        <f>#REF!+"vlM!$N^"</f>
        <v/>
      </c>
      <c r="GF45">
        <f>#REF!+"vlM!$N_"</f>
        <v/>
      </c>
      <c r="GG45">
        <f>#REF!+"vlM!$N`"</f>
        <v/>
      </c>
      <c r="GH45">
        <f>#REF!+"vlM!$Na"</f>
        <v/>
      </c>
      <c r="GI45">
        <f>#REF!+"vlM!$Nb"</f>
        <v/>
      </c>
      <c r="GJ45">
        <f>#REF!+"vlM!$Nc"</f>
        <v/>
      </c>
      <c r="GK45">
        <f>#REF!+"vlM!$Nd"</f>
        <v/>
      </c>
      <c r="GL45">
        <f>#REF!+"vlM!$Ne"</f>
        <v/>
      </c>
      <c r="GM45">
        <f>#REF!+"vlM!$Nf"</f>
        <v/>
      </c>
      <c r="GN45">
        <f>#REF!+"vlM!$Ng"</f>
        <v/>
      </c>
      <c r="GO45">
        <f>#REF!+"vlM!$Nh"</f>
        <v/>
      </c>
      <c r="GP45">
        <f>#REF!+"vlM!$Ni"</f>
        <v/>
      </c>
      <c r="GQ45">
        <f>#REF!+"vlM!$Nj"</f>
        <v/>
      </c>
      <c r="GR45">
        <f>#REF!+"vlM!$Nk"</f>
        <v/>
      </c>
      <c r="GS45">
        <f>#REF!+"vlM!$Nl"</f>
        <v/>
      </c>
      <c r="GT45">
        <f>#REF!+"vlM!$Nm"</f>
        <v/>
      </c>
      <c r="GU45">
        <f>#REF!+"vlM!$Nn"</f>
        <v/>
      </c>
      <c r="GV45">
        <f>#REF!+"vlM!$No"</f>
        <v/>
      </c>
      <c r="GW45">
        <f>#REF!+"vlM!$Np"</f>
        <v/>
      </c>
      <c r="GX45">
        <f>#REF!+"vlM!$Nq"</f>
        <v/>
      </c>
      <c r="GY45">
        <f>#REF!+"vlM!$Nr"</f>
        <v/>
      </c>
      <c r="GZ45">
        <f>#REF!+"vlM!$Ns"</f>
        <v/>
      </c>
      <c r="HA45">
        <f>#REF!+"vlM!$Nt"</f>
        <v/>
      </c>
      <c r="HB45">
        <f>#REF!+"vlM!$Nu"</f>
        <v/>
      </c>
      <c r="HC45">
        <f>#REF!+"vlM!$Nv"</f>
        <v/>
      </c>
      <c r="HD45">
        <f>#REF!+"vlM!$Nw"</f>
        <v/>
      </c>
      <c r="HE45">
        <f>#REF!+"vlM!$Nx"</f>
        <v/>
      </c>
      <c r="HF45">
        <f>#REF!+"vlM!$Ny"</f>
        <v/>
      </c>
      <c r="HG45">
        <f>#REF!+"vlM!$Nz"</f>
        <v/>
      </c>
      <c r="HH45">
        <f>#REF!+"vlM!$N{"</f>
        <v/>
      </c>
      <c r="HI45">
        <f>#REF!+"vlM!$N|"</f>
        <v/>
      </c>
      <c r="HJ45">
        <f>#REF!+"vlM!$N}"</f>
        <v/>
      </c>
      <c r="HK45">
        <f>#REF!+"vlM!$N~"</f>
        <v/>
      </c>
      <c r="HL45">
        <f>#REF!+"vlM!$O#"</f>
        <v/>
      </c>
      <c r="HM45">
        <f>#REF!+"vlM!$O$"</f>
        <v/>
      </c>
      <c r="HN45">
        <f>#REF!+"vlM!$O%"</f>
        <v/>
      </c>
      <c r="HO45">
        <f>#REF!+"vlM!$O&amp;"</f>
        <v/>
      </c>
      <c r="HP45">
        <f>#REF!+"vlM!$O'"</f>
        <v/>
      </c>
      <c r="HQ45">
        <f>#REF!+"vlM!$O("</f>
        <v/>
      </c>
      <c r="HR45">
        <f>#REF!+"vlM!$O)"</f>
        <v/>
      </c>
      <c r="HS45">
        <f>#REF!+"vlM!$O."</f>
        <v/>
      </c>
      <c r="HT45">
        <f>#REF!+"vlM!$O/"</f>
        <v/>
      </c>
      <c r="HU45">
        <f>#REF!+"vlM!$O0"</f>
        <v/>
      </c>
      <c r="HV45">
        <f>#REF!+"vlM!$O1"</f>
        <v/>
      </c>
      <c r="HW45">
        <f>#REF!+"vlM!$O2"</f>
        <v/>
      </c>
      <c r="HX45">
        <f>#REF!+"vlM!$O3"</f>
        <v/>
      </c>
      <c r="HY45">
        <f>#REF!+"vlM!$O4"</f>
        <v/>
      </c>
      <c r="HZ45">
        <f>#REF!+"vlM!$O5"</f>
        <v/>
      </c>
      <c r="IA45">
        <f>#REF!+"vlM!$O6"</f>
        <v/>
      </c>
      <c r="IB45">
        <f>#REF!+"vlM!$O7"</f>
        <v/>
      </c>
      <c r="IC45">
        <f>#REF!+"vlM!$O8"</f>
        <v/>
      </c>
      <c r="ID45">
        <f>#REF!+"vlM!$O9"</f>
        <v/>
      </c>
      <c r="IE45">
        <f>#REF!+"vlM!$O:"</f>
        <v/>
      </c>
      <c r="IF45">
        <f>#REF!+"vlM!$O;"</f>
        <v/>
      </c>
      <c r="IG45">
        <f>#REF!+"vlM!$O&lt;"</f>
        <v/>
      </c>
      <c r="IH45">
        <f>#REF!+"vlM!$O="</f>
        <v/>
      </c>
      <c r="II45">
        <f>#REF!+"vlM!$O&gt;"</f>
        <v/>
      </c>
      <c r="IJ45">
        <f>#REF!+"vlM!$O?"</f>
        <v/>
      </c>
      <c r="IK45">
        <f>#REF!+"vlM!$O@"</f>
        <v/>
      </c>
      <c r="IL45">
        <f>#REF!+"vlM!$OA"</f>
        <v/>
      </c>
      <c r="IM45">
        <f>#REF!+"vlM!$OB"</f>
        <v/>
      </c>
      <c r="IN45">
        <f>#REF!+"vlM!$OC"</f>
        <v/>
      </c>
      <c r="IO45">
        <f>#REF!+"vlM!$OD"</f>
        <v/>
      </c>
      <c r="IP45">
        <f>#REF!+"vlM!$OE"</f>
        <v/>
      </c>
      <c r="IQ45">
        <f>#REF!+"vlM!$OF"</f>
        <v/>
      </c>
      <c r="IR45">
        <f>#REF!+"vlM!$OG"</f>
        <v/>
      </c>
      <c r="IS45">
        <f>#REF!+"vlM!$OH"</f>
        <v/>
      </c>
      <c r="IT45">
        <f>#REF!+"vlM!$OI"</f>
        <v/>
      </c>
      <c r="IU45">
        <f>#REF!+"vlM!$OJ"</f>
        <v/>
      </c>
      <c r="IV45">
        <f>#REF!+"vlM!$OK"</f>
        <v/>
      </c>
    </row>
    <row r="46">
      <c r="F46">
        <f>#REF!+"vlM!$OL"</f>
        <v/>
      </c>
      <c r="G46">
        <f>#REF!+"vlM!$OM"</f>
        <v/>
      </c>
      <c r="H46">
        <f>#REF!+"vlM!$ON"</f>
        <v/>
      </c>
      <c r="I46">
        <f>#REF!+"vlM!$OO"</f>
        <v/>
      </c>
      <c r="J46">
        <f>#REF!+"vlM!$OP"</f>
        <v/>
      </c>
      <c r="K46">
        <f>#REF!+"vlM!$OQ"</f>
        <v/>
      </c>
      <c r="L46">
        <f>#REF!+"vlM!$OR"</f>
        <v/>
      </c>
      <c r="M46">
        <f>#REF!+"vlM!$OS"</f>
        <v/>
      </c>
      <c r="N46">
        <f>#REF!+"vlM!$OT"</f>
        <v/>
      </c>
      <c r="O46">
        <f>#REF!+"vlM!$OU"</f>
        <v/>
      </c>
      <c r="P46">
        <f>#REF!+"vlM!$OV"</f>
        <v/>
      </c>
      <c r="Q46">
        <f>#REF!+"vlM!$OW"</f>
        <v/>
      </c>
      <c r="R46">
        <f>#REF!+"vlM!$OX"</f>
        <v/>
      </c>
      <c r="S46">
        <f>#REF!+"vlM!$OY"</f>
        <v/>
      </c>
      <c r="T46">
        <f>#REF!+"vlM!$OZ"</f>
        <v/>
      </c>
      <c r="U46">
        <f>#REF!+"vlM!$O["</f>
        <v/>
      </c>
      <c r="V46">
        <f>#REF!+"vlM!$O\"</f>
        <v/>
      </c>
      <c r="W46">
        <f>#REF!+"vlM!$O]"</f>
        <v/>
      </c>
      <c r="X46">
        <f>#REF!+"vlM!$O^"</f>
        <v/>
      </c>
      <c r="Y46">
        <f>#REF!+"vlM!$O_"</f>
        <v/>
      </c>
      <c r="Z46">
        <f>#REF!+"vlM!$O`"</f>
        <v/>
      </c>
      <c r="AA46">
        <f>#REF!+"vlM!$Oa"</f>
        <v/>
      </c>
      <c r="AB46">
        <f>#REF!+"vlM!$Ob"</f>
        <v/>
      </c>
      <c r="AC46">
        <f>#REF!+"vlM!$Oc"</f>
        <v/>
      </c>
      <c r="AD46">
        <f>#REF!+"vlM!$Od"</f>
        <v/>
      </c>
      <c r="AE46">
        <f>#REF!+"vlM!$Oe"</f>
        <v/>
      </c>
      <c r="AF46">
        <f>#REF!+"vlM!$Of"</f>
        <v/>
      </c>
      <c r="AG46">
        <f>#REF!+"vlM!$Og"</f>
        <v/>
      </c>
      <c r="AH46">
        <f>#REF!+"vlM!$Oh"</f>
        <v/>
      </c>
      <c r="AI46">
        <f>#REF!+"vlM!$Oi"</f>
        <v/>
      </c>
      <c r="AJ46">
        <f>#REF!+"vlM!$Oj"</f>
        <v/>
      </c>
      <c r="AK46">
        <f>#REF!+"vlM!$Ok"</f>
        <v/>
      </c>
      <c r="AL46">
        <f>#REF!+"vlM!$Ol"</f>
        <v/>
      </c>
      <c r="AM46">
        <f>#REF!+"vlM!$Om"</f>
        <v/>
      </c>
      <c r="AN46">
        <f>#REF!+"vlM!$On"</f>
        <v/>
      </c>
      <c r="AO46">
        <f>#REF!+"vlM!$Oo"</f>
        <v/>
      </c>
      <c r="AP46">
        <f>#REF!+"vlM!$Op"</f>
        <v/>
      </c>
      <c r="AQ46">
        <f>#REF!+"vlM!$Oq"</f>
        <v/>
      </c>
      <c r="AR46">
        <f>#REF!+"vlM!$Or"</f>
        <v/>
      </c>
      <c r="AS46">
        <f>#REF!+"vlM!$Os"</f>
        <v/>
      </c>
      <c r="AT46">
        <f>#REF!+"vlM!$Ot"</f>
        <v/>
      </c>
      <c r="AU46">
        <f>#REF!+"vlM!$Ou"</f>
        <v/>
      </c>
      <c r="AV46">
        <f>#REF!+"vlM!$Ov"</f>
        <v/>
      </c>
      <c r="AW46">
        <f>#REF!+"vlM!$Ow"</f>
        <v/>
      </c>
      <c r="AX46">
        <f>#REF!+"vlM!$Ox"</f>
        <v/>
      </c>
      <c r="AY46">
        <f>#REF!+"vlM!$Oy"</f>
        <v/>
      </c>
      <c r="AZ46">
        <f>#REF!+"vlM!$Oz"</f>
        <v/>
      </c>
      <c r="BA46">
        <f>#REF!+"vlM!$O{"</f>
        <v/>
      </c>
      <c r="BB46">
        <f>#REF!+"vlM!$O|"</f>
        <v/>
      </c>
      <c r="BC46">
        <f>#REF!+"vlM!$O}"</f>
        <v/>
      </c>
      <c r="BD46">
        <f>#REF!+"vlM!$O~"</f>
        <v/>
      </c>
      <c r="BE46">
        <f>#REF!+"vlM!$P#"</f>
        <v/>
      </c>
      <c r="BF46">
        <f>#REF!+"vlM!$P$"</f>
        <v/>
      </c>
      <c r="BG46">
        <f>#REF!+"vlM!$P%"</f>
        <v/>
      </c>
      <c r="BH46">
        <f>#REF!+"vlM!$P&amp;"</f>
        <v/>
      </c>
      <c r="BI46">
        <f>#REF!+"vlM!$P'"</f>
        <v/>
      </c>
      <c r="BJ46">
        <f>#REF!+"vlM!$P("</f>
        <v/>
      </c>
      <c r="BK46">
        <f>#REF!+"vlM!$P)"</f>
        <v/>
      </c>
      <c r="BL46">
        <f>#REF!+"vlM!$P."</f>
        <v/>
      </c>
      <c r="BM46">
        <f>#REF!+"vlM!$P/"</f>
        <v/>
      </c>
      <c r="BN46">
        <f>#REF!+"vlM!$P0"</f>
        <v/>
      </c>
      <c r="BO46">
        <f>#REF!+"vlM!$P1"</f>
        <v/>
      </c>
      <c r="BP46">
        <f>#REF!+"vlM!$P2"</f>
        <v/>
      </c>
      <c r="BQ46">
        <f>#REF!+"vlM!$P3"</f>
        <v/>
      </c>
      <c r="BR46">
        <f>#REF!+"vlM!$P4"</f>
        <v/>
      </c>
      <c r="BS46">
        <f>#REF!+"vlM!$P5"</f>
        <v/>
      </c>
      <c r="BT46">
        <f>#REF!+"vlM!$P6"</f>
        <v/>
      </c>
      <c r="BU46">
        <f>#REF!+"vlM!$P7"</f>
        <v/>
      </c>
      <c r="BV46">
        <f>#REF!+"vlM!$P8"</f>
        <v/>
      </c>
      <c r="BW46">
        <f>#REF!+"vlM!$P9"</f>
        <v/>
      </c>
      <c r="BX46">
        <f>#REF!+"vlM!$P:"</f>
        <v/>
      </c>
      <c r="BY46">
        <f>#REF!+"vlM!$P;"</f>
        <v/>
      </c>
      <c r="BZ46">
        <f>#REF!+"vlM!$P&lt;"</f>
        <v/>
      </c>
      <c r="CA46">
        <f>#REF!+"vlM!$P="</f>
        <v/>
      </c>
      <c r="CB46">
        <f>#REF!+"vlM!$P&gt;"</f>
        <v/>
      </c>
      <c r="CC46">
        <f>#REF!+"vlM!$P?"</f>
        <v/>
      </c>
      <c r="CD46">
        <f>#REF!+"vlM!$P@"</f>
        <v/>
      </c>
      <c r="CE46">
        <f>#REF!+"vlM!$PA"</f>
        <v/>
      </c>
      <c r="CF46">
        <f>#REF!+"vlM!$PB"</f>
        <v/>
      </c>
      <c r="CG46">
        <f>#REF!+"vlM!$PC"</f>
        <v/>
      </c>
      <c r="CH46">
        <f>#REF!+"vlM!$PD"</f>
        <v/>
      </c>
      <c r="CI46">
        <f>#REF!+"vlM!$PE"</f>
        <v/>
      </c>
      <c r="CJ46">
        <f>#REF!+"vlM!$PF"</f>
        <v/>
      </c>
      <c r="CK46">
        <f>#REF!+"vlM!$PG"</f>
        <v/>
      </c>
      <c r="CL46">
        <f>#REF!+"vlM!$PH"</f>
        <v/>
      </c>
      <c r="CM46">
        <f>#REF!+"vlM!$PI"</f>
        <v/>
      </c>
      <c r="CN46">
        <f>#REF!+"vlM!$PJ"</f>
        <v/>
      </c>
      <c r="CO46">
        <f>#REF!+"vlM!$PK"</f>
        <v/>
      </c>
      <c r="CP46">
        <f>#REF!+"vlM!$PL"</f>
        <v/>
      </c>
      <c r="CQ46">
        <f>#REF!+"vlM!$PM"</f>
        <v/>
      </c>
      <c r="CR46">
        <f>#REF!+"vlM!$PN"</f>
        <v/>
      </c>
      <c r="CS46">
        <f>#REF!+"vlM!$PO"</f>
        <v/>
      </c>
      <c r="CT46">
        <f>#REF!+"vlM!$PP"</f>
        <v/>
      </c>
      <c r="CU46">
        <f>#REF!+"vlM!$PQ"</f>
        <v/>
      </c>
      <c r="CV46">
        <f>#REF!+"vlM!$PR"</f>
        <v/>
      </c>
      <c r="CW46">
        <f>#REF!+"vlM!$PS"</f>
        <v/>
      </c>
      <c r="CX46">
        <f>#REF!+"vlM!$PT"</f>
        <v/>
      </c>
      <c r="CY46">
        <f>#REF!+"vlM!$PU"</f>
        <v/>
      </c>
      <c r="CZ46">
        <f>#REF!+"vlM!$PV"</f>
        <v/>
      </c>
      <c r="DA46">
        <f>#REF!+"vlM!$PW"</f>
        <v/>
      </c>
      <c r="DB46">
        <f>#REF!+"vlM!$PX"</f>
        <v/>
      </c>
      <c r="DC46">
        <f>#REF!+"vlM!$PY"</f>
        <v/>
      </c>
      <c r="DD46">
        <f>#REF!+"vlM!$PZ"</f>
        <v/>
      </c>
      <c r="DE46">
        <f>#REF!+"vlM!$P["</f>
        <v/>
      </c>
      <c r="DF46">
        <f>#REF!+"vlM!$P\"</f>
        <v/>
      </c>
      <c r="DG46">
        <f>#REF!+"vlM!$P]"</f>
        <v/>
      </c>
      <c r="DH46">
        <f>#REF!+"vlM!$P^"</f>
        <v/>
      </c>
      <c r="DI46">
        <f>#REF!+"vlM!$P_"</f>
        <v/>
      </c>
      <c r="DJ46">
        <f>#REF!+"vlM!$P`"</f>
        <v/>
      </c>
      <c r="DK46">
        <f>#REF!+"vlM!$Pa"</f>
        <v/>
      </c>
      <c r="DL46">
        <f>#REF!+"vlM!$Pb"</f>
        <v/>
      </c>
      <c r="DM46">
        <f>#REF!+"vlM!$Pc"</f>
        <v/>
      </c>
      <c r="DN46">
        <f>#REF!+"vlM!$Pd"</f>
        <v/>
      </c>
      <c r="DO46">
        <f>#REF!+"vlM!$Pe"</f>
        <v/>
      </c>
      <c r="DP46">
        <f>#REF!+"vlM!$Pf"</f>
        <v/>
      </c>
      <c r="DQ46">
        <f>#REF!+"vlM!$Pg"</f>
        <v/>
      </c>
      <c r="DR46">
        <f>#REF!+"vlM!$Ph"</f>
        <v/>
      </c>
      <c r="DS46">
        <f>#REF!+"vlM!$Pi"</f>
        <v/>
      </c>
      <c r="DT46">
        <f>#REF!+"vlM!$Pj"</f>
        <v/>
      </c>
      <c r="DU46">
        <f>#REF!+"vlM!$Pk"</f>
        <v/>
      </c>
      <c r="DV46">
        <f>#REF!+"vlM!$Pl"</f>
        <v/>
      </c>
      <c r="DW46">
        <f>#REF!+"vlM!$Pm"</f>
        <v/>
      </c>
      <c r="DX46">
        <f>#REF!+"vlM!$Pn"</f>
        <v/>
      </c>
      <c r="DY46">
        <f>#REF!+"vlM!$Po"</f>
        <v/>
      </c>
      <c r="DZ46">
        <f>#REF!+"vlM!$Pp"</f>
        <v/>
      </c>
      <c r="EA46">
        <f>#REF!+"vlM!$Pq"</f>
        <v/>
      </c>
      <c r="EB46">
        <f>#REF!+"vlM!$Pr"</f>
        <v/>
      </c>
      <c r="EC46">
        <f>#REF!+"vlM!$Ps"</f>
        <v/>
      </c>
      <c r="ED46">
        <f>#REF!+"vlM!$Pt"</f>
        <v/>
      </c>
      <c r="EE46">
        <f>#REF!+"vlM!$Pu"</f>
        <v/>
      </c>
      <c r="EF46">
        <f>#REF!+"vlM!$Pv"</f>
        <v/>
      </c>
      <c r="EG46">
        <f>#REF!+"vlM!$Pw"</f>
        <v/>
      </c>
      <c r="EH46">
        <f>#REF!+"vlM!$Px"</f>
        <v/>
      </c>
      <c r="EI46">
        <f>#REF!+"vlM!$Py"</f>
        <v/>
      </c>
      <c r="EJ46">
        <f>#REF!+"vlM!$Pz"</f>
        <v/>
      </c>
      <c r="EK46">
        <f>#REF!+"vlM!$P{"</f>
        <v/>
      </c>
      <c r="EL46">
        <f>#REF!+"vlM!$P|"</f>
        <v/>
      </c>
      <c r="EM46">
        <f>#REF!+"vlM!$P}"</f>
        <v/>
      </c>
      <c r="EN46">
        <f>#REF!+"vlM!$P~"</f>
        <v/>
      </c>
      <c r="EO46">
        <f>#REF!+"vlM!$Q#"</f>
        <v/>
      </c>
      <c r="EP46">
        <f>#REF!+"vlM!$Q$"</f>
        <v/>
      </c>
      <c r="EQ46">
        <f>#REF!+"vlM!$Q%"</f>
        <v/>
      </c>
      <c r="ER46">
        <f>#REF!+"vlM!$Q&amp;"</f>
        <v/>
      </c>
      <c r="ES46">
        <f>#REF!+"vlM!$Q'"</f>
        <v/>
      </c>
      <c r="ET46">
        <f>#REF!+"vlM!$Q("</f>
        <v/>
      </c>
      <c r="EU46">
        <f>#REF!+"vlM!$Q)"</f>
        <v/>
      </c>
      <c r="EV46">
        <f>#REF!+"vlM!$Q."</f>
        <v/>
      </c>
      <c r="EW46">
        <f>#REF!+"vlM!$Q/"</f>
        <v/>
      </c>
      <c r="EX46">
        <f>#REF!+"vlM!$Q0"</f>
        <v/>
      </c>
      <c r="EY46">
        <f>#REF!+"vlM!$Q1"</f>
        <v/>
      </c>
      <c r="EZ46">
        <f>#REF!+"vlM!$Q2"</f>
        <v/>
      </c>
      <c r="FA46">
        <f>#REF!+"vlM!$Q3"</f>
        <v/>
      </c>
      <c r="FB46">
        <f>#REF!+"vlM!$Q4"</f>
        <v/>
      </c>
      <c r="FC46">
        <f>#REF!+"vlM!$Q5"</f>
        <v/>
      </c>
      <c r="FD46">
        <f>#REF!+"vlM!$Q6"</f>
        <v/>
      </c>
      <c r="FE46">
        <f>#REF!+"vlM!$Q7"</f>
        <v/>
      </c>
      <c r="FF46">
        <f>#REF!+"vlM!$Q8"</f>
        <v/>
      </c>
      <c r="FG46">
        <f>#REF!+"vlM!$Q9"</f>
        <v/>
      </c>
      <c r="FH46">
        <f>#REF!+"vlM!$Q:"</f>
        <v/>
      </c>
      <c r="FI46">
        <f>#REF!+"vlM!$Q;"</f>
        <v/>
      </c>
      <c r="FJ46">
        <f>#REF!+"vlM!$Q&lt;"</f>
        <v/>
      </c>
      <c r="FK46">
        <f>#REF!+"vlM!$Q="</f>
        <v/>
      </c>
      <c r="FL46">
        <f>#REF!+"vlM!$Q&gt;"</f>
        <v/>
      </c>
      <c r="FM46">
        <f>#REF!+"vlM!$Q?"</f>
        <v/>
      </c>
      <c r="FN46">
        <f>#REF!+"vlM!$Q@"</f>
        <v/>
      </c>
      <c r="FO46">
        <f>#REF!+"vlM!$QA"</f>
        <v/>
      </c>
      <c r="FP46">
        <f>#REF!+"vlM!$QB"</f>
        <v/>
      </c>
      <c r="FQ46">
        <f>#REF!+"vlM!$QC"</f>
        <v/>
      </c>
      <c r="FR46">
        <f>#REF!+"vlM!$QD"</f>
        <v/>
      </c>
      <c r="FS46">
        <f>#REF!+"vlM!$QE"</f>
        <v/>
      </c>
      <c r="FT46">
        <f>#REF!+"vlM!$QF"</f>
        <v/>
      </c>
      <c r="FU46">
        <f>#REF!+"vlM!$QG"</f>
        <v/>
      </c>
      <c r="FV46">
        <f>#REF!+"vlM!$QH"</f>
        <v/>
      </c>
      <c r="FW46">
        <f>#REF!+"vlM!$QI"</f>
        <v/>
      </c>
      <c r="FX46">
        <f>#REF!+"vlM!$QJ"</f>
        <v/>
      </c>
      <c r="FY46">
        <f>#REF!+"vlM!$QK"</f>
        <v/>
      </c>
      <c r="FZ46">
        <f>#REF!+"vlM!$QL"</f>
        <v/>
      </c>
      <c r="GA46">
        <f>#REF!+"vlM!$QM"</f>
        <v/>
      </c>
      <c r="GB46">
        <f>#REF!+"vlM!$QN"</f>
        <v/>
      </c>
      <c r="GC46">
        <f>#REF!+"vlM!$QO"</f>
        <v/>
      </c>
      <c r="GD46">
        <f>#REF!+"vlM!$QP"</f>
        <v/>
      </c>
      <c r="GE46">
        <f>#REF!+"vlM!$QQ"</f>
        <v/>
      </c>
      <c r="GF46">
        <f>#REF!+"vlM!$QR"</f>
        <v/>
      </c>
      <c r="GG46">
        <f>#REF!+"vlM!$QS"</f>
        <v/>
      </c>
      <c r="GH46">
        <f>#REF!+"vlM!$QT"</f>
        <v/>
      </c>
      <c r="GI46">
        <f>#REF!+"vlM!$QU"</f>
        <v/>
      </c>
      <c r="GJ46">
        <f>#REF!+"vlM!$QV"</f>
        <v/>
      </c>
      <c r="GK46">
        <f>#REF!+"vlM!$QW"</f>
        <v/>
      </c>
      <c r="GL46">
        <f>#REF!+"vlM!$QX"</f>
        <v/>
      </c>
      <c r="GM46">
        <f>#REF!+"vlM!$QY"</f>
        <v/>
      </c>
      <c r="GN46">
        <f>#REF!+"vlM!$QZ"</f>
        <v/>
      </c>
      <c r="GO46">
        <f>#REF!+"vlM!$Q["</f>
        <v/>
      </c>
      <c r="GP46">
        <f>#REF!+"vlM!$Q\"</f>
        <v/>
      </c>
      <c r="GQ46">
        <f>#REF!+"vlM!$Q]"</f>
        <v/>
      </c>
      <c r="GR46">
        <f>#REF!+"vlM!$Q^"</f>
        <v/>
      </c>
      <c r="GS46">
        <f>#REF!+"vlM!$Q_"</f>
        <v/>
      </c>
      <c r="GT46">
        <f>#REF!+"vlM!$Q`"</f>
        <v/>
      </c>
      <c r="GU46">
        <f>#REF!+"vlM!$Qa"</f>
        <v/>
      </c>
      <c r="GV46">
        <f>#REF!+"vlM!$Qb"</f>
        <v/>
      </c>
      <c r="GW46">
        <f>#REF!+"vlM!$Qc"</f>
        <v/>
      </c>
      <c r="GX46">
        <f>#REF!+"vlM!$Qd"</f>
        <v/>
      </c>
      <c r="GY46">
        <f>#REF!+"vlM!$Qe"</f>
        <v/>
      </c>
      <c r="GZ46">
        <f>#REF!+"vlM!$Qf"</f>
        <v/>
      </c>
      <c r="HA46">
        <f>#REF!+"vlM!$Qg"</f>
        <v/>
      </c>
      <c r="HB46">
        <f>#REF!+"vlM!$Qh"</f>
        <v/>
      </c>
      <c r="HC46">
        <f>#REF!+"vlM!$Qi"</f>
        <v/>
      </c>
      <c r="HD46">
        <f>#REF!+"vlM!$Qj"</f>
        <v/>
      </c>
      <c r="HE46">
        <f>#REF!+"vlM!$Qk"</f>
        <v/>
      </c>
      <c r="HF46">
        <f>#REF!+"vlM!$Ql"</f>
        <v/>
      </c>
      <c r="HG46">
        <f>#REF!+"vlM!$Qm"</f>
        <v/>
      </c>
      <c r="HH46">
        <f>#REF!+"vlM!$Qn"</f>
        <v/>
      </c>
      <c r="HI46">
        <f>#REF!+"vlM!$Qo"</f>
        <v/>
      </c>
      <c r="HJ46">
        <f>#REF!+"vlM!$Qp"</f>
        <v/>
      </c>
      <c r="HK46">
        <f>#REF!+"vlM!$Qq"</f>
        <v/>
      </c>
      <c r="HL46">
        <f>#REF!+"vlM!$Qr"</f>
        <v/>
      </c>
      <c r="HM46">
        <f>#REF!+"vlM!$Qs"</f>
        <v/>
      </c>
      <c r="HN46">
        <f>#REF!+"vlM!$Qt"</f>
        <v/>
      </c>
      <c r="HO46">
        <f>#REF!+"vlM!$Qu"</f>
        <v/>
      </c>
      <c r="HP46">
        <f>#REF!+"vlM!$Qv"</f>
        <v/>
      </c>
      <c r="HQ46">
        <f>#REF!+"vlM!$Qw"</f>
        <v/>
      </c>
      <c r="HR46">
        <f>#REF!+"vlM!$Qx"</f>
        <v/>
      </c>
      <c r="HS46">
        <f>#REF!+"vlM!$Qy"</f>
        <v/>
      </c>
      <c r="HT46">
        <f>#REF!+"vlM!$Qz"</f>
        <v/>
      </c>
      <c r="HU46">
        <f>#REF!+"vlM!$Q{"</f>
        <v/>
      </c>
      <c r="HV46">
        <f>#REF!+"vlM!$Q|"</f>
        <v/>
      </c>
      <c r="HW46">
        <f>#REF!+"vlM!$Q}"</f>
        <v/>
      </c>
      <c r="HX46">
        <f>#REF!+"vlM!$Q~"</f>
        <v/>
      </c>
      <c r="HY46">
        <f>#REF!+"vlM!$R#"</f>
        <v/>
      </c>
      <c r="HZ46">
        <f>#REF!+"vlM!$R$"</f>
        <v/>
      </c>
      <c r="IA46">
        <f>#REF!+"vlM!$R%"</f>
        <v/>
      </c>
      <c r="IB46">
        <f>#REF!+"vlM!$R&amp;"</f>
        <v/>
      </c>
      <c r="IC46">
        <f>#REF!+"vlM!$R'"</f>
        <v/>
      </c>
      <c r="ID46">
        <f>#REF!+"vlM!$R("</f>
        <v/>
      </c>
      <c r="IE46">
        <f>#REF!+"vlM!$R)"</f>
        <v/>
      </c>
      <c r="IF46">
        <f>#REF!+"vlM!$R."</f>
        <v/>
      </c>
      <c r="IG46">
        <f>#REF!+"vlM!$R/"</f>
        <v/>
      </c>
      <c r="IH46">
        <f>#REF!+"vlM!$R0"</f>
        <v/>
      </c>
      <c r="II46">
        <f>#REF!+"vlM!$R1"</f>
        <v/>
      </c>
      <c r="IJ46">
        <f>#REF!+"vlM!$R2"</f>
        <v/>
      </c>
      <c r="IK46">
        <f>#REF!+"vlM!$R3"</f>
        <v/>
      </c>
      <c r="IL46">
        <f>#REF!+"vlM!$R4"</f>
        <v/>
      </c>
      <c r="IM46">
        <f>#REF!+"vlM!$R5"</f>
        <v/>
      </c>
      <c r="IN46">
        <f>#REF!+"vlM!$R6"</f>
        <v/>
      </c>
      <c r="IO46">
        <f>#REF!+"vlM!$R7"</f>
        <v/>
      </c>
      <c r="IP46">
        <f>#REF!+"vlM!$R8"</f>
        <v/>
      </c>
      <c r="IQ46">
        <f>#REF!+"vlM!$R9"</f>
        <v/>
      </c>
      <c r="IR46">
        <f>#REF!+"vlM!$R:"</f>
        <v/>
      </c>
      <c r="IS46">
        <f>#REF!+"vlM!$R;"</f>
        <v/>
      </c>
      <c r="IT46">
        <f>#REF!+"vlM!$R&lt;"</f>
        <v/>
      </c>
      <c r="IU46">
        <f>#REF!+"vlM!$R="</f>
        <v/>
      </c>
      <c r="IV46">
        <f>#REF!+"vlM!$R&gt;"</f>
        <v/>
      </c>
    </row>
    <row r="47">
      <c r="F47">
        <f>#REF!+"vlM!$R?"</f>
        <v/>
      </c>
      <c r="G47">
        <f>#REF!+"vlM!$R@"</f>
        <v/>
      </c>
      <c r="H47">
        <f>#REF!+"vlM!$RA"</f>
        <v/>
      </c>
      <c r="I47">
        <f>#REF!+"vlM!$RB"</f>
        <v/>
      </c>
      <c r="J47">
        <f>#REF!+"vlM!$RC"</f>
        <v/>
      </c>
      <c r="K47">
        <f>#REF!+"vlM!$RD"</f>
        <v/>
      </c>
      <c r="L47">
        <f>#REF!+"vlM!$RE"</f>
        <v/>
      </c>
      <c r="M47">
        <f>#REF!+"vlM!$RF"</f>
        <v/>
      </c>
      <c r="N47">
        <f>#REF!+"vlM!$RG"</f>
        <v/>
      </c>
      <c r="O47">
        <f>#REF!+"vlM!$RH"</f>
        <v/>
      </c>
      <c r="P47">
        <f>#REF!+"vlM!$RI"</f>
        <v/>
      </c>
      <c r="Q47">
        <f>#REF!+"vlM!$RJ"</f>
        <v/>
      </c>
      <c r="R47">
        <f>#REF!+"vlM!$RK"</f>
        <v/>
      </c>
      <c r="S47">
        <f>#REF!+"vlM!$RL"</f>
        <v/>
      </c>
      <c r="T47">
        <f>#REF!+"vlM!$RM"</f>
        <v/>
      </c>
      <c r="U47">
        <f>#REF!+"vlM!$RN"</f>
        <v/>
      </c>
      <c r="V47">
        <f>#REF!+"vlM!$RO"</f>
        <v/>
      </c>
      <c r="W47">
        <f>#REF!+"vlM!$RP"</f>
        <v/>
      </c>
      <c r="X47">
        <f>#REF!+"vlM!$RQ"</f>
        <v/>
      </c>
      <c r="Y47">
        <f>#REF!+"vlM!$RR"</f>
        <v/>
      </c>
      <c r="Z47">
        <f>#REF!+"vlM!$RS"</f>
        <v/>
      </c>
      <c r="AA47">
        <f>#REF!+"vlM!$RT"</f>
        <v/>
      </c>
      <c r="AB47">
        <f>#REF!+"vlM!$RU"</f>
        <v/>
      </c>
      <c r="AC47">
        <f>#REF!+"vlM!$RV"</f>
        <v/>
      </c>
      <c r="AD47">
        <f>#REF!+"vlM!$RW"</f>
        <v/>
      </c>
      <c r="AE47">
        <f>#REF!+"vlM!$RX"</f>
        <v/>
      </c>
      <c r="AF47">
        <f>#REF!+"vlM!$RY"</f>
        <v/>
      </c>
      <c r="AG47">
        <f>#REF!+"vlM!$RZ"</f>
        <v/>
      </c>
      <c r="AH47">
        <f>#REF!+"vlM!$R["</f>
        <v/>
      </c>
      <c r="AI47">
        <f>#REF!+"vlM!$R\"</f>
        <v/>
      </c>
      <c r="AJ47">
        <f>#REF!+"vlM!$R]"</f>
        <v/>
      </c>
      <c r="AK47">
        <f>#REF!+"vlM!$R^"</f>
        <v/>
      </c>
      <c r="AL47">
        <f>#REF!+"vlM!$R_"</f>
        <v/>
      </c>
      <c r="AM47">
        <f>#REF!+"vlM!$R`"</f>
        <v/>
      </c>
      <c r="AN47">
        <f>#REF!+"vlM!$Ra"</f>
        <v/>
      </c>
      <c r="AO47">
        <f>#REF!+"vlM!$Rb"</f>
        <v/>
      </c>
      <c r="AP47">
        <f>#REF!+"vlM!$Rc"</f>
        <v/>
      </c>
      <c r="AQ47">
        <f>#REF!+"vlM!$Rd"</f>
        <v/>
      </c>
      <c r="AR47">
        <f>#REF!+"vlM!$Re"</f>
        <v/>
      </c>
      <c r="AS47">
        <f>#REF!+"vlM!$Rf"</f>
        <v/>
      </c>
      <c r="AT47">
        <f>#REF!+"vlM!$Rg"</f>
        <v/>
      </c>
      <c r="AU47">
        <f>#REF!+"vlM!$Rh"</f>
        <v/>
      </c>
      <c r="AV47">
        <f>#REF!+"vlM!$Ri"</f>
        <v/>
      </c>
      <c r="AW47">
        <f>#REF!+"vlM!$Rj"</f>
        <v/>
      </c>
      <c r="AX47">
        <f>#REF!+"vlM!$Rk"</f>
        <v/>
      </c>
      <c r="AY47">
        <f>#REF!+"vlM!$Rl"</f>
        <v/>
      </c>
      <c r="AZ47">
        <f>#REF!+"vlM!$Rm"</f>
        <v/>
      </c>
      <c r="BA47">
        <f>#REF!+"vlM!$Rn"</f>
        <v/>
      </c>
      <c r="BB47">
        <f>#REF!+"vlM!$Ro"</f>
        <v/>
      </c>
      <c r="BC47">
        <f>#REF!+"vlM!$Rp"</f>
        <v/>
      </c>
      <c r="BD47">
        <f>#REF!+"vlM!$Rq"</f>
        <v/>
      </c>
      <c r="BE47">
        <f>#REF!+"vlM!$Rr"</f>
        <v/>
      </c>
      <c r="BF47">
        <f>#REF!+"vlM!$Rs"</f>
        <v/>
      </c>
      <c r="BG47">
        <f>#REF!+"vlM!$Rt"</f>
        <v/>
      </c>
      <c r="BH47">
        <f>#REF!+"vlM!$Ru"</f>
        <v/>
      </c>
      <c r="BI47">
        <f>#REF!+"vlM!$Rv"</f>
        <v/>
      </c>
      <c r="BJ47">
        <f>#REF!+"vlM!$Rw"</f>
        <v/>
      </c>
      <c r="BK47">
        <f>#REF!+"vlM!$Rx"</f>
        <v/>
      </c>
      <c r="BL47">
        <f>#REF!+"vlM!$Ry"</f>
        <v/>
      </c>
      <c r="BM47">
        <f>#REF!+"vlM!$Rz"</f>
        <v/>
      </c>
      <c r="BN47">
        <f>#REF!+"vlM!$R{"</f>
        <v/>
      </c>
      <c r="BO47">
        <f>#REF!+"vlM!$R|"</f>
        <v/>
      </c>
      <c r="BP47">
        <f>#REF!+"vlM!$R}"</f>
        <v/>
      </c>
      <c r="BQ47">
        <f>#REF!+"vlM!$R~"</f>
        <v/>
      </c>
      <c r="BR47">
        <f>#REF!+"vlM!$S#"</f>
        <v/>
      </c>
      <c r="BS47">
        <f>#REF!+"vlM!$S$"</f>
        <v/>
      </c>
      <c r="BT47">
        <f>#REF!+"vlM!$S%"</f>
        <v/>
      </c>
      <c r="BU47">
        <f>#REF!+"vlM!$S&amp;"</f>
        <v/>
      </c>
      <c r="BV47">
        <f>#REF!+"vlM!$S'"</f>
        <v/>
      </c>
      <c r="BW47">
        <f>#REF!+"vlM!$S("</f>
        <v/>
      </c>
      <c r="BX47">
        <f>#REF!+"vlM!$S)"</f>
        <v/>
      </c>
      <c r="BY47">
        <f>#REF!+"vlM!$S."</f>
        <v/>
      </c>
      <c r="BZ47">
        <f>#REF!+"vlM!$S/"</f>
        <v/>
      </c>
      <c r="CA47">
        <f>#REF!+"vlM!$S0"</f>
        <v/>
      </c>
      <c r="CB47">
        <f>#REF!+"vlM!$S1"</f>
        <v/>
      </c>
      <c r="CC47">
        <f>#REF!+"vlM!$S2"</f>
        <v/>
      </c>
      <c r="CD47">
        <f>#REF!+"vlM!$S3"</f>
        <v/>
      </c>
      <c r="CE47">
        <f>#REF!+"vlM!$S4"</f>
        <v/>
      </c>
      <c r="CF47">
        <f>#REF!+"vlM!$S5"</f>
        <v/>
      </c>
      <c r="CG47">
        <f>#REF!+"vlM!$S6"</f>
        <v/>
      </c>
      <c r="CH47">
        <f>#REF!+"vlM!$S7"</f>
        <v/>
      </c>
      <c r="CI47">
        <f>#REF!+"vlM!$S8"</f>
        <v/>
      </c>
      <c r="CJ47">
        <f>#REF!+"vlM!$S9"</f>
        <v/>
      </c>
      <c r="CK47">
        <f>#REF!+"vlM!$S:"</f>
        <v/>
      </c>
      <c r="CL47">
        <f>#REF!+"vlM!$S;"</f>
        <v/>
      </c>
      <c r="CM47">
        <f>#REF!+"vlM!$S&lt;"</f>
        <v/>
      </c>
      <c r="CN47">
        <f>#REF!+"vlM!$S="</f>
        <v/>
      </c>
      <c r="CO47">
        <f>#REF!+"vlM!$S&gt;"</f>
        <v/>
      </c>
      <c r="CP47">
        <f>#REF!+"vlM!$S?"</f>
        <v/>
      </c>
      <c r="CQ47">
        <f>#REF!+"vlM!$S@"</f>
        <v/>
      </c>
      <c r="CR47">
        <f>#REF!+"vlM!$SA"</f>
        <v/>
      </c>
      <c r="CS47">
        <f>#REF!+"vlM!$SB"</f>
        <v/>
      </c>
      <c r="CT47">
        <f>#REF!+"vlM!$SC"</f>
        <v/>
      </c>
      <c r="CU47">
        <f>#REF!+"vlM!$SD"</f>
        <v/>
      </c>
      <c r="CV47">
        <f>#REF!+"vlM!$SE"</f>
        <v/>
      </c>
      <c r="CW47">
        <f>#REF!+"vlM!$SF"</f>
        <v/>
      </c>
      <c r="CX47">
        <f>#REF!+"vlM!$SG"</f>
        <v/>
      </c>
      <c r="CY47">
        <f>#REF!+"vlM!$SH"</f>
        <v/>
      </c>
      <c r="CZ47">
        <f>#REF!+"vlM!$SI"</f>
        <v/>
      </c>
      <c r="DA47">
        <f>#REF!+"vlM!$SJ"</f>
        <v/>
      </c>
      <c r="DB47">
        <f>#REF!+"vlM!$SK"</f>
        <v/>
      </c>
      <c r="DC47">
        <f>#REF!+"vlM!$SL"</f>
        <v/>
      </c>
      <c r="DD47">
        <f>#REF!+"vlM!$SM"</f>
        <v/>
      </c>
      <c r="DE47">
        <f>#REF!+"vlM!$SN"</f>
        <v/>
      </c>
      <c r="DF47">
        <f>#REF!+"vlM!$SO"</f>
        <v/>
      </c>
      <c r="DG47">
        <f>#REF!+"vlM!$SP"</f>
        <v/>
      </c>
      <c r="DH47">
        <f>#REF!+"vlM!$SQ"</f>
        <v/>
      </c>
      <c r="DI47">
        <f>#REF!+"vlM!$SR"</f>
        <v/>
      </c>
      <c r="DJ47">
        <f>#REF!+"vlM!$SS"</f>
        <v/>
      </c>
      <c r="DK47">
        <f>#REF!+"vlM!$ST"</f>
        <v/>
      </c>
      <c r="DL47">
        <f>#REF!+"vlM!$SU"</f>
        <v/>
      </c>
      <c r="DM47">
        <f>#REF!+"vlM!$SV"</f>
        <v/>
      </c>
      <c r="DN47">
        <f>#REF!+"vlM!$SW"</f>
        <v/>
      </c>
      <c r="DO47">
        <f>#REF!+"vlM!$SX"</f>
        <v/>
      </c>
      <c r="DP47">
        <f>#REF!+"vlM!$SY"</f>
        <v/>
      </c>
      <c r="DQ47">
        <f>#REF!+"vlM!$SZ"</f>
        <v/>
      </c>
      <c r="DR47">
        <f>#REF!+"vlM!$S["</f>
        <v/>
      </c>
      <c r="DS47">
        <f>#REF!+"vlM!$S\"</f>
        <v/>
      </c>
      <c r="DT47">
        <f>#REF!+"vlM!$S]"</f>
        <v/>
      </c>
      <c r="DU47">
        <f>#REF!+"vlM!$S^"</f>
        <v/>
      </c>
      <c r="DV47">
        <f>#REF!+"vlM!$S_"</f>
        <v/>
      </c>
      <c r="DW47">
        <f>#REF!+"vlM!$S`"</f>
        <v/>
      </c>
      <c r="DX47">
        <f>#REF!+"vlM!$Sa"</f>
        <v/>
      </c>
      <c r="DY47">
        <f>#REF!+"vlM!$Sb"</f>
        <v/>
      </c>
      <c r="DZ47">
        <f>#REF!+"vlM!$Sc"</f>
        <v/>
      </c>
      <c r="EA47">
        <f>#REF!+"vlM!$Sd"</f>
        <v/>
      </c>
      <c r="EB47">
        <f>#REF!+"vlM!$Se"</f>
        <v/>
      </c>
      <c r="EC47">
        <f>#REF!+"vlM!$Sf"</f>
        <v/>
      </c>
      <c r="ED47">
        <f>#REF!+"vlM!$Sg"</f>
        <v/>
      </c>
      <c r="EE47">
        <f>#REF!+"vlM!$Sh"</f>
        <v/>
      </c>
      <c r="EF47">
        <f>#REF!+"vlM!$Si"</f>
        <v/>
      </c>
      <c r="EG47">
        <f>#REF!+"vlM!$Sj"</f>
        <v/>
      </c>
      <c r="EH47">
        <f>#REF!+"vlM!$Sk"</f>
        <v/>
      </c>
      <c r="EI47">
        <f>#REF!+"vlM!$Sl"</f>
        <v/>
      </c>
      <c r="EJ47">
        <f>#REF!+"vlM!$Sm"</f>
        <v/>
      </c>
      <c r="EK47">
        <f>#REF!+"vlM!$Sn"</f>
        <v/>
      </c>
      <c r="EL47">
        <f>#REF!+"vlM!$So"</f>
        <v/>
      </c>
      <c r="EM47">
        <f>#REF!+"vlM!$Sp"</f>
        <v/>
      </c>
      <c r="EN47">
        <f>#REF!+"vlM!$Sq"</f>
        <v/>
      </c>
      <c r="EO47">
        <f>#REF!+"vlM!$Sr"</f>
        <v/>
      </c>
      <c r="EP47">
        <f>#REF!+"vlM!$Ss"</f>
        <v/>
      </c>
      <c r="EQ47">
        <f>#REF!+"vlM!$St"</f>
        <v/>
      </c>
      <c r="ER47">
        <f>#REF!+"vlM!$Su"</f>
        <v/>
      </c>
      <c r="ES47">
        <f>#REF!+"vlM!$Sv"</f>
        <v/>
      </c>
      <c r="ET47">
        <f>#REF!+"vlM!$Sw"</f>
        <v/>
      </c>
      <c r="EU47">
        <f>#REF!+"vlM!$Sx"</f>
        <v/>
      </c>
      <c r="EV47">
        <f>#REF!+"vlM!$Sy"</f>
        <v/>
      </c>
      <c r="EW47">
        <f>#REF!+"vlM!$Sz"</f>
        <v/>
      </c>
      <c r="EX47">
        <f>#REF!+"vlM!$S{"</f>
        <v/>
      </c>
      <c r="EY47">
        <f>#REF!+"vlM!$S|"</f>
        <v/>
      </c>
      <c r="EZ47">
        <f>#REF!+"vlM!$S}"</f>
        <v/>
      </c>
      <c r="FA47">
        <f>#REF!+"vlM!$S~"</f>
        <v/>
      </c>
      <c r="FB47">
        <f>#REF!+"vlM!$T#"</f>
        <v/>
      </c>
      <c r="FC47">
        <f>#REF!+"vlM!$T$"</f>
        <v/>
      </c>
      <c r="FD47">
        <f>#REF!+"vlM!$T%"</f>
        <v/>
      </c>
      <c r="FE47">
        <f>#REF!+"vlM!$T&amp;"</f>
        <v/>
      </c>
      <c r="FF47">
        <f>#REF!+"vlM!$T'"</f>
        <v/>
      </c>
      <c r="FG47">
        <f>#REF!+"vlM!$T("</f>
        <v/>
      </c>
      <c r="FH47">
        <f>#REF!+"vlM!$T)"</f>
        <v/>
      </c>
      <c r="FI47">
        <f>#REF!+"vlM!$T."</f>
        <v/>
      </c>
      <c r="FJ47">
        <f>#REF!+"vlM!$T/"</f>
        <v/>
      </c>
      <c r="FK47">
        <f>#REF!+"vlM!$T0"</f>
        <v/>
      </c>
      <c r="FL47">
        <f>#REF!+"vlM!$T1"</f>
        <v/>
      </c>
      <c r="FM47">
        <f>#REF!+"vlM!$T2"</f>
        <v/>
      </c>
      <c r="FN47">
        <f>#REF!+"vlM!$T3"</f>
        <v/>
      </c>
      <c r="FO47">
        <f>#REF!+"vlM!$T4"</f>
        <v/>
      </c>
      <c r="FP47">
        <f>#REF!+"vlM!$T5"</f>
        <v/>
      </c>
      <c r="FQ47">
        <f>#REF!+"vlM!$T6"</f>
        <v/>
      </c>
      <c r="FR47">
        <f>#REF!+"vlM!$T7"</f>
        <v/>
      </c>
      <c r="FS47">
        <f>#REF!+"vlM!$T8"</f>
        <v/>
      </c>
      <c r="FT47">
        <f>#REF!+"vlM!$T9"</f>
        <v/>
      </c>
      <c r="FU47">
        <f>#REF!+"vlM!$T:"</f>
        <v/>
      </c>
      <c r="FV47">
        <f>#REF!+"vlM!$T;"</f>
        <v/>
      </c>
      <c r="FW47">
        <f>#REF!+"vlM!$T&lt;"</f>
        <v/>
      </c>
      <c r="FX47">
        <f>#REF!+"vlM!$T="</f>
        <v/>
      </c>
      <c r="FY47">
        <f>#REF!+"vlM!$T&gt;"</f>
        <v/>
      </c>
      <c r="FZ47">
        <f>#REF!+"vlM!$T?"</f>
        <v/>
      </c>
      <c r="GA47">
        <f>#REF!+"vlM!$T@"</f>
        <v/>
      </c>
      <c r="GB47">
        <f>#REF!+"vlM!$TA"</f>
        <v/>
      </c>
      <c r="GC47">
        <f>#REF!+"vlM!$TB"</f>
        <v/>
      </c>
      <c r="GD47">
        <f>#REF!+"vlM!$TC"</f>
        <v/>
      </c>
      <c r="GE47">
        <f>#REF!+"vlM!$TD"</f>
        <v/>
      </c>
      <c r="GF47">
        <f>#REF!+"vlM!$TE"</f>
        <v/>
      </c>
      <c r="GG47">
        <f>#REF!+"vlM!$TF"</f>
        <v/>
      </c>
      <c r="GH47">
        <f>#REF!+"vlM!$TG"</f>
        <v/>
      </c>
      <c r="GI47">
        <f>#REF!+"vlM!$TH"</f>
        <v/>
      </c>
      <c r="GJ47">
        <f>#REF!+"vlM!$TI"</f>
        <v/>
      </c>
      <c r="GK47">
        <f>#REF!+"vlM!$TJ"</f>
        <v/>
      </c>
      <c r="GL47">
        <f>#REF!+"vlM!$TK"</f>
        <v/>
      </c>
      <c r="GM47">
        <f>#REF!+"vlM!$TL"</f>
        <v/>
      </c>
      <c r="GN47">
        <f>#REF!+"vlM!$TM"</f>
        <v/>
      </c>
      <c r="GO47">
        <f>#REF!+"vlM!$TN"</f>
        <v/>
      </c>
      <c r="GP47">
        <f>#REF!+"vlM!$TO"</f>
        <v/>
      </c>
      <c r="GQ47">
        <f>#REF!+"vlM!$TP"</f>
        <v/>
      </c>
      <c r="GR47">
        <f>#REF!+"vlM!$TQ"</f>
        <v/>
      </c>
      <c r="GS47">
        <f>#REF!+"vlM!$TR"</f>
        <v/>
      </c>
      <c r="GT47">
        <f>#REF!+"vlM!$TS"</f>
        <v/>
      </c>
      <c r="GU47">
        <f>#REF!+"vlM!$TT"</f>
        <v/>
      </c>
      <c r="GV47">
        <f>#REF!+"vlM!$TU"</f>
        <v/>
      </c>
      <c r="GW47">
        <f>#REF!+"vlM!$TV"</f>
        <v/>
      </c>
      <c r="GX47">
        <f>#REF!+"vlM!$TW"</f>
        <v/>
      </c>
      <c r="GY47">
        <f>#REF!+"vlM!$TX"</f>
        <v/>
      </c>
      <c r="GZ47">
        <f>#REF!+"vlM!$TY"</f>
        <v/>
      </c>
      <c r="HA47">
        <f>#REF!+"vlM!$TZ"</f>
        <v/>
      </c>
      <c r="HB47">
        <f>#REF!+"vlM!$T["</f>
        <v/>
      </c>
      <c r="HC47">
        <f>#REF!+"vlM!$T\"</f>
        <v/>
      </c>
      <c r="HD47">
        <f>#REF!+"vlM!$T]"</f>
        <v/>
      </c>
      <c r="HE47">
        <f>#REF!+"vlM!$T^"</f>
        <v/>
      </c>
      <c r="HF47">
        <f>#REF!+"vlM!$T_"</f>
        <v/>
      </c>
      <c r="HG47">
        <f>#REF!+"vlM!$T`"</f>
        <v/>
      </c>
      <c r="HH47">
        <f>#REF!+"vlM!$Ta"</f>
        <v/>
      </c>
      <c r="HI47">
        <f>#REF!+"vlM!$Tb"</f>
        <v/>
      </c>
      <c r="HJ47">
        <f>#REF!+"vlM!$Tc"</f>
        <v/>
      </c>
      <c r="HK47">
        <f>#REF!+"vlM!$Td"</f>
        <v/>
      </c>
      <c r="HL47">
        <f>#REF!+"vlM!$Te"</f>
        <v/>
      </c>
      <c r="HM47">
        <f>#REF!+"vlM!$Tf"</f>
        <v/>
      </c>
      <c r="HN47">
        <f>#REF!+"vlM!$Tg"</f>
        <v/>
      </c>
      <c r="HO47">
        <f>#REF!+"vlM!$Th"</f>
        <v/>
      </c>
      <c r="HP47">
        <f>#REF!+"vlM!$Ti"</f>
        <v/>
      </c>
      <c r="HQ47">
        <f>#REF!+"vlM!$Tj"</f>
        <v/>
      </c>
      <c r="HR47">
        <f>#REF!+"vlM!$Tk"</f>
        <v/>
      </c>
      <c r="HS47">
        <f>#REF!+"vlM!$Tl"</f>
        <v/>
      </c>
      <c r="HT47">
        <f>#REF!+"vlM!$Tm"</f>
        <v/>
      </c>
      <c r="HU47">
        <f>#REF!+"vlM!$Tn"</f>
        <v/>
      </c>
      <c r="HV47">
        <f>#REF!+"vlM!$To"</f>
        <v/>
      </c>
      <c r="HW47">
        <f>#REF!+"vlM!$Tp"</f>
        <v/>
      </c>
      <c r="HX47">
        <f>#REF!+"vlM!$Tq"</f>
        <v/>
      </c>
      <c r="HY47">
        <f>#REF!+"vlM!$Tr"</f>
        <v/>
      </c>
      <c r="HZ47">
        <f>#REF!+"vlM!$Ts"</f>
        <v/>
      </c>
      <c r="IA47">
        <f>#REF!+"vlM!$Tt"</f>
        <v/>
      </c>
      <c r="IB47">
        <f>#REF!+"vlM!$Tu"</f>
        <v/>
      </c>
      <c r="IC47">
        <f>#REF!+"vlM!$Tv"</f>
        <v/>
      </c>
      <c r="ID47">
        <f>#REF!+"vlM!$Tw"</f>
        <v/>
      </c>
      <c r="IE47">
        <f>#REF!+"vlM!$Tx"</f>
        <v/>
      </c>
      <c r="IF47">
        <f>#REF!+"vlM!$Ty"</f>
        <v/>
      </c>
      <c r="IG47">
        <f>#REF!+"vlM!$Tz"</f>
        <v/>
      </c>
      <c r="IH47">
        <f>#REF!+"vlM!$T{"</f>
        <v/>
      </c>
      <c r="II47">
        <f>#REF!+"vlM!$T|"</f>
        <v/>
      </c>
      <c r="IJ47">
        <f>#REF!+"vlM!$T}"</f>
        <v/>
      </c>
      <c r="IK47">
        <f>#REF!+"vlM!$T~"</f>
        <v/>
      </c>
      <c r="IL47">
        <f>#REF!+"vlM!$U#"</f>
        <v/>
      </c>
      <c r="IM47">
        <f>#REF!+"vlM!$U$"</f>
        <v/>
      </c>
      <c r="IN47">
        <f>#REF!+"vlM!$U%"</f>
        <v/>
      </c>
      <c r="IO47">
        <f>#REF!+"vlM!$U&amp;"</f>
        <v/>
      </c>
      <c r="IP47">
        <f>#REF!+"vlM!$U'"</f>
        <v/>
      </c>
      <c r="IQ47">
        <f>#REF!+"vlM!$U("</f>
        <v/>
      </c>
      <c r="IR47">
        <f>#REF!+"vlM!$U)"</f>
        <v/>
      </c>
      <c r="IS47">
        <f>#REF!+"vlM!$U."</f>
        <v/>
      </c>
      <c r="IT47">
        <f>#REF!+"vlM!$U/"</f>
        <v/>
      </c>
      <c r="IU47">
        <f>#REF!+"vlM!$U0"</f>
        <v/>
      </c>
      <c r="IV47">
        <f>#REF!+"vlM!$U1"</f>
        <v/>
      </c>
    </row>
    <row r="48">
      <c r="F48">
        <f>#REF!+"vlM!$U2"</f>
        <v/>
      </c>
      <c r="G48">
        <f>#REF!+"vlM!$U3"</f>
        <v/>
      </c>
      <c r="H48">
        <f>#REF!+"vlM!$U4"</f>
        <v/>
      </c>
      <c r="I48">
        <f>#REF!+"vlM!$U5"</f>
        <v/>
      </c>
      <c r="J48">
        <f>#REF!+"vlM!$U6"</f>
        <v/>
      </c>
      <c r="K48">
        <f>#REF!+"vlM!$U7"</f>
        <v/>
      </c>
      <c r="L48">
        <f>#REF!+"vlM!$U8"</f>
        <v/>
      </c>
      <c r="M48">
        <f>#REF!+"vlM!$U9"</f>
        <v/>
      </c>
      <c r="N48">
        <f>#REF!+"vlM!$U:"</f>
        <v/>
      </c>
      <c r="O48">
        <f>#REF!+"vlM!$U;"</f>
        <v/>
      </c>
      <c r="P48">
        <f>#REF!+"vlM!$U&lt;"</f>
        <v/>
      </c>
      <c r="Q48">
        <f>#REF!+"vlM!$U="</f>
        <v/>
      </c>
      <c r="R48">
        <f>#REF!+"vlM!$U&gt;"</f>
        <v/>
      </c>
      <c r="S48">
        <f>#REF!+"vlM!$U?"</f>
        <v/>
      </c>
      <c r="T48">
        <f>#REF!+"vlM!$U@"</f>
        <v/>
      </c>
      <c r="U48">
        <f>#REF!+"vlM!$UA"</f>
        <v/>
      </c>
      <c r="V48">
        <f>#REF!+"vlM!$UB"</f>
        <v/>
      </c>
      <c r="W48">
        <f>#REF!+"vlM!$UC"</f>
        <v/>
      </c>
      <c r="X48">
        <f>#REF!+"vlM!$UD"</f>
        <v/>
      </c>
      <c r="Y48">
        <f>#REF!+"vlM!$UE"</f>
        <v/>
      </c>
      <c r="Z48">
        <f>#REF!+"vlM!$UF"</f>
        <v/>
      </c>
      <c r="AA48">
        <f>#REF!+"vlM!$UG"</f>
        <v/>
      </c>
      <c r="AB48">
        <f>#REF!+"vlM!$UH"</f>
        <v/>
      </c>
      <c r="AC48">
        <f>#REF!+"vlM!$UI"</f>
        <v/>
      </c>
      <c r="AD48">
        <f>#REF!+"vlM!$UJ"</f>
        <v/>
      </c>
      <c r="AE48">
        <f>#REF!+"vlM!$UK"</f>
        <v/>
      </c>
      <c r="AF48">
        <f>#REF!+"vlM!$UL"</f>
        <v/>
      </c>
      <c r="AG48">
        <f>#REF!+"vlM!$UM"</f>
        <v/>
      </c>
      <c r="AH48">
        <f>#REF!+"vlM!$UN"</f>
        <v/>
      </c>
      <c r="AI48">
        <f>#REF!+"vlM!$UO"</f>
        <v/>
      </c>
      <c r="AJ48">
        <f>#REF!+"vlM!$UP"</f>
        <v/>
      </c>
      <c r="AK48">
        <f>#REF!+"vlM!$UQ"</f>
        <v/>
      </c>
      <c r="AL48">
        <f>#REF!+"vlM!$UR"</f>
        <v/>
      </c>
      <c r="AM48">
        <f>#REF!+"vlM!$US"</f>
        <v/>
      </c>
      <c r="AN48">
        <f>#REF!+"vlM!$UT"</f>
        <v/>
      </c>
      <c r="AO48">
        <f>#REF!+"vlM!$UU"</f>
        <v/>
      </c>
      <c r="AP48">
        <f>#REF!+"vlM!$UV"</f>
        <v/>
      </c>
      <c r="AQ48">
        <f>#REF!+"vlM!$UW"</f>
        <v/>
      </c>
      <c r="AR48">
        <f>#REF!+"vlM!$UX"</f>
        <v/>
      </c>
      <c r="AS48">
        <f>#REF!+"vlM!$UY"</f>
        <v/>
      </c>
      <c r="AT48">
        <f>#REF!+"vlM!$UZ"</f>
        <v/>
      </c>
      <c r="AU48">
        <f>#REF!+"vlM!$U["</f>
        <v/>
      </c>
      <c r="AV48">
        <f>#REF!+"vlM!$U\"</f>
        <v/>
      </c>
      <c r="AW48">
        <f>#REF!+"vlM!$U]"</f>
        <v/>
      </c>
      <c r="AX48">
        <f>#REF!+"vlM!$U^"</f>
        <v/>
      </c>
      <c r="AY48">
        <f>#REF!+"vlM!$U_"</f>
        <v/>
      </c>
      <c r="AZ48">
        <f>#REF!+"vlM!$U`"</f>
        <v/>
      </c>
      <c r="BA48">
        <f>#REF!+"vlM!$Ua"</f>
        <v/>
      </c>
      <c r="BB48">
        <f>#REF!+"vlM!$Ub"</f>
        <v/>
      </c>
      <c r="BC48">
        <f>#REF!+"vlM!$Uc"</f>
        <v/>
      </c>
      <c r="BD48">
        <f>#REF!+"vlM!$Ud"</f>
        <v/>
      </c>
      <c r="BE48">
        <f>#REF!+"vlM!$Ue"</f>
        <v/>
      </c>
      <c r="BF48">
        <f>#REF!+"vlM!$Uf"</f>
        <v/>
      </c>
      <c r="BG48">
        <f>#REF!+"vlM!$Ug"</f>
        <v/>
      </c>
      <c r="BH48">
        <f>#REF!+"vlM!$Uh"</f>
        <v/>
      </c>
      <c r="BI48">
        <f>#REF!+"vlM!$Ui"</f>
        <v/>
      </c>
      <c r="BJ48">
        <f>#REF!+"vlM!$Uj"</f>
        <v/>
      </c>
      <c r="BK48">
        <f>#REF!+"vlM!$Uk"</f>
        <v/>
      </c>
      <c r="BL48">
        <f>#REF!+"vlM!$Ul"</f>
        <v/>
      </c>
      <c r="BM48">
        <f>#REF!+"vlM!$Um"</f>
        <v/>
      </c>
      <c r="BN48">
        <f>#REF!+"vlM!$Un"</f>
        <v/>
      </c>
      <c r="BO48">
        <f>#REF!+"vlM!$Uo"</f>
        <v/>
      </c>
      <c r="BP48">
        <f>#REF!+"vlM!$Up"</f>
        <v/>
      </c>
      <c r="BQ48">
        <f>#REF!+"vlM!$Uq"</f>
        <v/>
      </c>
      <c r="BR48">
        <f>#REF!+"vlM!$Ur"</f>
        <v/>
      </c>
      <c r="BS48">
        <f>#REF!+"vlM!$Us"</f>
        <v/>
      </c>
      <c r="BT48">
        <f>#REF!+"vlM!$Ut"</f>
        <v/>
      </c>
      <c r="BU48">
        <f>#REF!+"vlM!$Uu"</f>
        <v/>
      </c>
      <c r="BV48">
        <f>#REF!+"vlM!$Uv"</f>
        <v/>
      </c>
      <c r="BW48">
        <f>#REF!+"vlM!$Uw"</f>
        <v/>
      </c>
      <c r="BX48">
        <f>#REF!+"vlM!$Ux"</f>
        <v/>
      </c>
      <c r="BY48">
        <f>#REF!+"vlM!$Uy"</f>
        <v/>
      </c>
      <c r="BZ48">
        <f>#REF!+"vlM!$Uz"</f>
        <v/>
      </c>
      <c r="CA48">
        <f>#REF!+"vlM!$U{"</f>
        <v/>
      </c>
      <c r="CB48">
        <f>#REF!+"vlM!$U|"</f>
        <v/>
      </c>
      <c r="CC48">
        <f>#REF!+"vlM!$U}"</f>
        <v/>
      </c>
      <c r="CD48">
        <f>#REF!+"vlM!$U~"</f>
        <v/>
      </c>
      <c r="CE48">
        <f>#REF!+"vlM!$V#"</f>
        <v/>
      </c>
      <c r="CF48">
        <f>#REF!+"vlM!$V$"</f>
        <v/>
      </c>
      <c r="CG48">
        <f>#REF!+"vlM!$V%"</f>
        <v/>
      </c>
      <c r="CH48">
        <f>#REF!+"vlM!$V&amp;"</f>
        <v/>
      </c>
      <c r="CI48">
        <f>#REF!+"vlM!$V'"</f>
        <v/>
      </c>
      <c r="CJ48">
        <f>#REF!+"vlM!$V("</f>
        <v/>
      </c>
      <c r="CK48">
        <f>#REF!+"vlM!$V)"</f>
        <v/>
      </c>
      <c r="CL48">
        <f>#REF!+"vlM!$V."</f>
        <v/>
      </c>
      <c r="CM48">
        <f>#REF!+"vlM!$V/"</f>
        <v/>
      </c>
      <c r="CN48">
        <f>#REF!+"vlM!$V0"</f>
        <v/>
      </c>
      <c r="CO48">
        <f>#REF!+"vlM!$V1"</f>
        <v/>
      </c>
      <c r="CP48">
        <f>#REF!+"vlM!$V2"</f>
        <v/>
      </c>
      <c r="CQ48">
        <f>#REF!+"vlM!$V3"</f>
        <v/>
      </c>
      <c r="CR48">
        <f>#REF!+"vlM!$V4"</f>
        <v/>
      </c>
      <c r="CS48">
        <f>#REF!+"vlM!$V5"</f>
        <v/>
      </c>
      <c r="CT48">
        <f>#REF!+"vlM!$V6"</f>
        <v/>
      </c>
      <c r="CU48">
        <f>#REF!+"vlM!$V7"</f>
        <v/>
      </c>
      <c r="CV48">
        <f>#REF!+"vlM!$V8"</f>
        <v/>
      </c>
      <c r="CW48">
        <f>#REF!+"vlM!$V9"</f>
        <v/>
      </c>
      <c r="CX48">
        <f>#REF!+"vlM!$V:"</f>
        <v/>
      </c>
      <c r="CY48">
        <f>#REF!+"vlM!$V;"</f>
        <v/>
      </c>
      <c r="CZ48">
        <f>#REF!+"vlM!$V&lt;"</f>
        <v/>
      </c>
      <c r="DA48">
        <f>#REF!+"vlM!$V="</f>
        <v/>
      </c>
      <c r="DB48">
        <f>#REF!+"vlM!$V&gt;"</f>
        <v/>
      </c>
      <c r="DC48">
        <f>#REF!+"vlM!$V?"</f>
        <v/>
      </c>
      <c r="DD48">
        <f>#REF!+"vlM!$V@"</f>
        <v/>
      </c>
      <c r="DE48">
        <f>#REF!+"vlM!$VA"</f>
        <v/>
      </c>
      <c r="DF48">
        <f>#REF!+"vlM!$VB"</f>
        <v/>
      </c>
      <c r="DG48">
        <f>#REF!+"vlM!$VC"</f>
        <v/>
      </c>
      <c r="DH48">
        <f>#REF!+"vlM!$VD"</f>
        <v/>
      </c>
      <c r="DI48">
        <f>#REF!+"vlM!$VE"</f>
        <v/>
      </c>
      <c r="DJ48">
        <f>#REF!+"vlM!$VF"</f>
        <v/>
      </c>
      <c r="DK48">
        <f>#REF!+"vlM!$VG"</f>
        <v/>
      </c>
      <c r="DL48">
        <f>#REF!+"vlM!$VH"</f>
        <v/>
      </c>
      <c r="DM48">
        <f>#REF!+"vlM!$VI"</f>
        <v/>
      </c>
      <c r="DN48">
        <f>#REF!+"vlM!$VJ"</f>
        <v/>
      </c>
      <c r="DO48">
        <f>#REF!+"vlM!$VK"</f>
        <v/>
      </c>
      <c r="DP48">
        <f>#REF!+"vlM!$VL"</f>
        <v/>
      </c>
      <c r="DQ48">
        <f>#REF!+"vlM!$VM"</f>
        <v/>
      </c>
      <c r="DR48">
        <f>#REF!+"vlM!$VN"</f>
        <v/>
      </c>
      <c r="DS48">
        <f>#REF!+"vlM!$VO"</f>
        <v/>
      </c>
      <c r="DT48">
        <f>#REF!+"vlM!$VP"</f>
        <v/>
      </c>
      <c r="DU48">
        <f>#REF!+"vlM!$VQ"</f>
        <v/>
      </c>
      <c r="DV48">
        <f>#REF!+"vlM!$VR"</f>
        <v/>
      </c>
      <c r="DW48">
        <f>#REF!+"vlM!$VS"</f>
        <v/>
      </c>
      <c r="DX48">
        <f>#REF!+"vlM!$VT"</f>
        <v/>
      </c>
      <c r="DY48">
        <f>#REF!+"vlM!$VU"</f>
        <v/>
      </c>
      <c r="DZ48">
        <f>#REF!+"vlM!$VV"</f>
        <v/>
      </c>
      <c r="EA48">
        <f>#REF!+"vlM!$VW"</f>
        <v/>
      </c>
      <c r="EB48">
        <f>#REF!+"vlM!$VX"</f>
        <v/>
      </c>
      <c r="EC48">
        <f>#REF!+"vlM!$VY"</f>
        <v/>
      </c>
      <c r="ED48">
        <f>#REF!+"vlM!$VZ"</f>
        <v/>
      </c>
      <c r="EE48">
        <f>#REF!+"vlM!$V["</f>
        <v/>
      </c>
      <c r="EF48">
        <f>#REF!+"vlM!$V\"</f>
        <v/>
      </c>
      <c r="EG48">
        <f>#REF!+"vlM!$V]"</f>
        <v/>
      </c>
      <c r="EH48">
        <f>#REF!+"vlM!$V^"</f>
        <v/>
      </c>
      <c r="EI48">
        <f>#REF!+"vlM!$V_"</f>
        <v/>
      </c>
      <c r="EJ48">
        <f>#REF!+"vlM!$V`"</f>
        <v/>
      </c>
      <c r="EK48">
        <f>#REF!+"vlM!$Va"</f>
        <v/>
      </c>
      <c r="EL48">
        <f>#REF!+"vlM!$Vb"</f>
        <v/>
      </c>
      <c r="EM48">
        <f>#REF!+"vlM!$Vc"</f>
        <v/>
      </c>
      <c r="EN48">
        <f>#REF!+"vlM!$Vd"</f>
        <v/>
      </c>
      <c r="EO48">
        <f>#REF!+"vlM!$Ve"</f>
        <v/>
      </c>
      <c r="EP48">
        <f>#REF!+"vlM!$Vf"</f>
        <v/>
      </c>
      <c r="EQ48">
        <f>#REF!+"vlM!$Vg"</f>
        <v/>
      </c>
      <c r="ER48">
        <f>#REF!+"vlM!$Vh"</f>
        <v/>
      </c>
      <c r="ES48">
        <f>#REF!+"vlM!$Vi"</f>
        <v/>
      </c>
      <c r="ET48">
        <f>#REF!+"vlM!$Vj"</f>
        <v/>
      </c>
      <c r="EU48">
        <f>#REF!+"vlM!$Vk"</f>
        <v/>
      </c>
      <c r="EV48">
        <f>#REF!+"vlM!$Vl"</f>
        <v/>
      </c>
      <c r="EW48">
        <f>#REF!+"vlM!$Vm"</f>
        <v/>
      </c>
      <c r="EX48">
        <f>#REF!+"vlM!$Vn"</f>
        <v/>
      </c>
      <c r="EY48">
        <f>#REF!+"vlM!$Vo"</f>
        <v/>
      </c>
      <c r="EZ48">
        <f>#REF!+"vlM!$Vp"</f>
        <v/>
      </c>
      <c r="FA48">
        <f>#REF!+"vlM!$Vq"</f>
        <v/>
      </c>
      <c r="FB48">
        <f>#REF!+"vlM!$Vr"</f>
        <v/>
      </c>
      <c r="FC48">
        <f>#REF!+"vlM!$Vs"</f>
        <v/>
      </c>
      <c r="FD48">
        <f>#REF!+"vlM!$Vt"</f>
        <v/>
      </c>
      <c r="FE48">
        <f>#REF!+"vlM!$Vu"</f>
        <v/>
      </c>
      <c r="FF48">
        <f>#REF!+"vlM!$Vv"</f>
        <v/>
      </c>
      <c r="FG48">
        <f>#REF!+"vlM!$Vw"</f>
        <v/>
      </c>
      <c r="FH48">
        <f>#REF!+"vlM!$Vx"</f>
        <v/>
      </c>
      <c r="FI48">
        <f>Inputs!2:2-"vlM!$Vy"</f>
        <v/>
      </c>
      <c r="FJ48">
        <f>Inputs!#REF!-"vlM!$Vz"</f>
        <v/>
      </c>
      <c r="FK48">
        <f>Inputs!#REF!+"vlM!$V{"</f>
        <v/>
      </c>
      <c r="FL48">
        <f>Inputs!#REF!+"vlM!$V|"</f>
        <v/>
      </c>
      <c r="FM48">
        <f>Inputs!B5+"vlM!$V}"</f>
        <v/>
      </c>
      <c r="FN48" s="16">
        <f>Inputs!C5+"vlM!$V~"</f>
        <v/>
      </c>
      <c r="FO48">
        <f>#REF!-"vlM!$W%"</f>
        <v/>
      </c>
      <c r="FP48">
        <f>#REF!-"vlM!$W&amp;"</f>
        <v/>
      </c>
      <c r="FQ48">
        <f>#REF!+"vlM!$W'"</f>
        <v/>
      </c>
      <c r="FR48">
        <f>#REF!*"vlM!$W("</f>
        <v/>
      </c>
      <c r="FS48">
        <f>#REF!*"vlM!$W)"</f>
        <v/>
      </c>
      <c r="FT48">
        <f>#REF!*"vlM!$W."</f>
        <v/>
      </c>
      <c r="FU48">
        <f>#REF!*"vlM!$W/"</f>
        <v/>
      </c>
      <c r="FV48">
        <f>#REF!*"vlM!$W0"</f>
        <v/>
      </c>
      <c r="FW48">
        <f>#REF!*"vlM!$W1"</f>
        <v/>
      </c>
      <c r="FX48">
        <f>#REF!*"vlM!$W2"</f>
        <v/>
      </c>
      <c r="FY48">
        <f>#REF!*"vlM!$W3"</f>
        <v/>
      </c>
      <c r="FZ48">
        <f>#REF!*"vlM!$W4"</f>
        <v/>
      </c>
      <c r="GA48">
        <f>#REF!*"vlM!$W5"</f>
        <v/>
      </c>
      <c r="GB48">
        <f>#REF!*"vlM!$W6"</f>
        <v/>
      </c>
      <c r="GC48">
        <f>#REF!*"vlM!$W7"</f>
        <v/>
      </c>
      <c r="GD48">
        <f>#REF!*"vlM!$W8"</f>
        <v/>
      </c>
      <c r="GE48">
        <f>#REF!*"vlM!$W9"</f>
        <v/>
      </c>
      <c r="GF48">
        <f>#REF!*"vlM!$W:"</f>
        <v/>
      </c>
      <c r="GG48">
        <f>#REF!*"vlM!$W;"</f>
        <v/>
      </c>
      <c r="GH48">
        <f>#REF!*"vlM!$W&lt;"</f>
        <v/>
      </c>
      <c r="GI48">
        <f>#REF!*"vlM!$W="</f>
        <v/>
      </c>
      <c r="GJ48">
        <f>#REF!*"vlM!$W&gt;"</f>
        <v/>
      </c>
      <c r="GK48">
        <f>#REF!*"vlM!$W?"</f>
        <v/>
      </c>
      <c r="GL48">
        <f>#REF!*"vlM!$W@"</f>
        <v/>
      </c>
      <c r="GM48">
        <f>#REF!*"vlM!$WA"</f>
        <v/>
      </c>
      <c r="GN48">
        <f>#REF!*"vlM!$WB"</f>
        <v/>
      </c>
      <c r="GO48">
        <f>#REF!*"vlM!$WC"</f>
        <v/>
      </c>
      <c r="GP48">
        <f>#REF!*"vlM!$WD"</f>
        <v/>
      </c>
      <c r="GQ48">
        <f>#REF!*"vlM!$WE"</f>
        <v/>
      </c>
      <c r="GR48">
        <f>#REF!*"vlM!$WF"</f>
        <v/>
      </c>
      <c r="GS48">
        <f>#REF!*"vlM!$WG"</f>
        <v/>
      </c>
      <c r="GT48">
        <f>#REF!*"vlM!$WH"</f>
        <v/>
      </c>
      <c r="GU48">
        <f>#REF!*"vlM!$WI"</f>
        <v/>
      </c>
      <c r="GV48">
        <f>#REF!*"vlM!$WJ"</f>
        <v/>
      </c>
      <c r="GW48">
        <f>#REF!*"vlM!$WK"</f>
        <v/>
      </c>
      <c r="GX48">
        <f>#REF!*"vlM!$WL"</f>
        <v/>
      </c>
      <c r="GY48">
        <f>#REF!*"vlM!$WM"</f>
        <v/>
      </c>
      <c r="GZ48">
        <f>#REF!*"vlM!$WN"</f>
        <v/>
      </c>
      <c r="HA48">
        <f>#REF!*"vlM!$WO"</f>
        <v/>
      </c>
      <c r="HB48">
        <f>#REF!*"vlM!$WP"</f>
        <v/>
      </c>
      <c r="HC48">
        <f>#REF!*"vlM!$WQ"</f>
        <v/>
      </c>
      <c r="HD48">
        <f>#REF!*"vlM!$WR"</f>
        <v/>
      </c>
      <c r="HE48">
        <f>#REF!*"vlM!$WS"</f>
        <v/>
      </c>
      <c r="HF48">
        <f>#REF!*"vlM!$WT"</f>
        <v/>
      </c>
      <c r="HG48">
        <f>#REF!*"vlM!$WU"</f>
        <v/>
      </c>
      <c r="HH48">
        <f>#REF!*"vlM!$WV"</f>
        <v/>
      </c>
      <c r="HI48">
        <f>#REF!*"vlM!$WW"</f>
        <v/>
      </c>
      <c r="HJ48">
        <f>#REF!*"vlM!$WX"</f>
        <v/>
      </c>
      <c r="HK48">
        <f>#REF!*"vlM!$WY"</f>
        <v/>
      </c>
      <c r="HL48">
        <f>#REF!*"vlM!$WZ"</f>
        <v/>
      </c>
      <c r="HM48">
        <f>#REF!*"vlM!$W["</f>
        <v/>
      </c>
      <c r="HN48">
        <f>#REF!*"vlM!$W\"</f>
        <v/>
      </c>
      <c r="HO48">
        <f>#REF!*"vlM!$W]"</f>
        <v/>
      </c>
      <c r="HP48">
        <f>#REF!*"vlM!$W^"</f>
        <v/>
      </c>
      <c r="HQ48">
        <f>#REF!*"vlM!$W_"</f>
        <v/>
      </c>
      <c r="HR48">
        <f>#REF!*"vlM!$W`"</f>
        <v/>
      </c>
      <c r="HS48">
        <f>#REF!*"vlM!$Wa"</f>
        <v/>
      </c>
      <c r="HT48">
        <f>#REF!*"vlM!$Wb"</f>
        <v/>
      </c>
      <c r="HU48">
        <f>#REF!*"vlM!$Wc"</f>
        <v/>
      </c>
      <c r="HV48">
        <f>#REF!*"vlM!$Wd"</f>
        <v/>
      </c>
      <c r="HW48">
        <f>#REF!-"vlM!$We"</f>
        <v/>
      </c>
      <c r="HX48">
        <f>#REF!-"vlM!$Wf"</f>
        <v/>
      </c>
      <c r="HY48">
        <f>#REF!-"vlM!$Wg"</f>
        <v/>
      </c>
      <c r="HZ48">
        <f>#REF!-"vlM!$Wh"</f>
        <v/>
      </c>
      <c r="IA48">
        <f>#REF!-"vlM!$Wi"</f>
        <v/>
      </c>
      <c r="IB48">
        <f>#REF!-"vlM!$Wj"</f>
        <v/>
      </c>
      <c r="IC48">
        <f>#REF!-"vlM!$Wk"</f>
        <v/>
      </c>
      <c r="ID48">
        <f>#REF!-"vlM!$Wl"</f>
        <v/>
      </c>
      <c r="IE48">
        <f>#REF!-"vlM!$Wm"</f>
        <v/>
      </c>
      <c r="IF48">
        <f>#REF!-"vlM!$Wn"</f>
        <v/>
      </c>
      <c r="IG48">
        <f>#REF!-"vlM!$Wo"</f>
        <v/>
      </c>
      <c r="IH48">
        <f>#REF!-"vlM!$Wp"</f>
        <v/>
      </c>
      <c r="II48">
        <f>#REF!-"vlM!$Wq"</f>
        <v/>
      </c>
      <c r="IJ48">
        <f>#REF!-"vlM!$Wr"</f>
        <v/>
      </c>
      <c r="IK48">
        <f>#REF!-"vlM!$Ws"</f>
        <v/>
      </c>
      <c r="IL48">
        <f>#REF!-"vlM!$Wt"</f>
        <v/>
      </c>
      <c r="IM48">
        <f>#REF!-"vlM!$Wu"</f>
        <v/>
      </c>
      <c r="IN48">
        <f>#REF!-"vlM!$Wv"</f>
        <v/>
      </c>
      <c r="IO48">
        <f>#REF!-"vlM!$Ww"</f>
        <v/>
      </c>
      <c r="IP48">
        <f>#REF!-"vlM!$Wx"</f>
        <v/>
      </c>
      <c r="IQ48">
        <f>#REF!-"vlM!$Wy"</f>
        <v/>
      </c>
      <c r="IR48">
        <f>#REF!-"vlM!$Wz"</f>
        <v/>
      </c>
      <c r="IS48">
        <f>#REF!-"vlM!$W{"</f>
        <v/>
      </c>
      <c r="IT48">
        <f>#REF!-"vlM!$W|"</f>
        <v/>
      </c>
      <c r="IU48">
        <f>#REF!-"vlM!$W}"</f>
        <v/>
      </c>
      <c r="IV48">
        <f>#REF!-"vlM!$W~"</f>
        <v/>
      </c>
    </row>
    <row r="49">
      <c r="F49">
        <f>#REF!-"vlM!$X#"</f>
        <v/>
      </c>
      <c r="G49">
        <f>#REF!-"vlM!$X$"</f>
        <v/>
      </c>
      <c r="H49">
        <f>#REF!-"vlM!$X%"</f>
        <v/>
      </c>
      <c r="I49">
        <f>#REF!-"vlM!$X&amp;"</f>
        <v/>
      </c>
      <c r="J49">
        <f>#REF!-"vlM!$X'"</f>
        <v/>
      </c>
      <c r="K49">
        <f>#REF!-"vlM!$X("</f>
        <v/>
      </c>
      <c r="L49">
        <f>#REF!-"vlM!$X)"</f>
        <v/>
      </c>
      <c r="M49">
        <f>#REF!-"vlM!$X."</f>
        <v/>
      </c>
      <c r="N49">
        <f>#REF!-"vlM!$X/"</f>
        <v/>
      </c>
      <c r="O49">
        <f>#REF!-"vlM!$X0"</f>
        <v/>
      </c>
      <c r="P49">
        <f>#REF!-"vlM!$X1"</f>
        <v/>
      </c>
      <c r="Q49">
        <f>#REF!-"vlM!$X2"</f>
        <v/>
      </c>
      <c r="R49">
        <f>#REF!-"vlM!$X3"</f>
        <v/>
      </c>
      <c r="S49">
        <f>#REF!-"vlM!$X4"</f>
        <v/>
      </c>
      <c r="T49">
        <f>#REF!-"vlM!$X5"</f>
        <v/>
      </c>
      <c r="U49">
        <f>#REF!-"vlM!$X6"</f>
        <v/>
      </c>
      <c r="V49">
        <f>#REF!-"vlM!$X7"</f>
        <v/>
      </c>
      <c r="W49">
        <f>#REF!-"vlM!$X8"</f>
        <v/>
      </c>
      <c r="X49">
        <f>#REF!-"vlM!$X9"</f>
        <v/>
      </c>
      <c r="Y49">
        <f>#REF!-"vlM!$X:"</f>
        <v/>
      </c>
      <c r="Z49">
        <f>#REF!-"vlM!$X;"</f>
        <v/>
      </c>
      <c r="AA49">
        <f>#REF!-"vlM!$X&lt;"</f>
        <v/>
      </c>
      <c r="AB49">
        <f>#REF!-"vlM!$X="</f>
        <v/>
      </c>
      <c r="AC49">
        <f>#REF!-"vlM!$X&gt;"</f>
        <v/>
      </c>
      <c r="AD49">
        <f>#REF!-"vlM!$X?"</f>
        <v/>
      </c>
      <c r="AE49">
        <f>#REF!-"vlM!$X@"</f>
        <v/>
      </c>
      <c r="AF49">
        <f>#REF!-"vlM!$XA"</f>
        <v/>
      </c>
      <c r="AG49">
        <f>#REF!-"vlM!$XB"</f>
        <v/>
      </c>
      <c r="AH49">
        <f>#REF!-"vlM!$XC"</f>
        <v/>
      </c>
      <c r="AI49">
        <f>#REF!-"vlM!$XD"</f>
        <v/>
      </c>
      <c r="AJ49">
        <f>#REF!-"vlM!$XE"</f>
        <v/>
      </c>
      <c r="AK49">
        <f>#REF!-"vlM!$XF"</f>
        <v/>
      </c>
      <c r="AL49">
        <f>#REF!-"vlM!$XG"</f>
        <v/>
      </c>
      <c r="AM49">
        <f>#REF!-"vlM!$XH"</f>
        <v/>
      </c>
      <c r="AN49">
        <f>#REF!-"vlM!$XI"</f>
        <v/>
      </c>
      <c r="AO49">
        <f>#REF!-"vlM!$XJ"</f>
        <v/>
      </c>
      <c r="AP49">
        <f>#REF!-"vlM!$XK"</f>
        <v/>
      </c>
      <c r="AQ49">
        <f>#REF!-"vlM!$XL"</f>
        <v/>
      </c>
      <c r="AR49">
        <f>#REF!-"vlM!$XM"</f>
        <v/>
      </c>
      <c r="AS49">
        <f>#REF!-"vlM!$XN"</f>
        <v/>
      </c>
      <c r="AT49">
        <f>#REF!-"vlM!$XO"</f>
        <v/>
      </c>
      <c r="AU49">
        <f>#REF!-"vlM!$XP"</f>
        <v/>
      </c>
      <c r="AV49">
        <f>#REF!-"vlM!$XQ"</f>
        <v/>
      </c>
      <c r="AW49">
        <f>#REF!-"vlM!$XR"</f>
        <v/>
      </c>
      <c r="AX49">
        <f>#REF!-"vlM!$XS"</f>
        <v/>
      </c>
      <c r="AY49">
        <f>#REF!-"vlM!$XT"</f>
        <v/>
      </c>
      <c r="AZ49">
        <f>#REF!-"vlM!$XU"</f>
        <v/>
      </c>
      <c r="BA49">
        <f>#REF!-"vlM!$XV"</f>
        <v/>
      </c>
      <c r="BB49">
        <f>#REF!-"vlM!$XW"</f>
        <v/>
      </c>
      <c r="BC49">
        <f>#REF!-"vlM!$XX"</f>
        <v/>
      </c>
      <c r="BD49">
        <f>#REF!-"vlM!$XY"</f>
        <v/>
      </c>
      <c r="BE49">
        <f>#REF!-"vlM!$XZ"</f>
        <v/>
      </c>
      <c r="BF49">
        <f>#REF!-"vlM!$X["</f>
        <v/>
      </c>
      <c r="BG49">
        <f>#REF!-"vlM!$X\"</f>
        <v/>
      </c>
      <c r="BH49">
        <f>#REF!-"vlM!$X]"</f>
        <v/>
      </c>
      <c r="BI49">
        <f>#REF!-"vlM!$X^"</f>
        <v/>
      </c>
      <c r="BJ49">
        <f>#REF!-"vlM!$X_"</f>
        <v/>
      </c>
      <c r="BK49">
        <f>#REF!-"vlM!$X`"</f>
        <v/>
      </c>
      <c r="BL49">
        <f>#REF!-"vlM!$Xa"</f>
        <v/>
      </c>
      <c r="BM49">
        <f>#REF!-"vlM!$Xb"</f>
        <v/>
      </c>
      <c r="BN49">
        <f>#REF!-"vlM!$Xc"</f>
        <v/>
      </c>
      <c r="BO49">
        <f>#REF!-"vlM!$Xd"</f>
        <v/>
      </c>
      <c r="BP49">
        <f>#REF!-"vlM!$Xe"</f>
        <v/>
      </c>
      <c r="BQ49">
        <f>#REF!-"vlM!$Xf"</f>
        <v/>
      </c>
      <c r="BR49">
        <f>#REF!-"vlM!$Xg"</f>
        <v/>
      </c>
      <c r="BS49">
        <f>#REF!-"vlM!$Xh"</f>
        <v/>
      </c>
      <c r="BT49">
        <f>#REF!-"vlM!$Xi"</f>
        <v/>
      </c>
      <c r="BU49">
        <f>#REF!-"vlM!$Xj"</f>
        <v/>
      </c>
      <c r="BV49">
        <f>#REF!-"vlM!$Xk"</f>
        <v/>
      </c>
      <c r="BW49">
        <f>#REF!-"vlM!$Xl"</f>
        <v/>
      </c>
      <c r="BX49">
        <f>#REF!-"vlM!$Xm"</f>
        <v/>
      </c>
      <c r="BY49">
        <f>#REF!-"vlM!$Xn"</f>
        <v/>
      </c>
      <c r="BZ49">
        <f>#REF!-"vlM!$Xo"</f>
        <v/>
      </c>
      <c r="CA49">
        <f>#REF!-"vlM!$Xp"</f>
        <v/>
      </c>
      <c r="CB49">
        <f>#REF!-"vlM!$Xq"</f>
        <v/>
      </c>
      <c r="CC49">
        <f>#REF!-"vlM!$Xr"</f>
        <v/>
      </c>
      <c r="CD49">
        <f>#REF!-"vlM!$Xs"</f>
        <v/>
      </c>
      <c r="CE49">
        <f>#REF!-"vlM!$Xt"</f>
        <v/>
      </c>
      <c r="CF49">
        <f>#REF!-"vlM!$Xu"</f>
        <v/>
      </c>
      <c r="CG49">
        <f>#REF!-"vlM!$Xv"</f>
        <v/>
      </c>
      <c r="CH49">
        <f>#REF!-"vlM!$Xw"</f>
        <v/>
      </c>
      <c r="CI49">
        <f>#REF!-"vlM!$Xx"</f>
        <v/>
      </c>
      <c r="CJ49">
        <f>#REF!-"vlM!$Xy"</f>
        <v/>
      </c>
      <c r="CK49">
        <f>#REF!-"vlM!$Xz"</f>
        <v/>
      </c>
      <c r="CL49">
        <f>#REF!-"vlM!$X{"</f>
        <v/>
      </c>
      <c r="CM49">
        <f>#REF!-"vlM!$X|"</f>
        <v/>
      </c>
      <c r="CN49">
        <f>#REF!-"vlM!$X}"</f>
        <v/>
      </c>
      <c r="CO49">
        <f>#REF!-"vlM!$X~"</f>
        <v/>
      </c>
      <c r="CP49">
        <f>#REF!-"vlM!$Y#"</f>
        <v/>
      </c>
      <c r="CQ49">
        <f>#REF!-"vlM!$Y$"</f>
        <v/>
      </c>
      <c r="CR49">
        <f>#REF!-"vlM!$Y%"</f>
        <v/>
      </c>
      <c r="CS49">
        <f>#REF!-"vlM!$Y&amp;"</f>
        <v/>
      </c>
      <c r="CT49">
        <f>#REF!-"vlM!$Y'"</f>
        <v/>
      </c>
      <c r="CU49">
        <f>#REF!-"vlM!$Y("</f>
        <v/>
      </c>
      <c r="CV49">
        <f>#REF!-"vlM!$Y)"</f>
        <v/>
      </c>
      <c r="CW49">
        <f>#REF!-"vlM!$Y."</f>
        <v/>
      </c>
      <c r="CX49">
        <f>#REF!-"vlM!$Y/"</f>
        <v/>
      </c>
      <c r="CY49">
        <f>#REF!-"vlM!$Y0"</f>
        <v/>
      </c>
      <c r="CZ49">
        <f>#REF!-"vlM!$Y1"</f>
        <v/>
      </c>
      <c r="DA49">
        <f>#REF!-"vlM!$Y2"</f>
        <v/>
      </c>
      <c r="DB49">
        <f>#REF!-"vlM!$Y3"</f>
        <v/>
      </c>
      <c r="DC49">
        <f>#REF!-"vlM!$Y4"</f>
        <v/>
      </c>
      <c r="DD49">
        <f>#REF!-"vlM!$Y5"</f>
        <v/>
      </c>
      <c r="DE49">
        <f>#REF!-"vlM!$Y6"</f>
        <v/>
      </c>
      <c r="DF49">
        <f>#REF!-"vlM!$Y7"</f>
        <v/>
      </c>
      <c r="DG49">
        <f>#REF!-"vlM!$Y8"</f>
        <v/>
      </c>
      <c r="DH49">
        <f>#REF!-"vlM!$Y9"</f>
        <v/>
      </c>
      <c r="DI49">
        <f>#REF!-"vlM!$Y:"</f>
        <v/>
      </c>
      <c r="DJ49">
        <f>#REF!-"vlM!$Y;"</f>
        <v/>
      </c>
      <c r="DK49">
        <f>#REF!-"vlM!$Y&lt;"</f>
        <v/>
      </c>
      <c r="DL49">
        <f>#REF!-"vlM!$Y="</f>
        <v/>
      </c>
      <c r="DM49">
        <f>#REF!-"vlM!$Y&gt;"</f>
        <v/>
      </c>
      <c r="DN49">
        <f>#REF!-"vlM!$Y?"</f>
        <v/>
      </c>
      <c r="DO49">
        <f>#REF!-"vlM!$Y@"</f>
        <v/>
      </c>
      <c r="DP49">
        <f>#REF!-"vlM!$YA"</f>
        <v/>
      </c>
      <c r="DQ49">
        <f>#REF!-"vlM!$YB"</f>
        <v/>
      </c>
      <c r="DR49">
        <f>#REF!-"vlM!$YC"</f>
        <v/>
      </c>
      <c r="DS49">
        <f>#REF!-"vlM!$YD"</f>
        <v/>
      </c>
      <c r="DT49">
        <f>#REF!-"vlM!$YE"</f>
        <v/>
      </c>
      <c r="DU49">
        <f>#REF!-"vlM!$YF"</f>
        <v/>
      </c>
      <c r="DV49">
        <f>#REF!-"vlM!$YG"</f>
        <v/>
      </c>
      <c r="DW49">
        <f>#REF!-"vlM!$YH"</f>
        <v/>
      </c>
      <c r="DX49">
        <f>#REF!-"vlM!$YI"</f>
        <v/>
      </c>
      <c r="DY49">
        <f>#REF!-"vlM!$YJ"</f>
        <v/>
      </c>
      <c r="DZ49">
        <f>#REF!-"vlM!$YK"</f>
        <v/>
      </c>
      <c r="EA49">
        <f>#REF!-"vlM!$YL"</f>
        <v/>
      </c>
      <c r="EB49">
        <f>#REF!-"vlM!$YM"</f>
        <v/>
      </c>
      <c r="EC49">
        <f>#REF!-"vlM!$YN"</f>
        <v/>
      </c>
      <c r="ED49">
        <f>#REF!-"vlM!$YO"</f>
        <v/>
      </c>
      <c r="EE49">
        <f>#REF!-"vlM!$YP"</f>
        <v/>
      </c>
      <c r="EF49">
        <f>#REF!-"vlM!$YQ"</f>
        <v/>
      </c>
      <c r="EG49">
        <f>#REF!-"vlM!$YR"</f>
        <v/>
      </c>
      <c r="EH49">
        <f>#REF!-"vlM!$YS"</f>
        <v/>
      </c>
      <c r="EI49">
        <f>#REF!-"vlM!$YT"</f>
        <v/>
      </c>
      <c r="EJ49">
        <f>#REF!-"vlM!$YU"</f>
        <v/>
      </c>
      <c r="EK49">
        <f>#REF!-"vlM!$YV"</f>
        <v/>
      </c>
      <c r="EL49">
        <f>#REF!-"vlM!$YW"</f>
        <v/>
      </c>
      <c r="EM49">
        <f>#REF!-"vlM!$YX"</f>
        <v/>
      </c>
      <c r="EN49">
        <f>#REF!-"vlM!$YY"</f>
        <v/>
      </c>
      <c r="EO49">
        <f>#REF!-"vlM!$YZ"</f>
        <v/>
      </c>
      <c r="EP49">
        <f>#REF!-"vlM!$Y["</f>
        <v/>
      </c>
      <c r="EQ49">
        <f>#REF!-"vlM!$Y\"</f>
        <v/>
      </c>
      <c r="ER49">
        <f>#REF!-"vlM!$Y]"</f>
        <v/>
      </c>
      <c r="ES49">
        <f>#REF!-"vlM!$Y^"</f>
        <v/>
      </c>
      <c r="ET49">
        <f>#REF!-"vlM!$Y_"</f>
        <v/>
      </c>
      <c r="EU49">
        <f>#REF!-"vlM!$Y`"</f>
        <v/>
      </c>
      <c r="EV49">
        <f>#REF!-"vlM!$Ya"</f>
        <v/>
      </c>
      <c r="EW49">
        <f>#REF!-"vlM!$Yb"</f>
        <v/>
      </c>
      <c r="EX49">
        <f>#REF!-"vlM!$Yc"</f>
        <v/>
      </c>
      <c r="EY49">
        <f>#REF!-"vlM!$Yd"</f>
        <v/>
      </c>
      <c r="EZ49">
        <f>#REF!-"vlM!$Ye"</f>
        <v/>
      </c>
      <c r="FA49">
        <f>#REF!-"vlM!$Yf"</f>
        <v/>
      </c>
      <c r="FB49">
        <f>#REF!-"vlM!$Yg"</f>
        <v/>
      </c>
      <c r="FC49">
        <f>#REF!-"vlM!$Yh"</f>
        <v/>
      </c>
      <c r="FD49">
        <f>#REF!-"vlM!$Yi"</f>
        <v/>
      </c>
      <c r="FE49">
        <f>#REF!-"vlM!$Yj"</f>
        <v/>
      </c>
      <c r="FF49">
        <f>#REF!-"vlM!$Yk"</f>
        <v/>
      </c>
      <c r="FG49">
        <f>#REF!-"vlM!$Yl"</f>
        <v/>
      </c>
      <c r="FH49">
        <f>#REF!-"vlM!$Ym"</f>
        <v/>
      </c>
      <c r="FI49">
        <f>#REF!-"vlM!$Yn"</f>
        <v/>
      </c>
      <c r="FJ49">
        <f>#REF!-"vlM!$Yo"</f>
        <v/>
      </c>
      <c r="FK49">
        <f>#REF!-"vlM!$Yp"</f>
        <v/>
      </c>
      <c r="FL49">
        <f>#REF!-"vlM!$Yq"</f>
        <v/>
      </c>
      <c r="FM49">
        <f>#REF!-"vlM!$Yr"</f>
        <v/>
      </c>
      <c r="FN49">
        <f>#REF!-"vlM!$Ys"</f>
        <v/>
      </c>
      <c r="FO49">
        <f>#REF!-"vlM!$Yt"</f>
        <v/>
      </c>
      <c r="FP49">
        <f>#REF!-"vlM!$Yu"</f>
        <v/>
      </c>
      <c r="FQ49">
        <f>#REF!-"vlM!$Yv"</f>
        <v/>
      </c>
      <c r="FR49">
        <f>#REF!-"vlM!$Yw"</f>
        <v/>
      </c>
      <c r="FS49">
        <f>#REF!-"vlM!$Yx"</f>
        <v/>
      </c>
      <c r="FT49">
        <f>#REF!-"vlM!$Yy"</f>
        <v/>
      </c>
      <c r="FU49">
        <f>#REF!-"vlM!$Yz"</f>
        <v/>
      </c>
      <c r="FV49">
        <f>#REF!-"vlM!$Y{"</f>
        <v/>
      </c>
      <c r="FW49">
        <f>#REF!-"vlM!$Y|"</f>
        <v/>
      </c>
      <c r="FX49">
        <f>#REF!-"vlM!$Y}"</f>
        <v/>
      </c>
      <c r="FY49">
        <f>#REF!-"vlM!$Y~"</f>
        <v/>
      </c>
      <c r="FZ49">
        <f>#REF!-"vlM!$Z#"</f>
        <v/>
      </c>
      <c r="GA49">
        <f>#REF!-"vlM!$Z$"</f>
        <v/>
      </c>
      <c r="GB49">
        <f>#REF!-"vlM!$Z%"</f>
        <v/>
      </c>
      <c r="GC49">
        <f>#REF!-"vlM!$Z&amp;"</f>
        <v/>
      </c>
      <c r="GD49">
        <f>#REF!-"vlM!$Z'"</f>
        <v/>
      </c>
      <c r="GE49">
        <f>#REF!-"vlM!$Z("</f>
        <v/>
      </c>
      <c r="GF49">
        <f>#REF!-"vlM!$Z)"</f>
        <v/>
      </c>
      <c r="GG49">
        <f>#REF!-"vlM!$Z."</f>
        <v/>
      </c>
      <c r="GH49">
        <f>#REF!-"vlM!$Z/"</f>
        <v/>
      </c>
      <c r="GI49">
        <f>#REF!-"vlM!$Z0"</f>
        <v/>
      </c>
      <c r="GJ49">
        <f>#REF!-"vlM!$Z1"</f>
        <v/>
      </c>
      <c r="GK49">
        <f>#REF!-"vlM!$Z2"</f>
        <v/>
      </c>
      <c r="GL49">
        <f>#REF!-"vlM!$Z3"</f>
        <v/>
      </c>
      <c r="GM49">
        <f>#REF!-"vlM!$Z4"</f>
        <v/>
      </c>
      <c r="GN49">
        <f>#REF!-"vlM!$Z5"</f>
        <v/>
      </c>
      <c r="GO49">
        <f>#REF!-"vlM!$Z6"</f>
        <v/>
      </c>
      <c r="GP49">
        <f>#REF!-"vlM!$Z7"</f>
        <v/>
      </c>
      <c r="GQ49">
        <f>#REF!-"vlM!$Z8"</f>
        <v/>
      </c>
      <c r="GR49">
        <f>#REF!-"vlM!$Z9"</f>
        <v/>
      </c>
      <c r="GS49">
        <f>#REF!-"vlM!$Z:"</f>
        <v/>
      </c>
      <c r="GT49">
        <f>#REF!-"vlM!$Z;"</f>
        <v/>
      </c>
      <c r="GU49">
        <f>#REF!-"vlM!$Z&lt;"</f>
        <v/>
      </c>
      <c r="GV49">
        <f>#REF!-"vlM!$Z="</f>
        <v/>
      </c>
      <c r="GW49">
        <f>#REF!-"vlM!$Z&gt;"</f>
        <v/>
      </c>
      <c r="GX49">
        <f>#REF!-"vlM!$Z?"</f>
        <v/>
      </c>
      <c r="GY49">
        <f>#REF!-"vlM!$Z@"</f>
        <v/>
      </c>
      <c r="GZ49">
        <f>#REF!-"vlM!$ZA"</f>
        <v/>
      </c>
      <c r="HA49">
        <f>#REF!-"vlM!$ZB"</f>
        <v/>
      </c>
      <c r="HB49">
        <f>#REF!-"vlM!$ZC"</f>
        <v/>
      </c>
      <c r="HC49">
        <f>#REF!-"vlM!$ZD"</f>
        <v/>
      </c>
      <c r="HD49">
        <f>#REF!-"vlM!$ZE"</f>
        <v/>
      </c>
      <c r="HE49">
        <f>#REF!-"vlM!$ZF"</f>
        <v/>
      </c>
      <c r="HF49">
        <f>#REF!-"vlM!$ZG"</f>
        <v/>
      </c>
      <c r="HG49">
        <f>#REF!-"vlM!$ZH"</f>
        <v/>
      </c>
      <c r="HH49">
        <f>#REF!-"vlM!$ZI"</f>
        <v/>
      </c>
      <c r="HI49">
        <f>#REF!-"vlM!$ZJ"</f>
        <v/>
      </c>
      <c r="HJ49">
        <f>#REF!-"vlM!$ZK"</f>
        <v/>
      </c>
      <c r="HK49">
        <f>#REF!-"vlM!$ZL"</f>
        <v/>
      </c>
      <c r="HL49">
        <f>#REF!-"vlM!$ZM"</f>
        <v/>
      </c>
      <c r="HM49">
        <f>#REF!-"vlM!$ZN"</f>
        <v/>
      </c>
      <c r="HN49">
        <f>#REF!-"vlM!$ZO"</f>
        <v/>
      </c>
      <c r="HO49">
        <f>#REF!-"vlM!$ZP"</f>
        <v/>
      </c>
      <c r="HP49">
        <f>#REF!-"vlM!$ZQ"</f>
        <v/>
      </c>
      <c r="HQ49">
        <f>#REF!-"vlM!$ZR"</f>
        <v/>
      </c>
      <c r="HR49">
        <f>#REF!-"vlM!$ZS"</f>
        <v/>
      </c>
      <c r="HS49">
        <f>#REF!-"vlM!$ZT"</f>
        <v/>
      </c>
      <c r="HT49">
        <f>#REF!-"vlM!$ZU"</f>
        <v/>
      </c>
      <c r="HU49">
        <f>#REF!-"vlM!$ZV"</f>
        <v/>
      </c>
      <c r="HV49">
        <f>#REF!-"vlM!$ZW"</f>
        <v/>
      </c>
      <c r="HW49">
        <f>#REF!-"vlM!$ZX"</f>
        <v/>
      </c>
      <c r="HX49">
        <f>#REF!-"vlM!$ZY"</f>
        <v/>
      </c>
      <c r="HY49">
        <f>#REF!-"vlM!$ZZ"</f>
        <v/>
      </c>
      <c r="HZ49">
        <f>#REF!-"vlM!$Z["</f>
        <v/>
      </c>
      <c r="IA49">
        <f>#REF!-"vlM!$Z\"</f>
        <v/>
      </c>
      <c r="IB49">
        <f>#REF!-"vlM!$Z]"</f>
        <v/>
      </c>
      <c r="IC49">
        <f>#REF!-"vlM!$Z^"</f>
        <v/>
      </c>
      <c r="ID49">
        <f>#REF!-"vlM!$Z_"</f>
        <v/>
      </c>
      <c r="IE49">
        <f>#REF!-"vlM!$Z`"</f>
        <v/>
      </c>
      <c r="IF49">
        <f>#REF!-"vlM!$Za"</f>
        <v/>
      </c>
      <c r="IG49">
        <f>#REF!-"vlM!$Zb"</f>
        <v/>
      </c>
      <c r="IH49">
        <f>#REF!-"vlM!$Zc"</f>
        <v/>
      </c>
      <c r="II49">
        <f>#REF!-"vlM!$Zd"</f>
        <v/>
      </c>
      <c r="IJ49">
        <f>#REF!-"vlM!$Ze"</f>
        <v/>
      </c>
      <c r="IK49">
        <f>#REF!-"vlM!$Zf"</f>
        <v/>
      </c>
      <c r="IL49">
        <f>#REF!-"vlM!$Zg"</f>
        <v/>
      </c>
      <c r="IM49">
        <f>#REF!-"vlM!$Zh"</f>
        <v/>
      </c>
      <c r="IN49">
        <f>#REF!-"vlM!$Zi"</f>
        <v/>
      </c>
      <c r="IO49">
        <f>#REF!-"vlM!$Zj"</f>
        <v/>
      </c>
      <c r="IP49">
        <f>#REF!-"vlM!$Zk"</f>
        <v/>
      </c>
      <c r="IQ49">
        <f>#REF!-"vlM!$Zl"</f>
        <v/>
      </c>
      <c r="IR49">
        <f>#REF!-"vlM!$Zm"</f>
        <v/>
      </c>
      <c r="IS49">
        <f>#REF!-"vlM!$Zn"</f>
        <v/>
      </c>
      <c r="IT49">
        <f>#REF!-"vlM!$Zo"</f>
        <v/>
      </c>
      <c r="IU49">
        <f>#REF!-"vlM!$Zp"</f>
        <v/>
      </c>
      <c r="IV49">
        <f>#REF!-"vlM!$Zq"</f>
        <v/>
      </c>
    </row>
    <row r="50">
      <c r="F50">
        <f>#REF!-"vlM!$Zr"</f>
        <v/>
      </c>
      <c r="G50">
        <f>#REF!-"vlM!$Zs"</f>
        <v/>
      </c>
      <c r="H50">
        <f>#REF!-"vlM!$Zt"</f>
        <v/>
      </c>
      <c r="I50">
        <f>#REF!-"vlM!$Zu"</f>
        <v/>
      </c>
      <c r="J50">
        <f>#REF!-"vlM!$Zv"</f>
        <v/>
      </c>
      <c r="K50">
        <f>#REF!-"vlM!$Zw"</f>
        <v/>
      </c>
      <c r="L50">
        <f>#REF!-"vlM!$Zx"</f>
        <v/>
      </c>
      <c r="M50">
        <f>#REF!-"vlM!$Zy"</f>
        <v/>
      </c>
      <c r="N50">
        <f>#REF!-"vlM!$Zz"</f>
        <v/>
      </c>
      <c r="O50">
        <f>#REF!-"vlM!$Z{"</f>
        <v/>
      </c>
      <c r="P50">
        <f>#REF!-"vlM!$Z|"</f>
        <v/>
      </c>
      <c r="Q50">
        <f>#REF!-"vlM!$Z}"</f>
        <v/>
      </c>
      <c r="R50">
        <f>#REF!-"vlM!$Z~"</f>
        <v/>
      </c>
      <c r="S50">
        <f>#REF!-"vlM!$[#"</f>
        <v/>
      </c>
      <c r="T50">
        <f>#REF!-"vlM!$[$"</f>
        <v/>
      </c>
      <c r="U50">
        <f>#REF!-"vlM!$[%"</f>
        <v/>
      </c>
      <c r="V50">
        <f>#REF!-"vlM!$[&amp;"</f>
        <v/>
      </c>
      <c r="W50">
        <f>#REF!-"vlM!$['"</f>
        <v/>
      </c>
      <c r="X50">
        <f>#REF!-"vlM!$[("</f>
        <v/>
      </c>
      <c r="Y50">
        <f>#REF!-"vlM!$[)"</f>
        <v/>
      </c>
      <c r="Z50">
        <f>#REF!-"vlM!$[."</f>
        <v/>
      </c>
      <c r="AA50">
        <f>#REF!-"vlM!$[/"</f>
        <v/>
      </c>
      <c r="AB50">
        <f>#REF!-"vlM!$[0"</f>
        <v/>
      </c>
      <c r="AC50">
        <f>#REF!-"vlM!$[1"</f>
        <v/>
      </c>
      <c r="AD50">
        <f>#REF!-"vlM!$[2"</f>
        <v/>
      </c>
      <c r="AE50">
        <f>#REF!-"vlM!$[3"</f>
        <v/>
      </c>
      <c r="AF50">
        <f>#REF!-"vlM!$[4"</f>
        <v/>
      </c>
      <c r="AG50">
        <f>#REF!-"vlM!$[5"</f>
        <v/>
      </c>
      <c r="AH50">
        <f>#REF!-"vlM!$[6"</f>
        <v/>
      </c>
      <c r="AI50">
        <f>#REF!-"vlM!$[7"</f>
        <v/>
      </c>
      <c r="AJ50">
        <f>#REF!-"vlM!$[8"</f>
        <v/>
      </c>
      <c r="AK50">
        <f>#REF!-"vlM!$[9"</f>
        <v/>
      </c>
      <c r="AL50">
        <f>#REF!-"vlM!$[:"</f>
        <v/>
      </c>
      <c r="AM50">
        <f>#REF!-"vlM!$[;"</f>
        <v/>
      </c>
      <c r="AN50">
        <f>#REF!-"vlM!$[&lt;"</f>
        <v/>
      </c>
      <c r="AO50">
        <f>#REF!-"vlM!$[="</f>
        <v/>
      </c>
      <c r="AP50">
        <f>#REF!-"vlM!$[&gt;"</f>
        <v/>
      </c>
      <c r="AQ50">
        <f>#REF!-"vlM!$[?"</f>
        <v/>
      </c>
      <c r="AR50">
        <f>#REF!-"vlM!$[@"</f>
        <v/>
      </c>
      <c r="AS50">
        <f>#REF!-"vlM!$[A"</f>
        <v/>
      </c>
      <c r="AT50">
        <f>#REF!-"vlM!$[B"</f>
        <v/>
      </c>
      <c r="AU50">
        <f>#REF!-"vlM!$[C"</f>
        <v/>
      </c>
      <c r="AV50">
        <f>#REF!-"vlM!$[D"</f>
        <v/>
      </c>
      <c r="AW50">
        <f>#REF!-"vlM!$[E"</f>
        <v/>
      </c>
      <c r="AX50">
        <f>#REF!-"vlM!$[F"</f>
        <v/>
      </c>
      <c r="AY50">
        <f>#REF!-"vlM!$[G"</f>
        <v/>
      </c>
      <c r="AZ50">
        <f>#REF!-"vlM!$[H"</f>
        <v/>
      </c>
      <c r="BA50">
        <f>#REF!-"vlM!$[I"</f>
        <v/>
      </c>
      <c r="BB50">
        <f>#REF!-"vlM!$[J"</f>
        <v/>
      </c>
      <c r="BC50">
        <f>#REF!-"vlM!$[K"</f>
        <v/>
      </c>
      <c r="BD50">
        <f>#REF!-"vlM!$[L"</f>
        <v/>
      </c>
      <c r="BE50">
        <f>#REF!-"vlM!$[M"</f>
        <v/>
      </c>
      <c r="BF50">
        <f>#REF!-"vlM!$[N"</f>
        <v/>
      </c>
      <c r="BG50">
        <f>#REF!-"vlM!$[O"</f>
        <v/>
      </c>
      <c r="BH50">
        <f>#REF!-"vlM!$[P"</f>
        <v/>
      </c>
      <c r="BI50">
        <f>#REF!-"vlM!$[Q"</f>
        <v/>
      </c>
      <c r="BJ50">
        <f>#REF!-"vlM!$[R"</f>
        <v/>
      </c>
      <c r="BK50">
        <f>#REF!-"vlM!$[S"</f>
        <v/>
      </c>
      <c r="BL50">
        <f>#REF!-"vlM!$[T"</f>
        <v/>
      </c>
      <c r="BM50">
        <f>#REF!-"vlM!$[U"</f>
        <v/>
      </c>
      <c r="BN50">
        <f>#REF!-"vlM!$[V"</f>
        <v/>
      </c>
      <c r="BO50">
        <f>#REF!-"vlM!$[W"</f>
        <v/>
      </c>
      <c r="BP50">
        <f>#REF!-"vlM!$[X"</f>
        <v/>
      </c>
      <c r="BQ50">
        <f>#REF!-"vlM!$[Y"</f>
        <v/>
      </c>
      <c r="BR50">
        <f>#REF!-"vlM!$[Z"</f>
        <v/>
      </c>
      <c r="BS50">
        <f>#REF!-"vlM!$[["</f>
        <v/>
      </c>
      <c r="BT50">
        <f>#REF!+"vlM!$[\"</f>
        <v/>
      </c>
      <c r="BU50" s="16">
        <f>#REF!+"vlM!$[]"</f>
        <v/>
      </c>
      <c r="BV50" s="16">
        <f>#REF!+"vlM!$[^"</f>
        <v/>
      </c>
      <c r="BW50">
        <f>#REF!+"vlM!$[_"</f>
        <v/>
      </c>
      <c r="BX50" s="16">
        <f>#REF!+"vlM!$[`"</f>
        <v/>
      </c>
      <c r="BY50" s="16">
        <f>#REF!+"vlM!$[a"</f>
        <v/>
      </c>
      <c r="BZ50" s="14">
        <f>#REF!+"vlM!$[b"</f>
        <v/>
      </c>
      <c r="CA50">
        <f>#REF!+"vlM!$[c"</f>
        <v/>
      </c>
      <c r="CB50">
        <f>#REF!+"vlM!$[d"</f>
        <v/>
      </c>
      <c r="CC50">
        <f>#REF!+"vlM!$[e"</f>
        <v/>
      </c>
      <c r="CD50" s="16">
        <f>#REF!+"vlM!$[f"</f>
        <v/>
      </c>
      <c r="CE50" s="16">
        <f>#REF!+"vlM!$[g"</f>
        <v/>
      </c>
      <c r="CF50">
        <f>#REF!+"vlM!$[h"</f>
        <v/>
      </c>
      <c r="CG50">
        <f>#REF!+"vlM!$[i"</f>
        <v/>
      </c>
      <c r="CH50">
        <f>#REF!+"vlM!$[j"</f>
        <v/>
      </c>
      <c r="CI50" s="16">
        <f>#REF!+"vlM!$[k"</f>
        <v/>
      </c>
      <c r="CJ50" s="16">
        <f>#REF!+"vlM!$[l"</f>
        <v/>
      </c>
      <c r="CK50">
        <f>#REF!+"vlM!$[m"</f>
        <v/>
      </c>
      <c r="CL50" s="16">
        <f>#REF!+"vlM!$[n"</f>
        <v/>
      </c>
      <c r="CM50" s="16">
        <f>#REF!+"vlM!$[o"</f>
        <v/>
      </c>
      <c r="CN50">
        <f>#REF!+"vlM!$[p"</f>
        <v/>
      </c>
      <c r="CO50" s="16">
        <f>#REF!+"vlM!$[q"</f>
        <v/>
      </c>
      <c r="CP50" s="16">
        <f>#REF!+"vlM!$[r"</f>
        <v/>
      </c>
      <c r="CQ50">
        <f>#REF!+"vlM!$[s"</f>
        <v/>
      </c>
      <c r="CR50">
        <f>#REF!+"vlM!$[t"</f>
        <v/>
      </c>
      <c r="CS50" s="16">
        <f>#REF!+"vlM!$[u"</f>
        <v/>
      </c>
      <c r="CT50" s="16">
        <f>#REF!+"vlM!$[v"</f>
        <v/>
      </c>
      <c r="CU50">
        <f>#REF!+"vlM!$[w"</f>
        <v/>
      </c>
      <c r="CV50" s="16">
        <f>#REF!+"vlM!$[x"</f>
        <v/>
      </c>
      <c r="CW50" s="16">
        <f>#REF!+"vlM!$[y"</f>
        <v/>
      </c>
      <c r="CX50">
        <f>#REF!+"vlM!$[z"</f>
        <v/>
      </c>
      <c r="CY50" s="16">
        <f>#REF!+"vlM!$[{"</f>
        <v/>
      </c>
      <c r="CZ50" s="16">
        <f>#REF!+"vlM!$[|"</f>
        <v/>
      </c>
      <c r="DA50">
        <f>#REF!+"vlM!$[}"</f>
        <v/>
      </c>
      <c r="DB50" s="16">
        <f>#REF!+"vlM!$[~"</f>
        <v/>
      </c>
      <c r="DC50" s="16">
        <f>#REF!+"vlM!$\#"</f>
        <v/>
      </c>
      <c r="DD50">
        <f>#REF!+"vlM!$\$"</f>
        <v/>
      </c>
      <c r="DE50" s="16">
        <f>#REF!+"vlM!$\%"</f>
        <v/>
      </c>
      <c r="DF50" s="16">
        <f>#REF!+"vlM!$\&amp;"</f>
        <v/>
      </c>
      <c r="DG50">
        <f>#REF!+"vlM!$\'"</f>
        <v/>
      </c>
      <c r="DH50" s="16">
        <f>#REF!+"vlM!$\("</f>
        <v/>
      </c>
      <c r="DI50" s="16">
        <f>#REF!+"vlM!$\)"</f>
        <v/>
      </c>
      <c r="DJ50">
        <f>#REF!+"vlM!$\."</f>
        <v/>
      </c>
      <c r="DK50" s="16">
        <f>#REF!+"vlM!$\/"</f>
        <v/>
      </c>
      <c r="DL50" s="16">
        <f>#REF!+"vlM!$\0"</f>
        <v/>
      </c>
      <c r="DM50">
        <f>#REF!+"vlM!$\1"</f>
        <v/>
      </c>
      <c r="DN50" s="16">
        <f>#REF!+"vlM!$\2"</f>
        <v/>
      </c>
      <c r="DO50" s="16">
        <f>#REF!+"vlM!$\3"</f>
        <v/>
      </c>
      <c r="DP50">
        <f>#REF!+"vlM!$\4"</f>
        <v/>
      </c>
      <c r="DQ50" s="16">
        <f>#REF!+"vlM!$\5"</f>
        <v/>
      </c>
      <c r="DR50" s="16">
        <f>#REF!+"vlM!$\6"</f>
        <v/>
      </c>
      <c r="DS50">
        <f>#REF!+"vlM!$\7"</f>
        <v/>
      </c>
      <c r="DT50" s="16">
        <f>#REF!+"vlM!$\8"</f>
        <v/>
      </c>
      <c r="DU50" s="16">
        <f>#REF!+"vlM!$\9"</f>
        <v/>
      </c>
      <c r="DV50">
        <f>#REF!+"vlM!$\:"</f>
        <v/>
      </c>
      <c r="DW50" s="16">
        <f>#REF!+"vlM!$\;"</f>
        <v/>
      </c>
      <c r="DX50" s="16">
        <f>#REF!+"vlM!$\&lt;"</f>
        <v/>
      </c>
      <c r="DY50">
        <f>#REF!+"vlM!$\="</f>
        <v/>
      </c>
      <c r="DZ50" s="16">
        <f>#REF!+"vlM!$\&gt;"</f>
        <v/>
      </c>
      <c r="EA50" s="16">
        <f>#REF!+"vlM!$\?"</f>
        <v/>
      </c>
      <c r="EB50">
        <f>#REF!+"vlM!$\@"</f>
        <v/>
      </c>
      <c r="EC50" s="16">
        <f>#REF!+"vlM!$\A"</f>
        <v/>
      </c>
      <c r="ED50" s="16">
        <f>#REF!+"vlM!$\B"</f>
        <v/>
      </c>
      <c r="EE50">
        <f>#REF!+"vlM!$\C"</f>
        <v/>
      </c>
      <c r="EF50" s="16">
        <f>#REF!+"vlM!$\D"</f>
        <v/>
      </c>
      <c r="EG50" s="16">
        <f>#REF!+"vlM!$\E"</f>
        <v/>
      </c>
      <c r="EH50">
        <f>#REF!+"vlM!$\F"</f>
        <v/>
      </c>
      <c r="EI50" s="16">
        <f>#REF!+"vlM!$\G"</f>
        <v/>
      </c>
      <c r="EJ50" s="16">
        <f>#REF!+"vlM!$\H"</f>
        <v/>
      </c>
      <c r="EK50">
        <f>#REF!+"vlM!$\I"</f>
        <v/>
      </c>
      <c r="EL50" s="16">
        <f>#REF!+"vlM!$\J"</f>
        <v/>
      </c>
      <c r="EM50" s="16">
        <f>#REF!+"vlM!$\K"</f>
        <v/>
      </c>
      <c r="EN50">
        <f>#REF!+"vlM!$\L"</f>
        <v/>
      </c>
      <c r="EO50" s="16">
        <f>#REF!+"vlM!$\M"</f>
        <v/>
      </c>
      <c r="EP50" s="16">
        <f>#REF!+"vlM!$\N"</f>
        <v/>
      </c>
      <c r="EQ50">
        <f>#REF!+"vlM!$\O"</f>
        <v/>
      </c>
      <c r="ER50" s="16">
        <f>#REF!+"vlM!$\P"</f>
        <v/>
      </c>
      <c r="ES50" s="16">
        <f>#REF!+"vlM!$\Q"</f>
        <v/>
      </c>
      <c r="ET50">
        <f>#REF!+"vlM!$\R"</f>
        <v/>
      </c>
      <c r="EU50" s="16">
        <f>#REF!+"vlM!$\S"</f>
        <v/>
      </c>
      <c r="EV50" s="16">
        <f>#REF!+"vlM!$\T"</f>
        <v/>
      </c>
      <c r="EW50">
        <f>#REF!+"vlM!$\U"</f>
        <v/>
      </c>
      <c r="EX50" s="16">
        <f>#REF!+"vlM!$\V"</f>
        <v/>
      </c>
      <c r="EY50" s="16">
        <f>#REF!+"vlM!$\W"</f>
        <v/>
      </c>
      <c r="EZ50">
        <f>#REF!+"vlM!$\X"</f>
        <v/>
      </c>
      <c r="FA50" s="16">
        <f>#REF!+"vlM!$\Y"</f>
        <v/>
      </c>
      <c r="FB50" s="16">
        <f>#REF!+"vlM!$\Z"</f>
        <v/>
      </c>
      <c r="FC50">
        <f>#REF!+"vlM!$\["</f>
        <v/>
      </c>
      <c r="FD50" s="16">
        <f>#REF!+"vlM!$\\"</f>
        <v/>
      </c>
      <c r="FE50" s="16">
        <f>#REF!+"vlM!$\]"</f>
        <v/>
      </c>
      <c r="FF50">
        <f>#REF!+"vlM!$\^"</f>
        <v/>
      </c>
      <c r="FG50" s="16">
        <f>#REF!+"vlM!$\_"</f>
        <v/>
      </c>
      <c r="FH50" s="16">
        <f>#REF!+"vlM!$\`"</f>
        <v/>
      </c>
      <c r="FI50">
        <f>#REF!+"vlM!$\a"</f>
        <v/>
      </c>
      <c r="FJ50" s="16">
        <f>#REF!+"vlM!$\b"</f>
        <v/>
      </c>
      <c r="FK50" s="16">
        <f>#REF!+"vlM!$\c"</f>
        <v/>
      </c>
      <c r="FL50">
        <f>#REF!+"vlM!$\d"</f>
        <v/>
      </c>
      <c r="FM50" s="16">
        <f>#REF!+"vlM!$\e"</f>
        <v/>
      </c>
      <c r="FN50" s="16">
        <f>#REF!+"vlM!$\f"</f>
        <v/>
      </c>
      <c r="FO50">
        <f>#REF!+"vlM!$\g"</f>
        <v/>
      </c>
      <c r="FP50" s="16">
        <f>#REF!+"vlM!$\h"</f>
        <v/>
      </c>
      <c r="FQ50" s="16">
        <f>#REF!+"vlM!$\i"</f>
        <v/>
      </c>
      <c r="FR50">
        <f>#REF!+"vlM!$\j"</f>
        <v/>
      </c>
      <c r="FS50" s="16">
        <f>#REF!+"vlM!$\k"</f>
        <v/>
      </c>
      <c r="FT50" s="16">
        <f>#REF!+"vlM!$\l"</f>
        <v/>
      </c>
      <c r="FU50">
        <f>#REF!+"vlM!$\m"</f>
        <v/>
      </c>
      <c r="FV50" s="16">
        <f>#REF!+"vlM!$\n"</f>
        <v/>
      </c>
      <c r="FW50" s="16">
        <f>#REF!+"vlM!$\o"</f>
        <v/>
      </c>
      <c r="FX50">
        <f>#REF!+"vlM!$\p"</f>
        <v/>
      </c>
      <c r="FY50" s="16">
        <f>#REF!+"vlM!$\q"</f>
        <v/>
      </c>
      <c r="FZ50" s="16">
        <f>#REF!+"vlM!$\r"</f>
        <v/>
      </c>
      <c r="GA50">
        <f>#REF!+"vlM!$\s"</f>
        <v/>
      </c>
      <c r="GB50" s="16">
        <f>#REF!+"vlM!$\t"</f>
        <v/>
      </c>
      <c r="GC50" s="16">
        <f>#REF!+"vlM!$\u"</f>
        <v/>
      </c>
      <c r="GD50">
        <f>#REF!+"vlM!$\v"</f>
        <v/>
      </c>
      <c r="GE50" s="16">
        <f>#REF!+"vlM!$\w"</f>
        <v/>
      </c>
      <c r="GF50" s="16">
        <f>#REF!+"vlM!$\x"</f>
        <v/>
      </c>
      <c r="GG50">
        <f>#REF!+"vlM!$\y"</f>
        <v/>
      </c>
      <c r="GH50" s="16">
        <f>#REF!+"vlM!$\z"</f>
        <v/>
      </c>
      <c r="GI50" s="16">
        <f>#REF!+"vlM!$\{"</f>
        <v/>
      </c>
      <c r="GJ50">
        <f>#REF!+"vlM!$\|"</f>
        <v/>
      </c>
      <c r="GK50" s="16">
        <f>#REF!+"vlM!$\}"</f>
        <v/>
      </c>
      <c r="GL50" s="16">
        <f>#REF!+"vlM!$\~"</f>
        <v/>
      </c>
      <c r="GM50">
        <f>#REF!+"vlM!$]#"</f>
        <v/>
      </c>
      <c r="GN50" s="16">
        <f>#REF!+"vlM!$]$"</f>
        <v/>
      </c>
      <c r="GO50" s="16">
        <f>#REF!+"vlM!$]%"</f>
        <v/>
      </c>
      <c r="GP50">
        <f>#REF!+"vlM!$]&amp;"</f>
        <v/>
      </c>
      <c r="GQ50" s="16">
        <f>#REF!+"vlM!$]'"</f>
        <v/>
      </c>
      <c r="GR50" s="16">
        <f>#REF!+"vlM!$]("</f>
        <v/>
      </c>
      <c r="GS50">
        <f>#REF!+"vlM!$])"</f>
        <v/>
      </c>
      <c r="GT50" s="16">
        <f>#REF!+"vlM!$]."</f>
        <v/>
      </c>
      <c r="GU50" s="16">
        <f>#REF!+"vlM!$]/"</f>
        <v/>
      </c>
      <c r="GV50">
        <f>#REF!+"vlM!$]0"</f>
        <v/>
      </c>
      <c r="GW50" s="16">
        <f>#REF!+"vlM!$]1"</f>
        <v/>
      </c>
      <c r="GX50" s="16">
        <f>#REF!+"vlM!$]2"</f>
        <v/>
      </c>
      <c r="GY50">
        <f>#REF!+"vlM!$]3"</f>
        <v/>
      </c>
      <c r="GZ50" s="16">
        <f>#REF!+"vlM!$]4"</f>
        <v/>
      </c>
      <c r="HA50" s="16">
        <f>#REF!+"vlM!$]5"</f>
        <v/>
      </c>
      <c r="HB50">
        <f>#REF!+"vlM!$]6"</f>
        <v/>
      </c>
      <c r="HC50" s="16">
        <f>#REF!+"vlM!$]7"</f>
        <v/>
      </c>
      <c r="HD50" s="16">
        <f>#REF!+"vlM!$]8"</f>
        <v/>
      </c>
      <c r="HE50">
        <f>#REF!+"vlM!$]9"</f>
        <v/>
      </c>
      <c r="HF50" s="16">
        <f>#REF!+"vlM!$]:"</f>
        <v/>
      </c>
      <c r="HG50" s="16">
        <f>#REF!+"vlM!$];"</f>
        <v/>
      </c>
      <c r="HH50">
        <f>#REF!+"vlM!$]&lt;"</f>
        <v/>
      </c>
      <c r="HI50" s="16">
        <f>#REF!+"vlM!$]="</f>
        <v/>
      </c>
      <c r="HJ50" s="16">
        <f>#REF!+"vlM!$]&gt;"</f>
        <v/>
      </c>
      <c r="HK50">
        <f>#REF!+"vlM!$]?"</f>
        <v/>
      </c>
      <c r="HL50" s="16">
        <f>#REF!+"vlM!$]@"</f>
        <v/>
      </c>
      <c r="HM50" s="16">
        <f>#REF!+"vlM!$]A"</f>
        <v/>
      </c>
      <c r="HN50">
        <f>#REF!+"vlM!$]B"</f>
        <v/>
      </c>
      <c r="HO50" s="16">
        <f>#REF!+"vlM!$]C"</f>
        <v/>
      </c>
      <c r="HP50" s="16">
        <f>#REF!+"vlM!$]D"</f>
        <v/>
      </c>
      <c r="HQ50">
        <f>#REF!+"vlM!$]E"</f>
        <v/>
      </c>
      <c r="HR50" s="16">
        <f>#REF!+"vlM!$]F"</f>
        <v/>
      </c>
      <c r="HS50" s="16">
        <f>#REF!+"vlM!$]G"</f>
        <v/>
      </c>
      <c r="HT50">
        <f>#REF!+"vlM!$]H"</f>
        <v/>
      </c>
      <c r="HU50" s="16">
        <f>#REF!+"vlM!$]I"</f>
        <v/>
      </c>
      <c r="HV50" s="16">
        <f>#REF!+"vlM!$]J"</f>
        <v/>
      </c>
      <c r="HW50">
        <f>#REF!+"vlM!$]K"</f>
        <v/>
      </c>
      <c r="HX50" s="16">
        <f>#REF!+"vlM!$]L"</f>
        <v/>
      </c>
      <c r="HY50" s="16">
        <f>#REF!+"vlM!$]M"</f>
        <v/>
      </c>
      <c r="HZ50">
        <f>#REF!+"vlM!$]N"</f>
        <v/>
      </c>
      <c r="IA50" s="16">
        <f>#REF!+"vlM!$]O"</f>
        <v/>
      </c>
      <c r="IB50" s="16">
        <f>#REF!+"vlM!$]P"</f>
        <v/>
      </c>
      <c r="IC50">
        <f>#REF!+"vlM!$]Q"</f>
        <v/>
      </c>
      <c r="ID50" s="16">
        <f>#REF!+"vlM!$]R"</f>
        <v/>
      </c>
      <c r="IE50" s="16">
        <f>#REF!+"vlM!$]S"</f>
        <v/>
      </c>
      <c r="IF50">
        <f>#REF!+"vlM!$]T"</f>
        <v/>
      </c>
      <c r="IG50" s="16">
        <f>#REF!+"vlM!$]U"</f>
        <v/>
      </c>
      <c r="IH50" s="16">
        <f>#REF!+"vlM!$]V"</f>
        <v/>
      </c>
      <c r="II50">
        <f>#REF!+"vlM!$]W"</f>
        <v/>
      </c>
      <c r="IJ50" s="16">
        <f>#REF!+"vlM!$]X"</f>
        <v/>
      </c>
      <c r="IK50" s="16">
        <f>#REF!+"vlM!$]Y"</f>
        <v/>
      </c>
      <c r="IL50">
        <f>#REF!+"vlM!$]Z"</f>
        <v/>
      </c>
      <c r="IM50" s="16">
        <f>#REF!+"vlM!$]["</f>
        <v/>
      </c>
      <c r="IN50" s="16">
        <f>#REF!+"vlM!$]\"</f>
        <v/>
      </c>
      <c r="IO50">
        <f>#REF!+"vlM!$]]"</f>
        <v/>
      </c>
      <c r="IP50" s="16">
        <f>#REF!+"vlM!$]^"</f>
        <v/>
      </c>
      <c r="IQ50" s="16">
        <f>#REF!+"vlM!$]_"</f>
        <v/>
      </c>
      <c r="IR50">
        <f>#REF!+"vlM!$]`"</f>
        <v/>
      </c>
      <c r="IS50" s="16">
        <f>#REF!+"vlM!$]a"</f>
        <v/>
      </c>
      <c r="IT50" s="16">
        <f>#REF!+"vlM!$]b"</f>
        <v/>
      </c>
      <c r="IU50">
        <f>#REF!+"vlM!$]c"</f>
        <v/>
      </c>
      <c r="IV50" s="16">
        <f>#REF!+"vlM!$]d"</f>
        <v/>
      </c>
    </row>
    <row r="51">
      <c r="F51" s="16">
        <f>#REF!+"vlM!$]e"</f>
        <v/>
      </c>
      <c r="G51">
        <f>#REF!+"vlM!$]f"</f>
        <v/>
      </c>
      <c r="H51" s="16">
        <f>#REF!+"vlM!$]g"</f>
        <v/>
      </c>
      <c r="I51" s="16">
        <f>#REF!+"vlM!$]h"</f>
        <v/>
      </c>
      <c r="J51">
        <f>#REF!+"vlM!$]i"</f>
        <v/>
      </c>
      <c r="K51" s="16">
        <f>#REF!+"vlM!$]j"</f>
        <v/>
      </c>
      <c r="L51" s="16">
        <f>#REF!+"vlM!$]k"</f>
        <v/>
      </c>
      <c r="M51">
        <f>#REF!+"vlM!$]l"</f>
        <v/>
      </c>
      <c r="N51" s="16">
        <f>#REF!+"vlM!$]m"</f>
        <v/>
      </c>
      <c r="O51" s="16">
        <f>#REF!+"vlM!$]n"</f>
        <v/>
      </c>
      <c r="P51">
        <f>#REF!+"vlM!$]o"</f>
        <v/>
      </c>
      <c r="Q51" s="16">
        <f>#REF!+"vlM!$]p"</f>
        <v/>
      </c>
      <c r="R51" s="16">
        <f>#REF!+"vlM!$]q"</f>
        <v/>
      </c>
      <c r="S51">
        <f>#REF!+"vlM!$]r"</f>
        <v/>
      </c>
      <c r="T51" s="16">
        <f>#REF!+"vlM!$]s"</f>
        <v/>
      </c>
      <c r="U51" s="16">
        <f>#REF!+"vlM!$]t"</f>
        <v/>
      </c>
      <c r="V51">
        <f>#REF!+"vlM!$]u"</f>
        <v/>
      </c>
      <c r="W51" s="16">
        <f>#REF!+"vlM!$]v"</f>
        <v/>
      </c>
      <c r="X51" s="16">
        <f>#REF!+"vlM!$]w"</f>
        <v/>
      </c>
      <c r="Y51">
        <f>#REF!+"vlM!$]x"</f>
        <v/>
      </c>
      <c r="Z51" s="16">
        <f>#REF!+"vlM!$]y"</f>
        <v/>
      </c>
      <c r="AA51" s="16">
        <f>#REF!+"vlM!$]z"</f>
        <v/>
      </c>
      <c r="AB51">
        <f>#REF!+"vlM!$]{"</f>
        <v/>
      </c>
      <c r="AC51" s="16">
        <f>#REF!+"vlM!$]|"</f>
        <v/>
      </c>
      <c r="AD51" s="16">
        <f>#REF!+"vlM!$]}"</f>
        <v/>
      </c>
      <c r="AE51">
        <f>#REF!+"vlM!$]~"</f>
        <v/>
      </c>
      <c r="AF51" s="16">
        <f>#REF!+"vlM!$^#"</f>
        <v/>
      </c>
      <c r="AG51" s="16">
        <f>#REF!+"vlM!$^$"</f>
        <v/>
      </c>
      <c r="AH51">
        <f>#REF!+"vlM!$^%"</f>
        <v/>
      </c>
      <c r="AI51" s="16">
        <f>#REF!+"vlM!$^&amp;"</f>
        <v/>
      </c>
      <c r="AJ51" s="16">
        <f>#REF!+"vlM!$^'"</f>
        <v/>
      </c>
      <c r="AK51">
        <f>#REF!+"vlM!$^("</f>
        <v/>
      </c>
      <c r="AL51" s="16">
        <f>#REF!+"vlM!$^)"</f>
        <v/>
      </c>
      <c r="AM51" s="16">
        <f>#REF!+"vlM!$^."</f>
        <v/>
      </c>
      <c r="AN51">
        <f>#REF!+"vlM!$^/"</f>
        <v/>
      </c>
      <c r="AO51" s="16">
        <f>#REF!+"vlM!$^0"</f>
        <v/>
      </c>
      <c r="AP51" s="16">
        <f>#REF!+"vlM!$^1"</f>
        <v/>
      </c>
      <c r="AQ51">
        <f>#REF!+"vlM!$^2"</f>
        <v/>
      </c>
      <c r="AR51" s="16">
        <f>#REF!+"vlM!$^3"</f>
        <v/>
      </c>
      <c r="AS51" s="16">
        <f>#REF!+"vlM!$^4"</f>
        <v/>
      </c>
      <c r="AT51">
        <f>#REF!+"vlM!$^5"</f>
        <v/>
      </c>
      <c r="AU51" s="16">
        <f>#REF!+"vlM!$^6"</f>
        <v/>
      </c>
      <c r="AV51" s="16">
        <f>#REF!+"vlM!$^7"</f>
        <v/>
      </c>
      <c r="AW51">
        <f>#REF!+"vlM!$^8"</f>
        <v/>
      </c>
      <c r="AX51" s="16">
        <f>#REF!+"vlM!$^9"</f>
        <v/>
      </c>
      <c r="AY51" s="16">
        <f>#REF!+"vlM!$^:"</f>
        <v/>
      </c>
      <c r="AZ51">
        <f>#REF!+"vlM!$^;"</f>
        <v/>
      </c>
      <c r="BA51" s="16">
        <f>#REF!+"vlM!$^&lt;"</f>
        <v/>
      </c>
      <c r="BB51" s="16">
        <f>#REF!+"vlM!$^="</f>
        <v/>
      </c>
      <c r="BC51">
        <f>#REF!+"vlM!$^&gt;"</f>
        <v/>
      </c>
      <c r="BD51" s="16">
        <f>#REF!+"vlM!$^?"</f>
        <v/>
      </c>
      <c r="BE51" s="16">
        <f>#REF!+"vlM!$^@"</f>
        <v/>
      </c>
      <c r="BF51">
        <f>#REF!+"vlM!$^A"</f>
        <v/>
      </c>
      <c r="BG51" s="16">
        <f>#REF!+"vlM!$^B"</f>
        <v/>
      </c>
      <c r="BH51" s="16">
        <f>#REF!+"vlM!$^C"</f>
        <v/>
      </c>
      <c r="BI51">
        <f>#REF!+"vlM!$^D"</f>
        <v/>
      </c>
      <c r="BJ51" s="16">
        <f>#REF!+"vlM!$^E"</f>
        <v/>
      </c>
      <c r="BK51" s="16">
        <f>#REF!+"vlM!$^F"</f>
        <v/>
      </c>
      <c r="BL51">
        <f>#REF!+"vlM!$^G"</f>
        <v/>
      </c>
      <c r="BM51" s="16">
        <f>#REF!+"vlM!$^H"</f>
        <v/>
      </c>
      <c r="BN51" s="16">
        <f>#REF!+"vlM!$^I"</f>
        <v/>
      </c>
      <c r="BO51">
        <f>#REF!+"vlM!$^J"</f>
        <v/>
      </c>
      <c r="BP51" s="16">
        <f>#REF!+"vlM!$^K"</f>
        <v/>
      </c>
      <c r="BQ51" s="16">
        <f>#REF!+"vlM!$^L"</f>
        <v/>
      </c>
      <c r="BR51">
        <f>#REF!+"vlM!$^M"</f>
        <v/>
      </c>
      <c r="BS51" s="16">
        <f>#REF!+"vlM!$^N"</f>
        <v/>
      </c>
      <c r="BT51" s="16">
        <f>#REF!+"vlM!$^O"</f>
        <v/>
      </c>
      <c r="BU51">
        <f>#REF!+"vlM!$^P"</f>
        <v/>
      </c>
      <c r="BV51" s="16">
        <f>#REF!+"vlM!$^Q"</f>
        <v/>
      </c>
      <c r="BW51" s="16">
        <f>#REF!+"vlM!$^R"</f>
        <v/>
      </c>
      <c r="BX51">
        <f>#REF!+"vlM!$^S"</f>
        <v/>
      </c>
      <c r="BY51" s="16">
        <f>#REF!+"vlM!$^T"</f>
        <v/>
      </c>
      <c r="BZ51" s="16">
        <f>#REF!+"vlM!$^U"</f>
        <v/>
      </c>
      <c r="CA51">
        <f>#REF!+"vlM!$^V"</f>
        <v/>
      </c>
      <c r="CB51" s="16">
        <f>#REF!+"vlM!$^W"</f>
        <v/>
      </c>
      <c r="CC51" s="16">
        <f>#REF!+"vlM!$^X"</f>
        <v/>
      </c>
      <c r="CD51">
        <f>#REF!+"vlM!$^Y"</f>
        <v/>
      </c>
      <c r="CE51" s="16">
        <f>#REF!+"vlM!$^Z"</f>
        <v/>
      </c>
      <c r="CF51" s="16">
        <f>#REF!+"vlM!$^["</f>
        <v/>
      </c>
      <c r="CG51">
        <f>#REF!+"vlM!$^\"</f>
        <v/>
      </c>
      <c r="CH51" s="16">
        <f>#REF!+"vlM!$^]"</f>
        <v/>
      </c>
      <c r="CI51" s="16">
        <f>#REF!+"vlM!$^^"</f>
        <v/>
      </c>
      <c r="CJ51">
        <f>#REF!+"vlM!$^_"</f>
        <v/>
      </c>
      <c r="CK51" s="16">
        <f>#REF!+"vlM!$^`"</f>
        <v/>
      </c>
      <c r="CL51" s="16">
        <f>#REF!+"vlM!$^a"</f>
        <v/>
      </c>
      <c r="CM51">
        <f>#REF!+"vlM!$^b"</f>
        <v/>
      </c>
      <c r="CN51" s="16">
        <f>#REF!+"vlM!$^c"</f>
        <v/>
      </c>
      <c r="CO51" s="16">
        <f>#REF!+"vlM!$^d"</f>
        <v/>
      </c>
      <c r="CP51">
        <f>#REF!+"vlM!$^e"</f>
        <v/>
      </c>
      <c r="CQ51" s="16">
        <f>#REF!+"vlM!$^f"</f>
        <v/>
      </c>
      <c r="CR51" s="16">
        <f>#REF!+"vlM!$^g"</f>
        <v/>
      </c>
      <c r="CS51">
        <f>#REF!+"vlM!$^h"</f>
        <v/>
      </c>
      <c r="CT51" s="16">
        <f>#REF!+"vlM!$^i"</f>
        <v/>
      </c>
      <c r="CU51" s="16">
        <f>#REF!+"vlM!$^j"</f>
        <v/>
      </c>
      <c r="CV51">
        <f>#REF!+"vlM!$^k"</f>
        <v/>
      </c>
      <c r="CW51" s="16">
        <f>#REF!+"vlM!$^l"</f>
        <v/>
      </c>
      <c r="CX51" s="16">
        <f>#REF!+"vlM!$^m"</f>
        <v/>
      </c>
      <c r="CY51">
        <f>#REF!+"vlM!$^n"</f>
        <v/>
      </c>
      <c r="CZ51" s="16">
        <f>#REF!+"vlM!$^o"</f>
        <v/>
      </c>
      <c r="DA51" s="16">
        <f>#REF!+"vlM!$^p"</f>
        <v/>
      </c>
      <c r="DB51">
        <f>#REF!+"vlM!$^q"</f>
        <v/>
      </c>
      <c r="DC51" s="16">
        <f>#REF!+"vlM!$^r"</f>
        <v/>
      </c>
      <c r="DD51" s="16">
        <f>#REF!+"vlM!$^s"</f>
        <v/>
      </c>
      <c r="DE51">
        <f>#REF!+"vlM!$^t"</f>
        <v/>
      </c>
      <c r="DF51" s="16">
        <f>#REF!+"vlM!$^u"</f>
        <v/>
      </c>
      <c r="DG51" s="16">
        <f>#REF!+"vlM!$^v"</f>
        <v/>
      </c>
      <c r="DH51">
        <f>#REF!+"vlM!$^w"</f>
        <v/>
      </c>
      <c r="DI51" s="16">
        <f>#REF!+"vlM!$^x"</f>
        <v/>
      </c>
      <c r="DJ51" s="16">
        <f>#REF!+"vlM!$^y"</f>
        <v/>
      </c>
      <c r="DK51">
        <f>#REF!+"vlM!$^z"</f>
        <v/>
      </c>
      <c r="DL51" s="16">
        <f>#REF!+"vlM!$^{"</f>
        <v/>
      </c>
      <c r="DM51" s="16">
        <f>#REF!+"vlM!$^|"</f>
        <v/>
      </c>
      <c r="DN51">
        <f>#REF!+"vlM!$^}"</f>
        <v/>
      </c>
      <c r="DO51" s="16">
        <f>#REF!+"vlM!$^~"</f>
        <v/>
      </c>
      <c r="DP51" s="16">
        <f>#REF!+"vlM!$_#"</f>
        <v/>
      </c>
      <c r="DQ51">
        <f>#REF!+"vlM!$_$"</f>
        <v/>
      </c>
      <c r="DR51" s="16">
        <f>#REF!+"vlM!$_%"</f>
        <v/>
      </c>
      <c r="DS51" s="16">
        <f>#REF!+"vlM!$_&amp;"</f>
        <v/>
      </c>
      <c r="DT51">
        <f>#REF!+"vlM!$_'"</f>
        <v/>
      </c>
      <c r="DU51" s="16">
        <f>#REF!+"vlM!$_("</f>
        <v/>
      </c>
      <c r="DV51" s="16">
        <f>#REF!+"vlM!$_)"</f>
        <v/>
      </c>
      <c r="DW51">
        <f>#REF!+"vlM!$_."</f>
        <v/>
      </c>
      <c r="DX51" s="16">
        <f>#REF!+"vlM!$_/"</f>
        <v/>
      </c>
      <c r="DY51" s="16">
        <f>#REF!+"vlM!$_0"</f>
        <v/>
      </c>
      <c r="DZ51">
        <f>#REF!+"vlM!$_1"</f>
        <v/>
      </c>
      <c r="EA51" s="16">
        <f>#REF!+"vlM!$_2"</f>
        <v/>
      </c>
      <c r="EB51" s="16">
        <f>#REF!+"vlM!$_3"</f>
        <v/>
      </c>
      <c r="EC51">
        <f>#REF!+"vlM!$_4"</f>
        <v/>
      </c>
      <c r="ED51" s="16">
        <f>#REF!+"vlM!$_5"</f>
        <v/>
      </c>
      <c r="EE51" s="16">
        <f>#REF!+"vlM!$_6"</f>
        <v/>
      </c>
      <c r="EF51">
        <f>#REF!+"vlM!$_7"</f>
        <v/>
      </c>
      <c r="EG51" s="16">
        <f>#REF!+"vlM!$_8"</f>
        <v/>
      </c>
      <c r="EH51" s="16">
        <f>#REF!+"vlM!$_9"</f>
        <v/>
      </c>
      <c r="EI51">
        <f>#REF!+"vlM!$_:"</f>
        <v/>
      </c>
      <c r="EJ51" s="16">
        <f>#REF!+"vlM!$_;"</f>
        <v/>
      </c>
      <c r="EK51" s="16">
        <f>#REF!+"vlM!$_&lt;"</f>
        <v/>
      </c>
      <c r="EL51">
        <f>#REF!+"vlM!$_="</f>
        <v/>
      </c>
      <c r="EM51" s="16">
        <f>#REF!+"vlM!$_&gt;"</f>
        <v/>
      </c>
      <c r="EN51" s="16">
        <f>#REF!+"vlM!$_?"</f>
        <v/>
      </c>
      <c r="EO51">
        <f>#REF!+"vlM!$_@"</f>
        <v/>
      </c>
      <c r="EP51" s="16">
        <f>#REF!+"vlM!$_A"</f>
        <v/>
      </c>
      <c r="EQ51" s="16">
        <f>#REF!+"vlM!$_B"</f>
        <v/>
      </c>
      <c r="ER51">
        <f>#REF!+"vlM!$_C"</f>
        <v/>
      </c>
      <c r="ES51" s="16">
        <f>#REF!+"vlM!$_D"</f>
        <v/>
      </c>
      <c r="ET51" s="16">
        <f>#REF!+"vlM!$_E"</f>
        <v/>
      </c>
      <c r="EU51">
        <f>#REF!+"vlM!$_F"</f>
        <v/>
      </c>
      <c r="EV51" s="16">
        <f>#REF!+"vlM!$_G"</f>
        <v/>
      </c>
      <c r="EW51" s="16">
        <f>#REF!+"vlM!$_H"</f>
        <v/>
      </c>
      <c r="EX51">
        <f>#REF!+"vlM!$_I"</f>
        <v/>
      </c>
      <c r="EY51" s="16">
        <f>#REF!+"vlM!$_J"</f>
        <v/>
      </c>
      <c r="EZ51" s="16">
        <f>#REF!+"vlM!$_K"</f>
        <v/>
      </c>
      <c r="FA51">
        <f>#REF!+"vlM!$_L"</f>
        <v/>
      </c>
      <c r="FB51" s="16">
        <f>#REF!+"vlM!$_M"</f>
        <v/>
      </c>
      <c r="FC51" s="16">
        <f>#REF!+"vlM!$_N"</f>
        <v/>
      </c>
      <c r="FD51">
        <f>#REF!+"vlM!$_O"</f>
        <v/>
      </c>
      <c r="FE51" s="16">
        <f>#REF!+"vlM!$_P"</f>
        <v/>
      </c>
      <c r="FF51" s="16">
        <f>#REF!+"vlM!$_Q"</f>
        <v/>
      </c>
      <c r="FG51">
        <f>#REF!+"vlM!$_R"</f>
        <v/>
      </c>
      <c r="FH51" s="16">
        <f>#REF!+"vlM!$_S"</f>
        <v/>
      </c>
      <c r="FI51" s="16">
        <f>#REF!+"vlM!$_T"</f>
        <v/>
      </c>
      <c r="FJ51">
        <f>#REF!+"vlM!$_U"</f>
        <v/>
      </c>
      <c r="FK51" s="16">
        <f>#REF!+"vlM!$_V"</f>
        <v/>
      </c>
      <c r="FL51" s="16">
        <f>#REF!+"vlM!$_W"</f>
        <v/>
      </c>
      <c r="FM51">
        <f>#REF!+"vlM!$_X"</f>
        <v/>
      </c>
      <c r="FN51" s="16">
        <f>#REF!+"vlM!$_Y"</f>
        <v/>
      </c>
      <c r="FO51" s="16">
        <f>#REF!+"vlM!$_Z"</f>
        <v/>
      </c>
      <c r="FP51">
        <f>#REF!+"vlM!$_["</f>
        <v/>
      </c>
      <c r="FQ51" s="16">
        <f>#REF!+"vlM!$_\"</f>
        <v/>
      </c>
      <c r="FR51" s="16">
        <f>#REF!+"vlM!$_]"</f>
        <v/>
      </c>
      <c r="FS51">
        <f>#REF!+"vlM!$_^"</f>
        <v/>
      </c>
      <c r="FT51" s="16">
        <f>#REF!+"vlM!$__"</f>
        <v/>
      </c>
      <c r="FU51" s="16">
        <f>#REF!+"vlM!$_`"</f>
        <v/>
      </c>
      <c r="FV51">
        <f>#REF!+"vlM!$_a"</f>
        <v/>
      </c>
      <c r="FW51" s="16">
        <f>#REF!+"vlM!$_b"</f>
        <v/>
      </c>
      <c r="FX51" s="16">
        <f>#REF!+"vlM!$_c"</f>
        <v/>
      </c>
      <c r="FY51">
        <f>#REF!+"vlM!$_d"</f>
        <v/>
      </c>
      <c r="FZ51" s="16">
        <f>#REF!+"vlM!$_e"</f>
        <v/>
      </c>
      <c r="GA51" s="16">
        <f>#REF!+"vlM!$_f"</f>
        <v/>
      </c>
      <c r="GB51">
        <f>#REF!+"vlM!$_g"</f>
        <v/>
      </c>
      <c r="GC51" s="16">
        <f>#REF!+"vlM!$_h"</f>
        <v/>
      </c>
      <c r="GD51" s="16">
        <f>#REF!+"vlM!$_i"</f>
        <v/>
      </c>
      <c r="GE51">
        <f>#REF!+"vlM!$_j"</f>
        <v/>
      </c>
      <c r="GF51" s="16">
        <f>#REF!+"vlM!$_k"</f>
        <v/>
      </c>
      <c r="GG51" s="16">
        <f>#REF!+"vlM!$_l"</f>
        <v/>
      </c>
      <c r="GH51">
        <f>#REF!+"vlM!$_m"</f>
        <v/>
      </c>
      <c r="GI51" s="16">
        <f>#REF!+"vlM!$_n"</f>
        <v/>
      </c>
      <c r="GJ51" s="16">
        <f>#REF!+"vlM!$_o"</f>
        <v/>
      </c>
      <c r="GK51">
        <f>#REF!+"vlM!$_p"</f>
        <v/>
      </c>
      <c r="GL51" s="16">
        <f>#REF!+"vlM!$_q"</f>
        <v/>
      </c>
      <c r="GM51" s="16">
        <f>#REF!+"vlM!$_r"</f>
        <v/>
      </c>
      <c r="GN51">
        <f>#REF!+"vlM!$_s"</f>
        <v/>
      </c>
      <c r="GO51" s="16">
        <f>#REF!+"vlM!$_t"</f>
        <v/>
      </c>
      <c r="GP51" s="16">
        <f>#REF!+"vlM!$_u"</f>
        <v/>
      </c>
      <c r="GQ51">
        <f>#REF!+"vlM!$_v"</f>
        <v/>
      </c>
      <c r="GR51" s="16">
        <f>#REF!+"vlM!$_w"</f>
        <v/>
      </c>
      <c r="GS51" s="16">
        <f>#REF!+"vlM!$_x"</f>
        <v/>
      </c>
      <c r="GT51">
        <f>#REF!+"vlM!$_y"</f>
        <v/>
      </c>
      <c r="GU51" s="16">
        <f>#REF!+"vlM!$_z"</f>
        <v/>
      </c>
      <c r="GV51" s="16">
        <f>#REF!+"vlM!$_{"</f>
        <v/>
      </c>
      <c r="GW51">
        <f>#REF!+"vlM!$_|"</f>
        <v/>
      </c>
      <c r="GX51" s="16">
        <f>#REF!+"vlM!$_}"</f>
        <v/>
      </c>
      <c r="GY51" s="16">
        <f>#REF!+"vlM!$_~"</f>
        <v/>
      </c>
      <c r="GZ51">
        <f>#REF!+"vlM!$`#"</f>
        <v/>
      </c>
      <c r="HA51" s="16">
        <f>#REF!+"vlM!$`$"</f>
        <v/>
      </c>
      <c r="HB51" s="16">
        <f>#REF!+"vlM!$`%"</f>
        <v/>
      </c>
      <c r="HC51">
        <f>#REF!+"vlM!$`&amp;"</f>
        <v/>
      </c>
      <c r="HD51" s="16">
        <f>#REF!+"vlM!$`'"</f>
        <v/>
      </c>
      <c r="HE51" s="16">
        <f>#REF!+"vlM!$`("</f>
        <v/>
      </c>
      <c r="HF51">
        <f>#REF!+"vlM!$`)"</f>
        <v/>
      </c>
      <c r="HG51" s="16">
        <f>#REF!+"vlM!$`."</f>
        <v/>
      </c>
      <c r="HH51" s="16">
        <f>#REF!+"vlM!$`/"</f>
        <v/>
      </c>
      <c r="HI51">
        <f>#REF!+"vlM!$`0"</f>
        <v/>
      </c>
      <c r="HJ51" s="16">
        <f>#REF!+"vlM!$`1"</f>
        <v/>
      </c>
      <c r="HK51" s="16">
        <f>#REF!+"vlM!$`2"</f>
        <v/>
      </c>
      <c r="HL51">
        <f>#REF!+"vlM!$`3"</f>
        <v/>
      </c>
      <c r="HM51" s="16">
        <f>#REF!+"vlM!$`4"</f>
        <v/>
      </c>
      <c r="HN51" s="16">
        <f>#REF!+"vlM!$`5"</f>
        <v/>
      </c>
      <c r="HO51">
        <f>#REF!+"vlM!$`6"</f>
        <v/>
      </c>
      <c r="HP51" s="16">
        <f>#REF!+"vlM!$`7"</f>
        <v/>
      </c>
      <c r="HQ51" s="16">
        <f>#REF!+"vlM!$`8"</f>
        <v/>
      </c>
      <c r="HR51">
        <f>#REF!+"vlM!$`9"</f>
        <v/>
      </c>
      <c r="HS51" s="16">
        <f>#REF!+"vlM!$`:"</f>
        <v/>
      </c>
      <c r="HT51" s="16">
        <f>#REF!+"vlM!$`;"</f>
        <v/>
      </c>
      <c r="HU51">
        <f>#REF!+"vlM!$`&lt;"</f>
        <v/>
      </c>
      <c r="HV51" s="16">
        <f>#REF!+"vlM!$`="</f>
        <v/>
      </c>
      <c r="HW51" s="16">
        <f>#REF!+"vlM!$`&gt;"</f>
        <v/>
      </c>
      <c r="HX51">
        <f>#REF!+"vlM!$`?"</f>
        <v/>
      </c>
      <c r="HY51" s="16">
        <f>#REF!+"vlM!$`@"</f>
        <v/>
      </c>
      <c r="HZ51" s="16">
        <f>#REF!+"vlM!$`A"</f>
        <v/>
      </c>
      <c r="IA51">
        <f>#REF!+"vlM!$`B"</f>
        <v/>
      </c>
      <c r="IB51" s="16">
        <f>#REF!+"vlM!$`C"</f>
        <v/>
      </c>
      <c r="IC51" s="16">
        <f>#REF!+"vlM!$`D"</f>
        <v/>
      </c>
      <c r="ID51">
        <f>#REF!+"vlM!$`E"</f>
        <v/>
      </c>
      <c r="IE51" s="16">
        <f>#REF!+"vlM!$`F"</f>
        <v/>
      </c>
      <c r="IF51" s="16">
        <f>#REF!+"vlM!$`G"</f>
        <v/>
      </c>
      <c r="IG51">
        <f>#REF!+"vlM!$`H"</f>
        <v/>
      </c>
      <c r="IH51" s="16">
        <f>#REF!+"vlM!$`I"</f>
        <v/>
      </c>
      <c r="II51" s="16">
        <f>#REF!+"vlM!$`J"</f>
        <v/>
      </c>
      <c r="IJ51">
        <f>#REF!+"vlM!$`K"</f>
        <v/>
      </c>
      <c r="IK51" s="16">
        <f>#REF!+"vlM!$`L"</f>
        <v/>
      </c>
      <c r="IL51" s="16">
        <f>#REF!+"vlM!$`M"</f>
        <v/>
      </c>
      <c r="IM51">
        <f>#REF!+"vlM!$`N"</f>
        <v/>
      </c>
      <c r="IN51" s="16">
        <f>#REF!+"vlM!$`O"</f>
        <v/>
      </c>
      <c r="IO51" s="16">
        <f>#REF!+"vlM!$`P"</f>
        <v/>
      </c>
      <c r="IP51">
        <f>#REF!+"vlM!$`Q"</f>
        <v/>
      </c>
      <c r="IQ51" s="16">
        <f>#REF!+"vlM!$`R"</f>
        <v/>
      </c>
      <c r="IR51" s="16">
        <f>#REF!+"vlM!$`S"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István Tóth</dc:creator>
  <dcterms:created xsi:type="dcterms:W3CDTF">2013-06-10T07:04:38Z</dcterms:created>
  <dcterms:modified xsi:type="dcterms:W3CDTF">2020-04-27T06:57:37Z</dcterms:modified>
  <cp:lastModifiedBy>William Lee</cp:lastModifiedBy>
</cp:coreProperties>
</file>