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lllee\Desktop\"/>
    </mc:Choice>
  </mc:AlternateContent>
  <xr:revisionPtr revIDLastSave="0" documentId="13_ncr:1_{75F58C90-0765-46EB-B85F-ABAC4522FEF2}" xr6:coauthVersionLast="45" xr6:coauthVersionMax="45" xr10:uidLastSave="{00000000-0000-0000-0000-000000000000}"/>
  <bookViews>
    <workbookView xWindow="-120" yWindow="-120" windowWidth="29040" windowHeight="15840" tabRatio="500" firstSheet="3" activeTab="3" xr2:uid="{00000000-000D-0000-FFFF-FFFF00000000}"/>
  </bookViews>
  <sheets>
    <sheet name="PIVOT (Q1)" sheetId="30" r:id="rId1"/>
    <sheet name="Master (Q1)" sheetId="29" r:id="rId2"/>
    <sheet name="Master (Q2)" sheetId="31" r:id="rId3"/>
    <sheet name="New Master (Q2) " sheetId="32" r:id="rId4"/>
    <sheet name="ACAD" sheetId="14" r:id="rId5"/>
    <sheet name="VB" sheetId="19" r:id="rId6"/>
    <sheet name="CONT" sheetId="16" r:id="rId7"/>
    <sheet name="USRP Legacy" sheetId="26" r:id="rId8"/>
    <sheet name="Chassis" sheetId="17" r:id="rId9"/>
    <sheet name="USRP" sheetId="18" r:id="rId10"/>
    <sheet name="VST1" sheetId="21" r:id="rId11"/>
    <sheet name="VST2" sheetId="22" r:id="rId12"/>
    <sheet name="CLB" sheetId="20" r:id="rId13"/>
    <sheet name="STS Frame" sheetId="15" r:id="rId14"/>
    <sheet name="5G SA" sheetId="10" r:id="rId15"/>
    <sheet name="WTS" sheetId="27" r:id="rId16"/>
    <sheet name="RF" sheetId="11" r:id="rId17"/>
    <sheet name="5G STS" sheetId="23" r:id="rId18"/>
    <sheet name="uCkt" sheetId="24" r:id="rId19"/>
    <sheet name="D%$&amp;01_DevSheet" sheetId="5" state="hidden" r:id="rId20"/>
  </sheets>
  <definedNames>
    <definedName name="_xlnm._FilterDatabase" localSheetId="1" hidden="1">'Master (Q1)'!$A$1:$F$670</definedName>
    <definedName name="_xlnm._FilterDatabase" localSheetId="2" hidden="1">'Master (Q2)'!$A$1:$E$1</definedName>
    <definedName name="_xlnm._FilterDatabase" localSheetId="3" hidden="1">'New Master (Q2) '!$A$1:$M$662</definedName>
  </definedNames>
  <calcPr calcId="191028"/>
  <pivotCaches>
    <pivotCache cacheId="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2" i="32" l="1"/>
  <c r="J423" i="32"/>
  <c r="J424" i="32"/>
  <c r="J425" i="32"/>
  <c r="J426" i="32"/>
  <c r="J427" i="32"/>
  <c r="J428" i="32"/>
  <c r="J429" i="32"/>
  <c r="J430" i="32"/>
  <c r="J431" i="32"/>
  <c r="J432" i="32"/>
  <c r="J433" i="32"/>
  <c r="J434" i="32"/>
  <c r="J435" i="32"/>
  <c r="J436" i="32"/>
  <c r="J437" i="32"/>
  <c r="J438" i="32"/>
  <c r="J439" i="32"/>
  <c r="J440" i="32"/>
  <c r="J441" i="32"/>
  <c r="J442" i="32"/>
  <c r="J443" i="32"/>
  <c r="J444" i="32"/>
  <c r="J445" i="32"/>
  <c r="J446" i="32"/>
  <c r="J447" i="32"/>
  <c r="J448" i="32"/>
  <c r="J449" i="32"/>
  <c r="J450" i="32"/>
  <c r="J451" i="32"/>
  <c r="J452" i="32"/>
  <c r="J453" i="32"/>
  <c r="J454" i="32"/>
  <c r="J455" i="32"/>
  <c r="J456" i="32"/>
  <c r="J457" i="32"/>
  <c r="J458" i="32"/>
  <c r="J459" i="32"/>
  <c r="J460" i="32"/>
  <c r="J461" i="32"/>
  <c r="J462" i="32"/>
  <c r="J463" i="32"/>
  <c r="J464" i="32"/>
  <c r="J465" i="32"/>
  <c r="J466" i="32"/>
  <c r="J467" i="32"/>
  <c r="J468" i="32"/>
  <c r="J469" i="32"/>
  <c r="J470" i="32"/>
  <c r="J471" i="32"/>
  <c r="J472" i="32"/>
  <c r="J473" i="32"/>
  <c r="J474" i="32"/>
  <c r="J475" i="32"/>
  <c r="J476" i="32"/>
  <c r="J477" i="32"/>
  <c r="J478" i="32"/>
  <c r="J479" i="32"/>
  <c r="J480" i="32"/>
  <c r="J481" i="32"/>
  <c r="J482" i="32"/>
  <c r="J483" i="32"/>
  <c r="J484" i="32"/>
  <c r="J485" i="32"/>
  <c r="J486" i="32"/>
  <c r="J487" i="32"/>
  <c r="J488" i="32"/>
  <c r="J489" i="32"/>
  <c r="J490" i="32"/>
  <c r="J491" i="32"/>
  <c r="J492" i="32"/>
  <c r="J493" i="32"/>
  <c r="J494" i="32"/>
  <c r="J495" i="32"/>
  <c r="J496" i="32"/>
  <c r="J497" i="32"/>
  <c r="J498" i="32"/>
  <c r="J499" i="32"/>
  <c r="J500" i="32"/>
  <c r="J501" i="32"/>
  <c r="J502" i="32"/>
  <c r="J503" i="32"/>
  <c r="J504" i="32"/>
  <c r="J505" i="32"/>
  <c r="J506" i="32"/>
  <c r="J507" i="32"/>
  <c r="J508" i="32"/>
  <c r="J509" i="32"/>
  <c r="J510" i="32"/>
  <c r="J511" i="32"/>
  <c r="J512" i="32"/>
  <c r="J513" i="32"/>
  <c r="J514" i="32"/>
  <c r="J515" i="32"/>
  <c r="J516" i="32"/>
  <c r="J517" i="32"/>
  <c r="J518" i="32"/>
  <c r="J519" i="32"/>
  <c r="J520" i="32"/>
  <c r="J521" i="32"/>
  <c r="J522" i="32"/>
  <c r="J523" i="32"/>
  <c r="J524" i="32"/>
  <c r="J525" i="32"/>
  <c r="J526" i="32"/>
  <c r="J527" i="32"/>
  <c r="J528" i="32"/>
  <c r="J529" i="32"/>
  <c r="J530" i="32"/>
  <c r="J531" i="32"/>
  <c r="J532" i="32"/>
  <c r="J533" i="32"/>
  <c r="J534" i="32"/>
  <c r="J535" i="32"/>
  <c r="J536" i="32"/>
  <c r="J537" i="32"/>
  <c r="J538" i="32"/>
  <c r="J539" i="32"/>
  <c r="J540" i="32"/>
  <c r="J541" i="32"/>
  <c r="J542" i="32"/>
  <c r="J543" i="32"/>
  <c r="J544" i="32"/>
  <c r="J545" i="32"/>
  <c r="J546" i="32"/>
  <c r="J547" i="32"/>
  <c r="J548" i="32"/>
  <c r="J549" i="32"/>
  <c r="J550" i="32"/>
  <c r="J551" i="32"/>
  <c r="J552" i="32"/>
  <c r="J553" i="32"/>
  <c r="J554" i="32"/>
  <c r="J555" i="32"/>
  <c r="J556" i="32"/>
  <c r="J557" i="32"/>
  <c r="J558" i="32"/>
  <c r="J559" i="32"/>
  <c r="J560" i="32"/>
  <c r="J561" i="32"/>
  <c r="J562" i="32"/>
  <c r="J563" i="32"/>
  <c r="J564" i="32"/>
  <c r="J565" i="32"/>
  <c r="J566" i="32"/>
  <c r="J567" i="32"/>
  <c r="J568" i="32"/>
  <c r="J569" i="32"/>
  <c r="J570" i="32"/>
  <c r="J571" i="32"/>
  <c r="J572" i="32"/>
  <c r="J573" i="32"/>
  <c r="J574" i="32"/>
  <c r="J575" i="32"/>
  <c r="J576" i="32"/>
  <c r="J577" i="32"/>
  <c r="J578" i="32"/>
  <c r="J579" i="32"/>
  <c r="J580" i="32"/>
  <c r="J581" i="32"/>
  <c r="J582" i="32"/>
  <c r="J583" i="32"/>
  <c r="J584" i="32"/>
  <c r="J585" i="32"/>
  <c r="J586" i="32"/>
  <c r="J587" i="32"/>
  <c r="J588" i="32"/>
  <c r="J589" i="32"/>
  <c r="J590" i="32"/>
  <c r="J591" i="32"/>
  <c r="J592" i="32"/>
  <c r="J593" i="32"/>
  <c r="J594" i="32"/>
  <c r="J595" i="32"/>
  <c r="J596" i="32"/>
  <c r="J597" i="32"/>
  <c r="J598" i="32"/>
  <c r="J599" i="32"/>
  <c r="J600" i="32"/>
  <c r="J601" i="32"/>
  <c r="J602" i="32"/>
  <c r="J603" i="32"/>
  <c r="J604" i="32"/>
  <c r="J605" i="32"/>
  <c r="J606" i="32"/>
  <c r="J607" i="32"/>
  <c r="J608" i="32"/>
  <c r="J609" i="32"/>
  <c r="J610" i="32"/>
  <c r="J611" i="32"/>
  <c r="J612" i="32"/>
  <c r="J613" i="32"/>
  <c r="J614" i="32"/>
  <c r="J615" i="32"/>
  <c r="J616" i="32"/>
  <c r="J617" i="32"/>
  <c r="J618" i="32"/>
  <c r="J619" i="32"/>
  <c r="J620" i="32"/>
  <c r="J621" i="32"/>
  <c r="J622" i="32"/>
  <c r="J623" i="32"/>
  <c r="J624" i="32"/>
  <c r="J625" i="32"/>
  <c r="J626" i="32"/>
  <c r="J627" i="32"/>
  <c r="J628" i="32"/>
  <c r="J629" i="32"/>
  <c r="J630" i="32"/>
  <c r="J631" i="32"/>
  <c r="J632" i="32"/>
  <c r="J633" i="32"/>
  <c r="J634" i="32"/>
  <c r="J635" i="32"/>
  <c r="J636" i="32"/>
  <c r="J637" i="32"/>
  <c r="J638" i="32"/>
  <c r="J639" i="32"/>
  <c r="J640" i="32"/>
  <c r="J641" i="32"/>
  <c r="J642" i="32"/>
  <c r="J643" i="32"/>
  <c r="J644" i="32"/>
  <c r="J645" i="32"/>
  <c r="J646" i="32"/>
  <c r="J647" i="32"/>
  <c r="J648" i="32"/>
  <c r="J649" i="32"/>
  <c r="J650" i="32"/>
  <c r="J651" i="32"/>
  <c r="J652" i="32"/>
  <c r="J653" i="32"/>
  <c r="J654" i="32"/>
  <c r="J655" i="32"/>
  <c r="J656" i="32"/>
  <c r="J657" i="32"/>
  <c r="J658" i="32"/>
  <c r="J659" i="32"/>
  <c r="J660" i="32"/>
  <c r="J661" i="32"/>
  <c r="J662" i="32"/>
  <c r="J421" i="32"/>
  <c r="J420" i="32"/>
  <c r="J419" i="32"/>
  <c r="J418" i="32"/>
  <c r="J417" i="32"/>
  <c r="J416" i="32"/>
  <c r="J415" i="32"/>
  <c r="J414" i="32"/>
  <c r="J413" i="32"/>
  <c r="J412" i="32"/>
  <c r="J411" i="32"/>
  <c r="J410" i="32"/>
  <c r="J409" i="32"/>
  <c r="J408" i="32"/>
  <c r="J407" i="32"/>
  <c r="J406" i="32"/>
  <c r="J405" i="32"/>
  <c r="J404" i="32"/>
  <c r="J403" i="32"/>
  <c r="J402" i="32"/>
  <c r="J401" i="32"/>
  <c r="J400" i="32"/>
  <c r="J399" i="32"/>
  <c r="J398" i="32"/>
  <c r="J397" i="32"/>
  <c r="J396" i="32"/>
  <c r="J395" i="32"/>
  <c r="J394" i="32"/>
  <c r="J393" i="32"/>
  <c r="J392" i="32"/>
  <c r="J391" i="32"/>
  <c r="J390" i="32"/>
  <c r="J389" i="32"/>
  <c r="J388" i="32"/>
  <c r="J387" i="32"/>
  <c r="J386" i="32"/>
  <c r="J385" i="32"/>
  <c r="J384" i="32"/>
  <c r="J383" i="32"/>
  <c r="J382" i="32"/>
  <c r="J381" i="32"/>
  <c r="J380" i="32"/>
  <c r="J379" i="32"/>
  <c r="J378" i="32"/>
  <c r="J377" i="32"/>
  <c r="J376" i="32"/>
  <c r="J375" i="32"/>
  <c r="J374" i="32"/>
  <c r="J373" i="32"/>
  <c r="J372" i="32"/>
  <c r="J371" i="32"/>
  <c r="J370" i="32"/>
  <c r="J369" i="32"/>
  <c r="J368" i="32"/>
  <c r="J367" i="32"/>
  <c r="J366" i="32"/>
  <c r="J365" i="32"/>
  <c r="J364" i="32"/>
  <c r="J363" i="32"/>
  <c r="J362" i="32"/>
  <c r="J361" i="32"/>
  <c r="J360" i="32"/>
  <c r="J359" i="32"/>
  <c r="J358" i="32"/>
  <c r="J357" i="32"/>
  <c r="J356" i="32"/>
  <c r="J355" i="32"/>
  <c r="J354" i="32"/>
  <c r="J353" i="32"/>
  <c r="J352" i="32"/>
  <c r="J351" i="32"/>
  <c r="J350" i="32"/>
  <c r="J349" i="32"/>
  <c r="J348" i="32"/>
  <c r="J347" i="32"/>
  <c r="J346" i="32"/>
  <c r="J345" i="32"/>
  <c r="J344" i="32"/>
  <c r="J343" i="32"/>
  <c r="J342" i="32"/>
  <c r="J341" i="32"/>
  <c r="J340" i="32"/>
  <c r="J339" i="32"/>
  <c r="J338" i="32"/>
  <c r="J337" i="32"/>
  <c r="J336" i="32"/>
  <c r="J335" i="32"/>
  <c r="J334" i="32"/>
  <c r="J333" i="32"/>
  <c r="J332" i="32"/>
  <c r="J331" i="32"/>
  <c r="J330" i="32"/>
  <c r="J329" i="32"/>
  <c r="J328" i="32"/>
  <c r="J327" i="32"/>
  <c r="J326" i="32"/>
  <c r="J325" i="32"/>
  <c r="J324" i="32"/>
  <c r="J323" i="32"/>
  <c r="J322" i="32"/>
  <c r="J321" i="32"/>
  <c r="J320" i="32"/>
  <c r="J319" i="32"/>
  <c r="J318" i="32"/>
  <c r="J317" i="32"/>
  <c r="J316" i="32"/>
  <c r="J315" i="32"/>
  <c r="J314" i="32"/>
  <c r="J313" i="32"/>
  <c r="J312" i="32"/>
  <c r="J311" i="32"/>
  <c r="J310" i="32"/>
  <c r="J309" i="32"/>
  <c r="J308" i="32"/>
  <c r="J307" i="32"/>
  <c r="J306" i="32"/>
  <c r="J305" i="32"/>
  <c r="J304" i="32"/>
  <c r="J303" i="32"/>
  <c r="J302" i="32"/>
  <c r="J301" i="32"/>
  <c r="J300" i="32"/>
  <c r="J299" i="32"/>
  <c r="J298" i="32"/>
  <c r="J297" i="32"/>
  <c r="J296" i="32"/>
  <c r="J295" i="32"/>
  <c r="J294" i="32"/>
  <c r="J293" i="32"/>
  <c r="J292" i="32"/>
  <c r="J291" i="32"/>
  <c r="J290" i="32"/>
  <c r="J289" i="32"/>
  <c r="J288" i="32"/>
  <c r="J287" i="32"/>
  <c r="J286" i="32"/>
  <c r="J285" i="32"/>
  <c r="J284" i="32"/>
  <c r="J283" i="32"/>
  <c r="J282" i="32"/>
  <c r="J281" i="32"/>
  <c r="J280" i="32"/>
  <c r="J279" i="32"/>
  <c r="J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J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J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J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J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J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J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IR51" i="5" l="1"/>
  <c r="IQ51" i="5"/>
  <c r="IP51" i="5"/>
  <c r="IO51" i="5"/>
  <c r="IN51" i="5"/>
  <c r="IM51" i="5"/>
  <c r="IL51" i="5"/>
  <c r="IK51" i="5"/>
  <c r="IJ51" i="5"/>
  <c r="II51" i="5"/>
  <c r="IH51" i="5"/>
  <c r="IG51" i="5"/>
  <c r="IF51" i="5"/>
  <c r="IE51" i="5"/>
  <c r="ID51" i="5"/>
  <c r="IC51" i="5"/>
  <c r="IB51" i="5"/>
  <c r="IA51" i="5"/>
  <c r="HZ51" i="5"/>
  <c r="HY51" i="5"/>
  <c r="HX51" i="5"/>
  <c r="HW51" i="5"/>
  <c r="HV51" i="5"/>
  <c r="HU51" i="5"/>
  <c r="HT51" i="5"/>
  <c r="HS51" i="5"/>
  <c r="HR51" i="5"/>
  <c r="HQ51" i="5"/>
  <c r="HP51" i="5"/>
  <c r="HO51" i="5"/>
  <c r="HN51" i="5"/>
  <c r="HM51" i="5"/>
  <c r="HL51" i="5"/>
  <c r="HK51" i="5"/>
  <c r="HJ51" i="5"/>
  <c r="HI51" i="5"/>
  <c r="HH51" i="5"/>
  <c r="HG51" i="5"/>
  <c r="HF51" i="5"/>
  <c r="HE51" i="5"/>
  <c r="HD51" i="5"/>
  <c r="HC51" i="5"/>
  <c r="HB51" i="5"/>
  <c r="HA51" i="5"/>
  <c r="GZ51" i="5"/>
  <c r="GY51" i="5"/>
  <c r="GX51" i="5"/>
  <c r="GW51" i="5"/>
  <c r="GV51" i="5"/>
  <c r="GU51" i="5"/>
  <c r="GT51" i="5"/>
  <c r="GS51" i="5"/>
  <c r="GR51" i="5"/>
  <c r="GQ51" i="5"/>
  <c r="GP51" i="5"/>
  <c r="GO51" i="5"/>
  <c r="GN51" i="5"/>
  <c r="GM51" i="5"/>
  <c r="GL51" i="5"/>
  <c r="GK51" i="5"/>
  <c r="GJ51" i="5"/>
  <c r="GI51" i="5"/>
  <c r="GH51" i="5"/>
  <c r="GG51" i="5"/>
  <c r="GF51" i="5"/>
  <c r="GE51" i="5"/>
  <c r="GD51" i="5"/>
  <c r="GC51" i="5"/>
  <c r="GB51" i="5"/>
  <c r="GA51" i="5"/>
  <c r="FZ51" i="5"/>
  <c r="FY51" i="5"/>
  <c r="FX51" i="5"/>
  <c r="FW51" i="5"/>
  <c r="FV51" i="5"/>
  <c r="FU51" i="5"/>
  <c r="FT51" i="5"/>
  <c r="FS51" i="5"/>
  <c r="FR51" i="5"/>
  <c r="FQ51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IV50" i="5"/>
  <c r="IU50" i="5"/>
  <c r="IT50" i="5"/>
  <c r="IS50" i="5"/>
  <c r="IR50" i="5"/>
  <c r="IQ50" i="5"/>
  <c r="IP50" i="5"/>
  <c r="IO50" i="5"/>
  <c r="IN50" i="5"/>
  <c r="IM50" i="5"/>
  <c r="IL50" i="5"/>
  <c r="IK50" i="5"/>
  <c r="IJ50" i="5"/>
  <c r="II50" i="5"/>
  <c r="IH50" i="5"/>
  <c r="IG50" i="5"/>
  <c r="IF50" i="5"/>
  <c r="IE50" i="5"/>
  <c r="ID50" i="5"/>
  <c r="IC50" i="5"/>
  <c r="IB50" i="5"/>
  <c r="IA50" i="5"/>
  <c r="HZ50" i="5"/>
  <c r="HY50" i="5"/>
  <c r="HX50" i="5"/>
  <c r="HW50" i="5"/>
  <c r="HV50" i="5"/>
  <c r="HU50" i="5"/>
  <c r="HT50" i="5"/>
  <c r="HS50" i="5"/>
  <c r="HR50" i="5"/>
  <c r="HQ50" i="5"/>
  <c r="HP50" i="5"/>
  <c r="HO50" i="5"/>
  <c r="HN50" i="5"/>
  <c r="HM50" i="5"/>
  <c r="HL50" i="5"/>
  <c r="HK50" i="5"/>
  <c r="HJ50" i="5"/>
  <c r="HI50" i="5"/>
  <c r="HH50" i="5"/>
  <c r="HG50" i="5"/>
  <c r="HF50" i="5"/>
  <c r="HE50" i="5"/>
  <c r="HD50" i="5"/>
  <c r="HC50" i="5"/>
  <c r="HB50" i="5"/>
  <c r="HA50" i="5"/>
  <c r="GZ50" i="5"/>
  <c r="GY50" i="5"/>
  <c r="GX50" i="5"/>
  <c r="GW50" i="5"/>
  <c r="GV50" i="5"/>
  <c r="GU50" i="5"/>
  <c r="GT50" i="5"/>
  <c r="GS50" i="5"/>
  <c r="GR50" i="5"/>
  <c r="GQ50" i="5"/>
  <c r="GP50" i="5"/>
  <c r="GO50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IV49" i="5"/>
  <c r="IU49" i="5"/>
  <c r="IT49" i="5"/>
  <c r="IS49" i="5"/>
  <c r="IR49" i="5"/>
  <c r="IQ49" i="5"/>
  <c r="IP49" i="5"/>
  <c r="IO49" i="5"/>
  <c r="IN49" i="5"/>
  <c r="IM49" i="5"/>
  <c r="IL49" i="5"/>
  <c r="IK49" i="5"/>
  <c r="IJ49" i="5"/>
  <c r="II49" i="5"/>
  <c r="IH49" i="5"/>
  <c r="IG49" i="5"/>
  <c r="IF49" i="5"/>
  <c r="IE49" i="5"/>
  <c r="ID49" i="5"/>
  <c r="IC49" i="5"/>
  <c r="IB49" i="5"/>
  <c r="IA49" i="5"/>
  <c r="HZ49" i="5"/>
  <c r="HY49" i="5"/>
  <c r="HX49" i="5"/>
  <c r="HW49" i="5"/>
  <c r="HV49" i="5"/>
  <c r="HU49" i="5"/>
  <c r="HT49" i="5"/>
  <c r="HS49" i="5"/>
  <c r="HR49" i="5"/>
  <c r="HQ49" i="5"/>
  <c r="HP49" i="5"/>
  <c r="HO49" i="5"/>
  <c r="HN49" i="5"/>
  <c r="HM49" i="5"/>
  <c r="HL49" i="5"/>
  <c r="HK49" i="5"/>
  <c r="HJ49" i="5"/>
  <c r="HI49" i="5"/>
  <c r="HH49" i="5"/>
  <c r="HG49" i="5"/>
  <c r="HF49" i="5"/>
  <c r="HE49" i="5"/>
  <c r="HD49" i="5"/>
  <c r="HC49" i="5"/>
  <c r="HB49" i="5"/>
  <c r="HA49" i="5"/>
  <c r="GZ49" i="5"/>
  <c r="GY49" i="5"/>
  <c r="GX49" i="5"/>
  <c r="GW49" i="5"/>
  <c r="GV49" i="5"/>
  <c r="GU49" i="5"/>
  <c r="GT49" i="5"/>
  <c r="GS49" i="5"/>
  <c r="GR49" i="5"/>
  <c r="GQ49" i="5"/>
  <c r="GP49" i="5"/>
  <c r="GO49" i="5"/>
  <c r="GN49" i="5"/>
  <c r="GM49" i="5"/>
  <c r="GL49" i="5"/>
  <c r="GK49" i="5"/>
  <c r="GJ49" i="5"/>
  <c r="GI49" i="5"/>
  <c r="GH49" i="5"/>
  <c r="GG49" i="5"/>
  <c r="GF49" i="5"/>
  <c r="GE49" i="5"/>
  <c r="GD49" i="5"/>
  <c r="GC49" i="5"/>
  <c r="GB49" i="5"/>
  <c r="GA49" i="5"/>
  <c r="FZ49" i="5"/>
  <c r="FY49" i="5"/>
  <c r="FX49" i="5"/>
  <c r="FW49" i="5"/>
  <c r="FV49" i="5"/>
  <c r="FU49" i="5"/>
  <c r="FT49" i="5"/>
  <c r="FS49" i="5"/>
  <c r="FR49" i="5"/>
  <c r="FQ49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IV48" i="5"/>
  <c r="IU48" i="5"/>
  <c r="IT48" i="5"/>
  <c r="IS48" i="5"/>
  <c r="IR48" i="5"/>
  <c r="IQ48" i="5"/>
  <c r="IP48" i="5"/>
  <c r="IO48" i="5"/>
  <c r="IN48" i="5"/>
  <c r="IM48" i="5"/>
  <c r="IL48" i="5"/>
  <c r="IK48" i="5"/>
  <c r="IJ48" i="5"/>
  <c r="II48" i="5"/>
  <c r="IH48" i="5"/>
  <c r="IG48" i="5"/>
  <c r="IF48" i="5"/>
  <c r="IE48" i="5"/>
  <c r="ID48" i="5"/>
  <c r="IC48" i="5"/>
  <c r="IB48" i="5"/>
  <c r="IA48" i="5"/>
  <c r="HZ48" i="5"/>
  <c r="HY48" i="5"/>
  <c r="HX48" i="5"/>
  <c r="HW48" i="5"/>
  <c r="HV48" i="5"/>
  <c r="HU48" i="5"/>
  <c r="HT48" i="5"/>
  <c r="HS48" i="5"/>
  <c r="HR48" i="5"/>
  <c r="HQ48" i="5"/>
  <c r="HP48" i="5"/>
  <c r="HO48" i="5"/>
  <c r="HN48" i="5"/>
  <c r="HM48" i="5"/>
  <c r="HL48" i="5"/>
  <c r="HK48" i="5"/>
  <c r="HJ48" i="5"/>
  <c r="HI48" i="5"/>
  <c r="HH48" i="5"/>
  <c r="HG48" i="5"/>
  <c r="HF48" i="5"/>
  <c r="HE48" i="5"/>
  <c r="HD48" i="5"/>
  <c r="HC48" i="5"/>
  <c r="HB48" i="5"/>
  <c r="HA48" i="5"/>
  <c r="GZ48" i="5"/>
  <c r="GY48" i="5"/>
  <c r="GX48" i="5"/>
  <c r="GW48" i="5"/>
  <c r="GV48" i="5"/>
  <c r="GU48" i="5"/>
  <c r="GT48" i="5"/>
  <c r="GS48" i="5"/>
  <c r="GR48" i="5"/>
  <c r="GQ48" i="5"/>
  <c r="GP48" i="5"/>
  <c r="GO48" i="5"/>
  <c r="GN48" i="5"/>
  <c r="GM48" i="5"/>
  <c r="GL48" i="5"/>
  <c r="GK48" i="5"/>
  <c r="GJ48" i="5"/>
  <c r="GI48" i="5"/>
  <c r="GH48" i="5"/>
  <c r="GG48" i="5"/>
  <c r="GF48" i="5"/>
  <c r="GE48" i="5"/>
  <c r="GD48" i="5"/>
  <c r="GC48" i="5"/>
  <c r="GB48" i="5"/>
  <c r="GA48" i="5"/>
  <c r="FZ48" i="5"/>
  <c r="FY48" i="5"/>
  <c r="FX48" i="5"/>
  <c r="FW48" i="5"/>
  <c r="FV48" i="5"/>
  <c r="FU48" i="5"/>
  <c r="FT48" i="5"/>
  <c r="FS48" i="5"/>
  <c r="FR48" i="5"/>
  <c r="FQ48" i="5"/>
  <c r="FP48" i="5"/>
  <c r="FO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IV47" i="5"/>
  <c r="IU47" i="5"/>
  <c r="IT47" i="5"/>
  <c r="IS47" i="5"/>
  <c r="IR47" i="5"/>
  <c r="IQ47" i="5"/>
  <c r="IP47" i="5"/>
  <c r="IO47" i="5"/>
  <c r="IN47" i="5"/>
  <c r="IM47" i="5"/>
  <c r="IL47" i="5"/>
  <c r="IK47" i="5"/>
  <c r="IJ47" i="5"/>
  <c r="II47" i="5"/>
  <c r="IH47" i="5"/>
  <c r="IG47" i="5"/>
  <c r="IF47" i="5"/>
  <c r="IE47" i="5"/>
  <c r="ID47" i="5"/>
  <c r="IC47" i="5"/>
  <c r="IB47" i="5"/>
  <c r="IA47" i="5"/>
  <c r="HZ47" i="5"/>
  <c r="HY47" i="5"/>
  <c r="HX47" i="5"/>
  <c r="HW47" i="5"/>
  <c r="HV47" i="5"/>
  <c r="HU47" i="5"/>
  <c r="HT47" i="5"/>
  <c r="HS47" i="5"/>
  <c r="HR47" i="5"/>
  <c r="HQ47" i="5"/>
  <c r="HP47" i="5"/>
  <c r="HO47" i="5"/>
  <c r="HN47" i="5"/>
  <c r="HM47" i="5"/>
  <c r="HL47" i="5"/>
  <c r="HK47" i="5"/>
  <c r="HJ47" i="5"/>
  <c r="HI47" i="5"/>
  <c r="HH47" i="5"/>
  <c r="HG47" i="5"/>
  <c r="HF47" i="5"/>
  <c r="HE47" i="5"/>
  <c r="HD47" i="5"/>
  <c r="HC47" i="5"/>
  <c r="HB47" i="5"/>
  <c r="HA47" i="5"/>
  <c r="GZ47" i="5"/>
  <c r="GY47" i="5"/>
  <c r="GX47" i="5"/>
  <c r="GW47" i="5"/>
  <c r="GV47" i="5"/>
  <c r="GU47" i="5"/>
  <c r="GT47" i="5"/>
  <c r="GS47" i="5"/>
  <c r="GR47" i="5"/>
  <c r="GQ47" i="5"/>
  <c r="GP47" i="5"/>
  <c r="GO47" i="5"/>
  <c r="GN47" i="5"/>
  <c r="GM47" i="5"/>
  <c r="GL47" i="5"/>
  <c r="GK47" i="5"/>
  <c r="GJ47" i="5"/>
  <c r="GI47" i="5"/>
  <c r="GH47" i="5"/>
  <c r="GG47" i="5"/>
  <c r="GF47" i="5"/>
  <c r="GE47" i="5"/>
  <c r="GD47" i="5"/>
  <c r="GC47" i="5"/>
  <c r="GB47" i="5"/>
  <c r="GA47" i="5"/>
  <c r="FZ47" i="5"/>
  <c r="FY47" i="5"/>
  <c r="FX47" i="5"/>
  <c r="FW47" i="5"/>
  <c r="FV47" i="5"/>
  <c r="FU47" i="5"/>
  <c r="FT47" i="5"/>
  <c r="FS47" i="5"/>
  <c r="FR47" i="5"/>
  <c r="FQ47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IV46" i="5"/>
  <c r="IU46" i="5"/>
  <c r="IT46" i="5"/>
  <c r="IS46" i="5"/>
  <c r="IR46" i="5"/>
  <c r="IQ46" i="5"/>
  <c r="IP46" i="5"/>
  <c r="IO46" i="5"/>
  <c r="IN46" i="5"/>
  <c r="IM46" i="5"/>
  <c r="IL46" i="5"/>
  <c r="IK46" i="5"/>
  <c r="IJ46" i="5"/>
  <c r="II46" i="5"/>
  <c r="IH46" i="5"/>
  <c r="IG46" i="5"/>
  <c r="IF46" i="5"/>
  <c r="IE46" i="5"/>
  <c r="ID46" i="5"/>
  <c r="IC46" i="5"/>
  <c r="IB46" i="5"/>
  <c r="IA46" i="5"/>
  <c r="HZ46" i="5"/>
  <c r="HY46" i="5"/>
  <c r="HX46" i="5"/>
  <c r="HW46" i="5"/>
  <c r="HV46" i="5"/>
  <c r="HU46" i="5"/>
  <c r="HT46" i="5"/>
  <c r="HS46" i="5"/>
  <c r="HR46" i="5"/>
  <c r="HQ46" i="5"/>
  <c r="HP46" i="5"/>
  <c r="HO46" i="5"/>
  <c r="HN46" i="5"/>
  <c r="HM46" i="5"/>
  <c r="HL46" i="5"/>
  <c r="HK46" i="5"/>
  <c r="HJ46" i="5"/>
  <c r="HI46" i="5"/>
  <c r="HH46" i="5"/>
  <c r="HG46" i="5"/>
  <c r="HF46" i="5"/>
  <c r="HE46" i="5"/>
  <c r="HD46" i="5"/>
  <c r="HC46" i="5"/>
  <c r="HB46" i="5"/>
  <c r="HA46" i="5"/>
  <c r="GZ46" i="5"/>
  <c r="GY46" i="5"/>
  <c r="GX46" i="5"/>
  <c r="GW46" i="5"/>
  <c r="GV46" i="5"/>
  <c r="GU46" i="5"/>
  <c r="GT46" i="5"/>
  <c r="GS46" i="5"/>
  <c r="GR46" i="5"/>
  <c r="GQ46" i="5"/>
  <c r="GP46" i="5"/>
  <c r="GO46" i="5"/>
  <c r="GN46" i="5"/>
  <c r="GM46" i="5"/>
  <c r="GL46" i="5"/>
  <c r="GK46" i="5"/>
  <c r="GJ46" i="5"/>
  <c r="GI46" i="5"/>
  <c r="GH46" i="5"/>
  <c r="GG46" i="5"/>
  <c r="GF46" i="5"/>
  <c r="GE46" i="5"/>
  <c r="GD46" i="5"/>
  <c r="GC46" i="5"/>
  <c r="GB46" i="5"/>
  <c r="GA46" i="5"/>
  <c r="FZ46" i="5"/>
  <c r="FY46" i="5"/>
  <c r="FX46" i="5"/>
  <c r="FW46" i="5"/>
  <c r="FV46" i="5"/>
  <c r="FU46" i="5"/>
  <c r="FT46" i="5"/>
  <c r="FS46" i="5"/>
  <c r="FR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IV45" i="5"/>
  <c r="IU45" i="5"/>
  <c r="IT45" i="5"/>
  <c r="IS45" i="5"/>
  <c r="IR45" i="5"/>
  <c r="IQ45" i="5"/>
  <c r="IP45" i="5"/>
  <c r="IO45" i="5"/>
  <c r="IN45" i="5"/>
  <c r="IM45" i="5"/>
  <c r="IL45" i="5"/>
  <c r="IK45" i="5"/>
  <c r="IJ45" i="5"/>
  <c r="II45" i="5"/>
  <c r="IH45" i="5"/>
  <c r="IG45" i="5"/>
  <c r="IF45" i="5"/>
  <c r="IE45" i="5"/>
  <c r="ID45" i="5"/>
  <c r="IC45" i="5"/>
  <c r="IB45" i="5"/>
  <c r="IA45" i="5"/>
  <c r="HZ45" i="5"/>
  <c r="HY45" i="5"/>
  <c r="HX45" i="5"/>
  <c r="HW45" i="5"/>
  <c r="HV45" i="5"/>
  <c r="HU45" i="5"/>
  <c r="HT45" i="5"/>
  <c r="HS45" i="5"/>
  <c r="HR45" i="5"/>
  <c r="HQ45" i="5"/>
  <c r="HP45" i="5"/>
  <c r="HO45" i="5"/>
  <c r="HN45" i="5"/>
  <c r="HM45" i="5"/>
  <c r="HL45" i="5"/>
  <c r="HK45" i="5"/>
  <c r="HJ45" i="5"/>
  <c r="HI45" i="5"/>
  <c r="HH45" i="5"/>
  <c r="HG45" i="5"/>
  <c r="HF45" i="5"/>
  <c r="HE45" i="5"/>
  <c r="HD45" i="5"/>
  <c r="HC45" i="5"/>
  <c r="HB45" i="5"/>
  <c r="HA45" i="5"/>
  <c r="GZ45" i="5"/>
  <c r="GY45" i="5"/>
  <c r="GX45" i="5"/>
  <c r="GW45" i="5"/>
  <c r="GV45" i="5"/>
  <c r="GU45" i="5"/>
  <c r="GT45" i="5"/>
  <c r="GS45" i="5"/>
  <c r="GR45" i="5"/>
  <c r="GQ45" i="5"/>
  <c r="GP45" i="5"/>
  <c r="GO45" i="5"/>
  <c r="GN45" i="5"/>
  <c r="GM45" i="5"/>
  <c r="GL45" i="5"/>
  <c r="GK45" i="5"/>
  <c r="GJ45" i="5"/>
  <c r="GI45" i="5"/>
  <c r="GH45" i="5"/>
  <c r="GG45" i="5"/>
  <c r="GF45" i="5"/>
  <c r="GE45" i="5"/>
  <c r="GD45" i="5"/>
  <c r="GC45" i="5"/>
  <c r="GB45" i="5"/>
  <c r="GA45" i="5"/>
  <c r="FZ45" i="5"/>
  <c r="FY45" i="5"/>
  <c r="FX45" i="5"/>
  <c r="FW45" i="5"/>
  <c r="FV45" i="5"/>
  <c r="FU45" i="5"/>
  <c r="FT45" i="5"/>
  <c r="FS45" i="5"/>
  <c r="FR45" i="5"/>
  <c r="FQ45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IV44" i="5"/>
  <c r="IU44" i="5"/>
  <c r="IT44" i="5"/>
  <c r="IS44" i="5"/>
  <c r="IR44" i="5"/>
  <c r="IQ44" i="5"/>
  <c r="IP44" i="5"/>
  <c r="IO44" i="5"/>
  <c r="IN44" i="5"/>
  <c r="IM44" i="5"/>
  <c r="IL44" i="5"/>
  <c r="IK44" i="5"/>
  <c r="IJ44" i="5"/>
  <c r="II44" i="5"/>
  <c r="IH44" i="5"/>
  <c r="IG44" i="5"/>
  <c r="IF44" i="5"/>
  <c r="IE44" i="5"/>
  <c r="ID44" i="5"/>
  <c r="IC44" i="5"/>
  <c r="IB44" i="5"/>
  <c r="IA44" i="5"/>
  <c r="HZ44" i="5"/>
  <c r="HY44" i="5"/>
  <c r="HX44" i="5"/>
  <c r="HW44" i="5"/>
  <c r="HV44" i="5"/>
  <c r="HU44" i="5"/>
  <c r="HT44" i="5"/>
  <c r="HS44" i="5"/>
  <c r="HR44" i="5"/>
  <c r="HQ44" i="5"/>
  <c r="HP44" i="5"/>
  <c r="HO44" i="5"/>
  <c r="HN44" i="5"/>
  <c r="HM44" i="5"/>
  <c r="HL44" i="5"/>
  <c r="HK44" i="5"/>
  <c r="HJ44" i="5"/>
  <c r="HI44" i="5"/>
  <c r="HH44" i="5"/>
  <c r="HG44" i="5"/>
  <c r="HF44" i="5"/>
  <c r="HE44" i="5"/>
  <c r="HD44" i="5"/>
  <c r="HC44" i="5"/>
  <c r="HB44" i="5"/>
  <c r="HA44" i="5"/>
  <c r="GZ44" i="5"/>
  <c r="GY44" i="5"/>
  <c r="GX44" i="5"/>
  <c r="GW44" i="5"/>
  <c r="GV44" i="5"/>
  <c r="GU44" i="5"/>
  <c r="GT44" i="5"/>
  <c r="GS44" i="5"/>
  <c r="GR44" i="5"/>
  <c r="GQ44" i="5"/>
  <c r="GP44" i="5"/>
  <c r="GO44" i="5"/>
  <c r="GN44" i="5"/>
  <c r="GM44" i="5"/>
  <c r="GL44" i="5"/>
  <c r="GK44" i="5"/>
  <c r="GJ44" i="5"/>
  <c r="GI44" i="5"/>
  <c r="GH44" i="5"/>
  <c r="GG44" i="5"/>
  <c r="GF44" i="5"/>
  <c r="GE44" i="5"/>
  <c r="GD44" i="5"/>
  <c r="GC44" i="5"/>
  <c r="GB44" i="5"/>
  <c r="GA44" i="5"/>
  <c r="FZ44" i="5"/>
  <c r="FY44" i="5"/>
  <c r="FX44" i="5"/>
  <c r="FW44" i="5"/>
  <c r="FV44" i="5"/>
  <c r="FU44" i="5"/>
  <c r="FT44" i="5"/>
  <c r="FS44" i="5"/>
  <c r="FR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IV43" i="5"/>
  <c r="IU43" i="5"/>
  <c r="IT43" i="5"/>
  <c r="IS43" i="5"/>
  <c r="IR43" i="5"/>
  <c r="IQ43" i="5"/>
  <c r="IP43" i="5"/>
  <c r="IO43" i="5"/>
  <c r="IN43" i="5"/>
  <c r="IM43" i="5"/>
  <c r="IL43" i="5"/>
  <c r="IK43" i="5"/>
  <c r="IJ43" i="5"/>
  <c r="II43" i="5"/>
  <c r="IH43" i="5"/>
  <c r="IG43" i="5"/>
  <c r="IF43" i="5"/>
  <c r="IE43" i="5"/>
  <c r="ID43" i="5"/>
  <c r="IC43" i="5"/>
  <c r="IB43" i="5"/>
  <c r="IA43" i="5"/>
  <c r="HZ43" i="5"/>
  <c r="HY43" i="5"/>
  <c r="HX43" i="5"/>
  <c r="HW43" i="5"/>
  <c r="HV43" i="5"/>
  <c r="HU43" i="5"/>
  <c r="HT43" i="5"/>
  <c r="HS43" i="5"/>
  <c r="HR43" i="5"/>
  <c r="HQ43" i="5"/>
  <c r="HP43" i="5"/>
  <c r="HO43" i="5"/>
  <c r="HN43" i="5"/>
  <c r="HM43" i="5"/>
  <c r="HL43" i="5"/>
  <c r="HK43" i="5"/>
  <c r="HJ43" i="5"/>
  <c r="HI43" i="5"/>
  <c r="HH43" i="5"/>
  <c r="HG43" i="5"/>
  <c r="HF43" i="5"/>
  <c r="HE43" i="5"/>
  <c r="HD43" i="5"/>
  <c r="HC43" i="5"/>
  <c r="HB43" i="5"/>
  <c r="HA43" i="5"/>
  <c r="GZ43" i="5"/>
  <c r="GY43" i="5"/>
  <c r="GX43" i="5"/>
  <c r="GW43" i="5"/>
  <c r="GV43" i="5"/>
  <c r="GU43" i="5"/>
  <c r="GT43" i="5"/>
  <c r="GS43" i="5"/>
  <c r="GR43" i="5"/>
  <c r="GQ43" i="5"/>
  <c r="GP43" i="5"/>
  <c r="GO43" i="5"/>
  <c r="GN43" i="5"/>
  <c r="GM43" i="5"/>
  <c r="GL43" i="5"/>
  <c r="GK43" i="5"/>
  <c r="GJ43" i="5"/>
  <c r="GI43" i="5"/>
  <c r="GH43" i="5"/>
  <c r="GG43" i="5"/>
  <c r="GF43" i="5"/>
  <c r="GE43" i="5"/>
  <c r="GD43" i="5"/>
  <c r="GC43" i="5"/>
  <c r="GB43" i="5"/>
  <c r="GA43" i="5"/>
  <c r="FZ43" i="5"/>
  <c r="FY43" i="5"/>
  <c r="FX43" i="5"/>
  <c r="FW43" i="5"/>
  <c r="FV43" i="5"/>
  <c r="FU43" i="5"/>
  <c r="FT43" i="5"/>
  <c r="FS43" i="5"/>
  <c r="FR43" i="5"/>
  <c r="FQ43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IV42" i="5"/>
  <c r="IU42" i="5"/>
  <c r="IT42" i="5"/>
  <c r="IS42" i="5"/>
  <c r="IR42" i="5"/>
  <c r="IQ42" i="5"/>
  <c r="IP42" i="5"/>
  <c r="IO42" i="5"/>
  <c r="IN42" i="5"/>
  <c r="IM42" i="5"/>
  <c r="IL42" i="5"/>
  <c r="IK42" i="5"/>
  <c r="IJ42" i="5"/>
  <c r="II42" i="5"/>
  <c r="IH42" i="5"/>
  <c r="IG42" i="5"/>
  <c r="IF42" i="5"/>
  <c r="IE42" i="5"/>
  <c r="ID42" i="5"/>
  <c r="IC42" i="5"/>
  <c r="IB42" i="5"/>
  <c r="IA42" i="5"/>
  <c r="HZ42" i="5"/>
  <c r="HY42" i="5"/>
  <c r="HX42" i="5"/>
  <c r="HW42" i="5"/>
  <c r="HV42" i="5"/>
  <c r="HU42" i="5"/>
  <c r="HT42" i="5"/>
  <c r="HS42" i="5"/>
  <c r="HR42" i="5"/>
  <c r="HQ42" i="5"/>
  <c r="HP42" i="5"/>
  <c r="HO42" i="5"/>
  <c r="HN42" i="5"/>
  <c r="HM42" i="5"/>
  <c r="HL42" i="5"/>
  <c r="HK42" i="5"/>
  <c r="HJ42" i="5"/>
  <c r="HI42" i="5"/>
  <c r="HH42" i="5"/>
  <c r="HG42" i="5"/>
  <c r="HF42" i="5"/>
  <c r="HE42" i="5"/>
  <c r="HD42" i="5"/>
  <c r="HC42" i="5"/>
  <c r="HB42" i="5"/>
  <c r="HA42" i="5"/>
  <c r="GZ42" i="5"/>
  <c r="GY42" i="5"/>
  <c r="GX42" i="5"/>
  <c r="GW42" i="5"/>
  <c r="GV42" i="5"/>
  <c r="GU42" i="5"/>
  <c r="GT42" i="5"/>
  <c r="GS42" i="5"/>
  <c r="GR42" i="5"/>
  <c r="GQ42" i="5"/>
  <c r="GP42" i="5"/>
  <c r="GO42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IV41" i="5"/>
  <c r="IU41" i="5"/>
  <c r="IT41" i="5"/>
  <c r="IS41" i="5"/>
  <c r="IR41" i="5"/>
  <c r="IQ41" i="5"/>
  <c r="IP41" i="5"/>
  <c r="IO41" i="5"/>
  <c r="IN41" i="5"/>
  <c r="IM41" i="5"/>
  <c r="IL41" i="5"/>
  <c r="IK41" i="5"/>
  <c r="IJ41" i="5"/>
  <c r="II41" i="5"/>
  <c r="IH41" i="5"/>
  <c r="IG41" i="5"/>
  <c r="IF41" i="5"/>
  <c r="IE41" i="5"/>
  <c r="ID41" i="5"/>
  <c r="IC41" i="5"/>
  <c r="IB41" i="5"/>
  <c r="IA41" i="5"/>
  <c r="HZ41" i="5"/>
  <c r="HY41" i="5"/>
  <c r="HX41" i="5"/>
  <c r="HW41" i="5"/>
  <c r="HV41" i="5"/>
  <c r="HU41" i="5"/>
  <c r="HT41" i="5"/>
  <c r="HS41" i="5"/>
  <c r="HR41" i="5"/>
  <c r="HQ41" i="5"/>
  <c r="HP41" i="5"/>
  <c r="HO41" i="5"/>
  <c r="HN41" i="5"/>
  <c r="HM41" i="5"/>
  <c r="HL41" i="5"/>
  <c r="HK41" i="5"/>
  <c r="HJ41" i="5"/>
  <c r="HI41" i="5"/>
  <c r="HH41" i="5"/>
  <c r="HG41" i="5"/>
  <c r="HF41" i="5"/>
  <c r="HE41" i="5"/>
  <c r="HD41" i="5"/>
  <c r="HC41" i="5"/>
  <c r="HB41" i="5"/>
  <c r="HA41" i="5"/>
  <c r="GZ41" i="5"/>
  <c r="GY41" i="5"/>
  <c r="GX41" i="5"/>
  <c r="GW41" i="5"/>
  <c r="GV41" i="5"/>
  <c r="GU41" i="5"/>
  <c r="GT41" i="5"/>
  <c r="GS41" i="5"/>
  <c r="GR41" i="5"/>
  <c r="GQ41" i="5"/>
  <c r="GP41" i="5"/>
  <c r="GO41" i="5"/>
  <c r="GN41" i="5"/>
  <c r="GM41" i="5"/>
  <c r="GL41" i="5"/>
  <c r="GK41" i="5"/>
  <c r="GJ41" i="5"/>
  <c r="GI41" i="5"/>
  <c r="GH41" i="5"/>
  <c r="GG41" i="5"/>
  <c r="GF41" i="5"/>
  <c r="GE41" i="5"/>
  <c r="GD41" i="5"/>
  <c r="GC41" i="5"/>
  <c r="GB41" i="5"/>
  <c r="GA41" i="5"/>
  <c r="FZ41" i="5"/>
  <c r="FY41" i="5"/>
  <c r="FX41" i="5"/>
  <c r="FW41" i="5"/>
  <c r="FV41" i="5"/>
  <c r="FU41" i="5"/>
  <c r="FT41" i="5"/>
  <c r="FS41" i="5"/>
  <c r="FR41" i="5"/>
  <c r="FQ41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IV40" i="5"/>
  <c r="IU40" i="5"/>
  <c r="IT40" i="5"/>
  <c r="IS40" i="5"/>
  <c r="IR40" i="5"/>
  <c r="IQ40" i="5"/>
  <c r="IP40" i="5"/>
  <c r="IO40" i="5"/>
  <c r="IN40" i="5"/>
  <c r="IM40" i="5"/>
  <c r="IL40" i="5"/>
  <c r="IK40" i="5"/>
  <c r="IJ40" i="5"/>
  <c r="II40" i="5"/>
  <c r="IH40" i="5"/>
  <c r="IG40" i="5"/>
  <c r="IF40" i="5"/>
  <c r="IE40" i="5"/>
  <c r="ID40" i="5"/>
  <c r="IC40" i="5"/>
  <c r="IB40" i="5"/>
  <c r="IA40" i="5"/>
  <c r="HZ40" i="5"/>
  <c r="HY40" i="5"/>
  <c r="HX40" i="5"/>
  <c r="HW40" i="5"/>
  <c r="HV40" i="5"/>
  <c r="HU40" i="5"/>
  <c r="HT40" i="5"/>
  <c r="HS40" i="5"/>
  <c r="HR40" i="5"/>
  <c r="HQ40" i="5"/>
  <c r="HP40" i="5"/>
  <c r="HO40" i="5"/>
  <c r="HN40" i="5"/>
  <c r="HM40" i="5"/>
  <c r="HL40" i="5"/>
  <c r="HK40" i="5"/>
  <c r="HJ40" i="5"/>
  <c r="HI40" i="5"/>
  <c r="HH40" i="5"/>
  <c r="HG40" i="5"/>
  <c r="HF40" i="5"/>
  <c r="HE40" i="5"/>
  <c r="HD40" i="5"/>
  <c r="HC40" i="5"/>
  <c r="HB40" i="5"/>
  <c r="HA40" i="5"/>
  <c r="GZ40" i="5"/>
  <c r="GY40" i="5"/>
  <c r="GX40" i="5"/>
  <c r="GW40" i="5"/>
  <c r="GV40" i="5"/>
  <c r="GU40" i="5"/>
  <c r="GT40" i="5"/>
  <c r="GS40" i="5"/>
  <c r="GR40" i="5"/>
  <c r="GQ40" i="5"/>
  <c r="GP40" i="5"/>
  <c r="GO40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A40" i="5"/>
  <c r="FZ40" i="5"/>
  <c r="FY40" i="5"/>
  <c r="FX40" i="5"/>
  <c r="FW40" i="5"/>
  <c r="FV40" i="5"/>
  <c r="FU40" i="5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IV39" i="5"/>
  <c r="IU39" i="5"/>
  <c r="IT39" i="5"/>
  <c r="IS39" i="5"/>
  <c r="IR39" i="5"/>
  <c r="IQ39" i="5"/>
  <c r="IP39" i="5"/>
  <c r="IO39" i="5"/>
  <c r="IN39" i="5"/>
  <c r="IM39" i="5"/>
  <c r="IL39" i="5"/>
  <c r="IK39" i="5"/>
  <c r="IJ39" i="5"/>
  <c r="II39" i="5"/>
  <c r="IH39" i="5"/>
  <c r="IG39" i="5"/>
  <c r="IF39" i="5"/>
  <c r="IE39" i="5"/>
  <c r="ID39" i="5"/>
  <c r="IC39" i="5"/>
  <c r="IB39" i="5"/>
  <c r="IA39" i="5"/>
  <c r="HZ39" i="5"/>
  <c r="HY39" i="5"/>
  <c r="HX39" i="5"/>
  <c r="HW39" i="5"/>
  <c r="HV39" i="5"/>
  <c r="HU39" i="5"/>
  <c r="HT39" i="5"/>
  <c r="HS39" i="5"/>
  <c r="HR39" i="5"/>
  <c r="HQ39" i="5"/>
  <c r="HP39" i="5"/>
  <c r="HO39" i="5"/>
  <c r="HN39" i="5"/>
  <c r="HM39" i="5"/>
  <c r="HL39" i="5"/>
  <c r="HK39" i="5"/>
  <c r="HJ39" i="5"/>
  <c r="HI39" i="5"/>
  <c r="HH39" i="5"/>
  <c r="HG39" i="5"/>
  <c r="HF39" i="5"/>
  <c r="HE39" i="5"/>
  <c r="HD39" i="5"/>
  <c r="HC39" i="5"/>
  <c r="HB39" i="5"/>
  <c r="HA39" i="5"/>
  <c r="GZ39" i="5"/>
  <c r="GY39" i="5"/>
  <c r="GX39" i="5"/>
  <c r="GW39" i="5"/>
  <c r="GV39" i="5"/>
  <c r="GU39" i="5"/>
  <c r="GT39" i="5"/>
  <c r="GS39" i="5"/>
  <c r="GR39" i="5"/>
  <c r="GQ39" i="5"/>
  <c r="GP39" i="5"/>
  <c r="GO39" i="5"/>
  <c r="GN39" i="5"/>
  <c r="GM39" i="5"/>
  <c r="GL39" i="5"/>
  <c r="GK39" i="5"/>
  <c r="GJ39" i="5"/>
  <c r="GI39" i="5"/>
  <c r="GH39" i="5"/>
  <c r="GG39" i="5"/>
  <c r="GF39" i="5"/>
  <c r="GE39" i="5"/>
  <c r="GD39" i="5"/>
  <c r="GC39" i="5"/>
  <c r="GB39" i="5"/>
  <c r="GA39" i="5"/>
  <c r="FZ39" i="5"/>
  <c r="FY39" i="5"/>
  <c r="FX39" i="5"/>
  <c r="FW39" i="5"/>
  <c r="FV39" i="5"/>
  <c r="FU39" i="5"/>
  <c r="FT39" i="5"/>
  <c r="FS39" i="5"/>
  <c r="FR39" i="5"/>
  <c r="FQ39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IV38" i="5"/>
  <c r="IU38" i="5"/>
  <c r="IT38" i="5"/>
  <c r="IS38" i="5"/>
  <c r="IR38" i="5"/>
  <c r="IQ38" i="5"/>
  <c r="IP38" i="5"/>
  <c r="IO38" i="5"/>
  <c r="IN38" i="5"/>
  <c r="IM38" i="5"/>
  <c r="IL38" i="5"/>
  <c r="IK38" i="5"/>
  <c r="IJ38" i="5"/>
  <c r="II38" i="5"/>
  <c r="IH38" i="5"/>
  <c r="IG38" i="5"/>
  <c r="IF38" i="5"/>
  <c r="IE38" i="5"/>
  <c r="ID38" i="5"/>
  <c r="IC38" i="5"/>
  <c r="IB38" i="5"/>
  <c r="IA38" i="5"/>
  <c r="HZ38" i="5"/>
  <c r="HY38" i="5"/>
  <c r="HX38" i="5"/>
  <c r="HW38" i="5"/>
  <c r="HV38" i="5"/>
  <c r="HU38" i="5"/>
  <c r="HT38" i="5"/>
  <c r="HS38" i="5"/>
  <c r="HR38" i="5"/>
  <c r="HQ38" i="5"/>
  <c r="HP38" i="5"/>
  <c r="HO38" i="5"/>
  <c r="HN38" i="5"/>
  <c r="HM38" i="5"/>
  <c r="HL38" i="5"/>
  <c r="HK38" i="5"/>
  <c r="HJ38" i="5"/>
  <c r="HI38" i="5"/>
  <c r="HH38" i="5"/>
  <c r="HG38" i="5"/>
  <c r="HF38" i="5"/>
  <c r="HE38" i="5"/>
  <c r="HD38" i="5"/>
  <c r="HC38" i="5"/>
  <c r="HB38" i="5"/>
  <c r="HA38" i="5"/>
  <c r="GZ38" i="5"/>
  <c r="GY38" i="5"/>
  <c r="GX38" i="5"/>
  <c r="GW38" i="5"/>
  <c r="GV38" i="5"/>
  <c r="GU38" i="5"/>
  <c r="GT38" i="5"/>
  <c r="GS38" i="5"/>
  <c r="GR38" i="5"/>
  <c r="GQ38" i="5"/>
  <c r="GP38" i="5"/>
  <c r="GO38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IV37" i="5"/>
  <c r="IU37" i="5"/>
  <c r="IT37" i="5"/>
  <c r="IS37" i="5"/>
  <c r="IR37" i="5"/>
  <c r="IQ37" i="5"/>
  <c r="IP37" i="5"/>
  <c r="IO37" i="5"/>
  <c r="IN37" i="5"/>
  <c r="IM37" i="5"/>
  <c r="IL37" i="5"/>
  <c r="IK37" i="5"/>
  <c r="IJ37" i="5"/>
  <c r="II37" i="5"/>
  <c r="IH37" i="5"/>
  <c r="IG37" i="5"/>
  <c r="IF37" i="5"/>
  <c r="IE37" i="5"/>
  <c r="ID37" i="5"/>
  <c r="IC37" i="5"/>
  <c r="IB37" i="5"/>
  <c r="IA37" i="5"/>
  <c r="HZ37" i="5"/>
  <c r="HY37" i="5"/>
  <c r="HX37" i="5"/>
  <c r="HW37" i="5"/>
  <c r="HV37" i="5"/>
  <c r="HU37" i="5"/>
  <c r="HT37" i="5"/>
  <c r="HS37" i="5"/>
  <c r="HR37" i="5"/>
  <c r="HQ37" i="5"/>
  <c r="HP37" i="5"/>
  <c r="HO37" i="5"/>
  <c r="HN37" i="5"/>
  <c r="HM37" i="5"/>
  <c r="HL37" i="5"/>
  <c r="HK37" i="5"/>
  <c r="HJ37" i="5"/>
  <c r="HI37" i="5"/>
  <c r="HH37" i="5"/>
  <c r="HG37" i="5"/>
  <c r="HF37" i="5"/>
  <c r="HE37" i="5"/>
  <c r="HD37" i="5"/>
  <c r="HC37" i="5"/>
  <c r="HB37" i="5"/>
  <c r="HA37" i="5"/>
  <c r="GZ37" i="5"/>
  <c r="GY37" i="5"/>
  <c r="GX37" i="5"/>
  <c r="GW37" i="5"/>
  <c r="GV37" i="5"/>
  <c r="GU37" i="5"/>
  <c r="GT37" i="5"/>
  <c r="GS37" i="5"/>
  <c r="GR37" i="5"/>
  <c r="GQ37" i="5"/>
  <c r="GP37" i="5"/>
  <c r="GO37" i="5"/>
  <c r="GN37" i="5"/>
  <c r="GM37" i="5"/>
  <c r="GL37" i="5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FT37" i="5"/>
  <c r="FS37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IV36" i="5"/>
  <c r="IU36" i="5"/>
  <c r="IT36" i="5"/>
  <c r="IS36" i="5"/>
  <c r="IR36" i="5"/>
  <c r="IQ36" i="5"/>
  <c r="IP36" i="5"/>
  <c r="IO36" i="5"/>
  <c r="IN36" i="5"/>
  <c r="IM36" i="5"/>
  <c r="IL36" i="5"/>
  <c r="IK36" i="5"/>
  <c r="IJ36" i="5"/>
  <c r="II36" i="5"/>
  <c r="IH36" i="5"/>
  <c r="IG36" i="5"/>
  <c r="IF36" i="5"/>
  <c r="IE36" i="5"/>
  <c r="ID36" i="5"/>
  <c r="IC36" i="5"/>
  <c r="IB36" i="5"/>
  <c r="IA36" i="5"/>
  <c r="HZ36" i="5"/>
  <c r="HY36" i="5"/>
  <c r="HX36" i="5"/>
  <c r="HW36" i="5"/>
  <c r="HV36" i="5"/>
  <c r="HU36" i="5"/>
  <c r="HT36" i="5"/>
  <c r="HS36" i="5"/>
  <c r="HR36" i="5"/>
  <c r="HQ36" i="5"/>
  <c r="HP36" i="5"/>
  <c r="HO36" i="5"/>
  <c r="HN36" i="5"/>
  <c r="HM36" i="5"/>
  <c r="HL36" i="5"/>
  <c r="HK36" i="5"/>
  <c r="HJ36" i="5"/>
  <c r="HI36" i="5"/>
  <c r="HH36" i="5"/>
  <c r="HG36" i="5"/>
  <c r="HF36" i="5"/>
  <c r="HE36" i="5"/>
  <c r="HD36" i="5"/>
  <c r="HC36" i="5"/>
  <c r="HB36" i="5"/>
  <c r="HA36" i="5"/>
  <c r="GZ36" i="5"/>
  <c r="GY36" i="5"/>
  <c r="GX36" i="5"/>
  <c r="GW36" i="5"/>
  <c r="GV36" i="5"/>
  <c r="GU36" i="5"/>
  <c r="GT36" i="5"/>
  <c r="GS36" i="5"/>
  <c r="GR36" i="5"/>
  <c r="GQ36" i="5"/>
  <c r="GP36" i="5"/>
  <c r="GO36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A36" i="5"/>
  <c r="FZ36" i="5"/>
  <c r="FY36" i="5"/>
  <c r="FX36" i="5"/>
  <c r="FW36" i="5"/>
  <c r="FV36" i="5"/>
  <c r="FU36" i="5"/>
  <c r="FT36" i="5"/>
  <c r="FS36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IV35" i="5"/>
  <c r="IU35" i="5"/>
  <c r="IT35" i="5"/>
  <c r="IS35" i="5"/>
  <c r="IR35" i="5"/>
  <c r="IQ35" i="5"/>
  <c r="IP35" i="5"/>
  <c r="IO35" i="5"/>
  <c r="IN35" i="5"/>
  <c r="IM35" i="5"/>
  <c r="IL35" i="5"/>
  <c r="IK35" i="5"/>
  <c r="IJ35" i="5"/>
  <c r="II35" i="5"/>
  <c r="IH35" i="5"/>
  <c r="IG35" i="5"/>
  <c r="IF35" i="5"/>
  <c r="IE35" i="5"/>
  <c r="ID35" i="5"/>
  <c r="IC35" i="5"/>
  <c r="IB35" i="5"/>
  <c r="IA35" i="5"/>
  <c r="HZ35" i="5"/>
  <c r="HY35" i="5"/>
  <c r="HX35" i="5"/>
  <c r="HW35" i="5"/>
  <c r="HV35" i="5"/>
  <c r="HU35" i="5"/>
  <c r="HT35" i="5"/>
  <c r="HS35" i="5"/>
  <c r="HR35" i="5"/>
  <c r="HQ35" i="5"/>
  <c r="HP35" i="5"/>
  <c r="HO35" i="5"/>
  <c r="HN35" i="5"/>
  <c r="HM35" i="5"/>
  <c r="HL35" i="5"/>
  <c r="HK35" i="5"/>
  <c r="HJ35" i="5"/>
  <c r="HI35" i="5"/>
  <c r="HH35" i="5"/>
  <c r="HG35" i="5"/>
  <c r="HF35" i="5"/>
  <c r="HE35" i="5"/>
  <c r="HD35" i="5"/>
  <c r="HC35" i="5"/>
  <c r="HB35" i="5"/>
  <c r="HA35" i="5"/>
  <c r="GZ35" i="5"/>
  <c r="GY35" i="5"/>
  <c r="GX35" i="5"/>
  <c r="GW35" i="5"/>
  <c r="GV35" i="5"/>
  <c r="GU35" i="5"/>
  <c r="GT35" i="5"/>
  <c r="GS35" i="5"/>
  <c r="GR35" i="5"/>
  <c r="GQ35" i="5"/>
  <c r="GP35" i="5"/>
  <c r="GO35" i="5"/>
  <c r="GN35" i="5"/>
  <c r="GM35" i="5"/>
  <c r="GL35" i="5"/>
  <c r="GK35" i="5"/>
  <c r="GJ35" i="5"/>
  <c r="GI35" i="5"/>
  <c r="GH35" i="5"/>
  <c r="GG35" i="5"/>
  <c r="GF35" i="5"/>
  <c r="GE35" i="5"/>
  <c r="GD35" i="5"/>
  <c r="GC35" i="5"/>
  <c r="GB35" i="5"/>
  <c r="GA35" i="5"/>
  <c r="FZ35" i="5"/>
  <c r="FY35" i="5"/>
  <c r="FX35" i="5"/>
  <c r="FW35" i="5"/>
  <c r="FV35" i="5"/>
  <c r="FU35" i="5"/>
  <c r="FT35" i="5"/>
  <c r="FS35" i="5"/>
  <c r="FR35" i="5"/>
  <c r="FQ35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IV34" i="5"/>
  <c r="IU34" i="5"/>
  <c r="IT34" i="5"/>
  <c r="IS34" i="5"/>
  <c r="IR34" i="5"/>
  <c r="IQ34" i="5"/>
  <c r="IP34" i="5"/>
  <c r="IO34" i="5"/>
  <c r="IN34" i="5"/>
  <c r="IM34" i="5"/>
  <c r="IL34" i="5"/>
  <c r="IK34" i="5"/>
  <c r="IJ34" i="5"/>
  <c r="II34" i="5"/>
  <c r="IH34" i="5"/>
  <c r="IG34" i="5"/>
  <c r="IF34" i="5"/>
  <c r="IE34" i="5"/>
  <c r="ID34" i="5"/>
  <c r="IC34" i="5"/>
  <c r="IB34" i="5"/>
  <c r="IA34" i="5"/>
  <c r="HZ34" i="5"/>
  <c r="HY34" i="5"/>
  <c r="HX34" i="5"/>
  <c r="HW34" i="5"/>
  <c r="HV34" i="5"/>
  <c r="HU34" i="5"/>
  <c r="HT34" i="5"/>
  <c r="HS34" i="5"/>
  <c r="HR34" i="5"/>
  <c r="HQ34" i="5"/>
  <c r="HP34" i="5"/>
  <c r="HO34" i="5"/>
  <c r="HN34" i="5"/>
  <c r="HM34" i="5"/>
  <c r="HL34" i="5"/>
  <c r="HK34" i="5"/>
  <c r="HJ34" i="5"/>
  <c r="HI34" i="5"/>
  <c r="HH34" i="5"/>
  <c r="HG34" i="5"/>
  <c r="HF34" i="5"/>
  <c r="HE34" i="5"/>
  <c r="HD34" i="5"/>
  <c r="HC34" i="5"/>
  <c r="HB34" i="5"/>
  <c r="HA34" i="5"/>
  <c r="GZ34" i="5"/>
  <c r="GY34" i="5"/>
  <c r="GX34" i="5"/>
  <c r="GW34" i="5"/>
  <c r="GV34" i="5"/>
  <c r="GU34" i="5"/>
  <c r="GT34" i="5"/>
  <c r="GS34" i="5"/>
  <c r="GR34" i="5"/>
  <c r="GQ34" i="5"/>
  <c r="GP34" i="5"/>
  <c r="GO34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IV33" i="5"/>
  <c r="IU33" i="5"/>
  <c r="IT33" i="5"/>
  <c r="IS33" i="5"/>
  <c r="IR33" i="5"/>
  <c r="IQ33" i="5"/>
  <c r="IP33" i="5"/>
  <c r="IO33" i="5"/>
  <c r="IN33" i="5"/>
  <c r="IM33" i="5"/>
  <c r="IL33" i="5"/>
  <c r="IK33" i="5"/>
  <c r="IJ33" i="5"/>
  <c r="II33" i="5"/>
  <c r="IH33" i="5"/>
  <c r="IG33" i="5"/>
  <c r="IF33" i="5"/>
  <c r="IE33" i="5"/>
  <c r="ID33" i="5"/>
  <c r="IC33" i="5"/>
  <c r="IB33" i="5"/>
  <c r="IA33" i="5"/>
  <c r="HZ33" i="5"/>
  <c r="HY33" i="5"/>
  <c r="HX33" i="5"/>
  <c r="HW33" i="5"/>
  <c r="HV33" i="5"/>
  <c r="HU33" i="5"/>
  <c r="HT33" i="5"/>
  <c r="HS33" i="5"/>
  <c r="HR33" i="5"/>
  <c r="HQ33" i="5"/>
  <c r="HP33" i="5"/>
  <c r="HO33" i="5"/>
  <c r="HN33" i="5"/>
  <c r="HM33" i="5"/>
  <c r="HL33" i="5"/>
  <c r="HK33" i="5"/>
  <c r="HJ33" i="5"/>
  <c r="HI33" i="5"/>
  <c r="HH33" i="5"/>
  <c r="HG33" i="5"/>
  <c r="HF33" i="5"/>
  <c r="HE33" i="5"/>
  <c r="HD33" i="5"/>
  <c r="HC33" i="5"/>
  <c r="HB33" i="5"/>
  <c r="HA33" i="5"/>
  <c r="GZ33" i="5"/>
  <c r="GY33" i="5"/>
  <c r="GX33" i="5"/>
  <c r="GW33" i="5"/>
  <c r="GV33" i="5"/>
  <c r="GU33" i="5"/>
  <c r="GT33" i="5"/>
  <c r="GS33" i="5"/>
  <c r="GR33" i="5"/>
  <c r="GQ33" i="5"/>
  <c r="GP33" i="5"/>
  <c r="GO33" i="5"/>
  <c r="GN33" i="5"/>
  <c r="GM33" i="5"/>
  <c r="GL33" i="5"/>
  <c r="GK33" i="5"/>
  <c r="GJ33" i="5"/>
  <c r="GI33" i="5"/>
  <c r="GH33" i="5"/>
  <c r="GG33" i="5"/>
  <c r="GF33" i="5"/>
  <c r="GE33" i="5"/>
  <c r="GD33" i="5"/>
  <c r="GC33" i="5"/>
  <c r="GB33" i="5"/>
  <c r="GA33" i="5"/>
  <c r="FZ33" i="5"/>
  <c r="FY33" i="5"/>
  <c r="FX33" i="5"/>
  <c r="FW33" i="5"/>
  <c r="FV33" i="5"/>
  <c r="FU33" i="5"/>
  <c r="FT33" i="5"/>
  <c r="FS33" i="5"/>
  <c r="FR33" i="5"/>
  <c r="FQ33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IV32" i="5"/>
  <c r="IU32" i="5"/>
  <c r="IT32" i="5"/>
  <c r="IS32" i="5"/>
  <c r="IR32" i="5"/>
  <c r="IQ32" i="5"/>
  <c r="IP32" i="5"/>
  <c r="IO32" i="5"/>
  <c r="IN32" i="5"/>
  <c r="IM32" i="5"/>
  <c r="IL32" i="5"/>
  <c r="IK32" i="5"/>
  <c r="IJ32" i="5"/>
  <c r="II32" i="5"/>
  <c r="IH32" i="5"/>
  <c r="IG32" i="5"/>
  <c r="IF32" i="5"/>
  <c r="IE32" i="5"/>
  <c r="ID32" i="5"/>
  <c r="IC32" i="5"/>
  <c r="IB32" i="5"/>
  <c r="IA32" i="5"/>
  <c r="HZ32" i="5"/>
  <c r="HY32" i="5"/>
  <c r="HX32" i="5"/>
  <c r="HW32" i="5"/>
  <c r="HV32" i="5"/>
  <c r="HU32" i="5"/>
  <c r="HT32" i="5"/>
  <c r="HS32" i="5"/>
  <c r="HR32" i="5"/>
  <c r="HQ32" i="5"/>
  <c r="HP32" i="5"/>
  <c r="HO32" i="5"/>
  <c r="HN32" i="5"/>
  <c r="HM32" i="5"/>
  <c r="HL32" i="5"/>
  <c r="HK32" i="5"/>
  <c r="HJ32" i="5"/>
  <c r="HI32" i="5"/>
  <c r="HH32" i="5"/>
  <c r="HG32" i="5"/>
  <c r="HF32" i="5"/>
  <c r="HE32" i="5"/>
  <c r="HD32" i="5"/>
  <c r="HC32" i="5"/>
  <c r="HB32" i="5"/>
  <c r="HA32" i="5"/>
  <c r="GZ32" i="5"/>
  <c r="GY32" i="5"/>
  <c r="GX32" i="5"/>
  <c r="GW32" i="5"/>
  <c r="GV32" i="5"/>
  <c r="GU32" i="5"/>
  <c r="GT32" i="5"/>
  <c r="GS32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IV31" i="5"/>
  <c r="IU31" i="5"/>
  <c r="IT31" i="5"/>
  <c r="IS31" i="5"/>
  <c r="IR31" i="5"/>
  <c r="IQ31" i="5"/>
  <c r="IP31" i="5"/>
  <c r="IO31" i="5"/>
  <c r="IN31" i="5"/>
  <c r="IM31" i="5"/>
  <c r="IL31" i="5"/>
  <c r="IK31" i="5"/>
  <c r="IJ31" i="5"/>
  <c r="II31" i="5"/>
  <c r="IH31" i="5"/>
  <c r="IG31" i="5"/>
  <c r="IF31" i="5"/>
  <c r="IE31" i="5"/>
  <c r="ID31" i="5"/>
  <c r="IC31" i="5"/>
  <c r="IB31" i="5"/>
  <c r="IA31" i="5"/>
  <c r="HZ31" i="5"/>
  <c r="HY31" i="5"/>
  <c r="HX31" i="5"/>
  <c r="HW31" i="5"/>
  <c r="HV31" i="5"/>
  <c r="HU31" i="5"/>
  <c r="HT31" i="5"/>
  <c r="HS31" i="5"/>
  <c r="HR31" i="5"/>
  <c r="HQ31" i="5"/>
  <c r="HP31" i="5"/>
  <c r="HO31" i="5"/>
  <c r="HN31" i="5"/>
  <c r="HM31" i="5"/>
  <c r="HL31" i="5"/>
  <c r="HK31" i="5"/>
  <c r="HJ31" i="5"/>
  <c r="HI31" i="5"/>
  <c r="HH31" i="5"/>
  <c r="HG31" i="5"/>
  <c r="HF31" i="5"/>
  <c r="HE31" i="5"/>
  <c r="HD31" i="5"/>
  <c r="HC31" i="5"/>
  <c r="HB31" i="5"/>
  <c r="HA31" i="5"/>
  <c r="GZ31" i="5"/>
  <c r="GY31" i="5"/>
  <c r="GX31" i="5"/>
  <c r="GW31" i="5"/>
  <c r="GV31" i="5"/>
  <c r="GU31" i="5"/>
  <c r="GT31" i="5"/>
  <c r="GS31" i="5"/>
  <c r="GR31" i="5"/>
  <c r="GQ31" i="5"/>
  <c r="GP31" i="5"/>
  <c r="GO31" i="5"/>
  <c r="GN31" i="5"/>
  <c r="GM31" i="5"/>
  <c r="GL31" i="5"/>
  <c r="GK31" i="5"/>
  <c r="GJ31" i="5"/>
  <c r="GI31" i="5"/>
  <c r="GH31" i="5"/>
  <c r="GG31" i="5"/>
  <c r="GF31" i="5"/>
  <c r="GE31" i="5"/>
  <c r="GD31" i="5"/>
  <c r="GC31" i="5"/>
  <c r="GB31" i="5"/>
  <c r="GA31" i="5"/>
  <c r="FZ31" i="5"/>
  <c r="FY31" i="5"/>
  <c r="FX31" i="5"/>
  <c r="FW31" i="5"/>
  <c r="FV31" i="5"/>
  <c r="FU31" i="5"/>
  <c r="FT31" i="5"/>
  <c r="FS31" i="5"/>
  <c r="FR31" i="5"/>
  <c r="FQ31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IV30" i="5"/>
  <c r="IU30" i="5"/>
  <c r="IT30" i="5"/>
  <c r="IS30" i="5"/>
  <c r="IR30" i="5"/>
  <c r="IQ30" i="5"/>
  <c r="IP30" i="5"/>
  <c r="IO30" i="5"/>
  <c r="IN30" i="5"/>
  <c r="IM30" i="5"/>
  <c r="IL30" i="5"/>
  <c r="IK30" i="5"/>
  <c r="IJ30" i="5"/>
  <c r="II30" i="5"/>
  <c r="IH30" i="5"/>
  <c r="IG30" i="5"/>
  <c r="IF30" i="5"/>
  <c r="IE30" i="5"/>
  <c r="ID30" i="5"/>
  <c r="IC30" i="5"/>
  <c r="IB30" i="5"/>
  <c r="IA30" i="5"/>
  <c r="HZ30" i="5"/>
  <c r="HY30" i="5"/>
  <c r="HX30" i="5"/>
  <c r="HW30" i="5"/>
  <c r="HV30" i="5"/>
  <c r="HU30" i="5"/>
  <c r="HT30" i="5"/>
  <c r="HS30" i="5"/>
  <c r="HR30" i="5"/>
  <c r="HQ30" i="5"/>
  <c r="HP30" i="5"/>
  <c r="HO30" i="5"/>
  <c r="HN30" i="5"/>
  <c r="HM30" i="5"/>
  <c r="HL30" i="5"/>
  <c r="HK30" i="5"/>
  <c r="HJ30" i="5"/>
  <c r="HI30" i="5"/>
  <c r="HH30" i="5"/>
  <c r="HG30" i="5"/>
  <c r="HF30" i="5"/>
  <c r="HE30" i="5"/>
  <c r="HD30" i="5"/>
  <c r="HC30" i="5"/>
  <c r="HB30" i="5"/>
  <c r="HA30" i="5"/>
  <c r="GZ30" i="5"/>
  <c r="GY30" i="5"/>
  <c r="GX30" i="5"/>
  <c r="GW30" i="5"/>
  <c r="GV30" i="5"/>
  <c r="GU30" i="5"/>
  <c r="GT30" i="5"/>
  <c r="GS30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IV29" i="5"/>
  <c r="IU29" i="5"/>
  <c r="IT29" i="5"/>
  <c r="IS29" i="5"/>
  <c r="IR29" i="5"/>
  <c r="IQ29" i="5"/>
  <c r="IP29" i="5"/>
  <c r="IO29" i="5"/>
  <c r="IN29" i="5"/>
  <c r="IM29" i="5"/>
  <c r="IL29" i="5"/>
  <c r="IK29" i="5"/>
  <c r="IJ29" i="5"/>
  <c r="II29" i="5"/>
  <c r="IH29" i="5"/>
  <c r="IG29" i="5"/>
  <c r="IF29" i="5"/>
  <c r="IE29" i="5"/>
  <c r="ID29" i="5"/>
  <c r="IC29" i="5"/>
  <c r="IB29" i="5"/>
  <c r="IA29" i="5"/>
  <c r="HZ29" i="5"/>
  <c r="HY29" i="5"/>
  <c r="HX29" i="5"/>
  <c r="HW29" i="5"/>
  <c r="HV29" i="5"/>
  <c r="HU29" i="5"/>
  <c r="HT29" i="5"/>
  <c r="HS29" i="5"/>
  <c r="HR29" i="5"/>
  <c r="HQ29" i="5"/>
  <c r="HP29" i="5"/>
  <c r="HO29" i="5"/>
  <c r="HN29" i="5"/>
  <c r="HM29" i="5"/>
  <c r="HL29" i="5"/>
  <c r="HK29" i="5"/>
  <c r="HJ29" i="5"/>
  <c r="HI29" i="5"/>
  <c r="HH29" i="5"/>
  <c r="HG29" i="5"/>
  <c r="HF29" i="5"/>
  <c r="HE29" i="5"/>
  <c r="HD29" i="5"/>
  <c r="HC29" i="5"/>
  <c r="HB29" i="5"/>
  <c r="HA29" i="5"/>
  <c r="GZ29" i="5"/>
  <c r="GY29" i="5"/>
  <c r="GX29" i="5"/>
  <c r="GW29" i="5"/>
  <c r="GV29" i="5"/>
  <c r="GU29" i="5"/>
  <c r="GT29" i="5"/>
  <c r="GS29" i="5"/>
  <c r="GR29" i="5"/>
  <c r="GQ29" i="5"/>
  <c r="GP29" i="5"/>
  <c r="GO29" i="5"/>
  <c r="GN29" i="5"/>
  <c r="GM29" i="5"/>
  <c r="GL29" i="5"/>
  <c r="GK29" i="5"/>
  <c r="GJ29" i="5"/>
  <c r="GI29" i="5"/>
  <c r="GH29" i="5"/>
  <c r="GG29" i="5"/>
  <c r="GF29" i="5"/>
  <c r="GE29" i="5"/>
  <c r="GD29" i="5"/>
  <c r="GC29" i="5"/>
  <c r="GB29" i="5"/>
  <c r="GA29" i="5"/>
  <c r="FZ29" i="5"/>
  <c r="FY29" i="5"/>
  <c r="FX29" i="5"/>
  <c r="FW29" i="5"/>
  <c r="FV29" i="5"/>
  <c r="FU29" i="5"/>
  <c r="FT29" i="5"/>
  <c r="FS29" i="5"/>
  <c r="FR29" i="5"/>
  <c r="FQ29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IV28" i="5"/>
  <c r="IU28" i="5"/>
  <c r="IT28" i="5"/>
  <c r="IS28" i="5"/>
  <c r="IR28" i="5"/>
  <c r="IQ28" i="5"/>
  <c r="IP28" i="5"/>
  <c r="IO28" i="5"/>
  <c r="IN28" i="5"/>
  <c r="IM28" i="5"/>
  <c r="IL28" i="5"/>
  <c r="IK28" i="5"/>
  <c r="IJ28" i="5"/>
  <c r="II28" i="5"/>
  <c r="IH28" i="5"/>
  <c r="IG28" i="5"/>
  <c r="IF28" i="5"/>
  <c r="IE28" i="5"/>
  <c r="ID28" i="5"/>
  <c r="IC28" i="5"/>
  <c r="IB28" i="5"/>
  <c r="IA28" i="5"/>
  <c r="HZ28" i="5"/>
  <c r="HY28" i="5"/>
  <c r="HX28" i="5"/>
  <c r="HW28" i="5"/>
  <c r="HV28" i="5"/>
  <c r="HU28" i="5"/>
  <c r="HT28" i="5"/>
  <c r="HS28" i="5"/>
  <c r="HR28" i="5"/>
  <c r="HQ28" i="5"/>
  <c r="HP28" i="5"/>
  <c r="HO28" i="5"/>
  <c r="HN28" i="5"/>
  <c r="HM28" i="5"/>
  <c r="HL28" i="5"/>
  <c r="HK28" i="5"/>
  <c r="HJ28" i="5"/>
  <c r="HI28" i="5"/>
  <c r="HH28" i="5"/>
  <c r="HG28" i="5"/>
  <c r="HF28" i="5"/>
  <c r="HE28" i="5"/>
  <c r="HD28" i="5"/>
  <c r="HC28" i="5"/>
  <c r="HB28" i="5"/>
  <c r="HA28" i="5"/>
  <c r="GZ28" i="5"/>
  <c r="GY28" i="5"/>
  <c r="GX28" i="5"/>
  <c r="GW28" i="5"/>
  <c r="GV28" i="5"/>
  <c r="GU28" i="5"/>
  <c r="GT28" i="5"/>
  <c r="GS28" i="5"/>
  <c r="GR28" i="5"/>
  <c r="GQ28" i="5"/>
  <c r="GP28" i="5"/>
  <c r="GO28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GB28" i="5"/>
  <c r="GA28" i="5"/>
  <c r="FZ28" i="5"/>
  <c r="FY28" i="5"/>
  <c r="FX28" i="5"/>
  <c r="FW28" i="5"/>
  <c r="FV28" i="5"/>
  <c r="FU28" i="5"/>
  <c r="FT28" i="5"/>
  <c r="FS28" i="5"/>
  <c r="FR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IV27" i="5"/>
  <c r="IU27" i="5"/>
  <c r="IT27" i="5"/>
  <c r="IS27" i="5"/>
  <c r="IR27" i="5"/>
  <c r="IQ27" i="5"/>
  <c r="IP27" i="5"/>
  <c r="IO27" i="5"/>
  <c r="IN27" i="5"/>
  <c r="IM27" i="5"/>
  <c r="IL27" i="5"/>
  <c r="IK27" i="5"/>
  <c r="IJ27" i="5"/>
  <c r="II27" i="5"/>
  <c r="IH27" i="5"/>
  <c r="IG27" i="5"/>
  <c r="IF27" i="5"/>
  <c r="IE27" i="5"/>
  <c r="ID27" i="5"/>
  <c r="IC27" i="5"/>
  <c r="IB27" i="5"/>
  <c r="IA27" i="5"/>
  <c r="HZ27" i="5"/>
  <c r="HY27" i="5"/>
  <c r="HX27" i="5"/>
  <c r="HW27" i="5"/>
  <c r="HV27" i="5"/>
  <c r="HU27" i="5"/>
  <c r="HT27" i="5"/>
  <c r="HS27" i="5"/>
  <c r="HR27" i="5"/>
  <c r="HQ27" i="5"/>
  <c r="HP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GV27" i="5"/>
  <c r="GU27" i="5"/>
  <c r="GT27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GB27" i="5"/>
  <c r="GA27" i="5"/>
  <c r="FZ27" i="5"/>
  <c r="FY27" i="5"/>
  <c r="FX27" i="5"/>
  <c r="FW27" i="5"/>
  <c r="FV27" i="5"/>
  <c r="FU27" i="5"/>
  <c r="FT27" i="5"/>
  <c r="FS27" i="5"/>
  <c r="FR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IV26" i="5"/>
  <c r="IU26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IH26" i="5"/>
  <c r="IG26" i="5"/>
  <c r="IF26" i="5"/>
  <c r="IE26" i="5"/>
  <c r="ID26" i="5"/>
  <c r="IC26" i="5"/>
  <c r="IB26" i="5"/>
  <c r="IA26" i="5"/>
  <c r="HZ26" i="5"/>
  <c r="HY26" i="5"/>
  <c r="HX26" i="5"/>
  <c r="HW26" i="5"/>
  <c r="HV26" i="5"/>
  <c r="HU26" i="5"/>
  <c r="HT26" i="5"/>
  <c r="HS26" i="5"/>
  <c r="HR26" i="5"/>
  <c r="HQ26" i="5"/>
  <c r="HP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GV26" i="5"/>
  <c r="GU26" i="5"/>
  <c r="GT26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IV25" i="5"/>
  <c r="IU25" i="5"/>
  <c r="IT25" i="5"/>
  <c r="IS25" i="5"/>
  <c r="IR25" i="5"/>
  <c r="IQ25" i="5"/>
  <c r="IP25" i="5"/>
  <c r="IO25" i="5"/>
  <c r="IN25" i="5"/>
  <c r="IM25" i="5"/>
  <c r="IL25" i="5"/>
  <c r="IK25" i="5"/>
  <c r="IJ25" i="5"/>
  <c r="II25" i="5"/>
  <c r="IH25" i="5"/>
  <c r="IG25" i="5"/>
  <c r="IF25" i="5"/>
  <c r="IE25" i="5"/>
  <c r="ID25" i="5"/>
  <c r="IC25" i="5"/>
  <c r="IB25" i="5"/>
  <c r="IA25" i="5"/>
  <c r="HZ25" i="5"/>
  <c r="HY25" i="5"/>
  <c r="HX25" i="5"/>
  <c r="HW25" i="5"/>
  <c r="HV25" i="5"/>
  <c r="HU25" i="5"/>
  <c r="HT25" i="5"/>
  <c r="HS25" i="5"/>
  <c r="HR25" i="5"/>
  <c r="HQ25" i="5"/>
  <c r="HP25" i="5"/>
  <c r="HO25" i="5"/>
  <c r="HN25" i="5"/>
  <c r="HM25" i="5"/>
  <c r="HL25" i="5"/>
  <c r="HK25" i="5"/>
  <c r="HJ25" i="5"/>
  <c r="HI25" i="5"/>
  <c r="HH25" i="5"/>
  <c r="HG25" i="5"/>
  <c r="HF25" i="5"/>
  <c r="HE25" i="5"/>
  <c r="HD25" i="5"/>
  <c r="HC25" i="5"/>
  <c r="HB25" i="5"/>
  <c r="HA25" i="5"/>
  <c r="GZ25" i="5"/>
  <c r="GY25" i="5"/>
  <c r="GX25" i="5"/>
  <c r="GW25" i="5"/>
  <c r="GV25" i="5"/>
  <c r="GU25" i="5"/>
  <c r="GT25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GB25" i="5"/>
  <c r="GA25" i="5"/>
  <c r="FZ25" i="5"/>
  <c r="FY25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IV24" i="5"/>
  <c r="IU24" i="5"/>
  <c r="IT24" i="5"/>
  <c r="IS24" i="5"/>
  <c r="IR24" i="5"/>
  <c r="IQ24" i="5"/>
  <c r="IP24" i="5"/>
  <c r="IO24" i="5"/>
  <c r="IN24" i="5"/>
  <c r="IM24" i="5"/>
  <c r="IL24" i="5"/>
  <c r="IK24" i="5"/>
  <c r="IJ24" i="5"/>
  <c r="II24" i="5"/>
  <c r="IH24" i="5"/>
  <c r="IG24" i="5"/>
  <c r="IF24" i="5"/>
  <c r="IE24" i="5"/>
  <c r="ID24" i="5"/>
  <c r="IC24" i="5"/>
  <c r="IB24" i="5"/>
  <c r="IA24" i="5"/>
  <c r="HZ24" i="5"/>
  <c r="HY24" i="5"/>
  <c r="HX24" i="5"/>
  <c r="HW24" i="5"/>
  <c r="HV24" i="5"/>
  <c r="HU24" i="5"/>
  <c r="HT24" i="5"/>
  <c r="HS24" i="5"/>
  <c r="HR24" i="5"/>
  <c r="HQ24" i="5"/>
  <c r="HP24" i="5"/>
  <c r="HO24" i="5"/>
  <c r="HN24" i="5"/>
  <c r="HM24" i="5"/>
  <c r="HL24" i="5"/>
  <c r="HK24" i="5"/>
  <c r="HJ24" i="5"/>
  <c r="HI24" i="5"/>
  <c r="HH24" i="5"/>
  <c r="HG24" i="5"/>
  <c r="HF24" i="5"/>
  <c r="HE24" i="5"/>
  <c r="HD24" i="5"/>
  <c r="HC24" i="5"/>
  <c r="HB24" i="5"/>
  <c r="HA24" i="5"/>
  <c r="GZ24" i="5"/>
  <c r="GY24" i="5"/>
  <c r="GX24" i="5"/>
  <c r="GW24" i="5"/>
  <c r="GV24" i="5"/>
  <c r="GU24" i="5"/>
  <c r="GT24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IV23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/>
  <c r="IF23" i="5"/>
  <c r="IE23" i="5"/>
  <c r="ID23" i="5"/>
  <c r="IC23" i="5"/>
  <c r="IB23" i="5"/>
  <c r="IA23" i="5"/>
  <c r="HZ23" i="5"/>
  <c r="HY23" i="5"/>
  <c r="HX23" i="5"/>
  <c r="HW23" i="5"/>
  <c r="HV23" i="5"/>
  <c r="HU23" i="5"/>
  <c r="HT23" i="5"/>
  <c r="HS23" i="5"/>
  <c r="HR23" i="5"/>
  <c r="HQ23" i="5"/>
  <c r="HP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GV23" i="5"/>
  <c r="GU23" i="5"/>
  <c r="GT23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IV22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IG22" i="5"/>
  <c r="IF22" i="5"/>
  <c r="IE22" i="5"/>
  <c r="ID22" i="5"/>
  <c r="IC22" i="5"/>
  <c r="IB22" i="5"/>
  <c r="IA22" i="5"/>
  <c r="HZ22" i="5"/>
  <c r="HY22" i="5"/>
  <c r="HX22" i="5"/>
  <c r="HW22" i="5"/>
  <c r="HV22" i="5"/>
  <c r="HU22" i="5"/>
  <c r="HT22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IV21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IH21" i="5"/>
  <c r="IG21" i="5"/>
  <c r="IF21" i="5"/>
  <c r="IE21" i="5"/>
  <c r="ID21" i="5"/>
  <c r="IC21" i="5"/>
  <c r="IB21" i="5"/>
  <c r="IA21" i="5"/>
  <c r="HZ21" i="5"/>
  <c r="HY21" i="5"/>
  <c r="HX21" i="5"/>
  <c r="HW21" i="5"/>
  <c r="HV21" i="5"/>
  <c r="HU21" i="5"/>
  <c r="HT21" i="5"/>
  <c r="HS21" i="5"/>
  <c r="HR21" i="5"/>
  <c r="HQ21" i="5"/>
  <c r="HP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GV21" i="5"/>
  <c r="GU21" i="5"/>
  <c r="GT21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IV20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/>
  <c r="IF20" i="5"/>
  <c r="IE20" i="5"/>
  <c r="ID20" i="5"/>
  <c r="IC20" i="5"/>
  <c r="IB20" i="5"/>
  <c r="IA20" i="5"/>
  <c r="HZ20" i="5"/>
  <c r="HY20" i="5"/>
  <c r="HX20" i="5"/>
  <c r="HW20" i="5"/>
  <c r="HV20" i="5"/>
  <c r="HU20" i="5"/>
  <c r="HT20" i="5"/>
  <c r="HS20" i="5"/>
  <c r="HR20" i="5"/>
  <c r="HQ20" i="5"/>
  <c r="HP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GV20" i="5"/>
  <c r="GU20" i="5"/>
  <c r="GT20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IV19" i="5"/>
  <c r="IU19" i="5"/>
  <c r="IT19" i="5"/>
  <c r="IS19" i="5"/>
  <c r="IR19" i="5"/>
  <c r="IQ19" i="5"/>
  <c r="IP19" i="5"/>
  <c r="IO19" i="5"/>
  <c r="IN19" i="5"/>
  <c r="IM19" i="5"/>
  <c r="IL19" i="5"/>
  <c r="IK19" i="5"/>
  <c r="IJ19" i="5"/>
  <c r="II19" i="5"/>
  <c r="IH19" i="5"/>
  <c r="IG19" i="5"/>
  <c r="IF19" i="5"/>
  <c r="IE19" i="5"/>
  <c r="ID19" i="5"/>
  <c r="IC19" i="5"/>
  <c r="IB19" i="5"/>
  <c r="IA19" i="5"/>
  <c r="HZ19" i="5"/>
  <c r="HY19" i="5"/>
  <c r="HX19" i="5"/>
  <c r="HW19" i="5"/>
  <c r="HV19" i="5"/>
  <c r="HU19" i="5"/>
  <c r="HT19" i="5"/>
  <c r="HS19" i="5"/>
  <c r="HR19" i="5"/>
  <c r="HQ19" i="5"/>
  <c r="HP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GV19" i="5"/>
  <c r="GU19" i="5"/>
  <c r="GT19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IV18" i="5"/>
  <c r="IU18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IH18" i="5"/>
  <c r="IG18" i="5"/>
  <c r="IF18" i="5"/>
  <c r="IE18" i="5"/>
  <c r="ID18" i="5"/>
  <c r="IC18" i="5"/>
  <c r="IB18" i="5"/>
  <c r="IA18" i="5"/>
  <c r="HZ18" i="5"/>
  <c r="HY18" i="5"/>
  <c r="HX18" i="5"/>
  <c r="HW18" i="5"/>
  <c r="HV18" i="5"/>
  <c r="HU18" i="5"/>
  <c r="HT18" i="5"/>
  <c r="HS18" i="5"/>
  <c r="HR18" i="5"/>
  <c r="HQ18" i="5"/>
  <c r="HP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GV18" i="5"/>
  <c r="GU18" i="5"/>
  <c r="GT18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IC17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IV16" i="5"/>
  <c r="IU16" i="5"/>
  <c r="IT16" i="5"/>
  <c r="IS16" i="5"/>
  <c r="IR16" i="5"/>
  <c r="IQ16" i="5"/>
  <c r="IP16" i="5"/>
  <c r="IO16" i="5"/>
  <c r="IN16" i="5"/>
  <c r="IM16" i="5"/>
  <c r="IL16" i="5"/>
  <c r="IK16" i="5"/>
  <c r="IJ16" i="5"/>
  <c r="II16" i="5"/>
  <c r="IH16" i="5"/>
  <c r="IG16" i="5"/>
  <c r="IF16" i="5"/>
  <c r="IE16" i="5"/>
  <c r="ID16" i="5"/>
  <c r="IC16" i="5"/>
  <c r="IB16" i="5"/>
  <c r="IA16" i="5"/>
  <c r="HZ16" i="5"/>
  <c r="HY16" i="5"/>
  <c r="HX16" i="5"/>
  <c r="HW16" i="5"/>
  <c r="HV16" i="5"/>
  <c r="HU16" i="5"/>
  <c r="HT16" i="5"/>
  <c r="HS16" i="5"/>
  <c r="HR16" i="5"/>
  <c r="HQ16" i="5"/>
  <c r="HP16" i="5"/>
  <c r="HO16" i="5"/>
  <c r="HN16" i="5"/>
  <c r="HM16" i="5"/>
  <c r="HL16" i="5"/>
  <c r="HK16" i="5"/>
  <c r="HJ16" i="5"/>
  <c r="HI16" i="5"/>
  <c r="HH16" i="5"/>
  <c r="HG16" i="5"/>
  <c r="HF16" i="5"/>
  <c r="HE16" i="5"/>
  <c r="HD16" i="5"/>
  <c r="HC16" i="5"/>
  <c r="HB16" i="5"/>
  <c r="HA16" i="5"/>
  <c r="GZ16" i="5"/>
  <c r="GY16" i="5"/>
  <c r="GX16" i="5"/>
  <c r="GW16" i="5"/>
  <c r="GV16" i="5"/>
  <c r="GU16" i="5"/>
  <c r="GT16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IV12" i="5"/>
  <c r="IU12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IH12" i="5"/>
  <c r="IG12" i="5"/>
  <c r="IF12" i="5"/>
  <c r="IE12" i="5"/>
  <c r="ID12" i="5"/>
  <c r="IC12" i="5"/>
  <c r="IB12" i="5"/>
  <c r="IA12" i="5"/>
  <c r="HZ12" i="5"/>
  <c r="HY12" i="5"/>
  <c r="HX12" i="5"/>
  <c r="HW12" i="5"/>
  <c r="HV12" i="5"/>
  <c r="HU12" i="5"/>
  <c r="HT12" i="5"/>
  <c r="HS12" i="5"/>
  <c r="HR12" i="5"/>
  <c r="HQ12" i="5"/>
  <c r="HP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IC11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IC10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IV9" i="5"/>
  <c r="IU9" i="5"/>
  <c r="IT9" i="5"/>
  <c r="IS9" i="5"/>
  <c r="IR9" i="5"/>
  <c r="IQ9" i="5"/>
  <c r="IP9" i="5"/>
  <c r="IO9" i="5"/>
  <c r="IN9" i="5"/>
  <c r="IM9" i="5"/>
  <c r="IL9" i="5"/>
  <c r="IK9" i="5"/>
  <c r="IJ9" i="5"/>
  <c r="II9" i="5"/>
  <c r="IH9" i="5"/>
  <c r="IG9" i="5"/>
  <c r="IF9" i="5"/>
  <c r="IE9" i="5"/>
  <c r="ID9" i="5"/>
  <c r="IC9" i="5"/>
  <c r="IB9" i="5"/>
  <c r="IA9" i="5"/>
  <c r="HZ9" i="5"/>
  <c r="HY9" i="5"/>
  <c r="HX9" i="5"/>
  <c r="HW9" i="5"/>
  <c r="HV9" i="5"/>
  <c r="HU9" i="5"/>
  <c r="HT9" i="5"/>
  <c r="HS9" i="5"/>
  <c r="HR9" i="5"/>
  <c r="HQ9" i="5"/>
  <c r="HP9" i="5"/>
  <c r="HO9" i="5"/>
  <c r="HN9" i="5"/>
  <c r="HM9" i="5"/>
  <c r="HL9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GV9" i="5"/>
  <c r="GU9" i="5"/>
  <c r="GT9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E8" i="5"/>
  <c r="ID8" i="5"/>
  <c r="IC8" i="5"/>
  <c r="IB8" i="5"/>
  <c r="IA8" i="5"/>
  <c r="HZ8" i="5"/>
  <c r="HY8" i="5"/>
  <c r="HX8" i="5"/>
  <c r="HW8" i="5"/>
  <c r="HV8" i="5"/>
  <c r="HU8" i="5"/>
  <c r="HT8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IV5" i="5"/>
  <c r="IU5" i="5"/>
  <c r="IT5" i="5"/>
  <c r="IS5" i="5"/>
  <c r="IR5" i="5"/>
  <c r="IQ5" i="5"/>
  <c r="IP5" i="5"/>
  <c r="IO5" i="5"/>
  <c r="IN5" i="5"/>
  <c r="IM5" i="5"/>
  <c r="IL5" i="5"/>
  <c r="IK5" i="5"/>
  <c r="IJ5" i="5"/>
  <c r="II5" i="5"/>
  <c r="IH5" i="5"/>
  <c r="IG5" i="5"/>
  <c r="IF5" i="5"/>
  <c r="IE5" i="5"/>
  <c r="ID5" i="5"/>
  <c r="IC5" i="5"/>
  <c r="IB5" i="5"/>
  <c r="IA5" i="5"/>
  <c r="HZ5" i="5"/>
  <c r="HY5" i="5"/>
  <c r="HX5" i="5"/>
  <c r="HW5" i="5"/>
  <c r="HV5" i="5"/>
  <c r="HU5" i="5"/>
  <c r="HT5" i="5"/>
  <c r="HS5" i="5"/>
  <c r="HR5" i="5"/>
  <c r="HQ5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IV4" i="5"/>
  <c r="IU4" i="5"/>
  <c r="IT4" i="5"/>
  <c r="IS4" i="5"/>
  <c r="IR4" i="5"/>
  <c r="IQ4" i="5"/>
  <c r="IP4" i="5"/>
  <c r="IO4" i="5"/>
  <c r="IN4" i="5"/>
  <c r="IM4" i="5"/>
  <c r="IL4" i="5"/>
  <c r="IK4" i="5"/>
  <c r="IJ4" i="5"/>
  <c r="II4" i="5"/>
  <c r="IH4" i="5"/>
  <c r="IG4" i="5"/>
  <c r="IF4" i="5"/>
  <c r="IE4" i="5"/>
  <c r="ID4" i="5"/>
  <c r="IC4" i="5"/>
  <c r="IB4" i="5"/>
  <c r="IA4" i="5"/>
  <c r="HZ4" i="5"/>
  <c r="HY4" i="5"/>
  <c r="HX4" i="5"/>
  <c r="HW4" i="5"/>
  <c r="HV4" i="5"/>
  <c r="HU4" i="5"/>
  <c r="HT4" i="5"/>
  <c r="HS4" i="5"/>
  <c r="HR4" i="5"/>
  <c r="HQ4" i="5"/>
  <c r="HP4" i="5"/>
  <c r="HO4" i="5"/>
  <c r="HN4" i="5"/>
  <c r="HM4" i="5"/>
  <c r="HL4" i="5"/>
  <c r="HK4" i="5"/>
  <c r="HJ4" i="5"/>
  <c r="HI4" i="5"/>
  <c r="HH4" i="5"/>
  <c r="HG4" i="5"/>
  <c r="HF4" i="5"/>
  <c r="HE4" i="5"/>
  <c r="HD4" i="5"/>
  <c r="HC4" i="5"/>
  <c r="HB4" i="5"/>
  <c r="HA4" i="5"/>
  <c r="GZ4" i="5"/>
  <c r="GY4" i="5"/>
  <c r="GX4" i="5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IV3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N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AM2" i="5"/>
  <c r="AO2" i="5" l="1"/>
  <c r="FN48" i="5" l="1"/>
</calcChain>
</file>

<file path=xl/sharedStrings.xml><?xml version="1.0" encoding="utf-8"?>
<sst xmlns="http://schemas.openxmlformats.org/spreadsheetml/2006/main" count="10854" uniqueCount="2902">
  <si>
    <t>Planner Code</t>
  </si>
  <si>
    <t>VST5G</t>
  </si>
  <si>
    <t>Row Labels</t>
  </si>
  <si>
    <t>Description</t>
  </si>
  <si>
    <t>Sum of Q1'20 SO+FCST+SS 50% Qty</t>
  </si>
  <si>
    <t>130503A-00L</t>
  </si>
  <si>
    <t>MODULE ASSEMBLY, MMRH-5582, 0 SWITCH</t>
  </si>
  <si>
    <t>130503A-01L</t>
  </si>
  <si>
    <t>MODULE ASSEMBLY, MMRH-5582, 1 SWITCH</t>
  </si>
  <si>
    <t>130503A-02L</t>
  </si>
  <si>
    <t>MODULE ASSEMBLY, MMRH-5582, 2 SWITCHES</t>
  </si>
  <si>
    <t>130503B-00L</t>
  </si>
  <si>
    <t>130572A-01L</t>
  </si>
  <si>
    <t>PXIE-5830 VST - 5 - 12 GHZ</t>
  </si>
  <si>
    <t>144193C-01L</t>
  </si>
  <si>
    <t>CCA,PXIE-3622 IF BOARD</t>
  </si>
  <si>
    <t>144193C-02L</t>
  </si>
  <si>
    <t>CCA,PXIE-3622 IF BOARD (NON-EXPORT)</t>
  </si>
  <si>
    <t>144196D-01L</t>
  </si>
  <si>
    <t>CCA, PXIE-3622 MODEM BOARD</t>
  </si>
  <si>
    <t>144199C-01L</t>
  </si>
  <si>
    <t>CCA,PXIE-3622 LO1 BOARD</t>
  </si>
  <si>
    <t>145871C-01L</t>
  </si>
  <si>
    <t>MODULE ASSEMBLY, PXIE-3622, IF/LO MODULE</t>
  </si>
  <si>
    <t>145871C-02L</t>
  </si>
  <si>
    <t>MODULE ASSEMBLY, PXIE-3622, IF/LO MODULE (NON-EXPORT)</t>
  </si>
  <si>
    <t>145871C-55L</t>
  </si>
  <si>
    <t>MODULE ASSEMBLY, PXIE-3622, IF/LO MODULE (NON-EXPORT), STS</t>
  </si>
  <si>
    <t>148933B-01L</t>
  </si>
  <si>
    <t>CCA,ATLAS 2.0 POWER AND CONTROL BOARD</t>
  </si>
  <si>
    <t>148936A-01L</t>
  </si>
  <si>
    <t>CCA,ATLAS 2.0 ACCESSORY</t>
  </si>
  <si>
    <t>149021D-03L</t>
  </si>
  <si>
    <t>PXIE-5831 MMWAVE VST - IF</t>
  </si>
  <si>
    <t>149021D-04L</t>
  </si>
  <si>
    <t>PXIE-5831 MMWAVE VST - ONE HEAD (NO SWITCH)</t>
  </si>
  <si>
    <t>149021D-06L</t>
  </si>
  <si>
    <t>PXIE-5831 MMWAVE VST - TWO HEADS (NO SWITCH, NO SWITCH)</t>
  </si>
  <si>
    <t>149021D-07L</t>
  </si>
  <si>
    <t>PXIE-5831 MMWAVE VST - TWO HEADS (NO SWITCH, TWO SWITCHES)</t>
  </si>
  <si>
    <t>149021D-211L</t>
  </si>
  <si>
    <t>PXIE-5831 MMWAVE VST - TWO HEADS (ONE SWITCH, ONE SWITCH)</t>
  </si>
  <si>
    <t>149021D-55L</t>
  </si>
  <si>
    <t>MMWAVE VST - IF (STS)</t>
  </si>
  <si>
    <t>149134B-01L</t>
  </si>
  <si>
    <t>CCA,COONAWARRA, HIGH POWER MMWAVE BIAS BOARD</t>
  </si>
  <si>
    <t>149900B-01L</t>
  </si>
  <si>
    <t>CCA,5-21 GHZ DIFFERENTIAL POWER DIVIDER, BEND RIGHT</t>
  </si>
  <si>
    <t>149903B-01L</t>
  </si>
  <si>
    <t>CCA,5-21 GHZ DIFFERENTIAL POWER DIVIDER, BEND LEFT</t>
  </si>
  <si>
    <t>Grand Total</t>
  </si>
  <si>
    <t>Part Number</t>
  </si>
  <si>
    <t>GPN</t>
  </si>
  <si>
    <t>Item Source</t>
  </si>
  <si>
    <t>Q1'20 SO+FCST+SS 50% Qty</t>
  </si>
  <si>
    <t>130140A-01</t>
  </si>
  <si>
    <t>130140X-01</t>
  </si>
  <si>
    <t>ASSY, REPLACEMENT FANS, PXIE-1092</t>
  </si>
  <si>
    <t>PEN SA</t>
  </si>
  <si>
    <t>CHASSIS</t>
  </si>
  <si>
    <t>130182A-01L</t>
  </si>
  <si>
    <t>130182X-01L</t>
  </si>
  <si>
    <t>ASSY, STS, T4M2, CORNER 3</t>
  </si>
  <si>
    <t>STSFR</t>
  </si>
  <si>
    <t>130297A-01L</t>
  </si>
  <si>
    <t>130297X-01L</t>
  </si>
  <si>
    <t>CCA,VARIABLE DELAY GENERATOR,4GHZ,COARSE TUNE,VRTS</t>
  </si>
  <si>
    <t>RFSV</t>
  </si>
  <si>
    <t>130304B-01L</t>
  </si>
  <si>
    <t>130304X-01L</t>
  </si>
  <si>
    <t>CCA,VARIABLE DELAY GENERATOR,4GHZ,FINE TUNE,VRTS</t>
  </si>
  <si>
    <t>130307B-01L</t>
  </si>
  <si>
    <t>130307X-01L</t>
  </si>
  <si>
    <t>CCA,IF,CARMEL</t>
  </si>
  <si>
    <t>130310A-01L</t>
  </si>
  <si>
    <t>130310X-01L</t>
  </si>
  <si>
    <t>ASSY, STS, SMA TO ADAPTOR KIT, T1M2, T2M2</t>
  </si>
  <si>
    <t>130310B-02L</t>
  </si>
  <si>
    <t>130310X-02L</t>
  </si>
  <si>
    <t>ASSY, STS, SMA TO ADAPTOR KIT, T4M2</t>
  </si>
  <si>
    <t>130503X-00L</t>
  </si>
  <si>
    <t>130503X-01L</t>
  </si>
  <si>
    <t>130503X-02L</t>
  </si>
  <si>
    <t>130572X-01L</t>
  </si>
  <si>
    <t>131046B-01L</t>
  </si>
  <si>
    <t>131046X-01L</t>
  </si>
  <si>
    <t>CCA,VDG,4GHZ,RX OPTICAL TO RF POSTAGE STAMP</t>
  </si>
  <si>
    <t>131049B-01L</t>
  </si>
  <si>
    <t>131049X-01L</t>
  </si>
  <si>
    <t>CCA,VDG,4GHZ,TX RF TO OPTICAL POSTAGE STAMP</t>
  </si>
  <si>
    <t>131437A-01L</t>
  </si>
  <si>
    <t>131437X-01L</t>
  </si>
  <si>
    <t>CCA,STS, T1M2 POWER DISTRIBUTION AND IO_CTRL BOARD</t>
  </si>
  <si>
    <t>131440A-01L</t>
  </si>
  <si>
    <t>131440X-01L</t>
  </si>
  <si>
    <t>CCA,STS T1M2 SOM CARRIER BOARD</t>
  </si>
  <si>
    <t>131500A-01L</t>
  </si>
  <si>
    <t>131500X-01L</t>
  </si>
  <si>
    <t>CCA,CALIBRATION LOAD BOARD P143 ID EEPROM, STS</t>
  </si>
  <si>
    <t>131581B-01L</t>
  </si>
  <si>
    <t>131581X-01L</t>
  </si>
  <si>
    <t>SUBASSY, BASEMENT, M2T4, 5G BARCELONA</t>
  </si>
  <si>
    <t>131582B-01L</t>
  </si>
  <si>
    <t>131582X-01L</t>
  </si>
  <si>
    <t>SUBASSY, BUCKET, M2T4, 5G BARCELONA</t>
  </si>
  <si>
    <t>131650A-01L</t>
  </si>
  <si>
    <t>131650X-01L</t>
  </si>
  <si>
    <t>ASSY, STS, T1M2, ELECTRICAL BOX</t>
  </si>
  <si>
    <t>131679A-01L</t>
  </si>
  <si>
    <t>131679X-01L</t>
  </si>
  <si>
    <t>MODULE ASSY, STS T1M2 SOM SET</t>
  </si>
  <si>
    <t>131698A-01</t>
  </si>
  <si>
    <t>131698X-01</t>
  </si>
  <si>
    <t>ASSY, STS, T4M2, DX, DIRECT DOCK FOR MMWAVE, TEST HEAD</t>
  </si>
  <si>
    <t>131791C-01L</t>
  </si>
  <si>
    <t>131791X-01L</t>
  </si>
  <si>
    <t>ASSEMBLY,GANGED ADAPTER,SMPM TO 2.4, MINI-DIB, MMRH-5582</t>
  </si>
  <si>
    <t>MCT</t>
  </si>
  <si>
    <t>131796C-01L</t>
  </si>
  <si>
    <t>131796X-01L</t>
  </si>
  <si>
    <t>MODULE ASSY, SWITCH, SP8T, 23-45GHZ, MMSW-2795 WITH MINIDIB - MMRH-5582</t>
  </si>
  <si>
    <t>131847A-01</t>
  </si>
  <si>
    <t>131847X-01</t>
  </si>
  <si>
    <t>ASSY, STS SYSTEM, NI STS T4M2 DX FOR SPIL BS LNA</t>
  </si>
  <si>
    <t>STS</t>
  </si>
  <si>
    <t>131895A-01</t>
  </si>
  <si>
    <t>131895X-01</t>
  </si>
  <si>
    <t>ASSY, STS SYSTEM, NI SINGLE SITE T4M2 BASE MMWAVE</t>
  </si>
  <si>
    <t>131896A-01</t>
  </si>
  <si>
    <t>131896X-01</t>
  </si>
  <si>
    <t>ASSY, STS SYSTEM,NI DUAL SITE T4M2 BASE MMWAVE</t>
  </si>
  <si>
    <t>STS5G</t>
  </si>
  <si>
    <t>131899A-01</t>
  </si>
  <si>
    <t>131899X-01</t>
  </si>
  <si>
    <t>ASSY, STS SYSTEM, NI STS T4M2 DX FOR NI 5G MMW FT</t>
  </si>
  <si>
    <t>131915A-01</t>
  </si>
  <si>
    <t>131915X-01</t>
  </si>
  <si>
    <t>ASSY, STS SYSTEM, NI STS T2M2 DX FOR ADI RF2-T2</t>
  </si>
  <si>
    <t>132212A-01</t>
  </si>
  <si>
    <t>132212X-01</t>
  </si>
  <si>
    <t>AC-DC POWER SUPPLY, PXIE CHASSIS, 1200W, 1U, REMOVABLE,NI HI-POT TESTED</t>
  </si>
  <si>
    <t>132304A-01</t>
  </si>
  <si>
    <t>132304X-01</t>
  </si>
  <si>
    <t>ASSY, STS SYSTEM, NI STS T4M2 DX FEM_QUAL_RF</t>
  </si>
  <si>
    <t>132578A-01</t>
  </si>
  <si>
    <t>132578X-01</t>
  </si>
  <si>
    <t>ASSY, STS SYSTEM, NI STS T4M2 DX FOR ADI TPG 2.0</t>
  </si>
  <si>
    <t>140001B-03L</t>
  </si>
  <si>
    <t>140001X-03L</t>
  </si>
  <si>
    <t>MODULE ASSY,CDA-2990,8 CHANNEL CLOCK DISTRIBUTION SYSTEM</t>
  </si>
  <si>
    <t>SDRUSRP</t>
  </si>
  <si>
    <t>140001B-04L</t>
  </si>
  <si>
    <t>140001X-04L</t>
  </si>
  <si>
    <t>MODULE ASSY,CDA-2990,8 CHANNEL CLOCK DISTRIBUTION SYSTEM WITH INTEGRATED GPSDO</t>
  </si>
  <si>
    <t>140081C-01L</t>
  </si>
  <si>
    <t>140081X-01L</t>
  </si>
  <si>
    <t>CCA, BACKPLANE, PXIE-1088 VCXO</t>
  </si>
  <si>
    <t>140171B-01L</t>
  </si>
  <si>
    <t>140171X-01L</t>
  </si>
  <si>
    <t>MODULE ASSEMBLY,PORT MODULE,NI 5533, DRA</t>
  </si>
  <si>
    <t>RF</t>
  </si>
  <si>
    <t>140172B-01L</t>
  </si>
  <si>
    <t>140172X-01L</t>
  </si>
  <si>
    <t>CCA, POWER SWITCH/LED DRIVER BOARD, PXIE-1084</t>
  </si>
  <si>
    <t>140287C-01L</t>
  </si>
  <si>
    <t>140287X-01L</t>
  </si>
  <si>
    <t>CCA, PXIE-8267 M.2 STORAGE CARD</t>
  </si>
  <si>
    <t>CONT</t>
  </si>
  <si>
    <t>140605C-01L</t>
  </si>
  <si>
    <t>140605X-01L</t>
  </si>
  <si>
    <t>MODULE ASSEMBLY,USRP E312</t>
  </si>
  <si>
    <t>140641D-01L</t>
  </si>
  <si>
    <t>140641X-01L</t>
  </si>
  <si>
    <t>CCA,SLSC BACKPLANE</t>
  </si>
  <si>
    <t>140652D-01L</t>
  </si>
  <si>
    <t>140652X-01L</t>
  </si>
  <si>
    <t>CCA,PXIE-8301</t>
  </si>
  <si>
    <t>140661C-01L</t>
  </si>
  <si>
    <t>140661X-01L</t>
  </si>
  <si>
    <t>CCA,PXIE-1084/1092 10 MHZ OCXO BOARD</t>
  </si>
  <si>
    <t>140968A-01L</t>
  </si>
  <si>
    <t>140968X-01L</t>
  </si>
  <si>
    <t>CCA,SLSC BATTERY/LED</t>
  </si>
  <si>
    <t>DAQSC</t>
  </si>
  <si>
    <t>141046A-01L</t>
  </si>
  <si>
    <t>141046X-01L</t>
  </si>
  <si>
    <t>CCA,VST 2.0 POWER MEZZANINE</t>
  </si>
  <si>
    <t>VST</t>
  </si>
  <si>
    <t>141064D-01L</t>
  </si>
  <si>
    <t>141064X-01L</t>
  </si>
  <si>
    <t>MODULE ASSEMBLY,USRP N310</t>
  </si>
  <si>
    <t>141064D-02L</t>
  </si>
  <si>
    <t>141064X-02L</t>
  </si>
  <si>
    <t>MODULE ASSEMBLY,USRP N300 WITHOUT TPM</t>
  </si>
  <si>
    <t>141064D-03L</t>
  </si>
  <si>
    <t>141064X-03L</t>
  </si>
  <si>
    <t>MODULE ASSEMBLY,USRP N310 WITHOUT TPM</t>
  </si>
  <si>
    <t>141104A-01L</t>
  </si>
  <si>
    <t>141104X-01L</t>
  </si>
  <si>
    <t>CCA,PXIE-8399 DAUGHTER CARD</t>
  </si>
  <si>
    <t>141172B-01</t>
  </si>
  <si>
    <t>141172X-01</t>
  </si>
  <si>
    <t>SHIELD ASSY, COVER, RF, PXIE-5840 WILLY 1.1</t>
  </si>
  <si>
    <t>FIP</t>
  </si>
  <si>
    <t>141176B-01</t>
  </si>
  <si>
    <t>141176X-01</t>
  </si>
  <si>
    <t>SHIELD ASSY, SPACER, BASEBAND/RF, PXIE-5841</t>
  </si>
  <si>
    <t>141190A-03L</t>
  </si>
  <si>
    <t>141190X-03L</t>
  </si>
  <si>
    <t>CCA,VST 2.0 NANO PITCH DIO TEST FIXTURE-CUSTOMER BOARD.</t>
  </si>
  <si>
    <t>141327E-01L</t>
  </si>
  <si>
    <t>141327X-01L</t>
  </si>
  <si>
    <t>CCA,USRP N310,DAUGHTERBOARD,AD9371,JESD204B</t>
  </si>
  <si>
    <t>141631B-01L</t>
  </si>
  <si>
    <t>141631X-01L</t>
  </si>
  <si>
    <t>CCA,STS DIGITAL TIMING MULTIPLEXING CALIBRATION LOAD BOARD (28 POGO BLOCKS)</t>
  </si>
  <si>
    <t>STS1</t>
  </si>
  <si>
    <t>141631C-01L</t>
  </si>
  <si>
    <t>CCA,STS DIGITAL TIMING MULTIPLEXING CALIBRATION LOAD BOARD (28 POGO BLOCKS),ESD PROTECTED</t>
  </si>
  <si>
    <t>141634E-01L</t>
  </si>
  <si>
    <t>141634X-01L</t>
  </si>
  <si>
    <t>MODULE ASSEMBLY,USRP E313,IP67 ENCLOSURE</t>
  </si>
  <si>
    <t>141642B-03L</t>
  </si>
  <si>
    <t>141642X-03L</t>
  </si>
  <si>
    <t>MODULE ASSEMBLY,SYDNEY,BB,SISO,RX/TX</t>
  </si>
  <si>
    <t>SDRRF</t>
  </si>
  <si>
    <t>141642B-13L</t>
  </si>
  <si>
    <t>141642X-13L</t>
  </si>
  <si>
    <t>MODULE ASSEMBLY,SYDNEY,BB+IF,SISO,RX/TX</t>
  </si>
  <si>
    <t>141642B-14L</t>
  </si>
  <si>
    <t>141642X-14L</t>
  </si>
  <si>
    <t>MODULE ASSEMBLY,SYDNEY,BB+IF,MIMO,RX/RX</t>
  </si>
  <si>
    <t>141642B-15L</t>
  </si>
  <si>
    <t>141642X-15L</t>
  </si>
  <si>
    <t>MODULE ASSEMBLY,SYDNEY,BB+IF,MIMO,TX/TX</t>
  </si>
  <si>
    <t>141642B-16L</t>
  </si>
  <si>
    <t>141642X-16L</t>
  </si>
  <si>
    <t>MODULE ASSEMBLY,SYDNEY,BB+IF,MIMO,DUAL RX/TX</t>
  </si>
  <si>
    <t>141687A-01L</t>
  </si>
  <si>
    <t>141687X-01L</t>
  </si>
  <si>
    <t>NI HSDIO TIMING VERIFY CALIBRATION LOAD BOARD</t>
  </si>
  <si>
    <t>141687C-01L</t>
  </si>
  <si>
    <t>MODULE, TIMING CALIBRATION, STS-DIO-01, 28 BLOCKS</t>
  </si>
  <si>
    <t>141751B-01L</t>
  </si>
  <si>
    <t>141751X-01L</t>
  </si>
  <si>
    <t>CHASSIS ASSEMBLY, SLSC-12001</t>
  </si>
  <si>
    <t>141884C-01L</t>
  </si>
  <si>
    <t>141884X-01L</t>
  </si>
  <si>
    <t>CHASSIS ASSEMBLY, PXIE-1088</t>
  </si>
  <si>
    <t>141894A-01L</t>
  </si>
  <si>
    <t>141894X-01L</t>
  </si>
  <si>
    <t>TEKTRONIX RSA7100A REAL-TIME SIGNAL ANALYZER</t>
  </si>
  <si>
    <t>141894B-01L</t>
  </si>
  <si>
    <t>OEM 26.5 GHZ VECTOR SIGNAL ANALYZER WITH 320 / 765 MHZ BANDWIDTH - FACTORY/ACCREDITED CAL</t>
  </si>
  <si>
    <t>141895B-01L</t>
  </si>
  <si>
    <t>141895X-01L</t>
  </si>
  <si>
    <t>TEKTRONIX RSA7100A REAL-TIME SIGNAL ANALYZER WITH GPS</t>
  </si>
  <si>
    <t>141895C-01L</t>
  </si>
  <si>
    <t>OEM 26.5 GHZ VECTOR SIGNAL ANALYZER WITH 320 / 765 MHZ BANDWIDTH, GPS - FACTORY/ACCREDITED CAL</t>
  </si>
  <si>
    <t>142041A-01L</t>
  </si>
  <si>
    <t>142041X-01L</t>
  </si>
  <si>
    <t>CCA,ATLAS POWER AND CONTROL BOARD</t>
  </si>
  <si>
    <t>142044C-01L</t>
  </si>
  <si>
    <t>142044X-01L</t>
  </si>
  <si>
    <t>CCA,ATLAS INTERFACE BOARD</t>
  </si>
  <si>
    <t>142173C-01L</t>
  </si>
  <si>
    <t>142173X-01L</t>
  </si>
  <si>
    <t>CCA,PXIE-8861,SKYLAKE H,CPU CARD</t>
  </si>
  <si>
    <t>142176D-01L</t>
  </si>
  <si>
    <t>142176X-01L</t>
  </si>
  <si>
    <t>CCA,PXIE-8861, SKYLAKE H, IO CARD M.2 VARIANT,WITHOUT TPM</t>
  </si>
  <si>
    <t>142176D-02L</t>
  </si>
  <si>
    <t>142176X-02L</t>
  </si>
  <si>
    <t>CCA,PXIE-8861, SKYLAKE H, IO CARD M.2 VARIANT</t>
  </si>
  <si>
    <t>142176D-03L</t>
  </si>
  <si>
    <t>142176X-03L</t>
  </si>
  <si>
    <t>CCA,PXIE-8861, SKYLAKE H, IO CARD, REMOVABLE DRIVE VARIANT</t>
  </si>
  <si>
    <t>142292A-011L</t>
  </si>
  <si>
    <t>142292X-011L</t>
  </si>
  <si>
    <t>MODULE ASSY,NI PXIE-8821 CORE I3-4110E 2.6GHZ CONTROLLER,DUAL CORE,LOCALIZED OS</t>
  </si>
  <si>
    <t>142292A-111L</t>
  </si>
  <si>
    <t>142292X-111L</t>
  </si>
  <si>
    <t>MODULE ASSY,NI PXIE-8821 CORE I3-4110E 2.6GHZ CONTROLLER,DUAL CORE,WIN 7 (64-BIT)</t>
  </si>
  <si>
    <t>142292A-311L</t>
  </si>
  <si>
    <t>142292X-311L</t>
  </si>
  <si>
    <t>MODULE ASSY,NI PXIE-8821 CORE I3-4110E 2.6GHZ CONTROLLER,DUAL CORE,WIN IOT</t>
  </si>
  <si>
    <t>142292A-351L</t>
  </si>
  <si>
    <t>142292X-351L</t>
  </si>
  <si>
    <t>MODULE ASSY,NI PXIE-8821 CORE I3-4110E 2.6GHZ CONTROLLER,DUAL CORE,WIN IOT, SIMPLIFIED CHINESE</t>
  </si>
  <si>
    <t>142299E-02L</t>
  </si>
  <si>
    <t>142299X-02L</t>
  </si>
  <si>
    <t>ASSY, NI STS-5534 RF HIGH POWER ASSEMBLY, 700M-6GHZ, DUAL DRA, 2RX/2TX</t>
  </si>
  <si>
    <t>142467B-01L</t>
  </si>
  <si>
    <t>142467X-01L</t>
  </si>
  <si>
    <t>CCA,NI PXIE-8238/8240 OCP CARRIER</t>
  </si>
  <si>
    <t>142470B-010L</t>
  </si>
  <si>
    <t>142470X-010L</t>
  </si>
  <si>
    <t>MODULE ASSY, NI PXIE-8238 10 GIGABIT ETHERNET</t>
  </si>
  <si>
    <t>142470B-040L</t>
  </si>
  <si>
    <t>142470X-040L</t>
  </si>
  <si>
    <t>MODULE ASSY, NI PXIE-8240 40 GIGABIT ETHERNET</t>
  </si>
  <si>
    <t>142471C-01L</t>
  </si>
  <si>
    <t>142471X-01L</t>
  </si>
  <si>
    <t>MODULE ASSEMBLY, VB-8054</t>
  </si>
  <si>
    <t>VB</t>
  </si>
  <si>
    <t>142735A-01L</t>
  </si>
  <si>
    <t>142735X-01L</t>
  </si>
  <si>
    <t>MODULE ASSEMBLY,SYDNEY,MIMO CODING OPTION</t>
  </si>
  <si>
    <t>142818G-02L</t>
  </si>
  <si>
    <t>142818X-02L</t>
  </si>
  <si>
    <t>MOD ASSY, PXIE-5644R</t>
  </si>
  <si>
    <t>142818H-02L</t>
  </si>
  <si>
    <t>MODULE ASSEMBLY, NI PXIE-5644R</t>
  </si>
  <si>
    <t>142819F-02L</t>
  </si>
  <si>
    <t>142819X-02L</t>
  </si>
  <si>
    <t>MOD ASSY, PXIE-5645R</t>
  </si>
  <si>
    <t>142820E-01L</t>
  </si>
  <si>
    <t>142820X-01L</t>
  </si>
  <si>
    <t>MOD ASSY, PXIE-5646R</t>
  </si>
  <si>
    <t>142820F-01L</t>
  </si>
  <si>
    <t>142870H-01L</t>
  </si>
  <si>
    <t>142870X-01L</t>
  </si>
  <si>
    <t>142994A-02L</t>
  </si>
  <si>
    <t>142994X-02L</t>
  </si>
  <si>
    <t>CCA, PXIE-8821</t>
  </si>
  <si>
    <t>143125A-01L</t>
  </si>
  <si>
    <t>143125X-01L</t>
  </si>
  <si>
    <t>CCA,FREQ. SYNTH,RF MODULE,10 GHZ,FSL-0010,PMI PN 2020732-04</t>
  </si>
  <si>
    <t>143128A-01L</t>
  </si>
  <si>
    <t>143128X-01L</t>
  </si>
  <si>
    <t>CCA,FREQ. SYNTH,CPU MODULE,FSL,PMI PN 2020734-03</t>
  </si>
  <si>
    <t>143226C-01L</t>
  </si>
  <si>
    <t>143226X-01L</t>
  </si>
  <si>
    <t>CCA,BEE7-S</t>
  </si>
  <si>
    <t>SDRBEE</t>
  </si>
  <si>
    <t>143232A-02L</t>
  </si>
  <si>
    <t>143232X-02L</t>
  </si>
  <si>
    <t>FRONT PANEL ASSEMBLY, TEKTRONIX PXIE-1085 CHASSIS, NO GPS</t>
  </si>
  <si>
    <t>143232B-01L</t>
  </si>
  <si>
    <t>143232X-01L</t>
  </si>
  <si>
    <t>FRONT PANEL ASSEMBLY, TEKTRONIX PXIE-1085 CHASSIS, GPS ANTENNA</t>
  </si>
  <si>
    <t>143441C-01L</t>
  </si>
  <si>
    <t>143441X-01L</t>
  </si>
  <si>
    <t>CCA,MINI_SAS_HD_FMC</t>
  </si>
  <si>
    <t>143822A-01L</t>
  </si>
  <si>
    <t>143822X-01L</t>
  </si>
  <si>
    <t>ENCLOSURE ASSY, USRP B200MINI</t>
  </si>
  <si>
    <t>143823A-01L</t>
  </si>
  <si>
    <t>143823X-01L</t>
  </si>
  <si>
    <t>ENCLOSURE ASSY, USRP B200MINI I-GRADE</t>
  </si>
  <si>
    <t>143824A-01L</t>
  </si>
  <si>
    <t>143824X-01L</t>
  </si>
  <si>
    <t>ENCLOSURE ASSY, USRP B205MINI I-GRADE</t>
  </si>
  <si>
    <t>144152B-01L</t>
  </si>
  <si>
    <t>144152X-01L</t>
  </si>
  <si>
    <t>MODULE ASSEMBLY,ATCA-3671</t>
  </si>
  <si>
    <t>144179A-01L</t>
  </si>
  <si>
    <t>144179X-01L</t>
  </si>
  <si>
    <t>CCA,LYNX IF MMWAVE BIAS BOARD</t>
  </si>
  <si>
    <t>144179A-02L</t>
  </si>
  <si>
    <t>144179X-02L</t>
  </si>
  <si>
    <t>CCA,CARMEL IF MMWAVE BIAS BOARD</t>
  </si>
  <si>
    <t>144182A-01L</t>
  </si>
  <si>
    <t>144182X-01L</t>
  </si>
  <si>
    <t>CCA,LYNX VDG DIGITAL BOARD</t>
  </si>
  <si>
    <t>144193X-01L</t>
  </si>
  <si>
    <t>144193X-02L</t>
  </si>
  <si>
    <t>144196X-01L</t>
  </si>
  <si>
    <t>144199X-01L</t>
  </si>
  <si>
    <t>144592A-01L</t>
  </si>
  <si>
    <t>144592X-01L</t>
  </si>
  <si>
    <t>MODULE ASSEMBLY,AIO-3691</t>
  </si>
  <si>
    <t>144705C-01L</t>
  </si>
  <si>
    <t>144705X-01L</t>
  </si>
  <si>
    <t>CCA,JOHNNY CASH REV C</t>
  </si>
  <si>
    <t>ACAD</t>
  </si>
  <si>
    <t>144705C-02L</t>
  </si>
  <si>
    <t>144705X-02L</t>
  </si>
  <si>
    <t>CCA,JOHNNY CASH NON-WIFI REV C</t>
  </si>
  <si>
    <t>144765A-01L</t>
  </si>
  <si>
    <t>144765X-01L</t>
  </si>
  <si>
    <t>ASSEMBLY,ATCA-3671 PREPOPULATED (ATCA-3671,2U CHASSIS,POWER SUPPLY,4X AIO-3691,RTM-3661)</t>
  </si>
  <si>
    <t>144787C-01L</t>
  </si>
  <si>
    <t>144787X-01L</t>
  </si>
  <si>
    <t>CCA,VARIABLE DELAY GENERATOR,1M TO 9M,LYNX</t>
  </si>
  <si>
    <t>144797C-01L</t>
  </si>
  <si>
    <t>144797X-01L</t>
  </si>
  <si>
    <t>CCA,VARIABLE DELAY GENERATOR,0.1M TO 0.9M,LYNX</t>
  </si>
  <si>
    <t>145006C-01L</t>
  </si>
  <si>
    <t>145006X-01L</t>
  </si>
  <si>
    <t>CCA,POE/EXTERNAL SUPPLY FOR USRP E313</t>
  </si>
  <si>
    <t>145536A-01L</t>
  </si>
  <si>
    <t>145536X-01L</t>
  </si>
  <si>
    <t>CHASSIS ASSEMBLY, PXIE-1092</t>
  </si>
  <si>
    <t>145536A-21L</t>
  </si>
  <si>
    <t>145536X-21L</t>
  </si>
  <si>
    <t>CHASSIS ASSEMBLY, PXIE-1092, TIMING AND SYNC</t>
  </si>
  <si>
    <t>145561A-01L</t>
  </si>
  <si>
    <t>145561X-01L</t>
  </si>
  <si>
    <t>CCA,KRYPTON BASEBAND BOARD</t>
  </si>
  <si>
    <t>145581D-01L</t>
  </si>
  <si>
    <t>145581X-01L</t>
  </si>
  <si>
    <t>CCA, STS, T1M2 POWER DISTRIBUTION AND IO_CTRL BOARD</t>
  </si>
  <si>
    <t>145624D-01L</t>
  </si>
  <si>
    <t>145624X-01L</t>
  </si>
  <si>
    <t>CCA,STS T1M2 SOM DAUGHTER BOARD</t>
  </si>
  <si>
    <t>145627B-01L</t>
  </si>
  <si>
    <t>145627X-01L</t>
  </si>
  <si>
    <t>CCA,STS T1 G2 PRIMARY RCB600 BOARD</t>
  </si>
  <si>
    <t>145630A-01L</t>
  </si>
  <si>
    <t>145630X-01L</t>
  </si>
  <si>
    <t>STS T1M2 T2M2 T4M2 TEMPERATURE SENSOR BOARD ADDRESS 48H</t>
  </si>
  <si>
    <t>145697C-01L</t>
  </si>
  <si>
    <t>145697X-01L</t>
  </si>
  <si>
    <t>145831B-01L</t>
  </si>
  <si>
    <t>145831X-01L</t>
  </si>
  <si>
    <t>CCA,FREQUENCY EXTENSION FILTERS,ALC,FSW-0020-FS07,PMI PN 2020760-03</t>
  </si>
  <si>
    <t>145834A-01L</t>
  </si>
  <si>
    <t>145834X-01L</t>
  </si>
  <si>
    <t>CCA,FREQUENCY EXTENSION FILTERS,ALC,FSW-0020-FS11,PMI PN 2020760-04</t>
  </si>
  <si>
    <t>145837B-01L</t>
  </si>
  <si>
    <t>145837X-01L</t>
  </si>
  <si>
    <t>CCA,ALC AM LOGGER LINEARIZER,FSW,PMI PN 2020766-04</t>
  </si>
  <si>
    <t>145840C-01L</t>
  </si>
  <si>
    <t>145840X-01L</t>
  </si>
  <si>
    <t>CCA,KRYPTON MOTHERBOARD</t>
  </si>
  <si>
    <t>145843A-01L</t>
  </si>
  <si>
    <t>145843X-01L</t>
  </si>
  <si>
    <t>CCA,FREQ. SYNTH,RF MODULE,20 GHZ,FSL,PMI PN 2020772-04</t>
  </si>
  <si>
    <t>145871X-01L</t>
  </si>
  <si>
    <t>145871X-02L</t>
  </si>
  <si>
    <t>145871X-55L</t>
  </si>
  <si>
    <t>146351A-01L</t>
  </si>
  <si>
    <t>146351X-01L</t>
  </si>
  <si>
    <t>ASSY, STS, T1M2, REAR PANEL</t>
  </si>
  <si>
    <t>146354C-01L</t>
  </si>
  <si>
    <t>146354X-01L</t>
  </si>
  <si>
    <t>ASSY, STS, T1M2, DX, TEST HEAD</t>
  </si>
  <si>
    <t>146354D-01L</t>
  </si>
  <si>
    <t>146411B-01L</t>
  </si>
  <si>
    <t>146411X-01L</t>
  </si>
  <si>
    <t>ASSEMBLY CORNER 1 BRACKET, T1M2</t>
  </si>
  <si>
    <t>146412B-01L</t>
  </si>
  <si>
    <t>146412X-01L</t>
  </si>
  <si>
    <t>ASSEMBLY CORNER 2 BRACKET, T1M2</t>
  </si>
  <si>
    <t>146413B-01L</t>
  </si>
  <si>
    <t>146413X-01L</t>
  </si>
  <si>
    <t>ASSEMBLY CORNER 3 BRACKET, T1M2</t>
  </si>
  <si>
    <t>146414B-01L</t>
  </si>
  <si>
    <t>146414X-01L</t>
  </si>
  <si>
    <t>ASSEMBLY CORNER 4 BRACKET, T1M2</t>
  </si>
  <si>
    <t>146439B-01L</t>
  </si>
  <si>
    <t>146439X-01L</t>
  </si>
  <si>
    <t>CCA, ELVIS III, PROTOTYPING BOARD</t>
  </si>
  <si>
    <t>146455B-01L</t>
  </si>
  <si>
    <t>146455X-01L</t>
  </si>
  <si>
    <t>CCA, USRP N320 DAUGHTERBOARD, 200/400 MHZ BW (1MHZ-6GHZ)</t>
  </si>
  <si>
    <t>146589A-01L</t>
  </si>
  <si>
    <t>146589X-01L</t>
  </si>
  <si>
    <t>CCA,FREQ. SYNTH,RF MODULE,20 GHZ,FSL,PMI PN 2020772-05L</t>
  </si>
  <si>
    <t>146763A-01</t>
  </si>
  <si>
    <t>146763X-01</t>
  </si>
  <si>
    <t>ASSY,STS,T4,TEST HEAD,MODIFIED</t>
  </si>
  <si>
    <t>146764A-01</t>
  </si>
  <si>
    <t>146764X-01</t>
  </si>
  <si>
    <t>ASSY, STS, T4, DX, TEST HEAD, SINGLE TESTER, MODIFIED TOP PLATE</t>
  </si>
  <si>
    <t>146873B-01L</t>
  </si>
  <si>
    <t>146873X-01L</t>
  </si>
  <si>
    <t>MODULE ASSY, USRP 2974 HIGH PERFORMANCE EMBEDDED SDR, 10 MHZ-6 GHZ, 160 MHZ BW, 2X2, QUAD-CORE I7</t>
  </si>
  <si>
    <t>146967B-01L</t>
  </si>
  <si>
    <t>146967X-01L</t>
  </si>
  <si>
    <t>CCA,N321 LO DISTRIBUTION BOARD</t>
  </si>
  <si>
    <t>146975A-01L</t>
  </si>
  <si>
    <t>146975X-01L</t>
  </si>
  <si>
    <t>MODULE ASSEMBLY,USRP B200MINI,1X1,70MHZ-6GHZ</t>
  </si>
  <si>
    <t>146976A-01L</t>
  </si>
  <si>
    <t>146976X-01L</t>
  </si>
  <si>
    <t>MODULE ASSEMBLY,USRP B200MINI,I-GRADE,1X1,70MHZ-6GHZ</t>
  </si>
  <si>
    <t>146977A-01L</t>
  </si>
  <si>
    <t>146977X-01L</t>
  </si>
  <si>
    <t>MODULE ASSEMBLY,USRP B205MINI,I-GRADE,1X1,70MHZ-6GHZ</t>
  </si>
  <si>
    <t>146982C-01L</t>
  </si>
  <si>
    <t>146982X-01L</t>
  </si>
  <si>
    <t>CCA,USRP X410,BASECARD</t>
  </si>
  <si>
    <t>146998C-01L</t>
  </si>
  <si>
    <t>146998X-01L</t>
  </si>
  <si>
    <t>CCA,AQUILA LO</t>
  </si>
  <si>
    <t>147001C-01L</t>
  </si>
  <si>
    <t>147001X-01L</t>
  </si>
  <si>
    <t>CCA,AQUILA POWER AND REF</t>
  </si>
  <si>
    <t>147026B-01L</t>
  </si>
  <si>
    <t>147026X-01L</t>
  </si>
  <si>
    <t>CCA,TDD COMMS OPTIMIZED UBX USRP DAUGHTERBOARD,160MHZ BW (10MHZ-6GHZ)</t>
  </si>
  <si>
    <t>147054B-01L</t>
  </si>
  <si>
    <t>147054X-01L</t>
  </si>
  <si>
    <t>ASSY, STS, T1M2, CX, TEST HEAD</t>
  </si>
  <si>
    <t>147054C-01L</t>
  </si>
  <si>
    <t>147164B-01L</t>
  </si>
  <si>
    <t>147164X-01L</t>
  </si>
  <si>
    <t>MODULE ASSEMBLY,PXIE-8267 M.2 STORAGE CARD, 4 X 1TB</t>
  </si>
  <si>
    <t>147183B-01L</t>
  </si>
  <si>
    <t>147183X-01L</t>
  </si>
  <si>
    <t>CCA,QSFP+ EXTENSION BOARD</t>
  </si>
  <si>
    <t>147257A-02</t>
  </si>
  <si>
    <t>147257X-02</t>
  </si>
  <si>
    <t>ASSY, STS, T1M2, SECONDARY CBBD RCB PS KIT</t>
  </si>
  <si>
    <t>147257A-03</t>
  </si>
  <si>
    <t>147257X-03</t>
  </si>
  <si>
    <t>ASSY, STS, T1M2, SECONDARY BBBB RCB PS KIT</t>
  </si>
  <si>
    <t>147257A-04</t>
  </si>
  <si>
    <t>147257X-04</t>
  </si>
  <si>
    <t>ASSY, STS, T1M2, SECONDARY BBDD RCB PS KIT</t>
  </si>
  <si>
    <t>147257A-05</t>
  </si>
  <si>
    <t>147257X-05</t>
  </si>
  <si>
    <t>ASSY, STS, T1M2, SECONDARY DDDD RCB PS KIT</t>
  </si>
  <si>
    <t>147257A-06</t>
  </si>
  <si>
    <t>147257X-06</t>
  </si>
  <si>
    <t>ASSY, STS, T1M2, SECONDARY DBCC RCB PS KIT</t>
  </si>
  <si>
    <t>147257A-22L</t>
  </si>
  <si>
    <t>147257X-22L</t>
  </si>
  <si>
    <t>ASSY, STS, T2M2 / T4M2, SECONDARY CBBD RCB PS KIT</t>
  </si>
  <si>
    <t>147257A-23L</t>
  </si>
  <si>
    <t>147257X-23L</t>
  </si>
  <si>
    <t>ASSY, STS, T2M2 / T4M2, SECONDARY BBBB RCB PS KIT</t>
  </si>
  <si>
    <t>147257A-24L</t>
  </si>
  <si>
    <t>147257X-24L</t>
  </si>
  <si>
    <t>ASSY, STS, T2M2 / T4M2, SECONDARY BBDD RCB PS KIT</t>
  </si>
  <si>
    <t>147257A-25L</t>
  </si>
  <si>
    <t>147257X-25L</t>
  </si>
  <si>
    <t>ASSY, STS, T2M2 / T4M2, SECONDARY DDDD RCB PS KIT</t>
  </si>
  <si>
    <t>147257A-26L</t>
  </si>
  <si>
    <t>147257X-26L</t>
  </si>
  <si>
    <t>ASSY, STS, T2M2 / T4M2, SECONDARY DBCC RCB PS KIT</t>
  </si>
  <si>
    <t>147257A-33L</t>
  </si>
  <si>
    <t>147257X-33L</t>
  </si>
  <si>
    <t>ASSY, STS, T2M2/T4M2, 3RD BBBB RCB PS KIT</t>
  </si>
  <si>
    <t>147261A-01L</t>
  </si>
  <si>
    <t>147261X-01L</t>
  </si>
  <si>
    <t>ASSEMBLY,ATCA-3671 PREPOPULATED (ATCA-3671,2U CHASSIS,POWER SUPPLY,RTM-3662)</t>
  </si>
  <si>
    <t>147269A-01</t>
  </si>
  <si>
    <t>147269X-01</t>
  </si>
  <si>
    <t>ASSY, STS, T1M2, SERIAL PORT KIT</t>
  </si>
  <si>
    <t>147305E-01L</t>
  </si>
  <si>
    <t>147305X-01L</t>
  </si>
  <si>
    <t>CCA,USRP E320,ZYNQ,2X2 MIMO,70MHZ-6GHZ</t>
  </si>
  <si>
    <t>147305E-02L</t>
  </si>
  <si>
    <t>147305X-02L</t>
  </si>
  <si>
    <t>CCA,USRP E320 WITHOUT TPM,ZYNQ,2X2 MIMO,70MHZ-6GHZ</t>
  </si>
  <si>
    <t>147309A-01L</t>
  </si>
  <si>
    <t>147309X-01L</t>
  </si>
  <si>
    <t>CCA,VDG 10M TO 90M, LYNX</t>
  </si>
  <si>
    <t>147372B-01L</t>
  </si>
  <si>
    <t>147372X-01L</t>
  </si>
  <si>
    <t>CCA,IF,LYNX</t>
  </si>
  <si>
    <t>147872B-01L</t>
  </si>
  <si>
    <t>147872X-01L</t>
  </si>
  <si>
    <t>CCA,STS T2M2 SOM CARRIER BOARD</t>
  </si>
  <si>
    <t>147880C-02L</t>
  </si>
  <si>
    <t>147880X-02L</t>
  </si>
  <si>
    <t>CCA,STS T4M2 IO BOARD</t>
  </si>
  <si>
    <t>147915B-01</t>
  </si>
  <si>
    <t>147915X-01</t>
  </si>
  <si>
    <t>ASSY, STS SYSTEM, NI STS T1M2 DX FOR ADI LIN2</t>
  </si>
  <si>
    <t>147931A-01L</t>
  </si>
  <si>
    <t>147931X-01L</t>
  </si>
  <si>
    <t>MODULE ASSEMBLY,USRP N320</t>
  </si>
  <si>
    <t>147931A-03L</t>
  </si>
  <si>
    <t>147931X-03L</t>
  </si>
  <si>
    <t>MODULE ASSEMBLY,USRP N320 WITHOUT TPM</t>
  </si>
  <si>
    <t>147932A-01L</t>
  </si>
  <si>
    <t>147932X-01L</t>
  </si>
  <si>
    <t>MODULE ASSEMBLY,USRP N321</t>
  </si>
  <si>
    <t>147932A-03L</t>
  </si>
  <si>
    <t>147932X-03L</t>
  </si>
  <si>
    <t>MODULE ASSEMBLY,USRP N321 WITHOUT TPM</t>
  </si>
  <si>
    <t>147976B-01L</t>
  </si>
  <si>
    <t>147976X-01L</t>
  </si>
  <si>
    <t>CCA,STS T2M2 T4M2 PRIMARY RCB600 BOARD</t>
  </si>
  <si>
    <t>147979A-01L</t>
  </si>
  <si>
    <t>147979X-01L</t>
  </si>
  <si>
    <t>CCA,STS T2M2 T4M2 SECONDARY RCB600 BOARD</t>
  </si>
  <si>
    <t>148002A-01</t>
  </si>
  <si>
    <t>148002X-01</t>
  </si>
  <si>
    <t>ASSY, REPLACEMENT FANS, PXIE-1095</t>
  </si>
  <si>
    <t>148110A-01L</t>
  </si>
  <si>
    <t>148110X-01L</t>
  </si>
  <si>
    <t>CCA,STS T2M2 T4M2 AC DC POWER SUPPLY BOARD (60W SOM CARRIER)</t>
  </si>
  <si>
    <t>148110A-02L</t>
  </si>
  <si>
    <t>148110X-02L</t>
  </si>
  <si>
    <t>CCA,STS T2M2 T4M2 AC DC POWER SUPPLY BOARD (80W FAN POWER)</t>
  </si>
  <si>
    <t>148126A-01L</t>
  </si>
  <si>
    <t>148126X-01L</t>
  </si>
  <si>
    <t>ASSY, STS, T2M2, GENERIC, TEST HEAD</t>
  </si>
  <si>
    <t>148161A-01L</t>
  </si>
  <si>
    <t>148161X-01L</t>
  </si>
  <si>
    <t>RF SUBASSY,KRYPTON</t>
  </si>
  <si>
    <t>148247C-01L</t>
  </si>
  <si>
    <t>148247X-01L</t>
  </si>
  <si>
    <t>CCA,STS T2M2 POWER DISTRIBUTION BOARD</t>
  </si>
  <si>
    <t>148549A-01L</t>
  </si>
  <si>
    <t>148549X-01L</t>
  </si>
  <si>
    <t>MODULE ASSY, ELVIS III, US/CANADA</t>
  </si>
  <si>
    <t>148549A-02L</t>
  </si>
  <si>
    <t>148549X-02L</t>
  </si>
  <si>
    <t>MODULE ASSY, ELVIS III, KOREA</t>
  </si>
  <si>
    <t>148549A-03L</t>
  </si>
  <si>
    <t>148549X-03L</t>
  </si>
  <si>
    <t>MODULE ASSY, ELVIS III, INTERNATIONAL</t>
  </si>
  <si>
    <t>148549A-04L</t>
  </si>
  <si>
    <t>148549X-04L</t>
  </si>
  <si>
    <t>MODULE ASSY, ELVIS III, EUROPE</t>
  </si>
  <si>
    <t>148549A-05L</t>
  </si>
  <si>
    <t>148549X-05L</t>
  </si>
  <si>
    <t>MODULE ASSY, ELVIS III, NON-WIFI</t>
  </si>
  <si>
    <t>148549A-06L</t>
  </si>
  <si>
    <t>148549X-06L</t>
  </si>
  <si>
    <t>MODULE ASSY, ELVIS III, MALAYSIA</t>
  </si>
  <si>
    <t>148617A-01L</t>
  </si>
  <si>
    <t>148617X-01L</t>
  </si>
  <si>
    <t>MODULE ASSY,STS T2M2 SOM SET</t>
  </si>
  <si>
    <t>148691B-01L</t>
  </si>
  <si>
    <t>148691X-01L</t>
  </si>
  <si>
    <t>ASSEMBLY, MICROCIRCUIT, NI 2795</t>
  </si>
  <si>
    <t>148777A-01L</t>
  </si>
  <si>
    <t>148777X-01L</t>
  </si>
  <si>
    <t>ASSY, STS, T2M2, PRIMARY RCB PS KIT</t>
  </si>
  <si>
    <t>148778A-01L</t>
  </si>
  <si>
    <t>148778X-01L</t>
  </si>
  <si>
    <t>ASSY, STS, T2M2, DX, TEST HEAD</t>
  </si>
  <si>
    <t>148779A-01L</t>
  </si>
  <si>
    <t>148779X-01L</t>
  </si>
  <si>
    <t>ASSY, STS, T2M2, CX, TEST HEAD</t>
  </si>
  <si>
    <t>148781A-01L</t>
  </si>
  <si>
    <t>148781X-01L</t>
  </si>
  <si>
    <t>ASSY, STS, T2M2 / T4M2, USB-4065 KIT</t>
  </si>
  <si>
    <t>148782A-01L</t>
  </si>
  <si>
    <t>148782X-01L</t>
  </si>
  <si>
    <t>ASSY, STS, T2M2, USB HUB KIT</t>
  </si>
  <si>
    <t>148782A-02L</t>
  </si>
  <si>
    <t>148782X-02L</t>
  </si>
  <si>
    <t>ASSY, STS, T4M2, USB HUB KIT</t>
  </si>
  <si>
    <t>148782A-03L</t>
  </si>
  <si>
    <t>148782X-03L</t>
  </si>
  <si>
    <t>ASSY, STS, T1M2, USB HUB KIT</t>
  </si>
  <si>
    <t>148798D-01L</t>
  </si>
  <si>
    <t>148798X-01L</t>
  </si>
  <si>
    <t>MODULE ASSY, SWITCH, SP8T, 23-45GHZ, MMSW-2795</t>
  </si>
  <si>
    <t>148798D-55L</t>
  </si>
  <si>
    <t>148798X-55L</t>
  </si>
  <si>
    <t>MODULE ASSY, SWITCH, SP8T, 23-45GHZ, MMSW-2795-STS</t>
  </si>
  <si>
    <t>148821B-01L</t>
  </si>
  <si>
    <t>148821X-01L</t>
  </si>
  <si>
    <t>ASSY, STS, T2M2 / T4M2, CORNER 1</t>
  </si>
  <si>
    <t>148822A-01L</t>
  </si>
  <si>
    <t>148822X-01L</t>
  </si>
  <si>
    <t>ASSY, STS, T2M2, CORNER 2</t>
  </si>
  <si>
    <t>148823A-01L</t>
  </si>
  <si>
    <t>148823X-01L</t>
  </si>
  <si>
    <t>ASSY, STS, T2M2, CORNER 3</t>
  </si>
  <si>
    <t>148824A-01L</t>
  </si>
  <si>
    <t>148824X-01L</t>
  </si>
  <si>
    <t>ASSY, STS, T2M2, CORNER 4</t>
  </si>
  <si>
    <t>148825A-01L</t>
  </si>
  <si>
    <t>148825X-01L</t>
  </si>
  <si>
    <t>ASSY, STS, T2M2, FAN PANEL</t>
  </si>
  <si>
    <t>148830A-01L</t>
  </si>
  <si>
    <t>148830X-01L</t>
  </si>
  <si>
    <t>CCA,STS T4M2 SOM CARRIER BOARD</t>
  </si>
  <si>
    <t>148836C-01L</t>
  </si>
  <si>
    <t>148836X-01L</t>
  </si>
  <si>
    <t>CCA,STS T4M2 POWER DISTRIBUTION BOARD</t>
  </si>
  <si>
    <t>148868A-02L</t>
  </si>
  <si>
    <t>148868X-02L</t>
  </si>
  <si>
    <t>CCA, CBA2.1, BASEBAND</t>
  </si>
  <si>
    <t>148882C-01L</t>
  </si>
  <si>
    <t>148882X-01L</t>
  </si>
  <si>
    <t>MODULE ASSEMBLY, PXIE-5841, 6 GHZ VST, 1 GHZ BW</t>
  </si>
  <si>
    <t>148905B-01L</t>
  </si>
  <si>
    <t>148905X-01L</t>
  </si>
  <si>
    <t>CCA,STS T4M2 POWER DISTRIBUTION DAUGHTER BOARD</t>
  </si>
  <si>
    <t>148933X-01L</t>
  </si>
  <si>
    <t>148933C-01L</t>
  </si>
  <si>
    <t>148936X-01L</t>
  </si>
  <si>
    <t>149021X-03L</t>
  </si>
  <si>
    <t>149021X-04L</t>
  </si>
  <si>
    <t>149021X-06L</t>
  </si>
  <si>
    <t>149021X-07L</t>
  </si>
  <si>
    <t>149021X-211L</t>
  </si>
  <si>
    <t>149021X-55L</t>
  </si>
  <si>
    <t>149108B-01L</t>
  </si>
  <si>
    <t>149108X-01L</t>
  </si>
  <si>
    <t>MODULE ASSEMBLY,USRP E320  (FULL ENCLOSURE)</t>
  </si>
  <si>
    <t>149108B-02L</t>
  </si>
  <si>
    <t>149108X-02L</t>
  </si>
  <si>
    <t>MODULE ASSEMBLY,USRP E320 WITHOUT TPM (FULL ENCLOSURE)</t>
  </si>
  <si>
    <t>149134X-01L</t>
  </si>
  <si>
    <t>149134B-02L</t>
  </si>
  <si>
    <t>149134X-02L</t>
  </si>
  <si>
    <t>149170A-01L</t>
  </si>
  <si>
    <t>149170X-01L</t>
  </si>
  <si>
    <t>CCA,STS T4M2 PHASE SELECTOR BOARD A</t>
  </si>
  <si>
    <t>149173A-01L</t>
  </si>
  <si>
    <t>149173X-01L</t>
  </si>
  <si>
    <t>CCA,STS T4M2 PHASE SELECTOR BOARD B</t>
  </si>
  <si>
    <t>149176A-01L</t>
  </si>
  <si>
    <t>149176X-01L</t>
  </si>
  <si>
    <t>CCA,STS T4M2 PHASE SELECTOR BOARD C</t>
  </si>
  <si>
    <t>149239A-01L</t>
  </si>
  <si>
    <t>149239X-01L</t>
  </si>
  <si>
    <t>MODULE ASSY,STS-5530,RF CALIBRATION MODULE,48 PORT,WIDE DYNAMIC RANGE</t>
  </si>
  <si>
    <t>149239A-02L</t>
  </si>
  <si>
    <t>149239X-02L</t>
  </si>
  <si>
    <t>MODULE ASSY,STS-5530,RF CALIBRATION MODULE,12 PORT, WIDE DYNAMIC RANGE</t>
  </si>
  <si>
    <t>149458C-01L</t>
  </si>
  <si>
    <t>149458X-01L</t>
  </si>
  <si>
    <t>MODULE ASSEMBLY, PXIE-5655</t>
  </si>
  <si>
    <t>149555B-01L</t>
  </si>
  <si>
    <t>149555X-01L</t>
  </si>
  <si>
    <t>ASSY, STS, T4M2, GENERIC, TEST HEAD</t>
  </si>
  <si>
    <t>149556C-01L</t>
  </si>
  <si>
    <t>149556X-01L</t>
  </si>
  <si>
    <t>ASSY, STS, T4M2, DX, TEST HEAD</t>
  </si>
  <si>
    <t>149725A-01L</t>
  </si>
  <si>
    <t>149725X-01L</t>
  </si>
  <si>
    <t>ASSY, STS, T4M2, CORNER 2</t>
  </si>
  <si>
    <t>149726B-01L</t>
  </si>
  <si>
    <t>149726X-01L</t>
  </si>
  <si>
    <t>ASSY, STS, T4M2, POWER DISTRIBUTION DAUGHTER BOX</t>
  </si>
  <si>
    <t>149772A-01L</t>
  </si>
  <si>
    <t>149772X-01L</t>
  </si>
  <si>
    <t>CCA, NI AUTOMATED MEASUREMENTS BOARD</t>
  </si>
  <si>
    <t>149868A-01L</t>
  </si>
  <si>
    <t>149868X-01L</t>
  </si>
  <si>
    <t>ASSY, STS, T4M2, CORNER 4</t>
  </si>
  <si>
    <t>149869A-01L</t>
  </si>
  <si>
    <t>149869X-01L</t>
  </si>
  <si>
    <t>MODULE ASSY,STS T4M2 SOM SET</t>
  </si>
  <si>
    <t>149899A-01L</t>
  </si>
  <si>
    <t>149899X-01L</t>
  </si>
  <si>
    <t>ASSY, STS, T4M2, FAN PANEL</t>
  </si>
  <si>
    <t>149900X-01L</t>
  </si>
  <si>
    <t>149903X-01L</t>
  </si>
  <si>
    <t>149917A-01L</t>
  </si>
  <si>
    <t>149917X-01L</t>
  </si>
  <si>
    <t>ASSEMBLY PLATE POWER, CORNER 4</t>
  </si>
  <si>
    <t>149918A-01L</t>
  </si>
  <si>
    <t>149918X-01L</t>
  </si>
  <si>
    <t>ASSEMBLY PLATE POWER, CORNER 2</t>
  </si>
  <si>
    <t>150173D-012L</t>
  </si>
  <si>
    <t>150173X-012L</t>
  </si>
  <si>
    <t>CCA, NI PXIE-8100,SINGLE CORE  INTEL ATOM D410 1.66GHZ,RT</t>
  </si>
  <si>
    <t>150592B-06L</t>
  </si>
  <si>
    <t>150592X-06L</t>
  </si>
  <si>
    <t>CCA,PXIE-8820</t>
  </si>
  <si>
    <t>150898B-01L</t>
  </si>
  <si>
    <t>150898X-01L</t>
  </si>
  <si>
    <t>CCA,PXIE-8115 DAUGHTER BOARD</t>
  </si>
  <si>
    <t>150914B-01L</t>
  </si>
  <si>
    <t>150914X-01L</t>
  </si>
  <si>
    <t>CCA, PXIE-8115, USB RISER</t>
  </si>
  <si>
    <t>151136D-01L</t>
  </si>
  <si>
    <t>151136X-01L</t>
  </si>
  <si>
    <t>CCA,DC/DC POWER SUPPLY 8-SLOT(SECONDARY)</t>
  </si>
  <si>
    <t>151509D-01</t>
  </si>
  <si>
    <t>151509X-01</t>
  </si>
  <si>
    <t>SHIELD ASSY, FIP GASKET, TOPAZ, FEM, BOTTOM, SHORT</t>
  </si>
  <si>
    <t>151637G-01L</t>
  </si>
  <si>
    <t>151637X-01L</t>
  </si>
  <si>
    <t>CCA,CMC,PXIE-1085</t>
  </si>
  <si>
    <t>151637H-01L</t>
  </si>
  <si>
    <t>151757D-01</t>
  </si>
  <si>
    <t>151757X-01</t>
  </si>
  <si>
    <t>SHIELD ASSY, TOPAZ, FEM, BOTTOM, LONG</t>
  </si>
  <si>
    <t>151809E-02L</t>
  </si>
  <si>
    <t>151809X-02L</t>
  </si>
  <si>
    <t>CCA,CMC,PXIE-1066</t>
  </si>
  <si>
    <t>151961G-02L</t>
  </si>
  <si>
    <t>151961X-02L</t>
  </si>
  <si>
    <t>CCA,TRIDENT AND NAUTILUS CELLULAR RX</t>
  </si>
  <si>
    <t>151961H-02L</t>
  </si>
  <si>
    <t>151961J-02L</t>
  </si>
  <si>
    <t>151964E-02L</t>
  </si>
  <si>
    <t>151964X-02L</t>
  </si>
  <si>
    <t>CCA,POWER SWITCH/LED DRIVER BOARD, PXIE-1066DC</t>
  </si>
  <si>
    <t>151967F-03L</t>
  </si>
  <si>
    <t>151967X-03L</t>
  </si>
  <si>
    <t>CCA,TRIDENT CELLULAR TX</t>
  </si>
  <si>
    <t>151967G-11L</t>
  </si>
  <si>
    <t>151967X-11L</t>
  </si>
  <si>
    <t>CCA,STINGRAY CELLULAR TX</t>
  </si>
  <si>
    <t>151967H-11L</t>
  </si>
  <si>
    <t>151988F-02L</t>
  </si>
  <si>
    <t>151988X-02L</t>
  </si>
  <si>
    <t>CCA,PXIE-8135,CPU CARD,NO EXPRESSCARD VARIANT</t>
  </si>
  <si>
    <t>152008B-01L</t>
  </si>
  <si>
    <t>152008X-01L</t>
  </si>
  <si>
    <t>CCA,PXIE-1085 SWITCH MODULE 1, GEN 2</t>
  </si>
  <si>
    <t>152014B-01L</t>
  </si>
  <si>
    <t>152014X-01L</t>
  </si>
  <si>
    <t>CCA,DRAWER I/O, PXIE-1066DC</t>
  </si>
  <si>
    <t>152034D-012L</t>
  </si>
  <si>
    <t>152034X-012L</t>
  </si>
  <si>
    <t>MODULE ASSY,NI PXIE-8115,INTEL CORE I5 2.5GHZ CONTROLLER, LOCALIZED OS</t>
  </si>
  <si>
    <t>152115D-01L</t>
  </si>
  <si>
    <t>152115X-01L</t>
  </si>
  <si>
    <t>CHASSIS ASSEMBLY, PXIE-1082DC</t>
  </si>
  <si>
    <t>152179B-01L</t>
  </si>
  <si>
    <t>152179X-01L</t>
  </si>
  <si>
    <t>CCA,PXIE-1085 SWITCH MODULE 2, GEN 2</t>
  </si>
  <si>
    <t>152224B-01L</t>
  </si>
  <si>
    <t>152224X-01L</t>
  </si>
  <si>
    <t>CCA,FAN LED BOARD,PXIE-1085</t>
  </si>
  <si>
    <t>152404C-01L</t>
  </si>
  <si>
    <t>152404X-01L</t>
  </si>
  <si>
    <t>CCA,POWER SWITCH/LED DRIVER BOARD, PXIE-1085</t>
  </si>
  <si>
    <t>152532A-01L</t>
  </si>
  <si>
    <t>152532X-01L</t>
  </si>
  <si>
    <t>CCA,RF-RIO AUX POWER BOARD</t>
  </si>
  <si>
    <t>152535B-01L</t>
  </si>
  <si>
    <t>152535X-01L</t>
  </si>
  <si>
    <t>CCA,RF-RIO BASEBAND ANALOG INTERCONNECTOR BOARD</t>
  </si>
  <si>
    <t>152573K-01L</t>
  </si>
  <si>
    <t>152573X-01L</t>
  </si>
  <si>
    <t>CHASSIS ASSEMBLY, PXIE-1066DC</t>
  </si>
  <si>
    <t>152574A-01L</t>
  </si>
  <si>
    <t>152574X-01L</t>
  </si>
  <si>
    <t>CCA,RF-RIO BASEBAND DIGITAL INTERCONNTECTOR BOARD</t>
  </si>
  <si>
    <t>152888A-01L</t>
  </si>
  <si>
    <t>152888X-01L</t>
  </si>
  <si>
    <t>NI 5791 4.4 GHZ RF TRANSCEIVER, 100 MHZ BW ADAPTER MODULE FOR NI FLEXRIO</t>
  </si>
  <si>
    <t>152983C-01</t>
  </si>
  <si>
    <t>152983X-01</t>
  </si>
  <si>
    <t>CORE ASSY, FAM NI 5791</t>
  </si>
  <si>
    <t>153012F-01</t>
  </si>
  <si>
    <t>153012X-01</t>
  </si>
  <si>
    <t>BOTTOM SHIELD ASSY, FIP GASKET, RX CCA, PXIE-564XR</t>
  </si>
  <si>
    <t>153097C-01L</t>
  </si>
  <si>
    <t>153097X-01L</t>
  </si>
  <si>
    <t>CCA, PXIE-8381</t>
  </si>
  <si>
    <t>153100B-01L</t>
  </si>
  <si>
    <t>153100X-01L</t>
  </si>
  <si>
    <t>CCA,PXIE-8384</t>
  </si>
  <si>
    <t>153197D-01L</t>
  </si>
  <si>
    <t>153197X-01L</t>
  </si>
  <si>
    <t>CCA,PXIE-5606,POWER BOARD</t>
  </si>
  <si>
    <t>153304A-01L</t>
  </si>
  <si>
    <t>153304X-01L</t>
  </si>
  <si>
    <t>CCA,USRP N210  MOTHERBOARD</t>
  </si>
  <si>
    <t>153304A-02L</t>
  </si>
  <si>
    <t>153304X-02L</t>
  </si>
  <si>
    <t>CCA,USRP N200 MOTHERBOARD</t>
  </si>
  <si>
    <t>153363B-06L</t>
  </si>
  <si>
    <t>153363X-06L</t>
  </si>
  <si>
    <t>CCA,PXI-8820</t>
  </si>
  <si>
    <t>153839B-01L</t>
  </si>
  <si>
    <t>153839X-01L</t>
  </si>
  <si>
    <t>CCA,NOT TESTED,WBX,50 MHZ - 2.2GHZ TRANSCEIVER</t>
  </si>
  <si>
    <t>153839B-02L</t>
  </si>
  <si>
    <t>153839X-02L</t>
  </si>
  <si>
    <t>CCA,NOT TESTED,WBX,120MHZ BW,50MHZ - 2.2GHZ TRANSCEIVER</t>
  </si>
  <si>
    <t>153839B-11L</t>
  </si>
  <si>
    <t>153839X-11L</t>
  </si>
  <si>
    <t>CCA,WBX,50 MHZ - 2.2GHZ TRANSCEIVER</t>
  </si>
  <si>
    <t>153839B-12L</t>
  </si>
  <si>
    <t>153839X-12L</t>
  </si>
  <si>
    <t>CCA,WBX,120MHZ BW,50MHZ - 2.2GHZ TRANSCEIVER</t>
  </si>
  <si>
    <t>153842B-01L</t>
  </si>
  <si>
    <t>153842X-01L</t>
  </si>
  <si>
    <t>CCA,WBX FE CARD</t>
  </si>
  <si>
    <t>153869K-01L</t>
  </si>
  <si>
    <t>153869X-01L</t>
  </si>
  <si>
    <t>CHASSIS ASSEMBLY, PXIE-1085</t>
  </si>
  <si>
    <t>153933B-01L</t>
  </si>
  <si>
    <t>153933X-01L</t>
  </si>
  <si>
    <t>CCA,NOT TESTED,SBX,400MHZ - 4.4GHZ TRANSCEIVER</t>
  </si>
  <si>
    <t>153933B-03L</t>
  </si>
  <si>
    <t>153933X-03L</t>
  </si>
  <si>
    <t>CCA,NOT TESTED,SBX,120MHZ BW,400MHZ - 4.4GHZ TRANSCEIVER</t>
  </si>
  <si>
    <t>153933B-11L</t>
  </si>
  <si>
    <t>153933X-11L</t>
  </si>
  <si>
    <t>CCA,SBX,400MHZ - 4.4GHZ TRANSCEIVER</t>
  </si>
  <si>
    <t>153933B-13L</t>
  </si>
  <si>
    <t>153933X-13L</t>
  </si>
  <si>
    <t>CCA,SBX,120MHZ BW,400MHZ - 4.4GHZ TRANSCEIVER</t>
  </si>
  <si>
    <t>153980C-01L</t>
  </si>
  <si>
    <t>153980X-01L</t>
  </si>
  <si>
    <t>ASSEMBLY, POWER SUPPLY SHUTTLE, PXIE-1082DC</t>
  </si>
  <si>
    <t>154004A-01L</t>
  </si>
  <si>
    <t>154004X-01L</t>
  </si>
  <si>
    <t>CCA,PXIE-8830MC BATTERY BOARD</t>
  </si>
  <si>
    <t>154019A-04L</t>
  </si>
  <si>
    <t>154019X-04L</t>
  </si>
  <si>
    <t>CCA,NI PXIE-8840 QUAD-CORE</t>
  </si>
  <si>
    <t>154019E-02L</t>
  </si>
  <si>
    <t>154019X-02L</t>
  </si>
  <si>
    <t>CCA,PXIE-8840,CORE I5-4400E 2.7GHZ CONTROLLER,NO ECARD</t>
  </si>
  <si>
    <t>154027D-01L</t>
  </si>
  <si>
    <t>154027X-01L</t>
  </si>
  <si>
    <t>CCA,SIRIUS SIGNAL GENERATOR CPU  DISTRIBUTION BOARD 1</t>
  </si>
  <si>
    <t>154027E-01L</t>
  </si>
  <si>
    <t>CCA,SIRIUS SIGNAL GENERATOR CPU &amp; DISTRIBUTION BOARD 1</t>
  </si>
  <si>
    <t>154030D-01L</t>
  </si>
  <si>
    <t>154030X-01L</t>
  </si>
  <si>
    <t>CCA,SIRIUS SIGNAL GENERATOR RF BOARD 1</t>
  </si>
  <si>
    <t>154030E-01L</t>
  </si>
  <si>
    <t>154033D-01L</t>
  </si>
  <si>
    <t>154033X-01L</t>
  </si>
  <si>
    <t>CCA,SIRIUS SIGNAL GENERATOR DISTRIBUTION BOARD 2</t>
  </si>
  <si>
    <t>154036E-01L</t>
  </si>
  <si>
    <t>154036X-01L</t>
  </si>
  <si>
    <t>CCA,SIRIUS SIGNAL GENERATOR RF BOARD 2</t>
  </si>
  <si>
    <t>154036F-01L</t>
  </si>
  <si>
    <t>154062B-01L</t>
  </si>
  <si>
    <t>154062X-01L</t>
  </si>
  <si>
    <t>MODULE ASSEMBLY,NI USRP-2922,400MHZ - 4.4GHZ</t>
  </si>
  <si>
    <t>154062B-02L</t>
  </si>
  <si>
    <t>154062X-02L</t>
  </si>
  <si>
    <t>MODULE ASSEMBLY,NI USRP-2921,2.4 - 2.5 GHZ AND 4.9 - 5.9 GHZ</t>
  </si>
  <si>
    <t>154062B-04L</t>
  </si>
  <si>
    <t>154062X-04L</t>
  </si>
  <si>
    <t>MODULE ASSEMBLY,USRP N210</t>
  </si>
  <si>
    <t>154062B-05L</t>
  </si>
  <si>
    <t>154062X-05L</t>
  </si>
  <si>
    <t>MODULE ASSEMBLY,USRP N200</t>
  </si>
  <si>
    <t>154062B-07L</t>
  </si>
  <si>
    <t>154062X-07L</t>
  </si>
  <si>
    <t>MODULE ASSEMBLY,NI USRP-2932,400MHZ-4.4GHZ,GPSDO</t>
  </si>
  <si>
    <t>154062C-03L</t>
  </si>
  <si>
    <t>154062X-03L</t>
  </si>
  <si>
    <t>MODULE ASSEMBLY,NI USRP-2920,50 MHZ - 2.2 GHZ</t>
  </si>
  <si>
    <t>154062C-06L</t>
  </si>
  <si>
    <t>154062X-06L</t>
  </si>
  <si>
    <t>MODULE ASSEMBLY,NI USRP-2930,50MHZ-2.2GHZ,GPSDO</t>
  </si>
  <si>
    <t>154104E-01L</t>
  </si>
  <si>
    <t>154104X-01L</t>
  </si>
  <si>
    <t>CCA,PXIE-1085 GEN 3, SWITCH MODULE 1</t>
  </si>
  <si>
    <t>154107E-01L</t>
  </si>
  <si>
    <t>154107X-01L</t>
  </si>
  <si>
    <t>CCA, PXIE-1085 GEN 3, SWITCH MODULE 2</t>
  </si>
  <si>
    <t>154119E-01L</t>
  </si>
  <si>
    <t>154119X-01L</t>
  </si>
  <si>
    <t>CCA,NI VB-8012 HIGH SPEED BOARD</t>
  </si>
  <si>
    <t>154129D-01L</t>
  </si>
  <si>
    <t>154129X-01L</t>
  </si>
  <si>
    <t>CCA,PXIE-8880,CPU BOARD</t>
  </si>
  <si>
    <t>154132E-01L</t>
  </si>
  <si>
    <t>154132X-01L</t>
  </si>
  <si>
    <t>CCA,PXIE-8880,IO BOARD</t>
  </si>
  <si>
    <t>154132E-02L</t>
  </si>
  <si>
    <t>154132X-02L</t>
  </si>
  <si>
    <t>CCA,PXIE-8880,IO BOARD, W/O TRUSTED PLATFORM MODULE</t>
  </si>
  <si>
    <t>154166C-912L</t>
  </si>
  <si>
    <t>154166X-912L</t>
  </si>
  <si>
    <t>MODULE ASSY,NI PXI-8119,INTEL CORE I7 2.3GHZ CONTROLLER, WINDOWS 7,(32-BIT)</t>
  </si>
  <si>
    <t>154185D-01L</t>
  </si>
  <si>
    <t>154185X-01L</t>
  </si>
  <si>
    <t>CCA,SIRIUS AMPLITUDE EXTENDER MODULE DISTRIBUTION BOARD</t>
  </si>
  <si>
    <t>154195D-01</t>
  </si>
  <si>
    <t>154195X-01</t>
  </si>
  <si>
    <t>SPACER ASSY, PXIE-5606</t>
  </si>
  <si>
    <t>154197D-01</t>
  </si>
  <si>
    <t>154197X-01</t>
  </si>
  <si>
    <t>CORE ASSY, IF-1/IF-2, PXIE-5606</t>
  </si>
  <si>
    <t>154198D-01</t>
  </si>
  <si>
    <t>154198X-01</t>
  </si>
  <si>
    <t>CORE ASSY, IF-2, PXIE-5606</t>
  </si>
  <si>
    <t>154204D-01</t>
  </si>
  <si>
    <t>154204X-01</t>
  </si>
  <si>
    <t>SHIELD ASSY, RF CORE, PXIE-5606</t>
  </si>
  <si>
    <t>154205D-01</t>
  </si>
  <si>
    <t>154205X-01</t>
  </si>
  <si>
    <t>COVER ASSY, RF, PXIE-5606</t>
  </si>
  <si>
    <t>154261F-01L</t>
  </si>
  <si>
    <t>154261X-01L</t>
  </si>
  <si>
    <t>CCA,VB-8012 HIGH VOLTAGE BOARD</t>
  </si>
  <si>
    <t>154294G-01L</t>
  </si>
  <si>
    <t>154294X-01L</t>
  </si>
  <si>
    <t>CCA,NI MYRIO-1900</t>
  </si>
  <si>
    <t>154321G-01L</t>
  </si>
  <si>
    <t>154321X-01L</t>
  </si>
  <si>
    <t>MODULE ASSEMBLY, VB-8012</t>
  </si>
  <si>
    <t>154349J-02L</t>
  </si>
  <si>
    <t>154349X-02L</t>
  </si>
  <si>
    <t>CCA,USRP E312,SG3 ZYNQ,2X2 MIMO,100MHZ-6GHZ,MOTHERBOARD</t>
  </si>
  <si>
    <t>154349K-01L</t>
  </si>
  <si>
    <t>154349X-01L</t>
  </si>
  <si>
    <t>CCA,USRP E310,SG3 ZYNQ,2X2 MIMO,100MHZ-6GHZ,MOTHERBOARD</t>
  </si>
  <si>
    <t>154377C-01</t>
  </si>
  <si>
    <t>154377X-01</t>
  </si>
  <si>
    <t>SHIELD ASSY, TOP, SP4T BYPASS SWITCH, NI 5531</t>
  </si>
  <si>
    <t>154378C-01</t>
  </si>
  <si>
    <t>154378X-01</t>
  </si>
  <si>
    <t>SHIELD ASSY, BOTTOM, SP4T BYPASS SWITCH, NI 5531</t>
  </si>
  <si>
    <t>154383C-01</t>
  </si>
  <si>
    <t>154383X-01</t>
  </si>
  <si>
    <t>SHIELD, ANALOG SECTION, PXIE-5624R, EMERALD BAY</t>
  </si>
  <si>
    <t>154439C-01L</t>
  </si>
  <si>
    <t>154439X-01L</t>
  </si>
  <si>
    <t>CHASSIS ASSEMBLY, PXIE-1065, BAE</t>
  </si>
  <si>
    <t>154471B-01L</t>
  </si>
  <si>
    <t>154471X-01L</t>
  </si>
  <si>
    <t>CCA,PXIE-8880 XEON POWER MEZZANINE</t>
  </si>
  <si>
    <t>154544D-01L</t>
  </si>
  <si>
    <t>154544X-01L</t>
  </si>
  <si>
    <t>CCA,MEDUSA PORT MODULE MOTHERBOARD</t>
  </si>
  <si>
    <t>154573K-01L</t>
  </si>
  <si>
    <t>154573X-01L</t>
  </si>
  <si>
    <t>CCA,USRP X300,K7,2X2 MIMO,PCIE,10GIGE,MOTHERBOARD</t>
  </si>
  <si>
    <t>154573K-02L</t>
  </si>
  <si>
    <t>154573X-02L</t>
  </si>
  <si>
    <t>CCA,USRP X310,K7,2X2 MIMO,PCIE,10GIGE,MOTHERBOARD</t>
  </si>
  <si>
    <t>154664C-02L</t>
  </si>
  <si>
    <t>154664X-02L</t>
  </si>
  <si>
    <t>CCA,PXIE-8840 DAUGHTER BOARD WITHOUT EXPRESS CARD</t>
  </si>
  <si>
    <t>154685D-01</t>
  </si>
  <si>
    <t>154685X-01</t>
  </si>
  <si>
    <t>SHIELD ASSY, FIP GASKET, BOTTOM, DUAL BRIDGE, NI 5531</t>
  </si>
  <si>
    <t>154688D-01</t>
  </si>
  <si>
    <t>154688X-01</t>
  </si>
  <si>
    <t>COVER SHIELD ASSY, FIP GASKET, DUAL BRIDGE, NI 5531</t>
  </si>
  <si>
    <t>154905E-01L</t>
  </si>
  <si>
    <t>154905X-01L</t>
  </si>
  <si>
    <t>CCA,E310 DAUGHTERBOARD,70 MHZ - 6 GHZ,2X2 MIMO</t>
  </si>
  <si>
    <t>154909B-912L</t>
  </si>
  <si>
    <t>154909X-912L</t>
  </si>
  <si>
    <t>MODULE ASSY,NI PXI-8820,INTEL CELERON 1020E 2.2GHZ CONTROLLER, WINDOWS 7,(32-BIT)</t>
  </si>
  <si>
    <t>154909C-012L</t>
  </si>
  <si>
    <t>154909X-012L</t>
  </si>
  <si>
    <t>MODULE ASSY,NI PXI-8820,INTEL CELERON 1020E 2.2GHZ CONTROLLER, LOCALIZED OS</t>
  </si>
  <si>
    <t>154911B-012L</t>
  </si>
  <si>
    <t>154911X-012L</t>
  </si>
  <si>
    <t>MODULE ASSY,NI PXIE-8820,INTEL CELERON 1020E 2.2GHZ CONTROLLER, LOCALIZED OS</t>
  </si>
  <si>
    <t>154911B-912L</t>
  </si>
  <si>
    <t>154911X-912L</t>
  </si>
  <si>
    <t>MODULE ASSY,NI PXIE-8820,INTEL CELERON 1020E 2.2GHZ CONTROLLER, WINDOWS 7,(32BIT)</t>
  </si>
  <si>
    <t>154962G-02L</t>
  </si>
  <si>
    <t>154962X-02L</t>
  </si>
  <si>
    <t>CCA,CBA 2.0 BASEBAND-WILLY/RENAULT,28NM</t>
  </si>
  <si>
    <t>155108A-01L</t>
  </si>
  <si>
    <t>155108X-01L</t>
  </si>
  <si>
    <t>CCA,MEDUSA FIGS DIGITAL BOARD</t>
  </si>
  <si>
    <t>155111C-01L</t>
  </si>
  <si>
    <t>155111X-01L</t>
  </si>
  <si>
    <t>CCA,MEDUSA FIGS RF BOARD</t>
  </si>
  <si>
    <t>155111D-01L</t>
  </si>
  <si>
    <t>155129D-01L</t>
  </si>
  <si>
    <t>155129X-01L</t>
  </si>
  <si>
    <t>MODULE ASSY, NI 5530 RF MULTIPORT CALIBRATION MODULE</t>
  </si>
  <si>
    <t>155129D-02L</t>
  </si>
  <si>
    <t>155129X-02L</t>
  </si>
  <si>
    <t>MODULE ASSY, NI 5530 RF MULTIPORT CALIBRATION MODULE, 12 PORT</t>
  </si>
  <si>
    <t>155186G-012L</t>
  </si>
  <si>
    <t>155186X-012L</t>
  </si>
  <si>
    <t>MODULE ASSY,NI PXIE-8840,CORE I5-4400E 2.7GHZ CONTROLLER,LOCALIZED OS</t>
  </si>
  <si>
    <t>155186H-011L</t>
  </si>
  <si>
    <t>155186X-011L</t>
  </si>
  <si>
    <t>MODULE ASSY,NI PXIE-8840,CORE I5-4400E 2.7GHZ CONTROLLER,NO ECARD,LOCALIZED OS</t>
  </si>
  <si>
    <t>155186H-111L</t>
  </si>
  <si>
    <t>155186X-111L</t>
  </si>
  <si>
    <t>MODULE ASSY,NI PXIE-8840,CORE I5-4400E 2.7GHZ CONTROLLER,NO ECARD,WIN 7 (64-BIT)</t>
  </si>
  <si>
    <t>155186H-311L</t>
  </si>
  <si>
    <t>155186X-311L</t>
  </si>
  <si>
    <t>MODULE ASSY,NI PXIE-8840,CORE I5-4400E 2.7GHZ CONTROLLER,NO ECARD,WIN IOT</t>
  </si>
  <si>
    <t>155186H-351L</t>
  </si>
  <si>
    <t>155186X-351L</t>
  </si>
  <si>
    <t>MODULE ASSY,NI PXIE-8840,CORE I5-4400E 2.7GHZ CONTROLLER,NO ECARD,WIN IOT, SIMPLIFIED CHINESE</t>
  </si>
  <si>
    <t>155199B-01L</t>
  </si>
  <si>
    <t>155199X-01L</t>
  </si>
  <si>
    <t>CCA,NI MYRIO-1900 PROTOBOARD KIT MXP</t>
  </si>
  <si>
    <t>155213F-01L</t>
  </si>
  <si>
    <t>155213X-01L</t>
  </si>
  <si>
    <t>CCA,NI ROBORIO</t>
  </si>
  <si>
    <t>155361B-02L</t>
  </si>
  <si>
    <t>155361X-02L</t>
  </si>
  <si>
    <t>CCA,NI 5542 RF,NON-CASCADING</t>
  </si>
  <si>
    <t>WTS</t>
  </si>
  <si>
    <t>155364A-01L</t>
  </si>
  <si>
    <t>155364X-01L</t>
  </si>
  <si>
    <t>CCA,NI 5542 CONTROLLER,MASTER</t>
  </si>
  <si>
    <t>155367A-01L</t>
  </si>
  <si>
    <t>155367X-01L</t>
  </si>
  <si>
    <t>CCA,NI 5549 DC POWER ACCESSORY</t>
  </si>
  <si>
    <t>155387A-02L</t>
  </si>
  <si>
    <t>155387X-02L</t>
  </si>
  <si>
    <t>CCA,PXIE-8135 E6460,CPU CARD,NO EXPRESSCARD</t>
  </si>
  <si>
    <t>155431C-01L</t>
  </si>
  <si>
    <t>155431X-01L</t>
  </si>
  <si>
    <t>CCA,NI MYRIO-1950</t>
  </si>
  <si>
    <t>155505B-01L</t>
  </si>
  <si>
    <t>155505X-01L</t>
  </si>
  <si>
    <t>CCA,NI 5542 VHDCI ADAPTER</t>
  </si>
  <si>
    <t>155600A-11L</t>
  </si>
  <si>
    <t>155600X-11L</t>
  </si>
  <si>
    <t>MODULE ASSEMBLY,NI 5542,8 PORT,MIMO</t>
  </si>
  <si>
    <t>155623F-01L</t>
  </si>
  <si>
    <t>155623X-01L</t>
  </si>
  <si>
    <t>CHASSIS ASSEMBLY, PXIE-1085 GEN 3</t>
  </si>
  <si>
    <t>155623F-11L</t>
  </si>
  <si>
    <t>155623X-11L</t>
  </si>
  <si>
    <t>CHASSIS ASSEMBLY, PXIE-1085 GEN 3, TEKTRONIX OEM</t>
  </si>
  <si>
    <t>155627C-01L</t>
  </si>
  <si>
    <t>155627X-01L</t>
  </si>
  <si>
    <t>ASSEMBLY, DC\DC POWER SUPPLY (BRICK LEVEL), PXIE-1082</t>
  </si>
  <si>
    <t>155646B-01L</t>
  </si>
  <si>
    <t>155646X-01L</t>
  </si>
  <si>
    <t>CCA,TVRX2 DAUGHTERBOARD</t>
  </si>
  <si>
    <t>155660B-01</t>
  </si>
  <si>
    <t>155660X-01</t>
  </si>
  <si>
    <t>MIDDLE SHIELD ASSY, PXI-2544</t>
  </si>
  <si>
    <t>155664C-01</t>
  </si>
  <si>
    <t>155664X-01</t>
  </si>
  <si>
    <t>SHIELD ASSY, FIP GASKET, SIDE, DC2, PXI-2544</t>
  </si>
  <si>
    <t>155776C-01L</t>
  </si>
  <si>
    <t>155776X-01L</t>
  </si>
  <si>
    <t>CCA, MEDUSA QUADRANT CALIBRATION BOARD</t>
  </si>
  <si>
    <t>155779A-01L</t>
  </si>
  <si>
    <t>155779X-01L</t>
  </si>
  <si>
    <t>CCA,MEDUSA POWER DISTRIBUTION BOARD</t>
  </si>
  <si>
    <t>155803C-01</t>
  </si>
  <si>
    <t>155803X-01</t>
  </si>
  <si>
    <t>SHIELD ASSY, FIGS CORE, NI 5530</t>
  </si>
  <si>
    <t>155804C-01</t>
  </si>
  <si>
    <t>155804X-01</t>
  </si>
  <si>
    <t>SHIELD ASSY, FIGS RF BOARD, NI 5530</t>
  </si>
  <si>
    <t>155937A-01L</t>
  </si>
  <si>
    <t>155937X-01L</t>
  </si>
  <si>
    <t>CCA,NOT TESTED CBX USRP DAUGHTERBOARD (1.2 -6GHZ)</t>
  </si>
  <si>
    <t>155937A-02L</t>
  </si>
  <si>
    <t>155937X-02L</t>
  </si>
  <si>
    <t>CCA,NOT TESTED,CBX,120MHZ BW,USRP DAUGHTERBOARD (1.2 - 6GHZ)</t>
  </si>
  <si>
    <t>155937A-11L</t>
  </si>
  <si>
    <t>155937X-11L</t>
  </si>
  <si>
    <t>CCA,CBX USRP DAUGHTERBOARD (1.2 -6GHZ)</t>
  </si>
  <si>
    <t>156072F-02L</t>
  </si>
  <si>
    <t>156072X-02L</t>
  </si>
  <si>
    <t>CCA,SIRIUS AMPLITUDE EXTENDER MODULE SWITCHED AMPLIFIER BOARD</t>
  </si>
  <si>
    <t>156094B-01L</t>
  </si>
  <si>
    <t>156094X-01L</t>
  </si>
  <si>
    <t>CCA,LO,DCELP,PMI PN 2020644-02</t>
  </si>
  <si>
    <t>156097B-01L</t>
  </si>
  <si>
    <t>156097X-01L</t>
  </si>
  <si>
    <t>CCA,DIST MODULE,PMI PN 2020663-01</t>
  </si>
  <si>
    <t>156106B-01L</t>
  </si>
  <si>
    <t>156106X-01L</t>
  </si>
  <si>
    <t>CCA,CPU CTRL MODULE,PMI PN 2020652-02</t>
  </si>
  <si>
    <t>156112C-01L</t>
  </si>
  <si>
    <t>156112X-01L</t>
  </si>
  <si>
    <t>CCA,VBASE 20,RF MODULE,PMI PN 2020690-02</t>
  </si>
  <si>
    <t>156229B-01L</t>
  </si>
  <si>
    <t>156229X-01L</t>
  </si>
  <si>
    <t>CCA,USRP B210 SDR 2X2 (70 MHZ - 6GHZ) MOTHERBOARD</t>
  </si>
  <si>
    <t>156229B-11L</t>
  </si>
  <si>
    <t>156229X-11L</t>
  </si>
  <si>
    <t>MODULE ASSEMBLY,NI USRP-2901,2 CHANNEL,70 MHZ - 6 GHZ</t>
  </si>
  <si>
    <t>156229B-12L</t>
  </si>
  <si>
    <t>156229X-12L</t>
  </si>
  <si>
    <t>MODULE ASSEMBLY,NI USRP-2900,1 CHANNEL,70 MHZ - 6 GHZ</t>
  </si>
  <si>
    <t>156229C-02L</t>
  </si>
  <si>
    <t>156229X-02L</t>
  </si>
  <si>
    <t>CCA,USRP B200 SDR 1X1 (70 MHZ - 6GHZ) MOTHERBOARD</t>
  </si>
  <si>
    <t>156252C-011L</t>
  </si>
  <si>
    <t>156252X-011L</t>
  </si>
  <si>
    <t>MODULE ASSY,PXIE-8830MC,2.3GHZ INTEL CORE I7-4700EQ,LOCALIZED OS</t>
  </si>
  <si>
    <t>156263E-01L</t>
  </si>
  <si>
    <t>156263X-01L</t>
  </si>
  <si>
    <t>CCA,TWINRX USRP RF BOARD (10 MHZ-6 GHZ,2X RX,80 MHZ BW)</t>
  </si>
  <si>
    <t>156312A-01L</t>
  </si>
  <si>
    <t>156312X-01L</t>
  </si>
  <si>
    <t>MODULE ASSEMBLY, PRE-AMPLIFIER, 26.5 GHZ, PXIE-5698</t>
  </si>
  <si>
    <t>156333H-01L</t>
  </si>
  <si>
    <t>156333X-01L</t>
  </si>
  <si>
    <t>MODULE ASSEMBLY,USRP E310</t>
  </si>
  <si>
    <t>156396E-01L</t>
  </si>
  <si>
    <t>156396X-01L</t>
  </si>
  <si>
    <t>CCA ,VST 2.0 WILLY RF CARD</t>
  </si>
  <si>
    <t>156396J-01L</t>
  </si>
  <si>
    <t>156408A-01L</t>
  </si>
  <si>
    <t>156408X-01L</t>
  </si>
  <si>
    <t>CCA,BASICTX DAUGHTERBOARD 1-250 MHZ TX</t>
  </si>
  <si>
    <t>156411A-01L</t>
  </si>
  <si>
    <t>156411X-01L</t>
  </si>
  <si>
    <t>CCA,BASICRX DAUGHTERBOARD 1-250 MHZ RX</t>
  </si>
  <si>
    <t>156444C-01L</t>
  </si>
  <si>
    <t>156444X-01L</t>
  </si>
  <si>
    <t>CCA,MEDUSA CALIBRATION POWER INTERFACE BOARD</t>
  </si>
  <si>
    <t>156485F-01L</t>
  </si>
  <si>
    <t>156485X-01L</t>
  </si>
  <si>
    <t>MODULE ASSEMBLY,NI USRP-2940R,50 MHZ TO 2.2 GHZ</t>
  </si>
  <si>
    <t>156485F-05L</t>
  </si>
  <si>
    <t>156485X-05L</t>
  </si>
  <si>
    <t>MODULE ASSEMBLY, NI USRP-2950R,50 MHZ TO 2.2  GHZ + GPS CLOCK</t>
  </si>
  <si>
    <t>156485F-11L</t>
  </si>
  <si>
    <t>156485X-11L</t>
  </si>
  <si>
    <t>MODULE ASSEMBLY,NI USRP-2940R, 50 MHZ TO 2.2 GHZ (120 MHZ BW)</t>
  </si>
  <si>
    <t>156485F-12L</t>
  </si>
  <si>
    <t>156485X-12L</t>
  </si>
  <si>
    <t>MODULE ASSEMBLY,NI USRP-2942R, 400 MHZ TO 4.4 GHZ (120 MHZ BW)</t>
  </si>
  <si>
    <t>156485F-13L</t>
  </si>
  <si>
    <t>156485X-13L</t>
  </si>
  <si>
    <t>MODULE ASSEMBLY,NI USRP-2943R, 1.2 GHZ TO 6 GHZ (120 MHZ BW)</t>
  </si>
  <si>
    <t>156485F-15L</t>
  </si>
  <si>
    <t>156485X-15L</t>
  </si>
  <si>
    <t>MODULE ASSEMBLY, NI USRP-2950R, 50 MHZ TO 2.2  GHZ + GPS CLOCK (120 MHZ BW)</t>
  </si>
  <si>
    <t>156485F-17L</t>
  </si>
  <si>
    <t>156485X-17L</t>
  </si>
  <si>
    <t>MODULE ASSEMBLY,NI USRP-2953R, 1.2 GHZ TO 6 GHZ + GPS CLOCK (120 MHZ BW)</t>
  </si>
  <si>
    <t>156485G-09L</t>
  </si>
  <si>
    <t>156485X-09L</t>
  </si>
  <si>
    <t>MODULE ASSEMBLY,USRP X310</t>
  </si>
  <si>
    <t>156485G-10L</t>
  </si>
  <si>
    <t>156485X-10L</t>
  </si>
  <si>
    <t>MODULE ASSEMBLY,USRP X300</t>
  </si>
  <si>
    <t>156485G-21L</t>
  </si>
  <si>
    <t>156485X-21L</t>
  </si>
  <si>
    <t>MODULE ASSEMBLY,USRP-2945,10 MHZ TO 6 GHZ</t>
  </si>
  <si>
    <t>156485G-22L</t>
  </si>
  <si>
    <t>156485X-22L</t>
  </si>
  <si>
    <t>MODULE ASSEMBLY,USRP-2955,10 MHZ TO 6 GHZ + GPS CLOCK</t>
  </si>
  <si>
    <t>156485G-24L</t>
  </si>
  <si>
    <t>156485X-24L</t>
  </si>
  <si>
    <t>MODULE ASSEMBLY,USRP X310,OEM,BOARD ONLY</t>
  </si>
  <si>
    <t>156485H-04L</t>
  </si>
  <si>
    <t>156485X-04L</t>
  </si>
  <si>
    <t>MODULE ASSEMBLY,NI USRP-2944R,10 MHZ TO 6 GHZ</t>
  </si>
  <si>
    <t>156485H-08L</t>
  </si>
  <si>
    <t>156485X-08L</t>
  </si>
  <si>
    <t>MODULE ASSEMBLY,NI USRP-2954R,10 MHZ TO 6 GHZ + GPS CLOCK</t>
  </si>
  <si>
    <t>156521G-011L</t>
  </si>
  <si>
    <t>156521X-011L</t>
  </si>
  <si>
    <t>MODULE ASSY,NI PXIE-8880,XEON E5-2618L 2.3GHZ CONTROLLER,LOCALIZED OS</t>
  </si>
  <si>
    <t>156521G-012L</t>
  </si>
  <si>
    <t>156521X-012L</t>
  </si>
  <si>
    <t>MODULE ASSY,NI PXIE-8880,XEON E5-2618L 2.3GHZ CONTROLLER,LOCALIZED OS, W/O TPM</t>
  </si>
  <si>
    <t>156521G-022L</t>
  </si>
  <si>
    <t>156521X-022L</t>
  </si>
  <si>
    <t>MODULE ASSY,NI PXIE-8880,XEON E5-2618L 2.3GHZ CONTROLLER,LOCALIZED OS, 3X8GB SODIMM, W/O TPM</t>
  </si>
  <si>
    <t>156521G-111L</t>
  </si>
  <si>
    <t>156521X-111L</t>
  </si>
  <si>
    <t>MODULE ASSY,NI PXIE-8880,XEON E5-2618L 2.3GHZ CONTROLLER,WIN 7 (64-BIT)</t>
  </si>
  <si>
    <t>156521G-112L</t>
  </si>
  <si>
    <t>156521X-112L</t>
  </si>
  <si>
    <t>MODULE ASSY,NI PXIE-8880,XEON E5-2618L 2.3GHZ CONTROLLER,WIN 7 (64-BIT), W/O TPM</t>
  </si>
  <si>
    <t>156521G-311L</t>
  </si>
  <si>
    <t>156521X-311L</t>
  </si>
  <si>
    <t>MODULE ASSY,NI PXIE-8880,XEON E5-2618L 2.3GHZ CONTROLLER,WIN IOT</t>
  </si>
  <si>
    <t>156521G-352L</t>
  </si>
  <si>
    <t>156521X-352L</t>
  </si>
  <si>
    <t>MODULE ASSY,NI PXIE-8880,XEON E5-2618L 2.3GHZ CONTROLLER,WIN IOT, SIMPLIFIED CHINESE, W/O TPM</t>
  </si>
  <si>
    <t>156602B-01L</t>
  </si>
  <si>
    <t>156602X-01L</t>
  </si>
  <si>
    <t>KIT,STS,T2,NI 5530 MOUNTING STRUCTURE</t>
  </si>
  <si>
    <t>156603B-01L</t>
  </si>
  <si>
    <t>156603X-01L</t>
  </si>
  <si>
    <t>KIT, STS, T4, NI 5530 MOUNTING STRUCTURE</t>
  </si>
  <si>
    <t>156629C-01L</t>
  </si>
  <si>
    <t>156629X-01L</t>
  </si>
  <si>
    <t>CCA,STS MODULAR CHECKER BOARD I (FIRST 40 POGO BLOCKS)</t>
  </si>
  <si>
    <t>156673D-01L</t>
  </si>
  <si>
    <t>156673X-01L</t>
  </si>
  <si>
    <t>CCA,RENAULT I/Q CARD</t>
  </si>
  <si>
    <t>156673E-01L</t>
  </si>
  <si>
    <t>156777A-01L</t>
  </si>
  <si>
    <t>156777X-01L</t>
  </si>
  <si>
    <t>CCA,LFRX DAUGHTERBOARD</t>
  </si>
  <si>
    <t>156780A-01L</t>
  </si>
  <si>
    <t>156780X-01L</t>
  </si>
  <si>
    <t>CCA,LFTX DAUGHTERBOARD</t>
  </si>
  <si>
    <t>156803A-04L</t>
  </si>
  <si>
    <t>156803X-04L</t>
  </si>
  <si>
    <t>CCA,NI PXI-8840 QUAD-CORE</t>
  </si>
  <si>
    <t>156803D-01L</t>
  </si>
  <si>
    <t>156803X-01L</t>
  </si>
  <si>
    <t>CCA,PXI-8840</t>
  </si>
  <si>
    <t>156874E-01L</t>
  </si>
  <si>
    <t>156874X-01L</t>
  </si>
  <si>
    <t>CCA,PXIE-8398</t>
  </si>
  <si>
    <t>156874E-02L</t>
  </si>
  <si>
    <t>156874X-02L</t>
  </si>
  <si>
    <t>CCA,PXIE-8399 DUAL SLOT</t>
  </si>
  <si>
    <t>156874E-04L</t>
  </si>
  <si>
    <t>156874X-04L</t>
  </si>
  <si>
    <t>CCA,PXIE-8394 PERIPHERAL CARD</t>
  </si>
  <si>
    <t>156877E-01L</t>
  </si>
  <si>
    <t>156877X-01L</t>
  </si>
  <si>
    <t>CCA,PCIE-8398</t>
  </si>
  <si>
    <t>156886A-01L</t>
  </si>
  <si>
    <t>156886X-01L</t>
  </si>
  <si>
    <t>ASSEMBLY, DIO ADAPTER MODULE, CANBERRA2</t>
  </si>
  <si>
    <t>156968E-012L</t>
  </si>
  <si>
    <t>156968X-012L</t>
  </si>
  <si>
    <t>MODULE ASSY,NI PXI-8840,CORE I5-4400E 2.7GHZ CONTROLLER,LOCALIZED OS</t>
  </si>
  <si>
    <t>156968F-011L</t>
  </si>
  <si>
    <t>156968X-011L</t>
  </si>
  <si>
    <t>MODULE ASSY,NI PXI-8840,CORE I5-4400E 2.7GHZ CONTROLLER,NO ECARD,LOCALIZED OS</t>
  </si>
  <si>
    <t>156968F-111L</t>
  </si>
  <si>
    <t>156968X-111L</t>
  </si>
  <si>
    <t>MODULE ASSY,NI PXI-8840,CORE I5-4400E 2.7GHZ CONTROLLER,NO ECARD,WIN 7 (64-BIT)</t>
  </si>
  <si>
    <t>156968F-311L</t>
  </si>
  <si>
    <t>156968X-311L</t>
  </si>
  <si>
    <t>MODULE ASSY,NI PXI-8840,CORE I5-4400E 2.7GHZ CONTROLLER,NO ECARD,WIN IOT</t>
  </si>
  <si>
    <t>157089B-01L</t>
  </si>
  <si>
    <t>157089X-01L</t>
  </si>
  <si>
    <t>MODULE ASSEMBLY,PXIE-5654 10 GHZ RF SIGNAL GENERATOR</t>
  </si>
  <si>
    <t>157089B-02L</t>
  </si>
  <si>
    <t>157089X-02L</t>
  </si>
  <si>
    <t>MODULE ASSEMBLY,PXIE-5654 10 GHZ RF SIGNAL GENERATOR, FAST SWITCH</t>
  </si>
  <si>
    <t>157089B-03L</t>
  </si>
  <si>
    <t>157089X-03L</t>
  </si>
  <si>
    <t>MODULE ASSEMBLY,PXIE-5654 20 GHZ RF SIGNAL GENERATOR</t>
  </si>
  <si>
    <t>157089B-04L</t>
  </si>
  <si>
    <t>157089X-04L</t>
  </si>
  <si>
    <t>MODULE ASSEMBLY,PXIE-5654 20 GHZ RF SIGNAL GENERATOR, FAST SWITCH</t>
  </si>
  <si>
    <t>157093G-01L</t>
  </si>
  <si>
    <t>157093X-01L</t>
  </si>
  <si>
    <t>MODULE ASSEMBLY,PXIE-5696 AMPLITUDE EXTENDER</t>
  </si>
  <si>
    <t>157206B-01</t>
  </si>
  <si>
    <t>157206X-01</t>
  </si>
  <si>
    <t>ASSEMBLY,VIRTUALBENCH BINDING POST ACCESSORY</t>
  </si>
  <si>
    <t>157298B-01L</t>
  </si>
  <si>
    <t>157298X-01L</t>
  </si>
  <si>
    <t>CCA,PXI-8360</t>
  </si>
  <si>
    <t>157298B-02L</t>
  </si>
  <si>
    <t>157298X-02L</t>
  </si>
  <si>
    <t>CCA,PXI-8368</t>
  </si>
  <si>
    <t>157549C-01L</t>
  </si>
  <si>
    <t>157549X-01L</t>
  </si>
  <si>
    <t>CCA,BACKPLANE,PXIE-1095,VCXO</t>
  </si>
  <si>
    <t>157549E-01L</t>
  </si>
  <si>
    <t>157549E-03L</t>
  </si>
  <si>
    <t>157549X-03L</t>
  </si>
  <si>
    <t>CCA,BACKPLANE,PXIE-1095,OCXO</t>
  </si>
  <si>
    <t>157680C-01L</t>
  </si>
  <si>
    <t>157680X-01L</t>
  </si>
  <si>
    <t>CCA,PXIE-3620 RX IF/LO1 BOARD</t>
  </si>
  <si>
    <t>157749D-01L</t>
  </si>
  <si>
    <t>157749X-01L</t>
  </si>
  <si>
    <t>CCA,VB-8034/54 HIGH VOLTAGE</t>
  </si>
  <si>
    <t>157758D-01L</t>
  </si>
  <si>
    <t>157758X-01L</t>
  </si>
  <si>
    <t>CCA,VB-8034 HIGH SPEED</t>
  </si>
  <si>
    <t>157766C-01L</t>
  </si>
  <si>
    <t>157766X-01L</t>
  </si>
  <si>
    <t>CCA,STS SYSTEM SMU FIXTURE</t>
  </si>
  <si>
    <t>157918C-01L</t>
  </si>
  <si>
    <t>157918X-01L</t>
  </si>
  <si>
    <t>CCA,GP QUADRANT TO AB FIXTURE</t>
  </si>
  <si>
    <t>157921B-01L</t>
  </si>
  <si>
    <t>157921X-01L</t>
  </si>
  <si>
    <t>CCA,GP QUADRANT FIXTURE</t>
  </si>
  <si>
    <t>157932C-01L</t>
  </si>
  <si>
    <t>157932X-01L</t>
  </si>
  <si>
    <t>CCA,PXIE-8135 E6465, IO BOARD</t>
  </si>
  <si>
    <t>157946B-01L</t>
  </si>
  <si>
    <t>157946X-01L</t>
  </si>
  <si>
    <t>CCA,OCTOCLOCK 8 CHANNEL CLOCK DISTRIBUTION SYSTEM</t>
  </si>
  <si>
    <t>157960B-01L</t>
  </si>
  <si>
    <t>157960X-01L</t>
  </si>
  <si>
    <t>CCA,PXIE-3620 TX IF/LO1 BOARD</t>
  </si>
  <si>
    <t>157963B-01L</t>
  </si>
  <si>
    <t>157963X-01L</t>
  </si>
  <si>
    <t>CCA,PXIE-3620 LO2 BOARD</t>
  </si>
  <si>
    <t>157977B-01L</t>
  </si>
  <si>
    <t>157977X-01L</t>
  </si>
  <si>
    <t>CCA,VB-8034 FRONT BEZEL</t>
  </si>
  <si>
    <t>158079E-01L</t>
  </si>
  <si>
    <t>158079X-01L</t>
  </si>
  <si>
    <t>MODULE ASSEMBLY, VB-8034</t>
  </si>
  <si>
    <t>158127D-01L</t>
  </si>
  <si>
    <t>158127X-01L</t>
  </si>
  <si>
    <t>CCA,HEAVENLY MICROWAVE BOARD</t>
  </si>
  <si>
    <t>158130B-01L</t>
  </si>
  <si>
    <t>158130X-01L</t>
  </si>
  <si>
    <t>CCA,HEAVENLY POWER BOARD</t>
  </si>
  <si>
    <t>158130C-01L</t>
  </si>
  <si>
    <t>158166A-013L</t>
  </si>
  <si>
    <t>158166X-013L</t>
  </si>
  <si>
    <t>MODULE ASSY,NI PXIE-8135 E6460,CORE I7-3610QE 2.3GHZ CONTROLLER,NO ECARD,LOCALIZED OS, 2X8GB SODIMM, SSD</t>
  </si>
  <si>
    <t>158166A-111L</t>
  </si>
  <si>
    <t>158166X-111L</t>
  </si>
  <si>
    <t>MODULE ASSY,NI PXIE-8135 E6460,CORE I7-3610QE 2.3GHZ CONTROLLER,NO ECARD,WIN 7 (64-BIT)</t>
  </si>
  <si>
    <t>158166B-011L</t>
  </si>
  <si>
    <t>158166X-011L</t>
  </si>
  <si>
    <t>MODULE ASSY,NI PXIE-8135 E6465,CORE I7-3610QE 2.3GHZ CONTROLLER,NO ECARD,LOCALIZED OS</t>
  </si>
  <si>
    <t>158166B-021L</t>
  </si>
  <si>
    <t>158166X-021L</t>
  </si>
  <si>
    <t>MODULE ASSY,NI PXIE-8135 E6465,CORE I7-3610QE 2.3GHZ CONTROLLER,NO ECARD,LOCALIZED OS,EXT TEMP</t>
  </si>
  <si>
    <t>158166B-111L</t>
  </si>
  <si>
    <t>MODULE ASSY,NI PXIE-8135 E6465,CORE I7-3610QE 2.3GHZ CONTROLLER,NO ECARD,WIN 7 (64-BIT)</t>
  </si>
  <si>
    <t>158166B-112L</t>
  </si>
  <si>
    <t>158166X-112L</t>
  </si>
  <si>
    <t>MODULE ASSY,NI PXIE-8135 E6465,CORE I7-3610QE 2.3GHZ CONTROLLER,WIN 7 (64-BIT)</t>
  </si>
  <si>
    <t>158166B-121L</t>
  </si>
  <si>
    <t>158166X-121L</t>
  </si>
  <si>
    <t>MODULE ASSY,NI PXIE-8135 E6465,CORE I7-3610QE 2.3GHZ CONTROLLER,NO ECARD,WIN 7 (64-BIT), EXT TEMP</t>
  </si>
  <si>
    <t>158166B-911L</t>
  </si>
  <si>
    <t>158166X-911L</t>
  </si>
  <si>
    <t>MODULE ASSY,NI PXIE-8135 E6465,CORE I7-3610QE 2.3GHZ CONTROLLER,NO ECARD,WIN 7 (32-BIT)</t>
  </si>
  <si>
    <t>158277E-01L</t>
  </si>
  <si>
    <t>158277X-01L</t>
  </si>
  <si>
    <t>CCA,UBX USRP DAUGHTERBOARD,40MHZ BW (10MHZ-6GHZ)</t>
  </si>
  <si>
    <t>158277E-02L</t>
  </si>
  <si>
    <t>158277X-02L</t>
  </si>
  <si>
    <t>CCA,UBX USRP DAUGHTERBOARD,160MHZ BW (10MHZ-6GHZ)</t>
  </si>
  <si>
    <t>158284B-01L</t>
  </si>
  <si>
    <t>158284X-01L</t>
  </si>
  <si>
    <t>CCA,STS HSDIO FIXTURE</t>
  </si>
  <si>
    <t>158340A-02L</t>
  </si>
  <si>
    <t>158340X-02L</t>
  </si>
  <si>
    <t>5542 SHROUD SUBASSEMBLY, MCT1X01</t>
  </si>
  <si>
    <t>158340A-03L</t>
  </si>
  <si>
    <t>158340X-03L</t>
  </si>
  <si>
    <t>5542 SHROUD SUBASSEMBLY, MCT1X11</t>
  </si>
  <si>
    <t>158381D-01L</t>
  </si>
  <si>
    <t>158381X-01L</t>
  </si>
  <si>
    <t>CCA, BACKPLANE, PXIE-1084 VCXO</t>
  </si>
  <si>
    <t>158381D-02L</t>
  </si>
  <si>
    <t>158381X-02L</t>
  </si>
  <si>
    <t>CCA, BACKPLANE, PXIE-1084 VCXO, UPGRADE</t>
  </si>
  <si>
    <t>158395L-01L</t>
  </si>
  <si>
    <t>158395X-01L</t>
  </si>
  <si>
    <t>MODULE ASSEMBLY, PXIE-5840, 6 GHZ VST, 1 GHZ BW</t>
  </si>
  <si>
    <t>158396E-01L</t>
  </si>
  <si>
    <t>158396X-01L</t>
  </si>
  <si>
    <t>MODULE ASSEMBLY,PXIE-5820 BASEBAND VST</t>
  </si>
  <si>
    <t>158539D-01L</t>
  </si>
  <si>
    <t>158539X-01L</t>
  </si>
  <si>
    <t>CCA,CMC DC-DC PXIE-1084</t>
  </si>
  <si>
    <t>158539E-01L</t>
  </si>
  <si>
    <t>158671D-01L</t>
  </si>
  <si>
    <t>158671X-01L</t>
  </si>
  <si>
    <t>CCA,TWINRX USRP IF BOARD (10 MHZ-6 GHZ,2XRX,80 MHZ BW)</t>
  </si>
  <si>
    <t>158675A-011L</t>
  </si>
  <si>
    <t>158675X-011L</t>
  </si>
  <si>
    <t>MODULE ASSY,NI PXIE-8840 QUAD-CORE,CORE I7-5700EQ 2.6GHZ CONTROLLER,NO ECARD,LOCALIZED OS</t>
  </si>
  <si>
    <t>158675A-111L</t>
  </si>
  <si>
    <t>158675X-111L</t>
  </si>
  <si>
    <t>MODULE ASSY,NI PXIE-8840 QUAD-CORE,CORE  I7-5700EQ 2.6GHZ CONTROLLER,NO ECARD,WIN 7 (64-BIT)</t>
  </si>
  <si>
    <t>158675A-311L</t>
  </si>
  <si>
    <t>158675X-311L</t>
  </si>
  <si>
    <t>MODULE ASSY,NI PXIE-8840 QUAD-CORE,CORE  I7-5700EQ 2.6GHZ CONTROLLER,NO ECARD,WIN IOT</t>
  </si>
  <si>
    <t>158675A-351L</t>
  </si>
  <si>
    <t>158675X-351L</t>
  </si>
  <si>
    <t>MODULE ASSY,NI PXIE-8840 QUAD-CORE,CORE  I7-5700EQ 2.6GHZ CONTROLLER,NO ECARD,WIN IOT, SIMPLIFIED CHINESE</t>
  </si>
  <si>
    <t>158686A-011L</t>
  </si>
  <si>
    <t>158686X-011L</t>
  </si>
  <si>
    <t>MODULE ASSY,NI PXI-8840 QUAD-CORE,CORE I7-5700EQ 2.6GHZ CONTROLLER,NO ECARD,LOCALIZED OS</t>
  </si>
  <si>
    <t>158686A-111L</t>
  </si>
  <si>
    <t>158686X-111L</t>
  </si>
  <si>
    <t>MODULE ASSY,NI PXI-8840 QUAD-CORE,CORE  I7-5700EQ 2.6GHZ CONTROLLER,NO ECARD,WIN 7 (64-BIT)</t>
  </si>
  <si>
    <t>158686A-311L</t>
  </si>
  <si>
    <t>158686X-311L</t>
  </si>
  <si>
    <t>MODULE ASSY,NI PXI-8840 QUAD-CORE,CORE  I7-5700EQ 2.6GHZ CONTROLLER,NO ECARD,WIN IOT</t>
  </si>
  <si>
    <t>158686A-351L</t>
  </si>
  <si>
    <t>158686X-351L</t>
  </si>
  <si>
    <t>MODULE ASSY,NI PXI-8840 QUAD-CORE,CORE  I7-5700EQ 2.6GHZ CONTROLLER,NO ECARD,WIN IOT, SIMPLIFIED CHINESE</t>
  </si>
  <si>
    <t>158697C-01L</t>
  </si>
  <si>
    <t>158697X-01L</t>
  </si>
  <si>
    <t>CHASSIS ASSEMBLY, PXIE-1095</t>
  </si>
  <si>
    <t>158697E-11L</t>
  </si>
  <si>
    <t>158697X-11L</t>
  </si>
  <si>
    <t>CHASSIS ASSEMBLY, PXIE-1095, *CUSTOM*</t>
  </si>
  <si>
    <t>158697F-21L</t>
  </si>
  <si>
    <t>158697X-21L</t>
  </si>
  <si>
    <t>CHASSIS ASSEMBLY, PXIE-1095, TIMING AND SYNC</t>
  </si>
  <si>
    <t>158697F-22L</t>
  </si>
  <si>
    <t>158697X-22L</t>
  </si>
  <si>
    <t>CHASSIS ASSEMBLY, PXIE-1095, M2</t>
  </si>
  <si>
    <t>158731C-01L</t>
  </si>
  <si>
    <t>158731X-01L</t>
  </si>
  <si>
    <t>CCA,REAR EXPANSION,PXIE-1095</t>
  </si>
  <si>
    <t>158966C-01L</t>
  </si>
  <si>
    <t>158966X-01L</t>
  </si>
  <si>
    <t>CHASSIS ASSEMBLY, PXIE-1084</t>
  </si>
  <si>
    <t>158966D-21L</t>
  </si>
  <si>
    <t>158966X-21L</t>
  </si>
  <si>
    <t>CHASSIS ASSEMBLY, PXIE-1084, TIMING AND SYNC</t>
  </si>
  <si>
    <t>159034D-01L</t>
  </si>
  <si>
    <t>159034X-01L</t>
  </si>
  <si>
    <t>CCA,USRP B200MINI,1X1,70MHZ-6GHZ</t>
  </si>
  <si>
    <t>159034D-02L</t>
  </si>
  <si>
    <t>159034X-02L</t>
  </si>
  <si>
    <t>CCA,USRP B200MINI,I-GRADE,1X1,70MHZ-6GHZ</t>
  </si>
  <si>
    <t>159034D-03L</t>
  </si>
  <si>
    <t>159034X-03L</t>
  </si>
  <si>
    <t>CCA,USRP B205MINI,I-GRADE,1X1,70MHZ-6GHZ</t>
  </si>
  <si>
    <t>159063H-01L</t>
  </si>
  <si>
    <t>159063X-01L</t>
  </si>
  <si>
    <t>CCA,USRP N310,XC7Z100,10GIGE,MOTHERBOARD</t>
  </si>
  <si>
    <t>159063H-02L</t>
  </si>
  <si>
    <t>159063X-02L</t>
  </si>
  <si>
    <t>CCA,USRP N300,XC7Z035,10GIGE,MOTHERBOARD</t>
  </si>
  <si>
    <t>159063H-03L</t>
  </si>
  <si>
    <t>159063X-03L</t>
  </si>
  <si>
    <t>CCA,USRP N310 WITHOUT TPM,XC7Z100,10GIGE,MOTHERBOARD</t>
  </si>
  <si>
    <t>159063J-01L</t>
  </si>
  <si>
    <t>159323D-01L</t>
  </si>
  <si>
    <t>159323X-01L</t>
  </si>
  <si>
    <t>NI SPRING PIN DIAGNOSTIC AND DC CALIBRATION MODULE 1-40 BLOCK</t>
  </si>
  <si>
    <t>159572B-000L</t>
  </si>
  <si>
    <t>159572X-000L</t>
  </si>
  <si>
    <t>MODULE ASSY,NI PXIE-8861,SKYLAKE H,REMOVEABLE HARD-DRIVE OPTION</t>
  </si>
  <si>
    <t>159572B-311L</t>
  </si>
  <si>
    <t>159572X-311L</t>
  </si>
  <si>
    <t>MODULE ASSY,NI PXIE-8861,SKYLAKE H,WINDOWS IOT</t>
  </si>
  <si>
    <t>159572B-312L</t>
  </si>
  <si>
    <t>159572X-312L</t>
  </si>
  <si>
    <t>MODULE ASSY,NI PXIE-8861,SKYLAKE H,WINDOWS IOT,WITHOUT TPM</t>
  </si>
  <si>
    <t>159572B-352L</t>
  </si>
  <si>
    <t>159572X-352L</t>
  </si>
  <si>
    <t>MODULE ASSY,NI PXIE-8861,SKYLAKE H,WINDOWS IOT (SIMPLIFIED CHINESE)</t>
  </si>
  <si>
    <t>159572B-411L</t>
  </si>
  <si>
    <t>159572X-411L</t>
  </si>
  <si>
    <t>MODULE ASSY,NI PXIE-8861,SKYLAKE H,LINUX RT</t>
  </si>
  <si>
    <t>159597D-01L</t>
  </si>
  <si>
    <t>159597X-01L</t>
  </si>
  <si>
    <t>CCA,CMC DC-DC PXIE-1095</t>
  </si>
  <si>
    <t>159597F-01L</t>
  </si>
  <si>
    <t>159679C-01L</t>
  </si>
  <si>
    <t>159679X-01L</t>
  </si>
  <si>
    <t>CCA, CMC AND DC-DC PXIE-1092 (HALF BOCA)</t>
  </si>
  <si>
    <t>159682D-01</t>
  </si>
  <si>
    <t>159682X-01</t>
  </si>
  <si>
    <t>RF SHIELD ASSY, DAUGHTERCARD, USRP, EVIL TWIN</t>
  </si>
  <si>
    <t>159683B-01</t>
  </si>
  <si>
    <t>159683X-01</t>
  </si>
  <si>
    <t>CORE SHIELD ASSY, DAUGHTERCARD, USRP, EVIL TWIN</t>
  </si>
  <si>
    <t>159684B-01</t>
  </si>
  <si>
    <t>159684X-01</t>
  </si>
  <si>
    <t>IF SHIELD ASSY, DAUGHTERCARD, USRP, EVIL TWIN</t>
  </si>
  <si>
    <t>159685C-01L</t>
  </si>
  <si>
    <t>159685X-01L</t>
  </si>
  <si>
    <t>MODULE ASSEMBLY, TWINRX USRP DAUGHTERBOARD (10 MHZ-6 GHZ,2XRX,80 MHZ BW)</t>
  </si>
  <si>
    <t>159736B-01L</t>
  </si>
  <si>
    <t>159736X-01L</t>
  </si>
  <si>
    <t>CCA,SYDNEY PXI POWER ADAPTER</t>
  </si>
  <si>
    <t>159741C-01L</t>
  </si>
  <si>
    <t>159741X-01L</t>
  </si>
  <si>
    <t>CCA,PXIE-1092 BACKPLANE</t>
  </si>
  <si>
    <t>159741D-01L</t>
  </si>
  <si>
    <t>159813C-01L</t>
  </si>
  <si>
    <t>159813X-01L</t>
  </si>
  <si>
    <t>MODULE ASSEMBLY,PXIE-3620 SYDNEY IF/LO</t>
  </si>
  <si>
    <t>159922B-01L</t>
  </si>
  <si>
    <t>159922X-01L</t>
  </si>
  <si>
    <t>CCA,BROMINE,E330,70MHZ - 6GHZ X4 RECEIVER</t>
  </si>
  <si>
    <t>168100D-01L</t>
  </si>
  <si>
    <t>168100X-01L</t>
  </si>
  <si>
    <t>CCA,PXIE GEN3 EXERCISER AND LOAD CARD,EXPRESS VERSION</t>
  </si>
  <si>
    <t>168100D-02L</t>
  </si>
  <si>
    <t>168100X-02L</t>
  </si>
  <si>
    <t>CCA,PXIE GEN3 EXERCISER AND LOAD CARD, HYBRID VERSION</t>
  </si>
  <si>
    <t>168651A-01L</t>
  </si>
  <si>
    <t>168651X-01L</t>
  </si>
  <si>
    <t>TEST FIXTURE ASSY,SBRIO-9651 FVT INTERPOSER BOARD</t>
  </si>
  <si>
    <t>SBRIO</t>
  </si>
  <si>
    <t>170901C-03L</t>
  </si>
  <si>
    <t>170901X-03L</t>
  </si>
  <si>
    <t>MODULE ASSEMBLY, PXIE THERMAL TEST CARD 2.0, LOAD CARD</t>
  </si>
  <si>
    <t>186055K-01L</t>
  </si>
  <si>
    <t>186055X-01L</t>
  </si>
  <si>
    <t>CCA,PXI-5600 DIGITAL POWER AND CONTROL (ROHS)</t>
  </si>
  <si>
    <t>186800C-02L</t>
  </si>
  <si>
    <t>186800X-02L</t>
  </si>
  <si>
    <t>CCA, PXIE-8375</t>
  </si>
  <si>
    <t>187968H-01L</t>
  </si>
  <si>
    <t>187968X-01L</t>
  </si>
  <si>
    <t>CCA, PXI-1042,8-SLOT PXI BACKPLANE</t>
  </si>
  <si>
    <t>188079J-01L</t>
  </si>
  <si>
    <t>188079X-01L</t>
  </si>
  <si>
    <t>CHASSIS ASSEMBLY, PXI-1042</t>
  </si>
  <si>
    <t>188129J-01L</t>
  </si>
  <si>
    <t>188129X-01L</t>
  </si>
  <si>
    <t>ASSEMBLY, POWER SUPPLY SHUTTLE, PXI-1042, AC</t>
  </si>
  <si>
    <t>188129J-02L</t>
  </si>
  <si>
    <t>188129X-02L</t>
  </si>
  <si>
    <t>188193G-04L</t>
  </si>
  <si>
    <t>188193X-04L</t>
  </si>
  <si>
    <t>CCA, PXI CHASSIS FAN INTERFACE,PXI-1042Q</t>
  </si>
  <si>
    <t>188193H-01L</t>
  </si>
  <si>
    <t>188193X-01L</t>
  </si>
  <si>
    <t>CCA, PXI CHASSIS FAN INTERFACE,PXI-1042</t>
  </si>
  <si>
    <t>188193H-02L</t>
  </si>
  <si>
    <t>188193X-02L</t>
  </si>
  <si>
    <t>CCA, PXI CHASSIS FAN INTERFACE,PXI-1045</t>
  </si>
  <si>
    <t>188370D-01L</t>
  </si>
  <si>
    <t>188370X-01L</t>
  </si>
  <si>
    <t>CCA,POWER SWITCH BOARD,PXI CHASSIS</t>
  </si>
  <si>
    <t>188558K-01L</t>
  </si>
  <si>
    <t>188558X-01L</t>
  </si>
  <si>
    <t>CCA, PXI-5610 LO</t>
  </si>
  <si>
    <t>188561H-01L</t>
  </si>
  <si>
    <t>188561X-01L</t>
  </si>
  <si>
    <t>CCA, PXI-5610 SC BOARD</t>
  </si>
  <si>
    <t>188564M-01L</t>
  </si>
  <si>
    <t>188564X-01L</t>
  </si>
  <si>
    <t>CCA,PXI-5610 DIGITAL POWER AND CONTROL (ROHS)</t>
  </si>
  <si>
    <t>189105L-01L</t>
  </si>
  <si>
    <t>189105X-01L</t>
  </si>
  <si>
    <t>ASSEMBLY, POWER SUPPLY SHUTTLE, PXI-1045, AC</t>
  </si>
  <si>
    <t>189105L-02L</t>
  </si>
  <si>
    <t>189105X-02L</t>
  </si>
  <si>
    <t>189106L-01L</t>
  </si>
  <si>
    <t>189106X-01L</t>
  </si>
  <si>
    <t>CHASSIS ASSEMBLY, PXI-1045</t>
  </si>
  <si>
    <t>189718W-01L</t>
  </si>
  <si>
    <t>189718X-01L</t>
  </si>
  <si>
    <t>MODULE ASSEMBLY, NI PXI-5610 (ROHS)</t>
  </si>
  <si>
    <t>190424F-01L</t>
  </si>
  <si>
    <t>190424X-01L</t>
  </si>
  <si>
    <t>CCA,BACKPLANE, PXIE-1073</t>
  </si>
  <si>
    <t>190735C-01L</t>
  </si>
  <si>
    <t>190735X-01L</t>
  </si>
  <si>
    <t>CCA,PCIE-8362, PLX</t>
  </si>
  <si>
    <t>190770D-01L</t>
  </si>
  <si>
    <t>190770X-01L</t>
  </si>
  <si>
    <t>CCA, NI PXIE-565X DIGITAL POWER AND CONTROL</t>
  </si>
  <si>
    <t>190793G-01L</t>
  </si>
  <si>
    <t>190793X-01L</t>
  </si>
  <si>
    <t>CCA, ATTENUATOR MODULE</t>
  </si>
  <si>
    <t>190871N-01L</t>
  </si>
  <si>
    <t>190871X-01L</t>
  </si>
  <si>
    <t>CHASSIS ASSEMBLY, PXI-1031</t>
  </si>
  <si>
    <t>190872H-01L</t>
  </si>
  <si>
    <t>190872X-01L</t>
  </si>
  <si>
    <t>CCA, PXI-5690 RF PREAMPLIFIER</t>
  </si>
  <si>
    <t>191043G-01L</t>
  </si>
  <si>
    <t>191043X-01L</t>
  </si>
  <si>
    <t>CHASSIS ASSEMBLY, PXI-1042Q</t>
  </si>
  <si>
    <t>191238G-01L</t>
  </si>
  <si>
    <t>191238X-01L</t>
  </si>
  <si>
    <t>ASSEMBLY, POWER SUPPLY SHUTTLE, PXI-1042Q, AC</t>
  </si>
  <si>
    <t>191238G-02L</t>
  </si>
  <si>
    <t>191238X-02L</t>
  </si>
  <si>
    <t>191764N-01L</t>
  </si>
  <si>
    <t>191764X-01L</t>
  </si>
  <si>
    <t>MODULE ASSY, NI PXI-5600</t>
  </si>
  <si>
    <t>191933D-01L</t>
  </si>
  <si>
    <t>191933X-01L</t>
  </si>
  <si>
    <t>CCA,BACKPLANE,PXI-1045 18 SLOT CHASSIS</t>
  </si>
  <si>
    <t>191933D-14L</t>
  </si>
  <si>
    <t>191933X-14L</t>
  </si>
  <si>
    <t>CCA,BACKPLANE,PXI-1044 14 SLOT CHASSIS</t>
  </si>
  <si>
    <t>191967M-01L</t>
  </si>
  <si>
    <t>191967X-01L</t>
  </si>
  <si>
    <t>MODULE ASSY, NI PXI-5650 1.3 GHZ</t>
  </si>
  <si>
    <t>191967M-02L</t>
  </si>
  <si>
    <t>191967X-02L</t>
  </si>
  <si>
    <t>MODULE ASSY, NI PXI-5651 3.3 GHZ</t>
  </si>
  <si>
    <t>191967M-03L</t>
  </si>
  <si>
    <t>191967X-03L</t>
  </si>
  <si>
    <t>MODULE ASSY, NI PXI-5652 6.6 GHZ</t>
  </si>
  <si>
    <t>192011H-01L</t>
  </si>
  <si>
    <t>192011X-01L</t>
  </si>
  <si>
    <t>CHASSIS ASSEMBLY, PXI-1044</t>
  </si>
  <si>
    <t>192160F-01L</t>
  </si>
  <si>
    <t>192160X-01L</t>
  </si>
  <si>
    <t>CCA,BACKPLANE,PXIE-1062 8 SLOT HYBRID CHASSIS</t>
  </si>
  <si>
    <t>192592K-01L</t>
  </si>
  <si>
    <t>192592X-01L</t>
  </si>
  <si>
    <t>CHASSIS ASSEMBLY, PXI-1036</t>
  </si>
  <si>
    <t>192706G-01L</t>
  </si>
  <si>
    <t>192706X-01L</t>
  </si>
  <si>
    <t>CCA,BACKPLANE,PXIE-1065</t>
  </si>
  <si>
    <t>192951N-01L</t>
  </si>
  <si>
    <t>192951X-01L</t>
  </si>
  <si>
    <t>CCA, NI PXI-565X, 6.6 GHZ SIGNAL GENERATOR ANALOG BOARD</t>
  </si>
  <si>
    <t>192951R-02L</t>
  </si>
  <si>
    <t>192951X-02L</t>
  </si>
  <si>
    <t>CCA, NI PXIE-565X, 6.6 GHZ SIGNAL GENERATOR ANALOG BOARD</t>
  </si>
  <si>
    <t>192951T-02L</t>
  </si>
  <si>
    <t>193286B-04L</t>
  </si>
  <si>
    <t>193286X-04L</t>
  </si>
  <si>
    <t>CCA,CMC,PXIE-1065</t>
  </si>
  <si>
    <t>193286C-01L</t>
  </si>
  <si>
    <t>193286X-01L</t>
  </si>
  <si>
    <t>CCA,CMC,PXIE-1062Q</t>
  </si>
  <si>
    <t>193286C-03L</t>
  </si>
  <si>
    <t>193286X-03L</t>
  </si>
  <si>
    <t>CCA,CMC,PXIE-1082</t>
  </si>
  <si>
    <t>193374G-01L</t>
  </si>
  <si>
    <t>193374X-01L</t>
  </si>
  <si>
    <t>CCA,PXIE-5611 BASEBAND DRIVER BOARD</t>
  </si>
  <si>
    <t>193388K-01</t>
  </si>
  <si>
    <t>193388X-01</t>
  </si>
  <si>
    <t>CENTER FRAME ASSY, PXIE-5653</t>
  </si>
  <si>
    <t>193500E-01L</t>
  </si>
  <si>
    <t>193500X-01L</t>
  </si>
  <si>
    <t>CCA,PCIE-8375</t>
  </si>
  <si>
    <t>193893E-01L</t>
  </si>
  <si>
    <t>193893X-01L</t>
  </si>
  <si>
    <t>ASSEMBLY, POWER SUPPLY SHUTTLE, PXIE-1062Q</t>
  </si>
  <si>
    <t>193893E-02L</t>
  </si>
  <si>
    <t>193893X-02L</t>
  </si>
  <si>
    <t>193895G-01L</t>
  </si>
  <si>
    <t>193895X-01L</t>
  </si>
  <si>
    <t>CHASSIS ASSEMBLY, PXIE-1062Q</t>
  </si>
  <si>
    <t>193959G-01L</t>
  </si>
  <si>
    <t>193959X-01L</t>
  </si>
  <si>
    <t>CCA,RF PROCESSING MODULE</t>
  </si>
  <si>
    <t>193970D-01L</t>
  </si>
  <si>
    <t>193970X-01L</t>
  </si>
  <si>
    <t>CCA,PXIE-8364</t>
  </si>
  <si>
    <t>193970D-02L</t>
  </si>
  <si>
    <t>193970X-02L</t>
  </si>
  <si>
    <t>CCA,PXIE-8374</t>
  </si>
  <si>
    <t>193977E-01L</t>
  </si>
  <si>
    <t>193977X-01L</t>
  </si>
  <si>
    <t>CCA,BACKPLANE, PXIE-1071</t>
  </si>
  <si>
    <t>194041B-01L</t>
  </si>
  <si>
    <t>194041X-01L</t>
  </si>
  <si>
    <t>CCA,POWER SWITCH BOARD, PXI-E CHASSIS</t>
  </si>
  <si>
    <t>194295C-01L</t>
  </si>
  <si>
    <t>194295X-01L</t>
  </si>
  <si>
    <t>CCA,DIODE SENSOR ,PXIE-1062</t>
  </si>
  <si>
    <t>194295C-02L</t>
  </si>
  <si>
    <t>194295X-02L</t>
  </si>
  <si>
    <t>CCA,DIODE SENSOR ,PXIE-1085</t>
  </si>
  <si>
    <t>194402D-02L</t>
  </si>
  <si>
    <t>194402X-02L</t>
  </si>
  <si>
    <t>CCA, PXIE-8370</t>
  </si>
  <si>
    <t>194402G-01L</t>
  </si>
  <si>
    <t>194402X-01L</t>
  </si>
  <si>
    <t>CCA, PXIE-8360</t>
  </si>
  <si>
    <t>194743J-01L</t>
  </si>
  <si>
    <t>194743X-01L</t>
  </si>
  <si>
    <t>CHASSIS ASSEMBLY, PXIE-1065</t>
  </si>
  <si>
    <t>194744D-01L</t>
  </si>
  <si>
    <t>194744X-01L</t>
  </si>
  <si>
    <t>ASSEMBLY,POWER SUPPLY SHUTTLE,PXIE-1065</t>
  </si>
  <si>
    <t>194744D-02L</t>
  </si>
  <si>
    <t>194744X-02L</t>
  </si>
  <si>
    <t>194878B-01L</t>
  </si>
  <si>
    <t>194878X-01L</t>
  </si>
  <si>
    <t>CCA,PXI-1031,4 SLOT PXI BACKPLANE</t>
  </si>
  <si>
    <t>194915E-01L</t>
  </si>
  <si>
    <t>194915X-01L</t>
  </si>
  <si>
    <t>CCA,BACKPLANE,PXI-1033</t>
  </si>
  <si>
    <t>194918H-01L</t>
  </si>
  <si>
    <t>194918X-01L</t>
  </si>
  <si>
    <t>CHASSIS ASSY, PXI-1033</t>
  </si>
  <si>
    <t>194975D-01</t>
  </si>
  <si>
    <t>194975X-01</t>
  </si>
  <si>
    <t>CENTER FRAME ASSY, ATTENUATOR MODULE, NI PXIE-5611</t>
  </si>
  <si>
    <t>195178C-01L</t>
  </si>
  <si>
    <t>195178X-01L</t>
  </si>
  <si>
    <t>CCA,PXI-1033 MXI EXTENSION BOARD</t>
  </si>
  <si>
    <t>195315E-01L</t>
  </si>
  <si>
    <t>195315X-01L</t>
  </si>
  <si>
    <t>CCA, PCIE-8361,LOW PROFILE</t>
  </si>
  <si>
    <t>195321D-01L</t>
  </si>
  <si>
    <t>195321X-01L</t>
  </si>
  <si>
    <t>CCA,SENSORDAQ</t>
  </si>
  <si>
    <t>195423C-03L</t>
  </si>
  <si>
    <t>195423X-03L</t>
  </si>
  <si>
    <t>CCA,RF-RIO BASEBAND CARD--TRIDENT</t>
  </si>
  <si>
    <t>195423E-11L</t>
  </si>
  <si>
    <t>195423X-11L</t>
  </si>
  <si>
    <t>CCA, PXIE-564XR STINGRAY BASEBAND</t>
  </si>
  <si>
    <t>195509F-01L</t>
  </si>
  <si>
    <t>195509X-01L</t>
  </si>
  <si>
    <t>CCA,NI MYDAQ 195511F-01</t>
  </si>
  <si>
    <t>195581G-01L</t>
  </si>
  <si>
    <t>195581X-01L</t>
  </si>
  <si>
    <t>CCA, BACKPLANE, PXIE-1085, GEN 3</t>
  </si>
  <si>
    <t>195581H-01L</t>
  </si>
  <si>
    <t>195581H-03L</t>
  </si>
  <si>
    <t>195581X-03L</t>
  </si>
  <si>
    <t>CCA, BACKPLANE, PXIE-1085 VCXO</t>
  </si>
  <si>
    <t>195581J-01L</t>
  </si>
  <si>
    <t>195581J-03L</t>
  </si>
  <si>
    <t>195659F-01L</t>
  </si>
  <si>
    <t>195659X-01L</t>
  </si>
  <si>
    <t>CHASSIS ASSEMBLY, PXIE-1071</t>
  </si>
  <si>
    <t>195720F-01</t>
  </si>
  <si>
    <t>195720X-01</t>
  </si>
  <si>
    <t>ENCLOSURE ASSY, FIP GASKET, RF, BOTTOM, NI 565X, PXI/PXIE</t>
  </si>
  <si>
    <t>195721F-01</t>
  </si>
  <si>
    <t>195721X-01</t>
  </si>
  <si>
    <t>ENCLOSURE ASSY, FIP GASKET, RF, TOP, NI 565X, PXI/PXIE</t>
  </si>
  <si>
    <t>196385M-01L</t>
  </si>
  <si>
    <t>196385X-01L</t>
  </si>
  <si>
    <t>MODULE ASSEMBLY, NI PXIE-5611 IQ MODULATOR</t>
  </si>
  <si>
    <t>196695J-01L</t>
  </si>
  <si>
    <t>196695X-01L</t>
  </si>
  <si>
    <t>CHASSIS ASSEMBLY, PXIE-1073</t>
  </si>
  <si>
    <t>196744A-01L</t>
  </si>
  <si>
    <t>196744X-01L</t>
  </si>
  <si>
    <t>CCA,NI ELVIS 2 RISER CARD</t>
  </si>
  <si>
    <t>196945E-01L</t>
  </si>
  <si>
    <t>196945X-01L</t>
  </si>
  <si>
    <t>CCA, MIGHTY MOUSE POWER/CONTROL BOARD</t>
  </si>
  <si>
    <t>196945E-02L</t>
  </si>
  <si>
    <t>196945X-02L</t>
  </si>
  <si>
    <t>196952D-01L</t>
  </si>
  <si>
    <t>196952X-01L</t>
  </si>
  <si>
    <t>CCA, HFGG POWER AND CONTROL BOARD</t>
  </si>
  <si>
    <t>196972D-01L</t>
  </si>
  <si>
    <t>196972X-01L</t>
  </si>
  <si>
    <t>CCA,BACKPLANE,PXI-1036,6 SLOT CHASSIS</t>
  </si>
  <si>
    <t>197678K-01L</t>
  </si>
  <si>
    <t>197678X-01L</t>
  </si>
  <si>
    <t>CCA, BACKPLANE, PXIE-1082</t>
  </si>
  <si>
    <t>198265B-02L</t>
  </si>
  <si>
    <t>198265X-02L</t>
  </si>
  <si>
    <t>MODULE ASSEMBLY, NI PXIE-5606, PRE-AMP - 26.5 GHZ VSA, 200 MHZ BW</t>
  </si>
  <si>
    <t>198265B-03L</t>
  </si>
  <si>
    <t>198265X-03L</t>
  </si>
  <si>
    <t>MODULE ASSEMBLY, NI PXIE-5606, PRE-AMP - 26.5 GHZ VSA, 320 MHZ BW  (BASE MODEL)</t>
  </si>
  <si>
    <t>198265B-04L</t>
  </si>
  <si>
    <t>198265X-04L</t>
  </si>
  <si>
    <t>MODULE ASSEMBLY, NI PXIE-5606, PRE-AMP - 14 GHZ VSA, 80 MHZ BW</t>
  </si>
  <si>
    <t>198265B-05L</t>
  </si>
  <si>
    <t>198265X-05L</t>
  </si>
  <si>
    <t>MODULE ASSEMBLY, NI PXIE-5606, PRE-AMP - 14 GHZ VSA, 200 MHZ BW</t>
  </si>
  <si>
    <t>198265B-06L</t>
  </si>
  <si>
    <t>198265X-06L</t>
  </si>
  <si>
    <t>MODULE ASSEMBLY, NI PXIE-5606, PRE-AMP - 14 GHZ VSA, 320/765 MHZ BW</t>
  </si>
  <si>
    <t>198266B-01L</t>
  </si>
  <si>
    <t>198266X-01L</t>
  </si>
  <si>
    <t>CCA,EXPRESSCARD-8360</t>
  </si>
  <si>
    <t>198570B-02L</t>
  </si>
  <si>
    <t>198570X-02L</t>
  </si>
  <si>
    <t>MODULE ASSEMBLY,NI ELVIS II+</t>
  </si>
  <si>
    <t>198666K-01L</t>
  </si>
  <si>
    <t>198666X-01L</t>
  </si>
  <si>
    <t>CHASSIS ASSEMBLY, PXIE-1082</t>
  </si>
  <si>
    <t>198754C-01L</t>
  </si>
  <si>
    <t>198754X-01L</t>
  </si>
  <si>
    <t>ASSEMBLY, POWER SUPPLY SHUTTLE, PXIE-1082</t>
  </si>
  <si>
    <t>198754C-02L</t>
  </si>
  <si>
    <t>198754X-02L</t>
  </si>
  <si>
    <t>198787G-01</t>
  </si>
  <si>
    <t>198787X-01</t>
  </si>
  <si>
    <t>SHIELD ASSEMBLY, PRIMARY SIDE, NI PXIE-5622</t>
  </si>
  <si>
    <t>198809D-01</t>
  </si>
  <si>
    <t>198809X-01</t>
  </si>
  <si>
    <t>SHIELD ASSY, FIP GASKET, SECONDARY SIDE, NI PXIE-5622</t>
  </si>
  <si>
    <t>199042B-01L</t>
  </si>
  <si>
    <t>199042X-01L</t>
  </si>
  <si>
    <t>CCA,PCIE-8361</t>
  </si>
  <si>
    <t>199050B-01L</t>
  </si>
  <si>
    <t>199050X-01L</t>
  </si>
  <si>
    <t>MODULE ASSEMBLY, NI PXIE-5694, YICM IF</t>
  </si>
  <si>
    <t>199060A-01L</t>
  </si>
  <si>
    <t>199060X-01L</t>
  </si>
  <si>
    <t>MODULE ASSEMBLY, NI PXIE-5693, YPSM, PRE-SELECTOR</t>
  </si>
  <si>
    <t>199080J-01L</t>
  </si>
  <si>
    <t>199080X-01L</t>
  </si>
  <si>
    <t>MODULE ASSEMBLY, NI PXIE-5601, PHASE 2</t>
  </si>
  <si>
    <t>199116C-01L</t>
  </si>
  <si>
    <t>199116X-01L</t>
  </si>
  <si>
    <t>CCA,NI PXIE-5641R, 95K FPGA</t>
  </si>
  <si>
    <t>199226G-01L</t>
  </si>
  <si>
    <t>199226X-01L</t>
  </si>
  <si>
    <t>CCA, PXIE-5653 VCO (NEL OCXO)</t>
  </si>
  <si>
    <t>199229F-01L</t>
  </si>
  <si>
    <t>199229X-01L</t>
  </si>
  <si>
    <t>CCA, PXIE-5653 YIG</t>
  </si>
  <si>
    <t>199232E-01L</t>
  </si>
  <si>
    <t>199232X-01L</t>
  </si>
  <si>
    <t>CCA,PXIE-5653 P&amp;C</t>
  </si>
  <si>
    <t>199365F-01L</t>
  </si>
  <si>
    <t>199365X-01L</t>
  </si>
  <si>
    <t>CCA,BACKPLANE,PXIE-1078</t>
  </si>
  <si>
    <t>199365F-03L</t>
  </si>
  <si>
    <t>199365X-03L</t>
  </si>
  <si>
    <t>CCA,BACKPLANE,PXIE-1078 TCXO</t>
  </si>
  <si>
    <t>199392B-01L</t>
  </si>
  <si>
    <t>199392X-01L</t>
  </si>
  <si>
    <t>CCA,PCI-8361</t>
  </si>
  <si>
    <t>199392B-02L</t>
  </si>
  <si>
    <t>199392X-02L</t>
  </si>
  <si>
    <t>CCA,PCI-8366</t>
  </si>
  <si>
    <t>199436C-01L</t>
  </si>
  <si>
    <t>199436X-01L</t>
  </si>
  <si>
    <t>CCA, PXIE-5603 RF BOARD REV C</t>
  </si>
  <si>
    <t>199438C-11</t>
  </si>
  <si>
    <t>199438X-11</t>
  </si>
  <si>
    <t>PCB, (MODIFIED),PXIE-5603 RF BOARD - (199438C-11 IS NOT A PURCHASED PCB.  THE 199438C-11 IS A REWORKED 199438C-01 PCB THAT IS PLACE BACK IN STOCK),(REWORKED PCB PER INSTRUCTION IN ATTACHMENTS TAB)</t>
  </si>
  <si>
    <t>199485F-03L</t>
  </si>
  <si>
    <t>199485X-03L</t>
  </si>
  <si>
    <t>CHASSIS ASSEMBLY, PXIE-1078, TCXO</t>
  </si>
  <si>
    <t>199485G-01L</t>
  </si>
  <si>
    <t>199485X-01L</t>
  </si>
  <si>
    <t>CHASSIS ASSEMBLY, PXIE-1078</t>
  </si>
  <si>
    <t>199503C-01L</t>
  </si>
  <si>
    <t>199503X-01L</t>
  </si>
  <si>
    <t>CCA, BASEBAND SDR FAM, TRANSCEIVER, 100 MHZ BW</t>
  </si>
  <si>
    <t>199517D-01L</t>
  </si>
  <si>
    <t>199517X-01L</t>
  </si>
  <si>
    <t>CCA, PXIE-5693 PRE-SELECTOR BOARD</t>
  </si>
  <si>
    <t>199520D-01L</t>
  </si>
  <si>
    <t>199520X-01L</t>
  </si>
  <si>
    <t>CCA, YICM CONDITIONING BOARD, PXIE-5694</t>
  </si>
  <si>
    <t>199523F-01L</t>
  </si>
  <si>
    <t>199523X-01L</t>
  </si>
  <si>
    <t>CCA, PXIE-5606 RF BOARD</t>
  </si>
  <si>
    <t>199523G-01L</t>
  </si>
  <si>
    <t>199526D-01L</t>
  </si>
  <si>
    <t>199526X-01L</t>
  </si>
  <si>
    <t>CCA, PXIE-5606 IF1 BOARD</t>
  </si>
  <si>
    <t>199529C-01L</t>
  </si>
  <si>
    <t>199529X-01L</t>
  </si>
  <si>
    <t>CCA, PXIE-5606 HYBRID BIAS &amp; CONTROL BOARD</t>
  </si>
  <si>
    <t>199536C-01L</t>
  </si>
  <si>
    <t>199536X-01L</t>
  </si>
  <si>
    <t>CCA, PXIE-5603 IF BOARD REV C</t>
  </si>
  <si>
    <t>199541E-01L</t>
  </si>
  <si>
    <t>199541X-01L</t>
  </si>
  <si>
    <t>MODULE ASSY, NI PXIE-5650 1.3 GHZ</t>
  </si>
  <si>
    <t>199541E-02L</t>
  </si>
  <si>
    <t>199541X-02L</t>
  </si>
  <si>
    <t>MODULE ASSY, NI PXIE-5651 3.3 GHZ</t>
  </si>
  <si>
    <t>199541E-03L</t>
  </si>
  <si>
    <t>199541X-03L</t>
  </si>
  <si>
    <t>MODULE ASSY, NI PXIE-5652 6.6 GHZ</t>
  </si>
  <si>
    <t>199541F-03L</t>
  </si>
  <si>
    <t>199548A-02L</t>
  </si>
  <si>
    <t>199548X-02L</t>
  </si>
  <si>
    <t>CCA, PXI CHASSIS POWER SWITCH BOARD,PXIE-107X SERIES</t>
  </si>
  <si>
    <t>199548A-03L</t>
  </si>
  <si>
    <t>199548X-03L</t>
  </si>
  <si>
    <t>CCA, PXI CHASSIS POWER SWITCH BOARD,PXI 103X SERIES</t>
  </si>
  <si>
    <t>199572B-02L</t>
  </si>
  <si>
    <t>199572X-02L</t>
  </si>
  <si>
    <t>MODULE ASSEMBLY, NI PXIE-5603,  PRE-AMP</t>
  </si>
  <si>
    <t>199622C-01L</t>
  </si>
  <si>
    <t>199622X-01L</t>
  </si>
  <si>
    <t>CCA, PXIE-5606 IF2 BOARD</t>
  </si>
  <si>
    <t>199646C-01L</t>
  </si>
  <si>
    <t>199646X-01L</t>
  </si>
  <si>
    <t>CCA, PXIE-XXX 4-WAY SWITCH MODULE BOARD</t>
  </si>
  <si>
    <t>199649F-01L</t>
  </si>
  <si>
    <t>199649X-01L</t>
  </si>
  <si>
    <t>CCA, MEDUSA  BRIDGE COUPLER BOARD</t>
  </si>
  <si>
    <t>199652B-01L</t>
  </si>
  <si>
    <t>199652X-01L</t>
  </si>
  <si>
    <t>MODULE ASSEMBLY, FIGS MODULE, NI 5532</t>
  </si>
  <si>
    <t>199652B-02L</t>
  </si>
  <si>
    <t>199652X-02L</t>
  </si>
  <si>
    <t>MODULE ASSEMBLY, FIGS MODULE, NI 5532, NO EJECTOR LATCHES</t>
  </si>
  <si>
    <t>199652C-01L</t>
  </si>
  <si>
    <t>199652C-02L</t>
  </si>
  <si>
    <t>199653B-01L</t>
  </si>
  <si>
    <t>199653X-01L</t>
  </si>
  <si>
    <t>MODULE ASSEMBLY,PORT MODULE,NI 5531</t>
  </si>
  <si>
    <t>199785E-01L</t>
  </si>
  <si>
    <t>199785X-01L</t>
  </si>
  <si>
    <t>CCA,DC/DC POWER SUPPLY 8-SLOT(PRIMARY)</t>
  </si>
  <si>
    <t>199861H-01L</t>
  </si>
  <si>
    <t>199861X-01L</t>
  </si>
  <si>
    <t>MODULE ASSEMBLY, PXIE-5653 (NEL OCXO)</t>
  </si>
  <si>
    <t>199861J-01L</t>
  </si>
  <si>
    <t>199991C-02L</t>
  </si>
  <si>
    <t>199991X-02L</t>
  </si>
  <si>
    <t>CCA,PXI-8364</t>
  </si>
  <si>
    <t>199994C-01L</t>
  </si>
  <si>
    <t>199994X-01L</t>
  </si>
  <si>
    <t>CCA,PCIE-8371,PLX</t>
  </si>
  <si>
    <t>M9005A-002</t>
  </si>
  <si>
    <t>X9005A-002</t>
  </si>
  <si>
    <t>PCIE DESKTOP ADAPTER FOR M9005A</t>
  </si>
  <si>
    <t>SO+FCST+SS 25% Qty</t>
  </si>
  <si>
    <t>SHIELD ASSY, COVER, RF, PXIE-5840</t>
  </si>
  <si>
    <t>SHIELD ASSY, FIP GASKET, TOPAZ, FEM, TOP, BNC4</t>
  </si>
  <si>
    <t>ASSY,STS,T4,TEST HEAD,GENERIC</t>
  </si>
  <si>
    <t>BOTTOM COVER ASSY, FIP GASKET, ATTENUATOR MODULE, PXIE-5611</t>
  </si>
  <si>
    <t>130304C-01L</t>
  </si>
  <si>
    <t>130333A-01</t>
  </si>
  <si>
    <t>ASSY, STS SYSTEM, NI STS T1M2 DX FOR STMICRO BTLE_DUAL</t>
  </si>
  <si>
    <t>130334A-01</t>
  </si>
  <si>
    <t>ASSY, STS CHASSIS KIT, CHASSIS 1, NI STS T1M2 DX FOR STMICRO BTLE_DUAL</t>
  </si>
  <si>
    <t>130335A-01</t>
  </si>
  <si>
    <t>ASSY, STS ACCESSORY KIT, NI STS T1M2 DX FOR STMICRO BTLE_DUAL</t>
  </si>
  <si>
    <t>130343A-01</t>
  </si>
  <si>
    <t>ACCESSORY KIT, PXIE-1084 TIMING AND SYNC</t>
  </si>
  <si>
    <t>130372A-01L</t>
  </si>
  <si>
    <t>CCA,BACKPLANE, PXIE-1083</t>
  </si>
  <si>
    <t>130375A-01L</t>
  </si>
  <si>
    <t>CCA,DAUGHTER BOARD, PXIE-1083</t>
  </si>
  <si>
    <t>130503B-01L</t>
  </si>
  <si>
    <t>130503B-02L</t>
  </si>
  <si>
    <t>130573B-01L</t>
  </si>
  <si>
    <t>MODULE ASSEMBLY, 4GHZ VARIABLE DELAY GENERATOR, PXIE-5551</t>
  </si>
  <si>
    <t>130576B-01</t>
  </si>
  <si>
    <t>ASSY, RF TOP SHIELD, 4GHZ VARIABLE DELAY GENERATOR, PXIE-5551</t>
  </si>
  <si>
    <t>130707A-01</t>
  </si>
  <si>
    <t>ASSY, STS SYSTEM, NI STS T2M2 DX for Rochester E General ATE</t>
  </si>
  <si>
    <t>130817A-01</t>
  </si>
  <si>
    <t>ASSY, STS SYSTEM, NI STS T1M2 DX FOR WISPRY CAPTEST</t>
  </si>
  <si>
    <t>130819A-01</t>
  </si>
  <si>
    <t>ASSY, STS CHASSIS KIT, CHASSIS 1, NI STS T1M2 DX FOR WISPRY CAPTEST</t>
  </si>
  <si>
    <t>130820A-01</t>
  </si>
  <si>
    <t>ASSY, STS ACCESSORY KIT, NI STS T1M2 DX FOR WISPRY CAPTEST</t>
  </si>
  <si>
    <t>131046C-01L</t>
  </si>
  <si>
    <t>131131B-01</t>
  </si>
  <si>
    <t>CHASSIS ASSEMBLY, PXIE-1090</t>
  </si>
  <si>
    <t>131163A-01</t>
  </si>
  <si>
    <t>ASSY, STS SYSTEM, NI STS T2M2 DX FOR ASE PMIC 4 SITE</t>
  </si>
  <si>
    <t>131185B-01</t>
  </si>
  <si>
    <t>CHASSIS1 ASSEMBLY, QUALCOMM 5G MMWAVE BENCH TESTER</t>
  </si>
  <si>
    <t>131186B-01</t>
  </si>
  <si>
    <t>ACCESSORY KIT,QUALCOMM 5G MMWAVE BENCH TESTER</t>
  </si>
  <si>
    <t>131187B-01</t>
  </si>
  <si>
    <t>ASSEMBLY, QUALCOMM 5G MMWAVE BENCH TESTER</t>
  </si>
  <si>
    <t>131268A-01</t>
  </si>
  <si>
    <t>CHASSIS 1, VWTS-100</t>
  </si>
  <si>
    <t>LCO</t>
  </si>
  <si>
    <t>131299A-01</t>
  </si>
  <si>
    <t>ASSY, STS SYSTEM, NI STS T1M2 CX FOR MEDIATEK 1 SITES</t>
  </si>
  <si>
    <t>131300A-01</t>
  </si>
  <si>
    <t>ASSY, STS CHASSIS KIT, CHASSIS 1, NI STS T1M2 CX FOR MEDIATEK 1 SITES</t>
  </si>
  <si>
    <t>131301A-01</t>
  </si>
  <si>
    <t>ASSY, STS ACCESSORY KIT, NI STS T1M2 CX FOR MEDIATEK 1 SITES</t>
  </si>
  <si>
    <t>131308A-01L</t>
  </si>
  <si>
    <t>ASSY, STS MMWAVE CLB</t>
  </si>
  <si>
    <t>131342A-01</t>
  </si>
  <si>
    <t>ASSY, STS SYSTEM, NI STS T2M2 DX FOR RAD LAB</t>
  </si>
  <si>
    <t>131345A-01</t>
  </si>
  <si>
    <t>ASSY, STS SYSTEM, NI STS T2M2 DX for WiSpry CAPTEST</t>
  </si>
  <si>
    <t>131346A-01</t>
  </si>
  <si>
    <t>ASSY, STS CHASSIS KIT, CHASSIS 1, NI STS T2M2 DX for WiSpry CAPTEST</t>
  </si>
  <si>
    <t>131347A-01</t>
  </si>
  <si>
    <t>ASSY, STS CHASSIS KIT, CHASSIS 2, NI STS T2M2 DX for WiSpry CAPTEST</t>
  </si>
  <si>
    <t>131348A-01</t>
  </si>
  <si>
    <t>ASSY, STS ACCESSORY KIT, NI STS T2M2 DX for WiSpry CAPTEST</t>
  </si>
  <si>
    <t>131474A-01</t>
  </si>
  <si>
    <t>ASSY, STS SYSTEM, NI STS T4M2 DX FEM QUAD B</t>
  </si>
  <si>
    <t>131608A-01</t>
  </si>
  <si>
    <t>ASSY, STS SYSTEM, STS T4M2 TEST SYSTEM</t>
  </si>
  <si>
    <t>131609A-01</t>
  </si>
  <si>
    <t>ASSY, STS CHASSIS KIT, CHASSIS 1, STS T4M2 TEST SYSTEM</t>
  </si>
  <si>
    <t>131610A-01</t>
  </si>
  <si>
    <t>ASSY, STS ACCESSORY KIT, STS T4M2 TEST SYSTEM</t>
  </si>
  <si>
    <t>131623A-01</t>
  </si>
  <si>
    <t>ASSY, NI 5G MMWAVE SEMCO TEST SYSTEM - SINGLE HEAD + DC + DIGITAL + LO</t>
  </si>
  <si>
    <t>131683A-01</t>
  </si>
  <si>
    <t>ASSY, STS SYSTEM, NI STS T2M2 DX FOR MKT DEMO DX</t>
  </si>
  <si>
    <t>131694A-01</t>
  </si>
  <si>
    <t>ASSY, STS SYSTEM, NI STS T2M2 DX for UTAC RF FEM</t>
  </si>
  <si>
    <t>131737A-01</t>
  </si>
  <si>
    <t>ASSY, STS SYSTEM, NI STS T1M2 DX FOR STMICRO T1 MCD</t>
  </si>
  <si>
    <t>131844A-01</t>
  </si>
  <si>
    <t>ASSY, STS, BLANK CHASSIS BAY COVER, T2M2 T4M2</t>
  </si>
  <si>
    <t>131889A-01</t>
  </si>
  <si>
    <t>ASSY, STS CHASSIS KIT, CHASSIS 1, NI STS T4M2 DX FOR NI 5G MMW</t>
  </si>
  <si>
    <t>131889B-01</t>
  </si>
  <si>
    <t>131890A-01</t>
  </si>
  <si>
    <t>ASSY, STS CHASSIS KIT, CHASSIS 2, NI STS T4M2 DX FOR NI 5G MMW</t>
  </si>
  <si>
    <t>131897B-01</t>
  </si>
  <si>
    <t>ASSY, STS SYSTEM,NI QUAD SITE T4M2 BASE MMWAVE</t>
  </si>
  <si>
    <t>131924A-01</t>
  </si>
  <si>
    <t>ASSY, STS SYSTEM, NI STS T2M2 DX FOR DYNAX PG</t>
  </si>
  <si>
    <t>131925A-01</t>
  </si>
  <si>
    <t>ASSY, STS CHASSIS KIT, CHASSIS 1, NI STS T2M2 DX FOR DYNAX PG</t>
  </si>
  <si>
    <t>131926A-01</t>
  </si>
  <si>
    <t>ASSY, STS CHASSIS KIT, CHASSIS 2, NI STS T2M2 DX FOR DYNAX PG</t>
  </si>
  <si>
    <t>131927A-01</t>
  </si>
  <si>
    <t>ASSY, STS ACCESSORY KIT, NI STS T2M2 DX FOR DYNAX PG</t>
  </si>
  <si>
    <t>131952A-01</t>
  </si>
  <si>
    <t>ACCESSORY, NI 5G MMWAVE TEST SYSTEM - TWO HEADS+DC+DIGITAK+LO</t>
  </si>
  <si>
    <t>131985A-01</t>
  </si>
  <si>
    <t>ASSY, STS SYSTEM, NI STS T4M2 DX FOR INVENSENSE X36</t>
  </si>
  <si>
    <t>132028A-01L</t>
  </si>
  <si>
    <t>CHASSIS ASSEMBLY, PXIE-1083</t>
  </si>
  <si>
    <t>132083A-01</t>
  </si>
  <si>
    <t>ASSY, STS SYSTEM, NI STS T4M2 DX FOR QUALCOMM QFE OCTALJS</t>
  </si>
  <si>
    <t>132084A-01</t>
  </si>
  <si>
    <t>ASSY, STS CHASSIS KIT, CHASSIS 1, NI STS T4M2 DX FOR QUALCOMM QFE OCTALJS</t>
  </si>
  <si>
    <t>132085A-01</t>
  </si>
  <si>
    <t>ASSY, STS CHASSIS KIT, CHASSIS 2, NI STS T4M2 DX FOR QUALCOMM QFE OCTALJS</t>
  </si>
  <si>
    <t>132086A-01</t>
  </si>
  <si>
    <t>ASSY, STS CHASSIS KIT, CHASSIS 3, NI STS T4M2 DX FOR QUALCOMM QFE OCTALJS</t>
  </si>
  <si>
    <t>132087A-01</t>
  </si>
  <si>
    <t>ASSY, STS CHASSIS KIT, CHASSIS 4, NI STS T4M2 DX FOR QUALCOMM QFE OCTALJS</t>
  </si>
  <si>
    <t>132088A-01</t>
  </si>
  <si>
    <t>ASSY, STS ACCESSORY KIT, NI STS T4M2 DX FOR QUALCOMM QFE OCTALJS</t>
  </si>
  <si>
    <t>132143A-01</t>
  </si>
  <si>
    <t>ASSY, STS SYSTEM, NI STS T2M2 DX FOR HCA MD133 1SITE</t>
  </si>
  <si>
    <t>132165A-01</t>
  </si>
  <si>
    <t>ASSY, STS SYSTEM, NI STS T4M2 DX FOR INTEL SIPHO EE256</t>
  </si>
  <si>
    <t>132195A-01</t>
  </si>
  <si>
    <t>ASSY, STS SYSTEM, NI STS T4M2 DX FOR TMS STS T4M2</t>
  </si>
  <si>
    <t>132214A-01</t>
  </si>
  <si>
    <t>ASSY, NI 5G MMWAVE JCET TEST SYSTEM - TWO HEADS + DC+ DIGITAL + LO</t>
  </si>
  <si>
    <t>132215A-01</t>
  </si>
  <si>
    <t>CHASSIS 1 PXI, NI 5G MMWAVE JCET TEST SYSTEM - TWO HEADS + DC+ DIGITAL + LO</t>
  </si>
  <si>
    <t>132295A-01</t>
  </si>
  <si>
    <t>ASSY, STS SYSTEM, NI STS T4M2 DX FOR BUTTERFLY SENSOR</t>
  </si>
  <si>
    <t>132296A-01</t>
  </si>
  <si>
    <t>ASSY, STS CHASSIS KIT, CHASSIS 1, NI STS T4M2 DX FOR BUTTERFLY SENSOR</t>
  </si>
  <si>
    <t>132297A-01</t>
  </si>
  <si>
    <t>ASSY, STS CHASSIS KIT, CHASSIS 2, NI STS T4M2 DX FOR BUTTERFLY SENSOR</t>
  </si>
  <si>
    <t>132298A-01</t>
  </si>
  <si>
    <t>ASSY, STS ACCESSORY KIT, NI STS T4M2 DX FOR BUTTERFLY SENSOR</t>
  </si>
  <si>
    <t>132344A-01</t>
  </si>
  <si>
    <t>ASSY, STS CHASSIS KIT, CHASSIS 2, NI STS DUAL/QUAD SITE T4M2 DX FOR NI 5G MMW</t>
  </si>
  <si>
    <t>132344B-01</t>
  </si>
  <si>
    <t>132345A-01</t>
  </si>
  <si>
    <t>ASSY, STS SYSTEM, NI STS T2M2 DX FOR HT MICRON IOT</t>
  </si>
  <si>
    <t>132421A-01L</t>
  </si>
  <si>
    <t>ASSY, STS MMWAVE CONTINUITY CHECKER</t>
  </si>
  <si>
    <t>132444A-01</t>
  </si>
  <si>
    <t>ASSY, STS SYSTEM, NI STS T2M2 DX FOR MITLL DIGITAL</t>
  </si>
  <si>
    <t>132547A-01</t>
  </si>
  <si>
    <t>ASSY, STS SYSTEM, NI STS T4M2 DX FOR NI 5G MMW FT D</t>
  </si>
  <si>
    <t>132549A-01</t>
  </si>
  <si>
    <t>ASSY, STS OPTIONS, NI STS T4M2 DX FOR NI 5G MMW FT D</t>
  </si>
  <si>
    <t>132550A-01</t>
  </si>
  <si>
    <t>ASSY, STS ACCESSORY KIT, NI STS T4M2 DX FOR NI 5G MMW FT D</t>
  </si>
  <si>
    <t>132578B-01</t>
  </si>
  <si>
    <t>132579A-01</t>
  </si>
  <si>
    <t>ASSY, STS CHASSIS KIT, CHASSIS 1, NI STS T4M2 DX FOR ADI TPG 2.0</t>
  </si>
  <si>
    <t>132580A-01</t>
  </si>
  <si>
    <t>ASSY, STS CHASSIS KIT, CHASSIS 2, NI STS T4M2 DX FOR ADI TPG 2.0</t>
  </si>
  <si>
    <t>132581A-01</t>
  </si>
  <si>
    <t>ASSY, STS CHASSIS KIT, CHASSIS 3, NI STS T4M2 DX FOR ADI TPG 2.0</t>
  </si>
  <si>
    <t>132582A-01</t>
  </si>
  <si>
    <t>ASSY, STS CHASSIS KIT, CHASSIS 4, NI STS T4M2 DX FOR ADI TPG 2.0</t>
  </si>
  <si>
    <t>132583A-01</t>
  </si>
  <si>
    <t>ASSY, STS ACCESSORY KIT, NI STS T4M2 DX FOR ADI TPG 2.0</t>
  </si>
  <si>
    <t>132605A-01</t>
  </si>
  <si>
    <t>ASSY, NI PXI SYSTEM FOR CELLULAR PA IC TEST</t>
  </si>
  <si>
    <t>132680A-01</t>
  </si>
  <si>
    <t>ASSY, STS SYSTEM, NI STS T4M2 DX FOR AWINIC TUNER_SWS</t>
  </si>
  <si>
    <t>132681A-01</t>
  </si>
  <si>
    <t>ASSY, STS CHASSIS KIT, CHASSIS 1, NI STS T4M2 DX FOR AWINIC TUNER_SWS</t>
  </si>
  <si>
    <t>132682A-01</t>
  </si>
  <si>
    <t>ASSY, STS ACCESSORY KIT, NI STS T4M2 DX FOR AWINIC TUNER_SWS</t>
  </si>
  <si>
    <t>132688A-01</t>
  </si>
  <si>
    <t>ASSY, STS SYSTEM, NI STS T4M2 DX FOR NXP PL SAS WT</t>
  </si>
  <si>
    <t>132750A-01</t>
  </si>
  <si>
    <t>ASSY, STS SYSTEM, NI STS T4M2 DX FOR HISILICON LNA</t>
  </si>
  <si>
    <t>132791A-01</t>
  </si>
  <si>
    <t>ASSY, STS SYSTEM, NI STS T2M2 DX FOR ADI RF2 - 20GHZ</t>
  </si>
  <si>
    <t>132792A-01</t>
  </si>
  <si>
    <t>ASSY, STS CHASSIS KIT, CHASSIS 1, NI STS T2M2 DX FOR ADI RF2 - 20GHZ</t>
  </si>
  <si>
    <t>132793A-01</t>
  </si>
  <si>
    <t>ASSY, STS CHASSIS KIT, CHASSIS 2, NI STS T2M2 DX FOR ADI RF2 - 20GHZ</t>
  </si>
  <si>
    <t>132794A-01</t>
  </si>
  <si>
    <t>ASSY, STS ACCESSORY KIT, NI STS T2M2 DX FOR ADI RF2 - 20GHZ</t>
  </si>
  <si>
    <t>132947B-01</t>
  </si>
  <si>
    <t>ASSY, STS CHASSIS KIT, CHASSIS 3, NI STS QUAD SITE T4M2 DX FOR NI 5G MMW</t>
  </si>
  <si>
    <t>132948B-01</t>
  </si>
  <si>
    <t>ASSY, STS CHASSIS KIT, CHASSIS 4, NI STS QUAD SITE T4M2 DX FOR NI 5G MMW</t>
  </si>
  <si>
    <t>132974A-01</t>
  </si>
  <si>
    <t>ASSY, STS SYSTEM, NI STS T4M2 DX FOR NI PEN HWS T4 M2</t>
  </si>
  <si>
    <t>132975A-01</t>
  </si>
  <si>
    <t>ASSY, STS CHASSIS KIT, CHASSIS 1, NI STS T4M2 DX FOR NI PEN HWS T4 M2</t>
  </si>
  <si>
    <t>132976A-01</t>
  </si>
  <si>
    <t>ASSY, STS ACCESSORY KIT, NI STS T4M2 DX FOR NI PEN HWS T4 M2</t>
  </si>
  <si>
    <t>133051A-01</t>
  </si>
  <si>
    <t>ASSY, STS SYSTEM, NI STS T4M2 DD FOR NI DD X2MMWAVE</t>
  </si>
  <si>
    <t>133062A-01</t>
  </si>
  <si>
    <t>ASSY, STS SYSTEM, NI STS T2M2 DX FOR MELEXIS LIN_T2</t>
  </si>
  <si>
    <t>133063A-01</t>
  </si>
  <si>
    <t>ASSY, STS CHASSIS KIT, CHASSIS 1, NI STS T2M2 DX FOR MELEXIS LIN_T2</t>
  </si>
  <si>
    <t>133064A-01</t>
  </si>
  <si>
    <t>ASSY, STS CHASSIS KIT, CHASSIS 2, NI STS T2M2 DX FOR MELEXIS LIN_T2</t>
  </si>
  <si>
    <t>133065A-01</t>
  </si>
  <si>
    <t>ASSY, STS ACCESSORY KIT, NI STS T2M2 DX FOR MELEXIS LIN_T2</t>
  </si>
  <si>
    <t>133089A-01</t>
  </si>
  <si>
    <t>ASSY, STS SYSTEM, NI STS T2M2 DX FOR AMAT RERAM</t>
  </si>
  <si>
    <t>133156A-01</t>
  </si>
  <si>
    <t>ASSY, STS SYSTEM, NI STS T4M2 DX FOR ADI TPG 2.1</t>
  </si>
  <si>
    <t>133157A-01</t>
  </si>
  <si>
    <t>ASSY, STS CHASSIS KIT, CHASSIS 1, NI STS T4M2 DX FOR ADI TPG 2.1</t>
  </si>
  <si>
    <t>133158A-01</t>
  </si>
  <si>
    <t>ASSY, STS CHASSIS KIT, CHASSIS 2, NI STS T4M2 DX FOR ADI TPG 2.1</t>
  </si>
  <si>
    <t>133159A-01</t>
  </si>
  <si>
    <t>ASSY, STS CHASSIS KIT, CHASSIS 3, NI STS T4M2 DX FOR ADI TPG 2.1</t>
  </si>
  <si>
    <t>133160A-01</t>
  </si>
  <si>
    <t>ASSY, STS CHASSIS KIT, CHASSIS 4, NI STS T4M2 DX FOR ADI TPG 2.1</t>
  </si>
  <si>
    <t>133161A-01</t>
  </si>
  <si>
    <t>ASSY, STS ACCESSORY KIT, NI STS T4M2 DX FOR ADI TPG 2.1</t>
  </si>
  <si>
    <t>140081E-05L</t>
  </si>
  <si>
    <t>CCA, BACKPLANE, PXIE-1088 VCXO, CLK/TRIG</t>
  </si>
  <si>
    <t>140652E-01L</t>
  </si>
  <si>
    <t>141168C-01</t>
  </si>
  <si>
    <t>SHIELD ASSY, SPACER, BASEBAND/RF, PXIE-5820</t>
  </si>
  <si>
    <t>141169B-01</t>
  </si>
  <si>
    <t>SHIELD ASSY, COVER, RF, PXIE-5820</t>
  </si>
  <si>
    <t>141648A-01L</t>
  </si>
  <si>
    <t>MODULE ASSEMBLY,USRP E330</t>
  </si>
  <si>
    <t>141742B-01L</t>
  </si>
  <si>
    <t>CCA,VB-8054 HIGH SPEED</t>
  </si>
  <si>
    <t>141894C-01L</t>
  </si>
  <si>
    <t>TEKTRONIX RSA7100B REAL-TIME SIGNAL ANALYZER</t>
  </si>
  <si>
    <t>141895D-01L</t>
  </si>
  <si>
    <t>TEKTRONIX RSA7100B REAL-TIME SIGNAL ANALYZER WITH GPS</t>
  </si>
  <si>
    <t>142286C-02L</t>
  </si>
  <si>
    <t>CCA,VULCAN LOGIC BOARD (DUAL DRA, PROGRAMMED)</t>
  </si>
  <si>
    <t>142299F-01L</t>
  </si>
  <si>
    <t>ASSY, NI STS-5534 RF HIGH POWER ASSEMBLY, 700MHZ-6GHZ, DUAL DRA, 4RX/4TX</t>
  </si>
  <si>
    <t>142299F-02L</t>
  </si>
  <si>
    <t>142299F-06L</t>
  </si>
  <si>
    <t>ASSY, NI STS-5534 RF HIGH POWER ASSEMBLY, 700M-6GHZ, SINGLE DRA, 1RX/1TX</t>
  </si>
  <si>
    <t>145736A-01</t>
  </si>
  <si>
    <t>ASSY, FAN, 24V, 120X120X38 MM, STS-5534</t>
  </si>
  <si>
    <t>145871C-11L</t>
  </si>
  <si>
    <t>MODULE ASSEMBLY, PXIE-3621</t>
  </si>
  <si>
    <t>146327B-01</t>
  </si>
  <si>
    <t>ASSY, STS CHASSIS KIT, CHASSIS, STS-CAL-01, STS CALIBRATION SYSTEM</t>
  </si>
  <si>
    <t>146407A-01</t>
  </si>
  <si>
    <t>SUBASSEMBLY, STS PLANNING BOM</t>
  </si>
  <si>
    <t>146407A-03</t>
  </si>
  <si>
    <t>SUBASSEMBLY, STS 5G BARCELONA T4 PLANNING BOM</t>
  </si>
  <si>
    <t>147128A-02</t>
  </si>
  <si>
    <t>ASSY, STS, T1M2, CHASSIS BAY KIT, 1095, 2PS</t>
  </si>
  <si>
    <t>147239A-02</t>
  </si>
  <si>
    <t>ASSY, STS, T1M2, USB-6509 KIT</t>
  </si>
  <si>
    <t>147305F-01L</t>
  </si>
  <si>
    <t>147305F-02L</t>
  </si>
  <si>
    <t>147363A-01</t>
  </si>
  <si>
    <t>ACCESSORY KIT, PXIE-1084</t>
  </si>
  <si>
    <t>147427C-01L</t>
  </si>
  <si>
    <t>CCA,PXIE-8881, SKYLAKE WS, CPU CARD</t>
  </si>
  <si>
    <t>147430B-01L</t>
  </si>
  <si>
    <t>CCA,PXIE-8881, SKYLAKE WS, IO CARD</t>
  </si>
  <si>
    <t>147433C-01L</t>
  </si>
  <si>
    <t>CCA,PXIE-8881, MEM CARD</t>
  </si>
  <si>
    <t>147449D-55L</t>
  </si>
  <si>
    <t>MODULE ASSY,MMWAVE TRANCEIVER,22-44 GHZ,MMRH-5581 - STS</t>
  </si>
  <si>
    <t>147664B-01L</t>
  </si>
  <si>
    <t>CCA,BACKPLANE,PXIE-1090</t>
  </si>
  <si>
    <t>147667B-01L</t>
  </si>
  <si>
    <t>CCA,CMC,PXIE-1090</t>
  </si>
  <si>
    <t>147849A-01</t>
  </si>
  <si>
    <t>ASSY, STS SYSTEM, NI STS T4 DX FOR NXP RF2HPTXRX</t>
  </si>
  <si>
    <t>147850A-01</t>
  </si>
  <si>
    <t>ASSY, STS CHASSIS KIT, CHASSIS 1, NI STS T4 DX FOR NXP RF2HPTXRX</t>
  </si>
  <si>
    <t>147851A-01</t>
  </si>
  <si>
    <t>ASSY, STS CHASSIS KIT, CHASSIS 2, NI STS T4 DX FOR NXP RF2HPTXRX</t>
  </si>
  <si>
    <t>147852A-01</t>
  </si>
  <si>
    <t>ASSY, STS ACCESSORY KIT, NI STS T4 DX FOR NXP RF2HPTXRX</t>
  </si>
  <si>
    <t>147943B-01</t>
  </si>
  <si>
    <t>ACCESSORY KIT, PXIE-1095</t>
  </si>
  <si>
    <t>147976C-01L</t>
  </si>
  <si>
    <t>CCA,STS T1M2 T2M2 T4M2 PRIMARY RCB600 BOARD</t>
  </si>
  <si>
    <t>147979B-01L</t>
  </si>
  <si>
    <t>CCA,STS T1M2 T2M2 T4M2 SECONDARY RCB600 BOARD</t>
  </si>
  <si>
    <t>148004B-01L</t>
  </si>
  <si>
    <t>CCA,N320 LO DISTRIBUTION BOARD</t>
  </si>
  <si>
    <t>148117B-01L</t>
  </si>
  <si>
    <t>CCA,STS T2M2 3-FAN PANEL BOARD</t>
  </si>
  <si>
    <t>148718B-01L</t>
  </si>
  <si>
    <t>CCA,STS T2M2 INPUT POWER CONFIGURATION BOARD</t>
  </si>
  <si>
    <t>148753A-01L</t>
  </si>
  <si>
    <t>ASSY, STS, T2M2, BAY 2, FAN UPGRADE KIT</t>
  </si>
  <si>
    <t>148783A-01L</t>
  </si>
  <si>
    <t>ASSY, STS, T2M2/ T4M2, FAN POWER KIT</t>
  </si>
  <si>
    <t>148894A-01L</t>
  </si>
  <si>
    <t>ASSY, STS, T2M2 / T4M2, 1095 CHASSIS BAY KIT</t>
  </si>
  <si>
    <t>148965A-01</t>
  </si>
  <si>
    <t>ASSY, APT-100</t>
  </si>
  <si>
    <t>149021D-05L</t>
  </si>
  <si>
    <t>PXIE-5831 MMWAVE VST - ONE HEAD (TWO SWITCHES)</t>
  </si>
  <si>
    <t>149021D-08L</t>
  </si>
  <si>
    <t>PXIE-5831 MMWAVE VST - ONE HEAD (ONE SWITCH)</t>
  </si>
  <si>
    <t>149021D-222L</t>
  </si>
  <si>
    <t>PXIE-5831 MMWAVE VST - TWO HEADS (TWO SWITCHES, TWO SWITCHES)</t>
  </si>
  <si>
    <t>149046A-01</t>
  </si>
  <si>
    <t>ASSY, STS SYSTEM, NI STS T2 CX FOR TOSMEC 16CH SIPM</t>
  </si>
  <si>
    <t>149047A-01</t>
  </si>
  <si>
    <t>ASSY, STS CHASSIS KIT, CHASSIS 1, NI STS T2 CX FOR TOSMEC 16CH SIPM</t>
  </si>
  <si>
    <t>149048A-01</t>
  </si>
  <si>
    <t>ASSY, STS CHASSIS KIT, CHASSIS 2, NI STS T2 CX FOR TOSMEC 16CH SIPM</t>
  </si>
  <si>
    <t>149051A-01</t>
  </si>
  <si>
    <t>ASSY, STS ACCESSORY KIT, NI STS T2 CX FOR TOSMEC 16CH SIPM</t>
  </si>
  <si>
    <t>149108C-01L</t>
  </si>
  <si>
    <t>149108C-02L</t>
  </si>
  <si>
    <t>149119A-01L</t>
  </si>
  <si>
    <t>MANIPULATOR BRACKET KIT T2M2</t>
  </si>
  <si>
    <t>149259A-311L</t>
  </si>
  <si>
    <t>MODULE ASSY,NI PXIE-8881,WINDOWS IOT</t>
  </si>
  <si>
    <t>149301A-01L</t>
  </si>
  <si>
    <t>DIGITAL CABLE KIT FOR MMRH MODULES - SINGLE CHANNEL (VALIDATED)</t>
  </si>
  <si>
    <t>149412B-02L</t>
  </si>
  <si>
    <t>MODULE ASSEMBLY,USRP E320 WITHOUT TPM (BOARD ONLY)</t>
  </si>
  <si>
    <t>149412C-01L</t>
  </si>
  <si>
    <t>MODULE ASSEMBLY,USRP E320 (BOARD ONLY)</t>
  </si>
  <si>
    <t>149412C-02L</t>
  </si>
  <si>
    <t>149557A-01L</t>
  </si>
  <si>
    <t>ASSY, STS, T4M2, CX, TEST HEAD</t>
  </si>
  <si>
    <t>149725B-01L</t>
  </si>
  <si>
    <t>STS FR</t>
  </si>
  <si>
    <t>149726C-01L</t>
  </si>
  <si>
    <t>149737B-01L</t>
  </si>
  <si>
    <t>MANIPULATOR BRACKET KIT T4M2</t>
  </si>
  <si>
    <t>149783A-01</t>
  </si>
  <si>
    <t>ACCESSORY KIT, PXIE-1095 TIMING AND SYNC</t>
  </si>
  <si>
    <t>149829A-01</t>
  </si>
  <si>
    <t>ACCESSORY KIT, PXIE-1092</t>
  </si>
  <si>
    <t>149934A-01</t>
  </si>
  <si>
    <t>ACCESSORY KIT, PXIE-1088</t>
  </si>
  <si>
    <t>151508D-01</t>
  </si>
  <si>
    <t>SHIELD ASSY, TOPAZ, FEM, TOP, SMA2</t>
  </si>
  <si>
    <t>151631C-01</t>
  </si>
  <si>
    <t>ACCESSORY KIT, PXIE-1078</t>
  </si>
  <si>
    <t>151685C-01</t>
  </si>
  <si>
    <t>ACCESSORY KIT, PXIE-1071</t>
  </si>
  <si>
    <t>151988F-01L</t>
  </si>
  <si>
    <t>CCA,PXIE-8135,CPU CARD</t>
  </si>
  <si>
    <t>152224C-01L</t>
  </si>
  <si>
    <t>152550C-01</t>
  </si>
  <si>
    <t>MIDDLE SHIELD ASSY, PXI-2543</t>
  </si>
  <si>
    <t>153011F-01</t>
  </si>
  <si>
    <t>TOP SHIELD ASSY, FIP GASKET, RX CCA, PXIE-564XR</t>
  </si>
  <si>
    <t>153058J-02</t>
  </si>
  <si>
    <t>PRIMARY SIDE SHIELD ASSY, FIP GASKET, TERMINATING, TX CCA, PXIE-5644R</t>
  </si>
  <si>
    <t>153059F-01</t>
  </si>
  <si>
    <t>SECONDARY SIDE SHIELD ASSY, FIP GASKET, TX CCA, PXIE-5644R</t>
  </si>
  <si>
    <t>153088D-01</t>
  </si>
  <si>
    <t>HEATSINK ASSY, FIP GASKET, MONOLITHIC, BASEBAND, ANALOG-DIGITAL, PXIE-564XR</t>
  </si>
  <si>
    <t>153100A-02L</t>
  </si>
  <si>
    <t>CCA,PXIE-8383MC</t>
  </si>
  <si>
    <t>154027F-01L</t>
  </si>
  <si>
    <t>154036G-01L</t>
  </si>
  <si>
    <t>154496A-01</t>
  </si>
  <si>
    <t>ACCESSORY KIT, PXIE-1085</t>
  </si>
  <si>
    <t>154664C-01L</t>
  </si>
  <si>
    <t>CCA,PXIE-8840 DAUGHTER BOARD</t>
  </si>
  <si>
    <t>155186G-112L</t>
  </si>
  <si>
    <t>MODULE ASSY,NI PXIE-8840,CORE I5-4400E 2.7GHZ CONTROLLER,WIN 7 (64-BIT)</t>
  </si>
  <si>
    <t>155659B-01</t>
  </si>
  <si>
    <t>MIDDLE SHIELD ASSY, PXI-2542</t>
  </si>
  <si>
    <t>155663B-01</t>
  </si>
  <si>
    <t>SHIELD ASSY, FIP GASKET, SIDE, DC1, PXI-2544</t>
  </si>
  <si>
    <t>155779B-01L</t>
  </si>
  <si>
    <t>CCA,MEDUSA POWER DISTRIBUTION BOARD, LOAD BALANCED</t>
  </si>
  <si>
    <t>155865A-01</t>
  </si>
  <si>
    <t>ACCESSORY KIT, PXIE-1082DC</t>
  </si>
  <si>
    <t>155937A-12L</t>
  </si>
  <si>
    <t>CCA,CBX,120MHZ BW,USRP DAUGHTERBOARD (1.2 - 6GHZ)</t>
  </si>
  <si>
    <t>CCA, NI USRP-2901 2 CHANNEL, 70 MHZ - 6 GHZ</t>
  </si>
  <si>
    <t>CCA, NI USRP-2900 1 CHANNEL, 70 MHZ - 6 GHZ</t>
  </si>
  <si>
    <t>156485F-02L</t>
  </si>
  <si>
    <t>MODULE ASSEMBLY,NI USRP-2942R,400 MHZ TO 4.4 GHZ</t>
  </si>
  <si>
    <t>156968E-912L</t>
  </si>
  <si>
    <t>MODULE ASSY,NI PXI-8840,CORE I5-4400E 2.7GHZ CONTROLLER,WIN 7 (32-BIT)</t>
  </si>
  <si>
    <t>158166B-000L</t>
  </si>
  <si>
    <t>MODULE ASSY,NI PXIE-8135 E6465, CORE I7-3610QE 2.3GHZ CONTROLLER,REMOVABLE HARD-DRIVE OPTION (NO OS)</t>
  </si>
  <si>
    <t>158166B-022L</t>
  </si>
  <si>
    <t>MODULE ASSY,NI PXIE-8135 E6465,CORE I7-3610QE 2.3GHZ CONTROLLER,LOCALIZED OS,EXT TEMP</t>
  </si>
  <si>
    <t>158166B-122L</t>
  </si>
  <si>
    <t>MODULE ASSY,NI PXIE-8135 E6465,CORE I7-3610QE 2.3GHZ CONTROLLER,WIN 7 (64-BIT), EXT TEMP</t>
  </si>
  <si>
    <t>158277D-03L</t>
  </si>
  <si>
    <t>CCA,UBX USRP DAUGHTERBOARD,LOW POWER,160MHZ BW (10MHZ-6GHZ)</t>
  </si>
  <si>
    <t>158341B-03L</t>
  </si>
  <si>
    <t>MODULE ASSEMBLY, MCT1201</t>
  </si>
  <si>
    <t>158341B-04L</t>
  </si>
  <si>
    <t>MODULE ASSEMBLY, MCT1101</t>
  </si>
  <si>
    <t>158341B-05L</t>
  </si>
  <si>
    <t>MODULE ASSEMBLY, MCT1221</t>
  </si>
  <si>
    <t>158395M-01L</t>
  </si>
  <si>
    <t>158565A-01</t>
  </si>
  <si>
    <t>158697E-01L</t>
  </si>
  <si>
    <t>158697E-03L</t>
  </si>
  <si>
    <t>CHASSIS ASSEMBLY, PXIE-1095, ASTRONICS</t>
  </si>
  <si>
    <t>158966C-03L</t>
  </si>
  <si>
    <t>CHASSIS ASSEMBLY, PXIE-1084, ASTRONICS</t>
  </si>
  <si>
    <t>168248B-01L</t>
  </si>
  <si>
    <t>TEST EQUIPMENT CCA, NI-5606 ANTI-DISTORTION ET</t>
  </si>
  <si>
    <t>185701L-01L</t>
  </si>
  <si>
    <t>CCA,PXI-5620 IF DIGITIZER,16MS, AC COUPLED</t>
  </si>
  <si>
    <t>186058K-01L</t>
  </si>
  <si>
    <t>CCA, NI PXI-5600 LOCAL OSCILLATOR (ROHS)</t>
  </si>
  <si>
    <t>186061H-01L</t>
  </si>
  <si>
    <t>CCA, PXI-5600 SIGNAL CHAIN (ROHS)</t>
  </si>
  <si>
    <t>190104G-01L</t>
  </si>
  <si>
    <t>CCA, NI PXI-565X DIGITAL POWER AND CONTROL</t>
  </si>
  <si>
    <t>190759D-01</t>
  </si>
  <si>
    <t>CENTER FRAME ASSY, RF PROCESSING MODULE, NI PXIE-5611</t>
  </si>
  <si>
    <t>190773D-01</t>
  </si>
  <si>
    <t>COVER ASSY, BOTTOM, RF PROCESSING MODULE, NI PXIE-5611</t>
  </si>
  <si>
    <t>192469B-11</t>
  </si>
  <si>
    <t>ACCESSORY KIT, PXI-1031</t>
  </si>
  <si>
    <t>192589B-01</t>
  </si>
  <si>
    <t>ACCESSORY KIT, PXI-1042/ 1042Q</t>
  </si>
  <si>
    <t>192590B-01</t>
  </si>
  <si>
    <t>ACCESSORY KIT, PXI-1044</t>
  </si>
  <si>
    <t>192591B-01</t>
  </si>
  <si>
    <t>ACCESSORY KIT, PXI-1045</t>
  </si>
  <si>
    <t>192735E-03L</t>
  </si>
  <si>
    <t>CCA, NI PXI-8105 SERIES CONTROLLER I/O BOARD (FOR VXIPC-882)</t>
  </si>
  <si>
    <t>192738D-01L</t>
  </si>
  <si>
    <t>CCA, NI PXI-8105 SERIES CONTROLLER CPU BOARD</t>
  </si>
  <si>
    <t>192966B-11L</t>
  </si>
  <si>
    <t>ACCESSORY KIT, PXI-1036/1036DC</t>
  </si>
  <si>
    <t>193387M-01</t>
  </si>
  <si>
    <t>COVER ASSY, VCO, PXIE-5653</t>
  </si>
  <si>
    <t>193389M-01</t>
  </si>
  <si>
    <t>COVER ASSY, YIG, PXIE-5653</t>
  </si>
  <si>
    <t>195892C-01</t>
  </si>
  <si>
    <t>ACCESSORY KIT, PXIE-1062</t>
  </si>
  <si>
    <t>196315B-01</t>
  </si>
  <si>
    <t>ACCESSORY KIT, PXI-1033</t>
  </si>
  <si>
    <t>196932E-01L</t>
  </si>
  <si>
    <t>CCA, 8 GHZ POWER AND CONTROL BOARD</t>
  </si>
  <si>
    <t>196945E-03L</t>
  </si>
  <si>
    <t>CCA, MIGHTY MOUSE POWER/CONTROL BOARD - (PROGRAMMING FOR CMT ONLY)</t>
  </si>
  <si>
    <t>197222L-01L</t>
  </si>
  <si>
    <t>CCA,SONOMA RF BOARD</t>
  </si>
  <si>
    <t>198265D-01L</t>
  </si>
  <si>
    <t>MODULE ASSEMBLY, NI PXIE-5606, PRE-AMP - 26.5 GHZ VSA, 80 MHZ BW</t>
  </si>
  <si>
    <t>198265D-02L</t>
  </si>
  <si>
    <t>198265D-03L</t>
  </si>
  <si>
    <t>198265D-04L</t>
  </si>
  <si>
    <t>198265D-05L</t>
  </si>
  <si>
    <t>198265D-06L</t>
  </si>
  <si>
    <t>198294A-01</t>
  </si>
  <si>
    <t>ACCESSORY KIT, PXI-1065</t>
  </si>
  <si>
    <t>199080K-01L</t>
  </si>
  <si>
    <t>199226F-01L</t>
  </si>
  <si>
    <t>199232D-01L</t>
  </si>
  <si>
    <t>199510B-01L</t>
  </si>
  <si>
    <t>CCA, RF SDR FAM</t>
  </si>
  <si>
    <t>199652D-01L</t>
  </si>
  <si>
    <t>199652D-02L</t>
  </si>
  <si>
    <t>199973B-01</t>
  </si>
  <si>
    <t>ACCESSORY KIT, PXIE-1082</t>
  </si>
  <si>
    <t>199974B-01</t>
  </si>
  <si>
    <t>ACCESSORY KIT, PXIE-1073</t>
  </si>
  <si>
    <t>200048A-01</t>
  </si>
  <si>
    <t>SYSTEM ELEMENT,STS,PXI-4110 POWER SUPPLY</t>
  </si>
  <si>
    <t>200049A-01</t>
  </si>
  <si>
    <t>SYSTEM ELEMENT,STS,PXIE-4113 DUAL OUTPUT POWER SUPPLY</t>
  </si>
  <si>
    <t>200050A-01</t>
  </si>
  <si>
    <t>SYSTEM ELEMENT,STS,MODULE ASSEMBLY,NI PXI-2567</t>
  </si>
  <si>
    <t>200053A-01</t>
  </si>
  <si>
    <t>SYSTEM ELEMENT,STS,MODULE ASSEMBLY,PXIE-4143</t>
  </si>
  <si>
    <t>200054A-01</t>
  </si>
  <si>
    <t>SYSTEM ELEMENT,STS,MODULE ASSEMBLY,PXIE-4145</t>
  </si>
  <si>
    <t>200055A-01</t>
  </si>
  <si>
    <t>SYSTEM ELEMENT,STS,CCA,NI PXIE-4137 SYSTEM SMU</t>
  </si>
  <si>
    <t>200056A-01</t>
  </si>
  <si>
    <t>SYSTEM ELEMENT,STS,CCA,NI PXIE-4139 SYSTEM SMU</t>
  </si>
  <si>
    <t>200057A-01</t>
  </si>
  <si>
    <t>SYSTEM ELEMENT,STS,CCA,NI PXIE-6363</t>
  </si>
  <si>
    <t>200058A-01</t>
  </si>
  <si>
    <t>SYSTEM ELEMENT,STS,MODULE ASSY, PXIE-6368</t>
  </si>
  <si>
    <t>200059A-01</t>
  </si>
  <si>
    <t>SYSTEM ELEMENT,STS,MODULE ASSEMBLY, PXIE-5451,512MB MEMORY</t>
  </si>
  <si>
    <t>200061A-01</t>
  </si>
  <si>
    <t>SYSTEM ELEMENT,STS,MODULE ASSY,NI PXIE-8880,XEON E5-2618L 2.3GHZ CONTROLLER,WIN 7 (64-BIT), W/O TPM</t>
  </si>
  <si>
    <t>200062A-01</t>
  </si>
  <si>
    <t>SYSTEM ELEMENT,STS,MODULE ASSY,NI PXIE-8135,CORE I7-3610QE 2.3GHZ CONTROLLER,NO ECARD,WIN 7 (64-BIT)</t>
  </si>
  <si>
    <t>200063A-01</t>
  </si>
  <si>
    <t>SYSTEM ELEMENT,STS,CHASSIS ASSEMBLY, PXIE-1085</t>
  </si>
  <si>
    <t>200065A-01</t>
  </si>
  <si>
    <t>SYSTEM ELEMENT,STS,MOD ASSY, PXIE-5646R</t>
  </si>
  <si>
    <t>200066A-01</t>
  </si>
  <si>
    <t>SYSTEM ELEMENT,STS,CCA,PXI-6509</t>
  </si>
  <si>
    <t>200067A-01</t>
  </si>
  <si>
    <t>SYSTEM ELEMENT,STS,CCA,NI USB-4065</t>
  </si>
  <si>
    <t>200068A-01</t>
  </si>
  <si>
    <t>SYSTEM ELEMENT,STS,CCA,USB-6509,5V,TTL,DIO</t>
  </si>
  <si>
    <t>200083A-01</t>
  </si>
  <si>
    <t>SYSTEM ELEMENT,STS,MODULE ASSY, NI PXIE-5105, 512MB</t>
  </si>
  <si>
    <t>200085A-01</t>
  </si>
  <si>
    <t>SYSTEM ELEMENT,STS,CCA,PXIE-4464,BASEBOARD, MXLR</t>
  </si>
  <si>
    <t>200086A-01</t>
  </si>
  <si>
    <t>SYSTEM ELEMENT,STS,CCA, PXIE-6674T SYSTEM TIMING MODULE</t>
  </si>
  <si>
    <t>200087A-01</t>
  </si>
  <si>
    <t>SYSTEM ELEMENT,STS,MODULE ASSEMBLY, PXIE-5162, 4CH, 2GB</t>
  </si>
  <si>
    <t>200090A-01</t>
  </si>
  <si>
    <t>SYSTEM ELEMENT,STS,CCA, PXIE-8381</t>
  </si>
  <si>
    <t>200091A-01</t>
  </si>
  <si>
    <t>SYSTEM ELEMENT,STS,CCA,PXIE-8384</t>
  </si>
  <si>
    <t>200092A-01</t>
  </si>
  <si>
    <t>SYSTEM ELEMENT,STS,IC,DDR4 SDRAM SODIMM,ECC,8GB,1.21V,PC4-2133,260 PIN</t>
  </si>
  <si>
    <t>200093A-01</t>
  </si>
  <si>
    <t>SYSTEM ELEMENT,STS,MODULE ASSEMBLY, PXIE-6570, DIGITAL PATTERN INSTRUMENT, 32 CH</t>
  </si>
  <si>
    <t>200094A-01</t>
  </si>
  <si>
    <t>SYSTEM ELEMENT,STS,MODULE ASSEMBLY, NI PXIE-5840</t>
  </si>
  <si>
    <t>200095A-01</t>
  </si>
  <si>
    <t>SYSTEM ELEMENT,STS,CCA,NI PXIE-4135 SYSTEM SMU</t>
  </si>
  <si>
    <t>200096A-01</t>
  </si>
  <si>
    <t>SYSTEM ELEMENT,STS,MODULE ASSEMBLY,NI PXIE-2739</t>
  </si>
  <si>
    <t>200099A-01</t>
  </si>
  <si>
    <t>SYSTEM ELEMENT,STS,MODULE ASSEMBLY, NI PXIE-4081</t>
  </si>
  <si>
    <t>200101A-01</t>
  </si>
  <si>
    <t>SYSTEM ELEMENT,STS,VULCAN SUBSYSTEM,NI STS-5534 RF HIGH POWER ASSEMBLY, 700MHZ-6GHZ, DUAL DRA, 2RX/2TX</t>
  </si>
  <si>
    <t>200110A-01</t>
  </si>
  <si>
    <t>SYSTEM ELEMENT,STS,IC,MT16KTF1G64HZ-1G6E1,DDR3L SDRAM, 8GB,1.35V,PC3-12800,SODIMM,204 PIN,H=1.181IN</t>
  </si>
  <si>
    <t>200111A-01</t>
  </si>
  <si>
    <t>SYSTEM ELEMENT,STS,CCA,NI PXIE-4141 FLEX SMU</t>
  </si>
  <si>
    <t>200112A-01</t>
  </si>
  <si>
    <t>SYSTEM ELEMENT,STS,CCA,NI PXIE-4162 HIGH DENSITY SMU</t>
  </si>
  <si>
    <t>200112A-02</t>
  </si>
  <si>
    <t>SYSTEM ELEMENT,STS,FILTERED ASSY,NI PXIE-4162 HIGH DENSITY SMU</t>
  </si>
  <si>
    <t>200113A-01</t>
  </si>
  <si>
    <t>SYSTEM ELEMENT,STS,CCA,NI PXIE-4163 HIGH DENSITY SMU</t>
  </si>
  <si>
    <t>200113A-02</t>
  </si>
  <si>
    <t>SYSTEM ELEMENT,STS,FILTERED ASSY,NI PXIE-4163 HIGH DENSITY SMU</t>
  </si>
  <si>
    <t>200115A-01</t>
  </si>
  <si>
    <t>SYSTEM ELEMENT,STS,CCA,HS SERIAL,NI PXIE-6591R, XC7K410T-3FFG900E</t>
  </si>
  <si>
    <t>200116A-01</t>
  </si>
  <si>
    <t>SYSTEM ELEMENT,STS,CCA,PXIE-4463,MXLR</t>
  </si>
  <si>
    <t>200119A-01</t>
  </si>
  <si>
    <t>SYSTEM ELEMENT,STS,CCA, PXIE-7966R,66 LVDS PAIRS,1GB/S,5VSX95T-2I</t>
  </si>
  <si>
    <t>200125A-01</t>
  </si>
  <si>
    <t>SYSTEM ELEMENT,STS,CCA,PXIE-7976R</t>
  </si>
  <si>
    <t>200126A-01</t>
  </si>
  <si>
    <t>SYSTEM ELEMENT,STS,MOD ASSY, PXIE-5645R</t>
  </si>
  <si>
    <t>200128A-01</t>
  </si>
  <si>
    <t>SYSTEM ELEMENT,STS,CCA,PXI-5691, RF AMPLIFIER</t>
  </si>
  <si>
    <t>200129A-01</t>
  </si>
  <si>
    <t>SYSTEM ELEMENT,STS,MODULE ASSY, NI PXIE-5652 6.6 GHZ</t>
  </si>
  <si>
    <t>200130A-01</t>
  </si>
  <si>
    <t>SYSTEM ELEMENT,STS,MODULE ASSEMBLY,PXIE-5654 20 GHZ RF SIGNAL GENERATOR</t>
  </si>
  <si>
    <t>200132A-01</t>
  </si>
  <si>
    <t>SYSTEM ELEMENT,STS,MODULE ASSEMBLY,NI PXIE-2527</t>
  </si>
  <si>
    <t>200141A-01</t>
  </si>
  <si>
    <t>SYSTEM ELEMENT,STS,MODULE ASSEMBLY,PORT MODULE,NI 5531</t>
  </si>
  <si>
    <t>200142A-01</t>
  </si>
  <si>
    <t>SYSTEM ELEMENT,STS,MODULE ASSEMBLY, FIGS MODULE, NI 5532, NO EJECTOR LATCHES</t>
  </si>
  <si>
    <t>200143A-01</t>
  </si>
  <si>
    <t>SYSTEM ELEMENT,STS,MODULE ASSEMBLY, FIGS MODULE, NI 5532</t>
  </si>
  <si>
    <t>200147A-01</t>
  </si>
  <si>
    <t>SYSTEM ELEMENT,STS,NI PXIE-5668R 26.5 GHZ VSA, 320/765 MHZ BW</t>
  </si>
  <si>
    <t>200149A-01</t>
  </si>
  <si>
    <t>200157A-01</t>
  </si>
  <si>
    <t>SYSTEM ELEMENT,STS,CCA,NI 6583 (32 SINGLE ENDED AND 16 LVDS)</t>
  </si>
  <si>
    <t>200184A-01</t>
  </si>
  <si>
    <t>SYSTEM ELEMENT,STS, PXIE-7902</t>
  </si>
  <si>
    <t>200211A-01</t>
  </si>
  <si>
    <t>SYSTEM ELEMENT,STS,CHASSIS ASSEMBLY, PXIE-1095, *CUSTOM*</t>
  </si>
  <si>
    <t>200215A-01</t>
  </si>
  <si>
    <t>SYSTEM ELEMENT,MTS,CHASSIS ASSEMBLY, PXIE-1095</t>
  </si>
  <si>
    <t>200216A-01</t>
  </si>
  <si>
    <t>SYSTEM ELEMENT,MTS,MODULE ASSY,NI PXIE-8880,XEON E5-2618L 2.3GHZ CONTROLLER,WIN 7 (64-BIT)</t>
  </si>
  <si>
    <t>200234A-01</t>
  </si>
  <si>
    <t>SYSTEM ELEMENT,STS,MODULE ASSEMBLY, PXIE-6571, DIGITAL PATTERN INSTRUMENT, 32 CH</t>
  </si>
  <si>
    <t>200258A-01</t>
  </si>
  <si>
    <t>SYSTEM ELEMENT,STS,MODULE ASSEMBLY, PXIE-5653 (NEL OCXO)</t>
  </si>
  <si>
    <t>200259A-01</t>
  </si>
  <si>
    <t>SYSTEM ELEMENT, MTS, CHASSIS ASSEMBLY, PXIE-1095, TIMING AND SYNC</t>
  </si>
  <si>
    <t>200261A-01</t>
  </si>
  <si>
    <t>SYSTEM ELEMENT,STS,MODULE ASSEMBLY,PXIE-5172, 8CH, 325T FPGA</t>
  </si>
  <si>
    <t>200294B-01</t>
  </si>
  <si>
    <t>SYSTEM ELEMENT, STS, CHASSIS ASSEMBLY, PXIE-1095, M2</t>
  </si>
  <si>
    <t>200313A-01</t>
  </si>
  <si>
    <t>SYSTEM ELEMENT,STS,MODULE ASSEMBLY,NI PXIE-2531</t>
  </si>
  <si>
    <t>200318A-01</t>
  </si>
  <si>
    <t>SYSTEM ELEMENT,STS,MODULE ASSEMBLY,PXIE-5820 BASEBAND VST</t>
  </si>
  <si>
    <t>200319A-01</t>
  </si>
  <si>
    <t>SYSTEM ELEMENT,STS,CCA,PXI-7842R,8 AI,16-BIT,200KS/S, V5 LX50</t>
  </si>
  <si>
    <t>200320A-01</t>
  </si>
  <si>
    <t>SYSTEM ELEMENT,STS,CCA, RF PXIE POWER SPLITTER/COMBINER</t>
  </si>
  <si>
    <t>200329A-01</t>
  </si>
  <si>
    <t>SYSTEM ELEMENT,STS,CCA,PXIE-8398</t>
  </si>
  <si>
    <t>200330A-01</t>
  </si>
  <si>
    <t>SYSTEM ELEMENT,STS,CCA,PXIE-8394 PERIPHERAL CARD</t>
  </si>
  <si>
    <t>200335B-06</t>
  </si>
  <si>
    <t>SYSTEM ELEMENT,STS,T1 M2, DBCC RCB AND MEDUSA POWER CABLE</t>
  </si>
  <si>
    <t>200335B-26</t>
  </si>
  <si>
    <t>SYSTEM ELEMENT,STS,SYSTEM ELEMENT,STS,T2 M2, DBCC RCB AND MEDUSA POWER CABLE</t>
  </si>
  <si>
    <t>200341A-01</t>
  </si>
  <si>
    <t>SYSTEM ELEMENT,STS,MODULE ASSY, PXIE-6594, FLEXRIO HIGH-SPEED SERIAL MODULE (28 GBPS), KU015P</t>
  </si>
  <si>
    <t>200365A-01</t>
  </si>
  <si>
    <t>SYSTEM ELEMENT,STS,CCA,NI PXIE-4309,HIGH RES AI</t>
  </si>
  <si>
    <t>787040-01</t>
  </si>
  <si>
    <t>PXIE-1090, INTEGRATED THUNDERBOLT CONTROL, 2-SLOT PXI EXPRESS CHASSIS</t>
  </si>
  <si>
    <t>787250-01</t>
  </si>
  <si>
    <t>PXIE BACKEND KIT (PACK OF 1) - ONLY FOR CMT - SPECIAL PROGRAMMING REQUIRED</t>
  </si>
  <si>
    <t>787359-01</t>
  </si>
  <si>
    <t>NI PXIE-5551 VDG (4 GHZ)</t>
  </si>
  <si>
    <t>Q2-FCST-Deduct</t>
  </si>
  <si>
    <t>SO total allocated</t>
  </si>
  <si>
    <t>SS1 total allocated</t>
  </si>
  <si>
    <t>CCA/Module</t>
  </si>
  <si>
    <t>BTG Q2</t>
  </si>
  <si>
    <t>Module</t>
  </si>
  <si>
    <t>CCA</t>
  </si>
  <si>
    <t>Sub-Module</t>
  </si>
  <si>
    <t>154204E-01</t>
  </si>
  <si>
    <t>154197E-01</t>
  </si>
  <si>
    <t>154205E-01</t>
  </si>
  <si>
    <t>151701E-01</t>
  </si>
  <si>
    <t>154195E-01</t>
  </si>
  <si>
    <t>FIS</t>
  </si>
  <si>
    <t>194977E-01</t>
  </si>
  <si>
    <t>154198E-01</t>
  </si>
  <si>
    <t>141164E-01</t>
  </si>
  <si>
    <t>157535E-01</t>
  </si>
  <si>
    <t>P/N</t>
  </si>
  <si>
    <t>Q4 '19</t>
  </si>
  <si>
    <t>Q1 '20</t>
  </si>
  <si>
    <t>Q2 '20</t>
  </si>
  <si>
    <t>Q3 '20</t>
  </si>
  <si>
    <t>Q4 '20</t>
  </si>
  <si>
    <t>CCA,JOHNNY CASH, TOP BOARD</t>
  </si>
  <si>
    <t>CCA,NI ROBORIO (FVT)</t>
  </si>
  <si>
    <t>154294F-01L</t>
  </si>
  <si>
    <t>MODULE ASSY, ELVIS III (Europe)</t>
  </si>
  <si>
    <t>MODULE ASSY, ELVIS III (International)</t>
  </si>
  <si>
    <t>MODULE ASSY, ELVIS III</t>
  </si>
  <si>
    <t>140771B-01L</t>
  </si>
  <si>
    <t>ELVIS RIO CONTROL MODULE</t>
  </si>
  <si>
    <t>Module, Automated Measurement Board (Rebana)</t>
  </si>
  <si>
    <t>STS M2 T1 SOM Set Module Assembly (STS T1 M2 parity)</t>
  </si>
  <si>
    <t>147880B-01L</t>
  </si>
  <si>
    <t>CCA,STS T2M2 T2M2 IO BOARD</t>
  </si>
  <si>
    <t>STS M2 T4 Fan Module (ASSEMBLY REAR PANEL)</t>
  </si>
  <si>
    <t>STS M2 T1 Fan Module (ASSEMBLY REAR PANEL)</t>
  </si>
  <si>
    <t>STS M2 T2 Fan Module (ASSEMBLY REAR PANEL)</t>
  </si>
  <si>
    <t>CA,STS T1 G2 TEMPERATURE SENSOR BOARD ADDRESS 48H</t>
  </si>
  <si>
    <t>145630A-02L</t>
  </si>
  <si>
    <t>CCA,STS T1 G2 TEMPERATURE SENSOR BOARD ADDRESS 49H</t>
  </si>
  <si>
    <t>145630A-03L</t>
  </si>
  <si>
    <t>CCA,STS T1 G2 TEMPERATURE SENSOR BOARD ADDRESS 4AH</t>
  </si>
  <si>
    <t>145630A-04L</t>
  </si>
  <si>
    <t>CCA,STS T1 G2 TEMPERATURE SENSOR BOARD ADDRESS 4BH</t>
  </si>
  <si>
    <t>145630A-05L</t>
  </si>
  <si>
    <t>CCA,STS T1 G2 TEMPERATURE SENSOR BOARD ADDRESS 4CH</t>
  </si>
  <si>
    <t>145630A-06L</t>
  </si>
  <si>
    <t>CCA,STS T1 G2 TEMPERATURE SENSOR BOARD ADDRESS 4DH</t>
  </si>
  <si>
    <t>145630A-07L</t>
  </si>
  <si>
    <t>CCA,STS T1 G2 TEMPERATURE SENSOR BOARD ADDRESS 4EH</t>
  </si>
  <si>
    <t>145630A-08L</t>
  </si>
  <si>
    <t>CCA,STS T1 G2 TEMPERATURE SENSOR BOARD ADDRESS 4FH</t>
  </si>
  <si>
    <t>130763A-01L</t>
  </si>
  <si>
    <t>CCA,STS M2, 24V LOGIC, POWER, SOURCE TO SINK CONVERSION</t>
  </si>
  <si>
    <t>MODULE ASSY, STS T4M2 SOM SET</t>
  </si>
  <si>
    <t>CCA,NI ROBORIO (IFT)</t>
  </si>
  <si>
    <t>156229x-01L</t>
  </si>
  <si>
    <t>156229x-02L</t>
  </si>
  <si>
    <t>156229x-11L</t>
  </si>
  <si>
    <t>156229x-12L</t>
  </si>
  <si>
    <t>159034x-01L</t>
  </si>
  <si>
    <t>159034x-02L</t>
  </si>
  <si>
    <t>159034x-03L</t>
  </si>
  <si>
    <t>156485x-01L</t>
  </si>
  <si>
    <t>156485x-02L</t>
  </si>
  <si>
    <t>156485x-03L</t>
  </si>
  <si>
    <t>MODULE ASSEMBLY,NI USRP-2943R,1.2 GHZ TO 6 GHZ</t>
  </si>
  <si>
    <t>156485x-04L</t>
  </si>
  <si>
    <t>MODULE ASSEMBLY, NI USRP-2944R,10 MHZ TO 6  GHZ</t>
  </si>
  <si>
    <t>156485x-21L</t>
  </si>
  <si>
    <t>MODULE ASSEMBLY, NI USRP-2945,10 MHZ TO 6  GHZ</t>
  </si>
  <si>
    <t>156485x-05L</t>
  </si>
  <si>
    <t>156485x-06L</t>
  </si>
  <si>
    <t>MODULE ASSEMBLY,NI USRP-2952R,400 MHZ TO 4.4 GHZ + GPS CLOCK</t>
  </si>
  <si>
    <t>156485x-07L</t>
  </si>
  <si>
    <t>MODULE ASSEMBLY,NI USRP-2953R,1.2 GHZ TO 6 GHZ + GPS CLOCK</t>
  </si>
  <si>
    <t>156485x-08L</t>
  </si>
  <si>
    <t>MODULE ASSEMBLY,NI USRP-2954R, 10 MHZ TO 6 GHZ + GPS CLOCK</t>
  </si>
  <si>
    <t>156485x-22L</t>
  </si>
  <si>
    <t>MODULE ASSEMBLY,NI USRP-2955, 10 MHZ TO 6 GHZ + GPS CLOCK</t>
  </si>
  <si>
    <t>156485x-11L</t>
  </si>
  <si>
    <t>156485x-12L</t>
  </si>
  <si>
    <t>156485x-13L</t>
  </si>
  <si>
    <t>156485x-15L</t>
  </si>
  <si>
    <t>156485x-16L</t>
  </si>
  <si>
    <t>MODULE ASSEMBLY,NI USRP-2952R, 400 MHZ TO 4.4 GHZ + GPS CLOCK (120 MHZ BW)</t>
  </si>
  <si>
    <t>156485x-17L</t>
  </si>
  <si>
    <t>156485x-09L</t>
  </si>
  <si>
    <t>156485x-10L</t>
  </si>
  <si>
    <t>156485x-24L</t>
  </si>
  <si>
    <t xml:space="preserve"> MODULE ASSEMBLY,USRP X310,OEM,BOARD ONLY</t>
  </si>
  <si>
    <t>158277x-01L</t>
  </si>
  <si>
    <t>158277x-02L</t>
  </si>
  <si>
    <t>158277x-03L</t>
  </si>
  <si>
    <t>147026x-01L</t>
  </si>
  <si>
    <t xml:space="preserve"> CCA,TDD COMMS OPTIMIZED UBX USRP DAUGHTERBOARD,160MHZ BW (10MHZ-6GHZ)</t>
  </si>
  <si>
    <t>156333x-01L</t>
  </si>
  <si>
    <t xml:space="preserve">140605x-01L </t>
  </si>
  <si>
    <t xml:space="preserve">MODULE ASSEMBLY,USRP E312  </t>
  </si>
  <si>
    <t>141634x-01L</t>
  </si>
  <si>
    <t>153839x-11L</t>
  </si>
  <si>
    <t>153839x-12L</t>
  </si>
  <si>
    <t>153933x-11L</t>
  </si>
  <si>
    <t>153933x-13L</t>
  </si>
  <si>
    <t>153936x-11L</t>
  </si>
  <si>
    <t>CCA,XCVR,2.4 - 2.5 GHZ AND 4.9 - 5.85GHZ DUAL BAND TRANSCEIVER (USRP 2)</t>
  </si>
  <si>
    <t>155937x-11L</t>
  </si>
  <si>
    <t>155937x-12L</t>
  </si>
  <si>
    <t>156408x-01L</t>
  </si>
  <si>
    <t>156411x-01L</t>
  </si>
  <si>
    <t>156777x-01L</t>
  </si>
  <si>
    <t>156780x-01L</t>
  </si>
  <si>
    <t>140001x-03L</t>
  </si>
  <si>
    <t>MODULE ASSY,CDA-2990,8 CHANNEL CLOCK DISTRIBUTION SYSTEMB-03L</t>
  </si>
  <si>
    <t>140001x-04L</t>
  </si>
  <si>
    <t>154062x-04L</t>
  </si>
  <si>
    <t>154062x-05L</t>
  </si>
  <si>
    <t>153304x-11L</t>
  </si>
  <si>
    <t xml:space="preserve">CCA,USRP N210 OEM </t>
  </si>
  <si>
    <t>154062x-01L</t>
  </si>
  <si>
    <t>154062x-02L</t>
  </si>
  <si>
    <t>154062x-07L</t>
  </si>
  <si>
    <t>154062x-03L</t>
  </si>
  <si>
    <t>154062x-06L</t>
  </si>
  <si>
    <t>MODULE ASSEMBLY,NI USRP-2930,50MHZ-2.6GHZ,GPSDO</t>
  </si>
  <si>
    <t>155646x-01L</t>
  </si>
  <si>
    <t>145561x-01L</t>
  </si>
  <si>
    <t>CCA,Krypton Baseband</t>
  </si>
  <si>
    <t xml:space="preserve">148161x-01L </t>
  </si>
  <si>
    <t>CCA,Krypton RF Assembly</t>
  </si>
  <si>
    <t>146873x-01L</t>
  </si>
  <si>
    <t>MODULE ASSEMBLY,Krypton</t>
  </si>
  <si>
    <t>189550E-01L</t>
  </si>
  <si>
    <t xml:space="preserve">CHASSIS ASSEMBLY,PXI-1052 </t>
  </si>
  <si>
    <t>192213H-01L</t>
  </si>
  <si>
    <t xml:space="preserve">CHASSIS ASSY,PXI-1050,120VAC </t>
  </si>
  <si>
    <t>192213H-31L</t>
  </si>
  <si>
    <t xml:space="preserve">CHASSIS ASSY,PXI-1050,240VAC </t>
  </si>
  <si>
    <t>190871*-01L</t>
  </si>
  <si>
    <t>194918*-01L</t>
  </si>
  <si>
    <t>192592*-01L</t>
  </si>
  <si>
    <t>188079*-01L</t>
  </si>
  <si>
    <t>191043*-01L</t>
  </si>
  <si>
    <t>192011*-01L</t>
  </si>
  <si>
    <t>189106*-01L</t>
  </si>
  <si>
    <t>199485E-03L</t>
  </si>
  <si>
    <t>199485F-01L</t>
  </si>
  <si>
    <t>152711C-01L</t>
  </si>
  <si>
    <t xml:space="preserve">CHASSIS ASSEMBLY, PXIE-1086 </t>
  </si>
  <si>
    <t>130697A-01L</t>
  </si>
  <si>
    <t>CHASSIS ASSEMBLY, PXIE-1086DC</t>
  </si>
  <si>
    <t>NI SLSC-12001 12-SLOT CHASSIS, 24 VDC</t>
  </si>
  <si>
    <t>158697D-11L</t>
  </si>
  <si>
    <t>158697E-21L</t>
  </si>
  <si>
    <t>158697E-22L</t>
  </si>
  <si>
    <t>158966*-03L</t>
  </si>
  <si>
    <t>CHASSIS ASSEMBLY, PXIE-1084, ASTRONIC</t>
  </si>
  <si>
    <t>159063x-01L</t>
  </si>
  <si>
    <t>159063x-02L</t>
  </si>
  <si>
    <t>159063x-03L</t>
  </si>
  <si>
    <t xml:space="preserve"> CCA,USRP N310 WITHOUT TPM,XC7Z100,10GIGE,MOTHERBOARD</t>
  </si>
  <si>
    <t>141064x-01L</t>
  </si>
  <si>
    <t xml:space="preserve"> MODULE ASSEMBLY,USRP N310</t>
  </si>
  <si>
    <t>141064x-03L</t>
  </si>
  <si>
    <t>141064x-02L</t>
  </si>
  <si>
    <t>147305x-01L</t>
  </si>
  <si>
    <t>147305x-02L</t>
  </si>
  <si>
    <t xml:space="preserve">149412x-01L </t>
  </si>
  <si>
    <t xml:space="preserve">149412x-02L </t>
  </si>
  <si>
    <t xml:space="preserve"> MODULE ASSEMBLY,USRP E320 WITHOUT TPM (BOARD ONLY)</t>
  </si>
  <si>
    <t>149108x-01L</t>
  </si>
  <si>
    <t>MODULE ASSEMBLY,USRP E320 (FULL ENCLOSURE)</t>
  </si>
  <si>
    <t>149108x-02L</t>
  </si>
  <si>
    <t>147931x-01L</t>
  </si>
  <si>
    <t>N320 Module</t>
  </si>
  <si>
    <t>147931x-03L</t>
  </si>
  <si>
    <t>N320 W/O TPM Module</t>
  </si>
  <si>
    <t>147932x-01L</t>
  </si>
  <si>
    <t>N321 Module</t>
  </si>
  <si>
    <t>147932x-03L</t>
  </si>
  <si>
    <t>N321 W/O TPM Module</t>
  </si>
  <si>
    <t>CCA, TRIDENT AND NAUTILUS CELLULAR RX</t>
  </si>
  <si>
    <t>151961F-03L</t>
  </si>
  <si>
    <t xml:space="preserve">CCA, TRIDENT AND NAUTILUS CELLULAR RX  </t>
  </si>
  <si>
    <t>151967D-04L</t>
  </si>
  <si>
    <t>CCA, NAUTILUS CELLULAR TX</t>
  </si>
  <si>
    <t>151967E-11L</t>
  </si>
  <si>
    <t>CCA, STINGRAY CELLULAR TX</t>
  </si>
  <si>
    <t>CCA, TRIDENT CELLULAR TX</t>
  </si>
  <si>
    <t>195423C-02L</t>
  </si>
  <si>
    <t>CCA, RF-RIO BASEBAND CARD</t>
  </si>
  <si>
    <t>CCA, RF-RIO BASEBAND CARD--TRIDENT</t>
  </si>
  <si>
    <t>152306A-01L</t>
  </si>
  <si>
    <t xml:space="preserve">CCA, IQ,IN/OUT </t>
  </si>
  <si>
    <t>150819E-02L</t>
  </si>
  <si>
    <t>156396E-01L/ 156396H-01L</t>
  </si>
  <si>
    <t xml:space="preserve">CCA, CBA2.0 </t>
  </si>
  <si>
    <t>CCA, CBA2.1</t>
  </si>
  <si>
    <t>MODULE ASSEMBLY, PXIE-5840</t>
  </si>
  <si>
    <t>158396D-01L</t>
  </si>
  <si>
    <t>MODULE ASSEMBLY, PXIE-5820</t>
  </si>
  <si>
    <t>148882B-01L</t>
  </si>
  <si>
    <t>MODULE ASSEMBLY, PXIE-5841</t>
  </si>
  <si>
    <t xml:space="preserve">MODULE ASSY, NI 5530 RF MULTIPORT CALIBRATION MODULE, 12 PORT  </t>
  </si>
  <si>
    <t xml:space="preserve">159323D-01L </t>
  </si>
  <si>
    <t xml:space="preserve">NI SPRING PIN DIAGNOSTIC AND DC CALIBRATION MODULE 1-40 BLOCK  </t>
  </si>
  <si>
    <t xml:space="preserve">	142002B-01L </t>
  </si>
  <si>
    <t xml:space="preserve">NI SPRING PIN DIAGNOSTIC AND DC CALIBRATION MODULE 41-80 BLOCK  </t>
  </si>
  <si>
    <t xml:space="preserve">141687C-01L </t>
  </si>
  <si>
    <t xml:space="preserve">MODULE, TIMING CALIBRATION, STS-DIO-01, 28 BLOCKS  </t>
  </si>
  <si>
    <t>T2M2 CX TEST HEAD</t>
  </si>
  <si>
    <t xml:space="preserve">148777A-01L </t>
  </si>
  <si>
    <t>147257A-21L</t>
  </si>
  <si>
    <t>ASSY, STS, T2M2, SECONDARY MEDUSA RCB PS KIT</t>
  </si>
  <si>
    <t>ASSY, STS, T2M2, SECONDARY CBBD RCB PS KIT</t>
  </si>
  <si>
    <t>ASSY, STS, T2M2, SECONDARY BBBB RCB PS KIT</t>
  </si>
  <si>
    <t>ASSY, STS, T2M2, SECONDARY BBDD RCB PS KIT</t>
  </si>
  <si>
    <t>ASSY, STS, T2M2, SECONDARY DDDD RCB PS KIT</t>
  </si>
  <si>
    <t>ASSY, STS, T2M2, SECONDARY DBCC RCB PS KIT</t>
  </si>
  <si>
    <t>149726A-01L</t>
  </si>
  <si>
    <t>149555A-01L</t>
  </si>
  <si>
    <t>149556A-01L</t>
  </si>
  <si>
    <t>ASSY, STS, T1M2, DX, TEST HEAD, PARITY</t>
  </si>
  <si>
    <t>149556B-01L</t>
  </si>
  <si>
    <t>MODULE ASSEMBLY, PXIE-3622</t>
  </si>
  <si>
    <t>MMRH-5582, 0 SWITCH</t>
  </si>
  <si>
    <t>MMRH-5582, 1 SWITCH</t>
  </si>
  <si>
    <t>MMRH-5582, 2 SWITCH</t>
  </si>
  <si>
    <t>787047-01</t>
  </si>
  <si>
    <t>VST – 5 – 12 GHz</t>
  </si>
  <si>
    <t>786853-01</t>
  </si>
  <si>
    <t>mmWave VST – IF - origin</t>
  </si>
  <si>
    <t>mmWave VST – IF - (RF and STS included)</t>
  </si>
  <si>
    <t>786854-01</t>
  </si>
  <si>
    <t>mmWave VST – One head (no switch)</t>
  </si>
  <si>
    <t>786858-01</t>
  </si>
  <si>
    <t>mmWave VST – One head (one switch)</t>
  </si>
  <si>
    <t>786855-01</t>
  </si>
  <si>
    <t>mmWave VST – One head (two switches)</t>
  </si>
  <si>
    <t>786856-01</t>
  </si>
  <si>
    <t>mmWave VST – Two heads (no switch, no switch)</t>
  </si>
  <si>
    <t>787242-01</t>
  </si>
  <si>
    <t>mmWave VST – Two heads (no switch, one switch)</t>
  </si>
  <si>
    <t>786857-01</t>
  </si>
  <si>
    <t>mmWave VST – Two heads (no switch, two switches)</t>
  </si>
  <si>
    <t>787243-01</t>
  </si>
  <si>
    <t>mmWave VST – Two heads (one switch, one switch)</t>
  </si>
  <si>
    <t>787240-01</t>
  </si>
  <si>
    <t>mmWave VST – Two heads (one switch, two switches)</t>
  </si>
  <si>
    <t>787241-01</t>
  </si>
  <si>
    <t>mmWave VST – Two heads (two switches, two switches)</t>
  </si>
  <si>
    <t>MODULE ASSY,STS-5530,RF CALIBRATION MODULE,48 PORT,18 GHZ</t>
  </si>
  <si>
    <t>MODULE ASSY,STS-5530,RF CALIBRATION MODULE,12 PORT,18 GHZ</t>
  </si>
  <si>
    <t>MODULE ASSY, NI RF MULTIPORT CALIBRATION MODULE (48-port)</t>
  </si>
  <si>
    <t>142002B-01L</t>
  </si>
  <si>
    <t>NI SPRING PIN DIAGNOSTIC AND DC CALIBRATION MODULE 41-80 BLOCK</t>
  </si>
  <si>
    <t>MODULE ASSEMBLY, MEDUSA PORT MODULE, NI 5531</t>
  </si>
  <si>
    <t xml:space="preserve">  -- CCA, MEDUSA 4-WAY SWITCH BOARD</t>
  </si>
  <si>
    <t xml:space="preserve">  -- CCA, MEDUSA BRIDGE COUPLER BOARD</t>
  </si>
  <si>
    <t>199652A-01L</t>
  </si>
  <si>
    <t>MODULE ASSEMBLY, MEDUSA FIGS MODULE, NI 5532</t>
  </si>
  <si>
    <t>MODULE ASSEMBLY, MEDUSA PORT MODULE, NI 5533, DRA</t>
  </si>
  <si>
    <t xml:space="preserve">  199229F-01L</t>
  </si>
  <si>
    <t xml:space="preserve">    CCA, PXIE-5653 YIG</t>
  </si>
  <si>
    <t xml:space="preserve">  199226F-01L</t>
  </si>
  <si>
    <t xml:space="preserve">    CCA, PXIE-5653 VCO (NEL OCXO)</t>
  </si>
  <si>
    <t xml:space="preserve">  199517D-01L</t>
  </si>
  <si>
    <t xml:space="preserve">    CCA, PXIE-5693 PRE-SELECTOR BOARD</t>
  </si>
  <si>
    <t xml:space="preserve">  199520D-01L</t>
  </si>
  <si>
    <t xml:space="preserve">    CCA, YICM CONDITIONING BOARD, PXIE-5694</t>
  </si>
  <si>
    <t>199572B-01L</t>
  </si>
  <si>
    <t>MODULE ASSEMBLY, NI PXIE-5603 (01L)</t>
  </si>
  <si>
    <t>MODULE ASSEMBLY, NI PXIE-5603 (02L)</t>
  </si>
  <si>
    <t xml:space="preserve">  199536C-01L</t>
  </si>
  <si>
    <t xml:space="preserve">    CCA, PXIE-5603 IF BOARD REV C</t>
  </si>
  <si>
    <t xml:space="preserve">  199436C-01L</t>
  </si>
  <si>
    <t xml:space="preserve">    CCA, PXIE-5603 RF BOARD REV C</t>
  </si>
  <si>
    <t>199749D-02L</t>
  </si>
  <si>
    <t>MODULE ASSEMBLY, NI PXIE-5605, PRE-AMP</t>
  </si>
  <si>
    <t xml:space="preserve">  199514D-01L</t>
  </si>
  <si>
    <t xml:space="preserve">    CCA, PXIE-5605 IF BOARD</t>
  </si>
  <si>
    <t xml:space="preserve">  199414G-01L</t>
  </si>
  <si>
    <t xml:space="preserve">    CCA, PXIE-5605 RF BOARD</t>
  </si>
  <si>
    <t xml:space="preserve">  193959G-01L</t>
  </si>
  <si>
    <t xml:space="preserve">    CCA, RF PROCESSING MODULE</t>
  </si>
  <si>
    <t xml:space="preserve">  190793G-01L</t>
  </si>
  <si>
    <t xml:space="preserve">    CCA, ATTENUATOR MODULE</t>
  </si>
  <si>
    <t>MODULE, NI 5791 4.4 GHZ RF TRANSCEIVER, 100 MHZ BW ADAPTER MODULE FOR NI FLEXRIO</t>
  </si>
  <si>
    <t>152889A-01L</t>
  </si>
  <si>
    <t>MODULE, NI 5792 4.4 GHZ RF RECEIVER, 200 MHZ BW FLEXRIO ADAPTER MODULE</t>
  </si>
  <si>
    <t>152890A-01L</t>
  </si>
  <si>
    <t>MODULE, NI 5793 4.4 GHZ RF TRANSMITTER, 200 MHZ BW FLEXRIO ADAPTER MODULE</t>
  </si>
  <si>
    <t>199541D-01L</t>
  </si>
  <si>
    <t>MODULE ASSEMBLY, NI PXIE-5650 1.3GHZ</t>
  </si>
  <si>
    <t>199541D-02L</t>
  </si>
  <si>
    <t>MODULE ASSEMBLY, NI PXIE-5651 3.3GHZ</t>
  </si>
  <si>
    <t>199541D-03L</t>
  </si>
  <si>
    <t>MODULE ASSEMBLY, NI PXIE-5652 6.6GHZ</t>
  </si>
  <si>
    <t xml:space="preserve">  192951N-02L</t>
  </si>
  <si>
    <t xml:space="preserve">    CCA, NI PXIE-565X SIGNAL GENERATOR ANALOG BOARD</t>
  </si>
  <si>
    <t>MODULE ASSEMBLY, NI PXI-5650 1.3GHZ</t>
  </si>
  <si>
    <t>MODULE ASSEMBLY, NI PXI-5651 3.3GHZ</t>
  </si>
  <si>
    <t>MODULE ASSEMBLY, NI PXI-5652 6.6GHZ</t>
  </si>
  <si>
    <t xml:space="preserve">  192951N-01L</t>
  </si>
  <si>
    <t xml:space="preserve">    CCA, NI PXI-565X SIGNAL GENERATOR ANALOG BOARD</t>
  </si>
  <si>
    <t xml:space="preserve">  197222K-01L</t>
  </si>
  <si>
    <t xml:space="preserve">    CCA, SONOMA RF BOARD</t>
  </si>
  <si>
    <t xml:space="preserve">  196932E-01L</t>
  </si>
  <si>
    <t xml:space="preserve">    CCA, 8GHZ POWER &amp; CONTROL BOARD</t>
  </si>
  <si>
    <t>CCA, NI PXIE-5641R, 95K FPGA</t>
  </si>
  <si>
    <t>MODULE ASSY PXI-5600</t>
  </si>
  <si>
    <t> 186058K-01L</t>
  </si>
  <si>
    <t xml:space="preserve">    CCA, PXI-5600 LOCAL OSCILLATOR</t>
  </si>
  <si>
    <t> 186055K-01L</t>
  </si>
  <si>
    <t xml:space="preserve">    CCA, PXI-5600 DIGITAL POWER &amp; CNTRL</t>
  </si>
  <si>
    <t>MODULE ASSY PXI-5610</t>
  </si>
  <si>
    <t>191295G-01L</t>
  </si>
  <si>
    <t>CCA, PCI-5640 IF RIO</t>
  </si>
  <si>
    <t>186191F-01L</t>
  </si>
  <si>
    <t>CCA, PXI-5620 IF DIGITIZER</t>
  </si>
  <si>
    <t>198265B-01L</t>
  </si>
  <si>
    <t> 199523F-01L</t>
  </si>
  <si>
    <t>    CCA, PXIE-5606 RF BOARD</t>
  </si>
  <si>
    <t> 199526D-01L</t>
  </si>
  <si>
    <t>    CCA, PXIE-5606 IF1 BOARD</t>
  </si>
  <si>
    <t> 199622C-01L</t>
  </si>
  <si>
    <t>    CCA, PXIE-5606 IF2 BOARD</t>
  </si>
  <si>
    <t>ASSY, STS SYSTEM, NI DUAL SITE T4M2 BASE MMWAVE</t>
  </si>
  <si>
    <t>D%$&amp;01_36902c30611748979118fcb5c9722c84</t>
  </si>
  <si>
    <t>huhatvaz_6665_National Instruments_Windows (32-bit) NT 6.01_HUDEB273165_huhatvaz$$$08082013</t>
  </si>
  <si>
    <t>"vlM!12804"</t>
  </si>
  <si>
    <t>SO +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</si>
</sst>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ourier"/>
    </font>
    <font>
      <sz val="11"/>
      <color rgb="FF000000"/>
      <name val="Courier"/>
    </font>
    <font>
      <b/>
      <sz val="11"/>
      <color theme="1"/>
      <name val="Courier"/>
    </font>
    <font>
      <b/>
      <sz val="11"/>
      <color rgb="FF000000"/>
      <name val="Courie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9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 applyAlignment="1">
      <alignment vertical="center"/>
    </xf>
    <xf numFmtId="0" fontId="11" fillId="2" borderId="1" xfId="0" applyFont="1" applyFill="1" applyBorder="1"/>
    <xf numFmtId="1" fontId="11" fillId="2" borderId="1" xfId="0" applyNumberFormat="1" applyFont="1" applyFill="1" applyBorder="1"/>
    <xf numFmtId="0" fontId="12" fillId="0" borderId="1" xfId="0" applyFont="1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/>
    <xf numFmtId="0" fontId="0" fillId="0" borderId="1" xfId="0" applyFill="1" applyBorder="1"/>
    <xf numFmtId="1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1" fontId="9" fillId="0" borderId="1" xfId="0" applyNumberFormat="1" applyFont="1" applyFill="1" applyBorder="1"/>
    <xf numFmtId="2" fontId="0" fillId="0" borderId="1" xfId="0" applyNumberForma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13" fillId="0" borderId="1" xfId="0" applyFont="1" applyFill="1" applyBorder="1"/>
    <xf numFmtId="0" fontId="0" fillId="0" borderId="2" xfId="35" applyFont="1" applyBorder="1"/>
    <xf numFmtId="0" fontId="14" fillId="0" borderId="2" xfId="0" applyFont="1" applyBorder="1" applyAlignment="1">
      <alignment horizontal="center" vertical="center" wrapText="1"/>
    </xf>
    <xf numFmtId="49" fontId="0" fillId="0" borderId="2" xfId="0" applyNumberFormat="1" applyBorder="1"/>
    <xf numFmtId="49" fontId="14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/>
    <xf numFmtId="1" fontId="0" fillId="0" borderId="1" xfId="0" applyNumberFormat="1" applyBorder="1" applyAlignment="1">
      <alignment wrapText="1"/>
    </xf>
    <xf numFmtId="1" fontId="0" fillId="0" borderId="1" xfId="0" applyNumberFormat="1" applyBorder="1"/>
    <xf numFmtId="1" fontId="9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15" fillId="0" borderId="2" xfId="35" applyFont="1" applyBorder="1" applyAlignment="1">
      <alignment horizontal="left"/>
    </xf>
    <xf numFmtId="0" fontId="15" fillId="0" borderId="2" xfId="0" applyFont="1" applyBorder="1" applyAlignment="1">
      <alignment horizontal="center" vertical="center" wrapText="1"/>
    </xf>
    <xf numFmtId="0" fontId="15" fillId="0" borderId="2" xfId="35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center" vertical="center" wrapText="1"/>
    </xf>
    <xf numFmtId="0" fontId="7" fillId="0" borderId="2" xfId="35" applyFont="1" applyBorder="1" applyAlignment="1">
      <alignment horizontal="left"/>
    </xf>
    <xf numFmtId="49" fontId="15" fillId="0" borderId="2" xfId="35" applyNumberFormat="1" applyFont="1" applyBorder="1" applyAlignment="1">
      <alignment horizontal="left" wrapText="1"/>
    </xf>
    <xf numFmtId="49" fontId="15" fillId="0" borderId="2" xfId="35" applyNumberFormat="1" applyFont="1" applyBorder="1" applyAlignment="1">
      <alignment horizontal="left"/>
    </xf>
    <xf numFmtId="0" fontId="13" fillId="0" borderId="1" xfId="0" applyFont="1" applyBorder="1"/>
    <xf numFmtId="1" fontId="16" fillId="0" borderId="1" xfId="0" applyNumberFormat="1" applyFont="1" applyFill="1" applyBorder="1"/>
    <xf numFmtId="0" fontId="17" fillId="0" borderId="1" xfId="0" applyFont="1" applyFill="1" applyBorder="1"/>
    <xf numFmtId="0" fontId="18" fillId="0" borderId="1" xfId="0" applyFont="1" applyFill="1" applyBorder="1"/>
    <xf numFmtId="1" fontId="17" fillId="0" borderId="1" xfId="0" applyNumberFormat="1" applyFont="1" applyFill="1" applyBorder="1" applyAlignment="1">
      <alignment wrapText="1"/>
    </xf>
    <xf numFmtId="1" fontId="18" fillId="0" borderId="1" xfId="0" applyNumberFormat="1" applyFont="1" applyFill="1" applyBorder="1"/>
    <xf numFmtId="1" fontId="17" fillId="0" borderId="1" xfId="0" applyNumberFormat="1" applyFont="1" applyFill="1" applyBorder="1"/>
    <xf numFmtId="0" fontId="19" fillId="0" borderId="1" xfId="0" applyFont="1" applyFill="1" applyBorder="1"/>
    <xf numFmtId="0" fontId="20" fillId="0" borderId="1" xfId="0" applyFont="1" applyFill="1" applyBorder="1"/>
    <xf numFmtId="1" fontId="19" fillId="0" borderId="1" xfId="0" applyNumberFormat="1" applyFont="1" applyFill="1" applyBorder="1"/>
    <xf numFmtId="2" fontId="17" fillId="0" borderId="1" xfId="0" applyNumberFormat="1" applyFont="1" applyFill="1" applyBorder="1"/>
    <xf numFmtId="0" fontId="19" fillId="0" borderId="1" xfId="0" applyFont="1" applyBorder="1"/>
    <xf numFmtId="0" fontId="17" fillId="0" borderId="1" xfId="0" applyFont="1" applyBorder="1"/>
    <xf numFmtId="49" fontId="21" fillId="0" borderId="2" xfId="35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11" fontId="0" fillId="0" borderId="0" xfId="0" applyNumberFormat="1"/>
    <xf numFmtId="0" fontId="0" fillId="3" borderId="0" xfId="0" applyFill="1"/>
    <xf numFmtId="0" fontId="22" fillId="0" borderId="0" xfId="0" applyFont="1"/>
  </cellXfs>
  <cellStyles count="36">
    <cellStyle name="Followed Hyperlink" xfId="28" builtinId="9" hidden="1"/>
    <cellStyle name="Followed Hyperlink" xfId="14" builtinId="9" hidden="1"/>
    <cellStyle name="Followed Hyperlink" xfId="30" builtinId="9" hidden="1"/>
    <cellStyle name="Followed Hyperlink" xfId="26" builtinId="9" hidden="1"/>
    <cellStyle name="Followed Hyperlink" xfId="2" builtinId="9" hidden="1"/>
    <cellStyle name="Followed Hyperlink" xfId="16" builtinId="9" hidden="1"/>
    <cellStyle name="Followed Hyperlink" xfId="32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2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4" builtinId="9" hidden="1"/>
    <cellStyle name="Followed Hyperlink" xfId="6" builtinId="9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17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  <cellStyle name="Normal 10" xfId="35" xr:uid="{6EBF80D1-E1F6-45BF-A9B8-B5F21266F635}"/>
    <cellStyle name="Normal 5 42 2" xfId="33" xr:uid="{1CB11E22-D098-4646-A4C4-491AD4534D8E}"/>
    <cellStyle name="Percent 5 7" xfId="34" xr:uid="{B63D9A41-6152-4762-923B-BECEFE7941D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Wong" refreshedDate="43849.786082754632" createdVersion="6" refreshedVersion="6" minRefreshableVersion="3" recordCount="669" xr:uid="{C4ED7AEB-CA39-4527-954E-20F5C1EDC490}">
  <cacheSource type="worksheet">
    <worksheetSource ref="A1:F670" sheet="Master (Q1)"/>
  </cacheSource>
  <cacheFields count="6">
    <cacheField name="Part Number" numFmtId="0">
      <sharedItems count="669">
        <s v="130140A-01"/>
        <s v="130182A-01L"/>
        <s v="130297A-01L"/>
        <s v="130304B-01L"/>
        <s v="130307B-01L"/>
        <s v="130310A-01L"/>
        <s v="130310B-02L"/>
        <s v="130503A-00L"/>
        <s v="130503A-01L"/>
        <s v="130503A-02L"/>
        <s v="130503B-00L"/>
        <s v="130572A-01L"/>
        <s v="131046B-01L"/>
        <s v="131049B-01L"/>
        <s v="131437A-01L"/>
        <s v="131440A-01L"/>
        <s v="131500A-01L"/>
        <s v="131581B-01L"/>
        <s v="131582B-01L"/>
        <s v="131650A-01L"/>
        <s v="131679A-01L"/>
        <s v="131698A-01"/>
        <s v="131791C-01L"/>
        <s v="131796C-01L"/>
        <s v="131847A-01"/>
        <s v="131895A-01"/>
        <s v="131896A-01"/>
        <s v="131899A-01"/>
        <s v="131915A-01"/>
        <s v="132212A-01"/>
        <s v="132304A-01"/>
        <s v="132578A-01"/>
        <s v="140001B-03L"/>
        <s v="140001B-04L"/>
        <s v="140081C-01L"/>
        <s v="140171B-01L"/>
        <s v="140172B-01L"/>
        <s v="140287C-01L"/>
        <s v="140605C-01L"/>
        <s v="140641D-01L"/>
        <s v="140652D-01L"/>
        <s v="140661C-01L"/>
        <s v="140968A-01L"/>
        <s v="141046A-01L"/>
        <s v="141064D-01L"/>
        <s v="141064D-02L"/>
        <s v="141064D-03L"/>
        <s v="141104A-01L"/>
        <s v="141172B-01"/>
        <s v="141176B-01"/>
        <s v="141190A-03L"/>
        <s v="141327E-01L"/>
        <s v="141631B-01L"/>
        <s v="141631C-01L"/>
        <s v="141634E-01L"/>
        <s v="141642B-03L"/>
        <s v="141642B-13L"/>
        <s v="141642B-14L"/>
        <s v="141642B-15L"/>
        <s v="141642B-16L"/>
        <s v="141687A-01L"/>
        <s v="141687C-01L"/>
        <s v="141751B-01L"/>
        <s v="141884C-01L"/>
        <s v="141894A-01L"/>
        <s v="141894B-01L"/>
        <s v="141895B-01L"/>
        <s v="141895C-01L"/>
        <s v="142041A-01L"/>
        <s v="142044C-01L"/>
        <s v="142173C-01L"/>
        <s v="142176D-01L"/>
        <s v="142176D-02L"/>
        <s v="142176D-03L"/>
        <s v="142292A-011L"/>
        <s v="142292A-111L"/>
        <s v="142292A-311L"/>
        <s v="142292A-351L"/>
        <s v="142299E-02L"/>
        <s v="142467B-01L"/>
        <s v="142470B-010L"/>
        <s v="142470B-040L"/>
        <s v="142471C-01L"/>
        <s v="142735A-01L"/>
        <s v="142818G-02L"/>
        <s v="142818H-02L"/>
        <s v="142819F-02L"/>
        <s v="142820E-01L"/>
        <s v="142820F-01L"/>
        <s v="142870H-01L"/>
        <s v="142994A-02L"/>
        <s v="143125A-01L"/>
        <s v="143128A-01L"/>
        <s v="143226C-01L"/>
        <s v="143232A-02L"/>
        <s v="143232B-01L"/>
        <s v="143441C-01L"/>
        <s v="143822A-01L"/>
        <s v="143823A-01L"/>
        <s v="143824A-01L"/>
        <s v="144152B-01L"/>
        <s v="144179A-01L"/>
        <s v="144179A-02L"/>
        <s v="144182A-01L"/>
        <s v="144193C-01L"/>
        <s v="144193C-02L"/>
        <s v="144196D-01L"/>
        <s v="144199C-01L"/>
        <s v="144592A-01L"/>
        <s v="144705C-01L"/>
        <s v="144705C-02L"/>
        <s v="144765A-01L"/>
        <s v="144787C-01L"/>
        <s v="144797C-01L"/>
        <s v="145006C-01L"/>
        <s v="145536A-01L"/>
        <s v="145536A-21L"/>
        <s v="145561A-01L"/>
        <s v="145581D-01L"/>
        <s v="145624D-01L"/>
        <s v="145627B-01L"/>
        <s v="145630A-01L"/>
        <s v="145697C-01L"/>
        <s v="145831B-01L"/>
        <s v="145834A-01L"/>
        <s v="145837B-01L"/>
        <s v="145840C-01L"/>
        <s v="145843A-01L"/>
        <s v="145871C-01L"/>
        <s v="145871C-02L"/>
        <s v="145871C-55L"/>
        <s v="146351A-01L"/>
        <s v="146354C-01L"/>
        <s v="146354D-01L"/>
        <s v="146411B-01L"/>
        <s v="146412B-01L"/>
        <s v="146413B-01L"/>
        <s v="146414B-01L"/>
        <s v="146439B-01L"/>
        <s v="146455B-01L"/>
        <s v="146589A-01L"/>
        <s v="146763A-01"/>
        <s v="146764A-01"/>
        <s v="146873B-01L"/>
        <s v="146967B-01L"/>
        <s v="146975A-01L"/>
        <s v="146976A-01L"/>
        <s v="146977A-01L"/>
        <s v="146982C-01L"/>
        <s v="146998C-01L"/>
        <s v="147001C-01L"/>
        <s v="147026B-01L"/>
        <s v="147054B-01L"/>
        <s v="147054C-01L"/>
        <s v="147164B-01L"/>
        <s v="147183B-01L"/>
        <s v="147257A-02"/>
        <s v="147257A-03"/>
        <s v="147257A-04"/>
        <s v="147257A-05"/>
        <s v="147257A-06"/>
        <s v="147257A-22L"/>
        <s v="147257A-23L"/>
        <s v="147257A-24L"/>
        <s v="147257A-25L"/>
        <s v="147257A-26L"/>
        <s v="147257A-33L"/>
        <s v="147261A-01L"/>
        <s v="147269A-01"/>
        <s v="147305E-01L"/>
        <s v="147305E-02L"/>
        <s v="147309A-01L"/>
        <s v="147372B-01L"/>
        <s v="147872B-01L"/>
        <s v="147880C-02L"/>
        <s v="147915B-01"/>
        <s v="147931A-01L"/>
        <s v="147931A-03L"/>
        <s v="147932A-01L"/>
        <s v="147932A-03L"/>
        <s v="147976B-01L"/>
        <s v="147979A-01L"/>
        <s v="148002A-01"/>
        <s v="148110A-01L"/>
        <s v="148110A-02L"/>
        <s v="148126A-01L"/>
        <s v="148161A-01L"/>
        <s v="148247C-01L"/>
        <s v="148549A-01L"/>
        <s v="148549A-02L"/>
        <s v="148549A-03L"/>
        <s v="148549A-04L"/>
        <s v="148549A-05L"/>
        <s v="148549A-06L"/>
        <s v="148617A-01L"/>
        <s v="148691B-01L"/>
        <s v="148777A-01L"/>
        <s v="148778A-01L"/>
        <s v="148779A-01L"/>
        <s v="148781A-01L"/>
        <s v="148782A-01L"/>
        <s v="148782A-02L"/>
        <s v="148782A-03L"/>
        <s v="148798D-01L"/>
        <s v="148798D-55L"/>
        <s v="148821B-01L"/>
        <s v="148822A-01L"/>
        <s v="148823A-01L"/>
        <s v="148824A-01L"/>
        <s v="148825A-01L"/>
        <s v="148830A-01L"/>
        <s v="148836C-01L"/>
        <s v="148868A-02L"/>
        <s v="148882C-01L"/>
        <s v="148905B-01L"/>
        <s v="148933B-01L"/>
        <s v="148933C-01L"/>
        <s v="148936A-01L"/>
        <s v="149021D-03L"/>
        <s v="149021D-04L"/>
        <s v="149021D-06L"/>
        <s v="149021D-07L"/>
        <s v="149021D-211L"/>
        <s v="149021D-55L"/>
        <s v="149108B-01L"/>
        <s v="149108B-02L"/>
        <s v="149134B-01L"/>
        <s v="149134B-02L"/>
        <s v="149170A-01L"/>
        <s v="149173A-01L"/>
        <s v="149176A-01L"/>
        <s v="149239A-01L"/>
        <s v="149239A-02L"/>
        <s v="149458C-01L"/>
        <s v="149555B-01L"/>
        <s v="149556C-01L"/>
        <s v="149725A-01L"/>
        <s v="149726B-01L"/>
        <s v="149772A-01L"/>
        <s v="149868A-01L"/>
        <s v="149869A-01L"/>
        <s v="149899A-01L"/>
        <s v="149900B-01L"/>
        <s v="149903B-01L"/>
        <s v="149917A-01L"/>
        <s v="149918A-01L"/>
        <s v="150173D-012L"/>
        <s v="150592B-06L"/>
        <s v="150898B-01L"/>
        <s v="150914B-01L"/>
        <s v="151136D-01L"/>
        <s v="151509D-01"/>
        <s v="151637G-01L"/>
        <s v="151637H-01L"/>
        <s v="151757D-01"/>
        <s v="151809E-02L"/>
        <s v="151961G-02L"/>
        <s v="151961H-02L"/>
        <s v="151961J-02L"/>
        <s v="151964E-02L"/>
        <s v="151967F-03L"/>
        <s v="151967G-11L"/>
        <s v="151967H-11L"/>
        <s v="151988F-02L"/>
        <s v="152008B-01L"/>
        <s v="152014B-01L"/>
        <s v="152034D-012L"/>
        <s v="152115D-01L"/>
        <s v="152179B-01L"/>
        <s v="152224B-01L"/>
        <s v="152404C-01L"/>
        <s v="152532A-01L"/>
        <s v="152535B-01L"/>
        <s v="152573K-01L"/>
        <s v="152574A-01L"/>
        <s v="152888A-01L"/>
        <s v="152983C-01"/>
        <s v="153012F-01"/>
        <s v="153097C-01L"/>
        <s v="153100B-01L"/>
        <s v="153197D-01L"/>
        <s v="153304A-01L"/>
        <s v="153304A-02L"/>
        <s v="153363B-06L"/>
        <s v="153839B-01L"/>
        <s v="153839B-02L"/>
        <s v="153839B-11L"/>
        <s v="153839B-12L"/>
        <s v="153842B-01L"/>
        <s v="153869K-01L"/>
        <s v="153933B-01L"/>
        <s v="153933B-03L"/>
        <s v="153933B-11L"/>
        <s v="153933B-13L"/>
        <s v="153980C-01L"/>
        <s v="154004A-01L"/>
        <s v="154019A-04L"/>
        <s v="154019E-02L"/>
        <s v="154027D-01L"/>
        <s v="154027E-01L"/>
        <s v="154030D-01L"/>
        <s v="154030E-01L"/>
        <s v="154033D-01L"/>
        <s v="154036E-01L"/>
        <s v="154036F-01L"/>
        <s v="154062B-01L"/>
        <s v="154062B-02L"/>
        <s v="154062B-04L"/>
        <s v="154062B-05L"/>
        <s v="154062B-07L"/>
        <s v="154062C-03L"/>
        <s v="154062C-06L"/>
        <s v="154104E-01L"/>
        <s v="154107E-01L"/>
        <s v="154119E-01L"/>
        <s v="154129D-01L"/>
        <s v="154132E-01L"/>
        <s v="154132E-02L"/>
        <s v="154166C-912L"/>
        <s v="154185D-01L"/>
        <s v="154195D-01"/>
        <s v="154197D-01"/>
        <s v="154198D-01"/>
        <s v="154204D-01"/>
        <s v="154205D-01"/>
        <s v="154261F-01L"/>
        <s v="154294G-01L"/>
        <s v="154321G-01L"/>
        <s v="154349J-02L"/>
        <s v="154349K-01L"/>
        <s v="154377C-01"/>
        <s v="154378C-01"/>
        <s v="154383C-01"/>
        <s v="154439C-01L"/>
        <s v="154471B-01L"/>
        <s v="154544D-01L"/>
        <s v="154573K-01L"/>
        <s v="154573K-02L"/>
        <s v="154664C-02L"/>
        <s v="154685D-01"/>
        <s v="154688D-01"/>
        <s v="154905E-01L"/>
        <s v="154909B-912L"/>
        <s v="154909C-012L"/>
        <s v="154911B-012L"/>
        <s v="154911B-912L"/>
        <s v="154962G-02L"/>
        <s v="155108A-01L"/>
        <s v="155111C-01L"/>
        <s v="155111D-01L"/>
        <s v="155129D-01L"/>
        <s v="155129D-02L"/>
        <s v="155186G-012L"/>
        <s v="155186H-011L"/>
        <s v="155186H-111L"/>
        <s v="155186H-311L"/>
        <s v="155186H-351L"/>
        <s v="155199B-01L"/>
        <s v="155213F-01L"/>
        <s v="155361B-02L"/>
        <s v="155364A-01L"/>
        <s v="155367A-01L"/>
        <s v="155387A-02L"/>
        <s v="155431C-01L"/>
        <s v="155505B-01L"/>
        <s v="155600A-11L"/>
        <s v="155623F-01L"/>
        <s v="155623F-11L"/>
        <s v="155627C-01L"/>
        <s v="155646B-01L"/>
        <s v="155660B-01"/>
        <s v="155664C-01"/>
        <s v="155776C-01L"/>
        <s v="155779A-01L"/>
        <s v="155803C-01"/>
        <s v="155804C-01"/>
        <s v="155937A-01L"/>
        <s v="155937A-02L"/>
        <s v="155937A-11L"/>
        <s v="156072F-02L"/>
        <s v="156094B-01L"/>
        <s v="156097B-01L"/>
        <s v="156106B-01L"/>
        <s v="156112C-01L"/>
        <s v="156229B-01L"/>
        <s v="156229B-11L"/>
        <s v="156229B-12L"/>
        <s v="156229C-02L"/>
        <s v="156252C-011L"/>
        <s v="156263E-01L"/>
        <s v="156312A-01L"/>
        <s v="156333H-01L"/>
        <s v="156396E-01L"/>
        <s v="156396J-01L"/>
        <s v="156408A-01L"/>
        <s v="156411A-01L"/>
        <s v="156444C-01L"/>
        <s v="156485F-01L"/>
        <s v="156485F-05L"/>
        <s v="156485F-11L"/>
        <s v="156485F-12L"/>
        <s v="156485F-13L"/>
        <s v="156485F-15L"/>
        <s v="156485F-17L"/>
        <s v="156485G-09L"/>
        <s v="156485G-10L"/>
        <s v="156485G-21L"/>
        <s v="156485G-22L"/>
        <s v="156485G-24L"/>
        <s v="156485H-04L"/>
        <s v="156485H-08L"/>
        <s v="156521G-011L"/>
        <s v="156521G-012L"/>
        <s v="156521G-022L"/>
        <s v="156521G-111L"/>
        <s v="156521G-112L"/>
        <s v="156521G-311L"/>
        <s v="156521G-352L"/>
        <s v="156602B-01L"/>
        <s v="156603B-01L"/>
        <s v="156629C-01L"/>
        <s v="156673D-01L"/>
        <s v="156673E-01L"/>
        <s v="156777A-01L"/>
        <s v="156780A-01L"/>
        <s v="156803A-04L"/>
        <s v="156803D-01L"/>
        <s v="156874E-01L"/>
        <s v="156874E-02L"/>
        <s v="156874E-04L"/>
        <s v="156877E-01L"/>
        <s v="156886A-01L"/>
        <s v="156968E-012L"/>
        <s v="156968F-011L"/>
        <s v="156968F-111L"/>
        <s v="156968F-311L"/>
        <s v="157089B-01L"/>
        <s v="157089B-02L"/>
        <s v="157089B-03L"/>
        <s v="157089B-04L"/>
        <s v="157093G-01L"/>
        <s v="157206B-01"/>
        <s v="157298B-01L"/>
        <s v="157298B-02L"/>
        <s v="157549C-01L"/>
        <s v="157549E-01L"/>
        <s v="157549E-03L"/>
        <s v="157680C-01L"/>
        <s v="157749D-01L"/>
        <s v="157758D-01L"/>
        <s v="157766C-01L"/>
        <s v="157918C-01L"/>
        <s v="157921B-01L"/>
        <s v="157932C-01L"/>
        <s v="157946B-01L"/>
        <s v="157960B-01L"/>
        <s v="157963B-01L"/>
        <s v="157977B-01L"/>
        <s v="158079E-01L"/>
        <s v="158127D-01L"/>
        <s v="158130B-01L"/>
        <s v="158130C-01L"/>
        <s v="158166A-013L"/>
        <s v="158166A-111L"/>
        <s v="158166B-011L"/>
        <s v="158166B-021L"/>
        <s v="158166B-111L"/>
        <s v="158166B-112L"/>
        <s v="158166B-121L"/>
        <s v="158166B-911L"/>
        <s v="158277E-01L"/>
        <s v="158277E-02L"/>
        <s v="158284B-01L"/>
        <s v="158340A-02L"/>
        <s v="158340A-03L"/>
        <s v="158381D-01L"/>
        <s v="158381D-02L"/>
        <s v="158395L-01L"/>
        <s v="158396E-01L"/>
        <s v="158539D-01L"/>
        <s v="158539E-01L"/>
        <s v="158671D-01L"/>
        <s v="158675A-011L"/>
        <s v="158675A-111L"/>
        <s v="158675A-311L"/>
        <s v="158675A-351L"/>
        <s v="158686A-011L"/>
        <s v="158686A-111L"/>
        <s v="158686A-311L"/>
        <s v="158686A-351L"/>
        <s v="158697C-01L"/>
        <s v="158697E-11L"/>
        <s v="158697F-21L"/>
        <s v="158697F-22L"/>
        <s v="158731C-01L"/>
        <s v="158966C-01L"/>
        <s v="158966D-21L"/>
        <s v="159034D-01L"/>
        <s v="159034D-02L"/>
        <s v="159034D-03L"/>
        <s v="159063H-01L"/>
        <s v="159063H-02L"/>
        <s v="159063H-03L"/>
        <s v="159063J-01L"/>
        <s v="159323D-01L"/>
        <s v="159572B-000L"/>
        <s v="159572B-311L"/>
        <s v="159572B-312L"/>
        <s v="159572B-352L"/>
        <s v="159572B-411L"/>
        <s v="159597D-01L"/>
        <s v="159597F-01L"/>
        <s v="159679C-01L"/>
        <s v="159682D-01"/>
        <s v="159683B-01"/>
        <s v="159684B-01"/>
        <s v="159685C-01L"/>
        <s v="159736B-01L"/>
        <s v="159741C-01L"/>
        <s v="159741D-01L"/>
        <s v="159813C-01L"/>
        <s v="159922B-01L"/>
        <s v="168100D-01L"/>
        <s v="168100D-02L"/>
        <s v="168651A-01L"/>
        <s v="170901C-03L"/>
        <s v="186055K-01L"/>
        <s v="186800C-02L"/>
        <s v="187968H-01L"/>
        <s v="188079J-01L"/>
        <s v="188129J-01L"/>
        <s v="188129J-02L"/>
        <s v="188193G-04L"/>
        <s v="188193H-01L"/>
        <s v="188193H-02L"/>
        <s v="188370D-01L"/>
        <s v="188558K-01L"/>
        <s v="188561H-01L"/>
        <s v="188564M-01L"/>
        <s v="189105L-01L"/>
        <s v="189105L-02L"/>
        <s v="189106L-01L"/>
        <s v="189718W-01L"/>
        <s v="190424F-01L"/>
        <s v="190735C-01L"/>
        <s v="190770D-01L"/>
        <s v="190793G-01L"/>
        <s v="190871N-01L"/>
        <s v="190872H-01L"/>
        <s v="191043G-01L"/>
        <s v="191238G-01L"/>
        <s v="191238G-02L"/>
        <s v="191764N-01L"/>
        <s v="191933D-01L"/>
        <s v="191933D-14L"/>
        <s v="191967M-01L"/>
        <s v="191967M-02L"/>
        <s v="191967M-03L"/>
        <s v="192011H-01L"/>
        <s v="192160F-01L"/>
        <s v="192592K-01L"/>
        <s v="192706G-01L"/>
        <s v="192951N-01L"/>
        <s v="192951R-02L"/>
        <s v="192951T-02L"/>
        <s v="193286B-04L"/>
        <s v="193286C-01L"/>
        <s v="193286C-03L"/>
        <s v="193374G-01L"/>
        <s v="193388K-01"/>
        <s v="193500E-01L"/>
        <s v="193893E-01L"/>
        <s v="193893E-02L"/>
        <s v="193895G-01L"/>
        <s v="193959G-01L"/>
        <s v="193970D-01L"/>
        <s v="193970D-02L"/>
        <s v="193977E-01L"/>
        <s v="194041B-01L"/>
        <s v="194295C-01L"/>
        <s v="194295C-02L"/>
        <s v="194402D-02L"/>
        <s v="194402G-01L"/>
        <s v="194743J-01L"/>
        <s v="194744D-01L"/>
        <s v="194744D-02L"/>
        <s v="194878B-01L"/>
        <s v="194915E-01L"/>
        <s v="194918H-01L"/>
        <s v="194975D-01"/>
        <s v="195178C-01L"/>
        <s v="195315E-01L"/>
        <s v="195321D-01L"/>
        <s v="195423C-03L"/>
        <s v="195423E-11L"/>
        <s v="195509F-01L"/>
        <s v="195581G-01L"/>
        <s v="195581H-01L"/>
        <s v="195581H-03L"/>
        <s v="195581J-01L"/>
        <s v="195581J-03L"/>
        <s v="195659F-01L"/>
        <s v="195720F-01"/>
        <s v="195721F-01"/>
        <s v="196385M-01L"/>
        <s v="196695J-01L"/>
        <s v="196744A-01L"/>
        <s v="196945E-01L"/>
        <s v="196945E-02L"/>
        <s v="196952D-01L"/>
        <s v="196972D-01L"/>
        <s v="197678K-01L"/>
        <s v="198265B-02L"/>
        <s v="198265B-03L"/>
        <s v="198265B-04L"/>
        <s v="198265B-05L"/>
        <s v="198265B-06L"/>
        <s v="198266B-01L"/>
        <s v="198570B-02L"/>
        <s v="198666K-01L"/>
        <s v="198754C-01L"/>
        <s v="198754C-02L"/>
        <s v="198787G-01"/>
        <s v="198809D-01"/>
        <s v="199042B-01L"/>
        <s v="199050B-01L"/>
        <s v="199060A-01L"/>
        <s v="199080J-01L"/>
        <s v="199116C-01L"/>
        <s v="199226G-01L"/>
        <s v="199229F-01L"/>
        <s v="199232E-01L"/>
        <s v="199365F-01L"/>
        <s v="199365F-03L"/>
        <s v="199392B-01L"/>
        <s v="199392B-02L"/>
        <s v="199436C-01L"/>
        <s v="199438C-11"/>
        <s v="199485F-03L"/>
        <s v="199485G-01L"/>
        <s v="199503C-01L"/>
        <s v="199517D-01L"/>
        <s v="199520D-01L"/>
        <s v="199523F-01L"/>
        <s v="199523G-01L"/>
        <s v="199526D-01L"/>
        <s v="199529C-01L"/>
        <s v="199536C-01L"/>
        <s v="199541E-01L"/>
        <s v="199541E-02L"/>
        <s v="199541E-03L"/>
        <s v="199541F-03L"/>
        <s v="199548A-02L"/>
        <s v="199548A-03L"/>
        <s v="199572B-02L"/>
        <s v="199622C-01L"/>
        <s v="199646C-01L"/>
        <s v="199649F-01L"/>
        <s v="199652B-01L"/>
        <s v="199652B-02L"/>
        <s v="199652C-01L"/>
        <s v="199652C-02L"/>
        <s v="199653B-01L"/>
        <s v="199785E-01L"/>
        <s v="199861H-01L"/>
        <s v="199861J-01L"/>
        <s v="199991C-02L"/>
        <s v="199994C-01L"/>
        <s v="M9005A-002"/>
      </sharedItems>
    </cacheField>
    <cacheField name="GPN" numFmtId="0">
      <sharedItems/>
    </cacheField>
    <cacheField name="Description" numFmtId="0">
      <sharedItems count="630">
        <s v="ASSY, REPLACEMENT FANS, PXIE-1092"/>
        <s v="ASSY, STS, T4M2, CORNER 3"/>
        <s v="CCA,VARIABLE DELAY GENERATOR,4GHZ,COARSE TUNE,VRTS"/>
        <s v="CCA,VARIABLE DELAY GENERATOR,4GHZ,FINE TUNE,VRTS"/>
        <s v="CCA,IF,CARMEL"/>
        <s v="ASSY, STS, SMA TO ADAPTOR KIT, T1M2, T2M2"/>
        <s v="ASSY, STS, SMA TO ADAPTOR KIT, T4M2"/>
        <s v="MODULE ASSEMBLY, MMRH-5582, 0 SWITCH"/>
        <s v="MODULE ASSEMBLY, MMRH-5582, 1 SWITCH"/>
        <s v="MODULE ASSEMBLY, MMRH-5582, 2 SWITCHES"/>
        <s v="PXIE-5830 VST - 5 - 12 GHZ"/>
        <s v="CCA,VDG,4GHZ,RX OPTICAL TO RF POSTAGE STAMP"/>
        <s v="CCA,VDG,4GHZ,TX RF TO OPTICAL POSTAGE STAMP"/>
        <s v="CCA,STS, T1M2 POWER DISTRIBUTION AND IO_CTRL BOARD"/>
        <s v="CCA,STS T1M2 SOM CARRIER BOARD"/>
        <s v="CCA,CALIBRATION LOAD BOARD P143 ID EEPROM, STS"/>
        <s v="SUBASSY, BASEMENT, M2T4, 5G BARCELONA"/>
        <s v="SUBASSY, BUCKET, M2T4, 5G BARCELONA"/>
        <s v="ASSY, STS, T1M2, ELECTRICAL BOX"/>
        <s v="MODULE ASSY, STS T1M2 SOM SET"/>
        <s v="ASSY, STS, T4M2, DX, DIRECT DOCK FOR MMWAVE, TEST HEAD"/>
        <s v="ASSEMBLY,GANGED ADAPTER,SMPM TO 2.4, MINI-DIB, MMRH-5582"/>
        <s v="MODULE ASSY, SWITCH, SP8T, 23-45GHZ, MMSW-2795 WITH MINIDIB - MMRH-5582"/>
        <s v="ASSY, STS SYSTEM, NI STS T4M2 DX FOR SPIL BS LNA"/>
        <s v="ASSY, STS SYSTEM, NI SINGLE SITE T4M2 BASE MMWAVE"/>
        <s v="ASSY, STS SYSTEM,NI DUAL SITE T4M2 BASE MMWAVE"/>
        <s v="ASSY, STS SYSTEM, NI STS T4M2 DX FOR NI 5G MMW FT"/>
        <s v="ASSY, STS SYSTEM, NI STS T2M2 DX FOR ADI RF2-T2"/>
        <s v="AC-DC POWER SUPPLY, PXIE CHASSIS, 1200W, 1U, REMOVABLE,NI HI-POT TESTED"/>
        <s v="ASSY, STS SYSTEM, NI STS T4M2 DX FEM_QUAL_RF"/>
        <s v="ASSY, STS SYSTEM, NI STS T4M2 DX FOR ADI TPG 2.0"/>
        <s v="MODULE ASSY,CDA-2990,8 CHANNEL CLOCK DISTRIBUTION SYSTEM"/>
        <s v="MODULE ASSY,CDA-2990,8 CHANNEL CLOCK DISTRIBUTION SYSTEM WITH INTEGRATED GPSDO"/>
        <s v="CCA, BACKPLANE, PXIE-1088 VCXO"/>
        <s v="MODULE ASSEMBLY,PORT MODULE,NI 5533, DRA"/>
        <s v="CCA, POWER SWITCH/LED DRIVER BOARD, PXIE-1084"/>
        <s v="CCA, PXIE-8267 M.2 STORAGE CARD"/>
        <s v="MODULE ASSEMBLY,USRP E312"/>
        <s v="CCA,SLSC BACKPLANE"/>
        <s v="CCA,PXIE-8301"/>
        <s v="CCA,PXIE-1084/1092 10 MHZ OCXO BOARD"/>
        <s v="CCA,SLSC BATTERY/LED"/>
        <s v="CCA,VST 2.0 POWER MEZZANINE"/>
        <s v="MODULE ASSEMBLY,USRP N310"/>
        <s v="MODULE ASSEMBLY,USRP N300 WITHOUT TPM"/>
        <s v="MODULE ASSEMBLY,USRP N310 WITHOUT TPM"/>
        <s v="CCA,PXIE-8399 DAUGHTER CARD"/>
        <s v="SHIELD ASSY, COVER, RF, PXIE-5840 WILLY 1.1"/>
        <s v="SHIELD ASSY, SPACER, BASEBAND/RF, PXIE-5841"/>
        <s v="CCA,VST 2.0 NANO PITCH DIO TEST FIXTURE-CUSTOMER BOARD."/>
        <s v="CCA,USRP N310,DAUGHTERBOARD,AD9371,JESD204B"/>
        <s v="CCA,STS DIGITAL TIMING MULTIPLEXING CALIBRATION LOAD BOARD (28 POGO BLOCKS)"/>
        <s v="CCA,STS DIGITAL TIMING MULTIPLEXING CALIBRATION LOAD BOARD (28 POGO BLOCKS),ESD PROTECTED"/>
        <s v="MODULE ASSEMBLY,USRP E313,IP67 ENCLOSURE"/>
        <s v="MODULE ASSEMBLY,SYDNEY,BB,SISO,RX/TX"/>
        <s v="MODULE ASSEMBLY,SYDNEY,BB+IF,SISO,RX/TX"/>
        <s v="MODULE ASSEMBLY,SYDNEY,BB+IF,MIMO,RX/RX"/>
        <s v="MODULE ASSEMBLY,SYDNEY,BB+IF,MIMO,TX/TX"/>
        <s v="MODULE ASSEMBLY,SYDNEY,BB+IF,MIMO,DUAL RX/TX"/>
        <s v="NI HSDIO TIMING VERIFY CALIBRATION LOAD BOARD"/>
        <s v="MODULE, TIMING CALIBRATION, STS-DIO-01, 28 BLOCKS"/>
        <s v="CHASSIS ASSEMBLY, SLSC-12001"/>
        <s v="CHASSIS ASSEMBLY, PXIE-1088"/>
        <s v="TEKTRONIX RSA7100A REAL-TIME SIGNAL ANALYZER"/>
        <s v="OEM 26.5 GHZ VECTOR SIGNAL ANALYZER WITH 320 / 765 MHZ BANDWIDTH - FACTORY/ACCREDITED CAL"/>
        <s v="TEKTRONIX RSA7100A REAL-TIME SIGNAL ANALYZER WITH GPS"/>
        <s v="OEM 26.5 GHZ VECTOR SIGNAL ANALYZER WITH 320 / 765 MHZ BANDWIDTH, GPS - FACTORY/ACCREDITED CAL"/>
        <s v="CCA,ATLAS POWER AND CONTROL BOARD"/>
        <s v="CCA,ATLAS INTERFACE BOARD"/>
        <s v="CCA,PXIE-8861,SKYLAKE H,CPU CARD"/>
        <s v="CCA,PXIE-8861, SKYLAKE H, IO CARD M.2 VARIANT,WITHOUT TPM"/>
        <s v="CCA,PXIE-8861, SKYLAKE H, IO CARD M.2 VARIANT"/>
        <s v="CCA,PXIE-8861, SKYLAKE H, IO CARD, REMOVABLE DRIVE VARIANT"/>
        <s v="MODULE ASSY,NI PXIE-8821 CORE I3-4110E 2.6GHZ CONTROLLER,DUAL CORE,LOCALIZED OS"/>
        <s v="MODULE ASSY,NI PXIE-8821 CORE I3-4110E 2.6GHZ CONTROLLER,DUAL CORE,WIN 7 (64-BIT)"/>
        <s v="MODULE ASSY,NI PXIE-8821 CORE I3-4110E 2.6GHZ CONTROLLER,DUAL CORE,WIN IOT"/>
        <s v="MODULE ASSY,NI PXIE-8821 CORE I3-4110E 2.6GHZ CONTROLLER,DUAL CORE,WIN IOT, SIMPLIFIED CHINESE"/>
        <s v="ASSY, NI STS-5534 RF HIGH POWER ASSEMBLY, 700M-6GHZ, DUAL DRA, 2RX/2TX"/>
        <s v="CCA,NI PXIE-8238/8240 OCP CARRIER"/>
        <s v="MODULE ASSY, NI PXIE-8238 10 GIGABIT ETHERNET"/>
        <s v="MODULE ASSY, NI PXIE-8240 40 GIGABIT ETHERNET"/>
        <s v="MODULE ASSEMBLY, VB-8054"/>
        <s v="MODULE ASSEMBLY,SYDNEY,MIMO CODING OPTION"/>
        <s v="MOD ASSY, PXIE-5644R"/>
        <s v="MODULE ASSEMBLY, NI PXIE-5644R"/>
        <s v="MOD ASSY, PXIE-5645R"/>
        <s v="MOD ASSY, PXIE-5646R"/>
        <s v="CCA, PXIE-8821"/>
        <s v="CCA,FREQ. SYNTH,RF MODULE,10 GHZ,FSL-0010,PMI PN 2020732-04"/>
        <s v="CCA,FREQ. SYNTH,CPU MODULE,FSL,PMI PN 2020734-03"/>
        <s v="CCA,BEE7-S"/>
        <s v="FRONT PANEL ASSEMBLY, TEKTRONIX PXIE-1085 CHASSIS, NO GPS"/>
        <s v="FRONT PANEL ASSEMBLY, TEKTRONIX PXIE-1085 CHASSIS, GPS ANTENNA"/>
        <s v="CCA,MINI_SAS_HD_FMC"/>
        <s v="ENCLOSURE ASSY, USRP B200MINI"/>
        <s v="ENCLOSURE ASSY, USRP B200MINI I-GRADE"/>
        <s v="ENCLOSURE ASSY, USRP B205MINI I-GRADE"/>
        <s v="MODULE ASSEMBLY,ATCA-3671"/>
        <s v="CCA,LYNX IF MMWAVE BIAS BOARD"/>
        <s v="CCA,CARMEL IF MMWAVE BIAS BOARD"/>
        <s v="CCA,LYNX VDG DIGITAL BOARD"/>
        <s v="CCA,PXIE-3622 IF BOARD"/>
        <s v="CCA,PXIE-3622 IF BOARD (NON-EXPORT)"/>
        <s v="CCA, PXIE-3622 MODEM BOARD"/>
        <s v="CCA,PXIE-3622 LO1 BOARD"/>
        <s v="MODULE ASSEMBLY,AIO-3691"/>
        <s v="CCA,JOHNNY CASH REV C"/>
        <s v="CCA,JOHNNY CASH NON-WIFI REV C"/>
        <s v="ASSEMBLY,ATCA-3671 PREPOPULATED (ATCA-3671,2U CHASSIS,POWER SUPPLY,4X AIO-3691,RTM-3661)"/>
        <s v="CCA,VARIABLE DELAY GENERATOR,1M TO 9M,LYNX"/>
        <s v="CCA,VARIABLE DELAY GENERATOR,0.1M TO 0.9M,LYNX"/>
        <s v="CCA,POE/EXTERNAL SUPPLY FOR USRP E313"/>
        <s v="CHASSIS ASSEMBLY, PXIE-1092"/>
        <s v="CHASSIS ASSEMBLY, PXIE-1092, TIMING AND SYNC"/>
        <s v="CCA,KRYPTON BASEBAND BOARD"/>
        <s v="CCA, STS, T1M2 POWER DISTRIBUTION AND IO_CTRL BOARD"/>
        <s v="CCA,STS T1M2 SOM DAUGHTER BOARD"/>
        <s v="CCA,STS T1 G2 PRIMARY RCB600 BOARD"/>
        <s v="STS T1M2 T2M2 T4M2 TEMPERATURE SENSOR BOARD ADDRESS 48H"/>
        <s v="CCA,FREQUENCY EXTENSION FILTERS,ALC,FSW-0020-FS07,PMI PN 2020760-03"/>
        <s v="CCA,FREQUENCY EXTENSION FILTERS,ALC,FSW-0020-FS11,PMI PN 2020760-04"/>
        <s v="CCA,ALC AM LOGGER LINEARIZER,FSW,PMI PN 2020766-04"/>
        <s v="CCA,KRYPTON MOTHERBOARD"/>
        <s v="CCA,FREQ. SYNTH,RF MODULE,20 GHZ,FSL,PMI PN 2020772-04"/>
        <s v="MODULE ASSEMBLY, PXIE-3622, IF/LO MODULE"/>
        <s v="MODULE ASSEMBLY, PXIE-3622, IF/LO MODULE (NON-EXPORT)"/>
        <s v="MODULE ASSEMBLY, PXIE-3622, IF/LO MODULE (NON-EXPORT), STS"/>
        <s v="ASSY, STS, T1M2, REAR PANEL"/>
        <s v="ASSY, STS, T1M2, DX, TEST HEAD"/>
        <s v="ASSEMBLY CORNER 1 BRACKET, T1M2"/>
        <s v="ASSEMBLY CORNER 2 BRACKET, T1M2"/>
        <s v="ASSEMBLY CORNER 3 BRACKET, T1M2"/>
        <s v="ASSEMBLY CORNER 4 BRACKET, T1M2"/>
        <s v="CCA, ELVIS III, PROTOTYPING BOARD"/>
        <s v="CCA, USRP N320 DAUGHTERBOARD, 200/400 MHZ BW (1MHZ-6GHZ)"/>
        <s v="CCA,FREQ. SYNTH,RF MODULE,20 GHZ,FSL,PMI PN 2020772-05L"/>
        <s v="ASSY,STS,T4,TEST HEAD,MODIFIED"/>
        <s v="ASSY, STS, T4, DX, TEST HEAD, SINGLE TESTER, MODIFIED TOP PLATE"/>
        <s v="MODULE ASSY, USRP 2974 HIGH PERFORMANCE EMBEDDED SDR, 10 MHZ-6 GHZ, 160 MHZ BW, 2X2, QUAD-CORE I7"/>
        <s v="CCA,N321 LO DISTRIBUTION BOARD"/>
        <s v="MODULE ASSEMBLY,USRP B200MINI,1X1,70MHZ-6GHZ"/>
        <s v="MODULE ASSEMBLY,USRP B200MINI,I-GRADE,1X1,70MHZ-6GHZ"/>
        <s v="MODULE ASSEMBLY,USRP B205MINI,I-GRADE,1X1,70MHZ-6GHZ"/>
        <s v="CCA,USRP X410,BASECARD"/>
        <s v="CCA,AQUILA LO"/>
        <s v="CCA,AQUILA POWER AND REF"/>
        <s v="CCA,TDD COMMS OPTIMIZED UBX USRP DAUGHTERBOARD,160MHZ BW (10MHZ-6GHZ)"/>
        <s v="ASSY, STS, T1M2, CX, TEST HEAD"/>
        <s v="MODULE ASSEMBLY,PXIE-8267 M.2 STORAGE CARD, 4 X 1TB"/>
        <s v="CCA,QSFP+ EXTENSION BOARD"/>
        <s v="ASSY, STS, T1M2, SECONDARY CBBD RCB PS KIT"/>
        <s v="ASSY, STS, T1M2, SECONDARY BBBB RCB PS KIT"/>
        <s v="ASSY, STS, T1M2, SECONDARY BBDD RCB PS KIT"/>
        <s v="ASSY, STS, T1M2, SECONDARY DDDD RCB PS KIT"/>
        <s v="ASSY, STS, T1M2, SECONDARY DBCC RCB PS KIT"/>
        <s v="ASSY, STS, T2M2 / T4M2, SECONDARY CBBD RCB PS KIT"/>
        <s v="ASSY, STS, T2M2 / T4M2, SECONDARY BBBB RCB PS KIT"/>
        <s v="ASSY, STS, T2M2 / T4M2, SECONDARY BBDD RCB PS KIT"/>
        <s v="ASSY, STS, T2M2 / T4M2, SECONDARY DDDD RCB PS KIT"/>
        <s v="ASSY, STS, T2M2 / T4M2, SECONDARY DBCC RCB PS KIT"/>
        <s v="ASSY, STS, T2M2/T4M2, 3RD BBBB RCB PS KIT"/>
        <s v="ASSEMBLY,ATCA-3671 PREPOPULATED (ATCA-3671,2U CHASSIS,POWER SUPPLY,RTM-3662)"/>
        <s v="ASSY, STS, T1M2, SERIAL PORT KIT"/>
        <s v="CCA,USRP E320,ZYNQ,2X2 MIMO,70MHZ-6GHZ"/>
        <s v="CCA,USRP E320 WITHOUT TPM,ZYNQ,2X2 MIMO,70MHZ-6GHZ"/>
        <s v="CCA,VDG 10M TO 90M, LYNX"/>
        <s v="CCA,IF,LYNX"/>
        <s v="CCA,STS T2M2 SOM CARRIER BOARD"/>
        <s v="CCA,STS T4M2 IO BOARD"/>
        <s v="ASSY, STS SYSTEM, NI STS T1M2 DX FOR ADI LIN2"/>
        <s v="MODULE ASSEMBLY,USRP N320"/>
        <s v="MODULE ASSEMBLY,USRP N320 WITHOUT TPM"/>
        <s v="MODULE ASSEMBLY,USRP N321"/>
        <s v="MODULE ASSEMBLY,USRP N321 WITHOUT TPM"/>
        <s v="CCA,STS T2M2 T4M2 PRIMARY RCB600 BOARD"/>
        <s v="CCA,STS T2M2 T4M2 SECONDARY RCB600 BOARD"/>
        <s v="ASSY, REPLACEMENT FANS, PXIE-1095"/>
        <s v="CCA,STS T2M2 T4M2 AC DC POWER SUPPLY BOARD (60W SOM CARRIER)"/>
        <s v="CCA,STS T2M2 T4M2 AC DC POWER SUPPLY BOARD (80W FAN POWER)"/>
        <s v="ASSY, STS, T2M2, GENERIC, TEST HEAD"/>
        <s v="RF SUBASSY,KRYPTON"/>
        <s v="CCA,STS T2M2 POWER DISTRIBUTION BOARD"/>
        <s v="MODULE ASSY, ELVIS III, US/CANADA"/>
        <s v="MODULE ASSY, ELVIS III, KOREA"/>
        <s v="MODULE ASSY, ELVIS III, INTERNATIONAL"/>
        <s v="MODULE ASSY, ELVIS III, EUROPE"/>
        <s v="MODULE ASSY, ELVIS III, NON-WIFI"/>
        <s v="MODULE ASSY, ELVIS III, MALAYSIA"/>
        <s v="MODULE ASSY,STS T2M2 SOM SET"/>
        <s v="ASSEMBLY, MICROCIRCUIT, NI 2795"/>
        <s v="ASSY, STS, T2M2, PRIMARY RCB PS KIT"/>
        <s v="ASSY, STS, T2M2, DX, TEST HEAD"/>
        <s v="ASSY, STS, T2M2, CX, TEST HEAD"/>
        <s v="ASSY, STS, T2M2 / T4M2, USB-4065 KIT"/>
        <s v="ASSY, STS, T2M2, USB HUB KIT"/>
        <s v="ASSY, STS, T4M2, USB HUB KIT"/>
        <s v="ASSY, STS, T1M2, USB HUB KIT"/>
        <s v="MODULE ASSY, SWITCH, SP8T, 23-45GHZ, MMSW-2795"/>
        <s v="MODULE ASSY, SWITCH, SP8T, 23-45GHZ, MMSW-2795-STS"/>
        <s v="ASSY, STS, T2M2 / T4M2, CORNER 1"/>
        <s v="ASSY, STS, T2M2, CORNER 2"/>
        <s v="ASSY, STS, T2M2, CORNER 3"/>
        <s v="ASSY, STS, T2M2, CORNER 4"/>
        <s v="ASSY, STS, T2M2, FAN PANEL"/>
        <s v="CCA,STS T4M2 SOM CARRIER BOARD"/>
        <s v="CCA,STS T4M2 POWER DISTRIBUTION BOARD"/>
        <s v="CCA, CBA2.1, BASEBAND"/>
        <s v="MODULE ASSEMBLY, PXIE-5841, 6 GHZ VST, 1 GHZ BW"/>
        <s v="CCA,STS T4M2 POWER DISTRIBUTION DAUGHTER BOARD"/>
        <s v="CCA,ATLAS 2.0 POWER AND CONTROL BOARD"/>
        <s v="CCA,ATLAS 2.0 ACCESSORY"/>
        <s v="PXIE-5831 MMWAVE VST - IF"/>
        <s v="PXIE-5831 MMWAVE VST - ONE HEAD (NO SWITCH)"/>
        <s v="PXIE-5831 MMWAVE VST - TWO HEADS (NO SWITCH, NO SWITCH)"/>
        <s v="PXIE-5831 MMWAVE VST - TWO HEADS (NO SWITCH, TWO SWITCHES)"/>
        <s v="PXIE-5831 MMWAVE VST - TWO HEADS (ONE SWITCH, ONE SWITCH)"/>
        <s v="MMWAVE VST - IF (STS)"/>
        <s v="MODULE ASSEMBLY,USRP E320  (FULL ENCLOSURE)"/>
        <s v="MODULE ASSEMBLY,USRP E320 WITHOUT TPM (FULL ENCLOSURE)"/>
        <s v="CCA,COONAWARRA, HIGH POWER MMWAVE BIAS BOARD"/>
        <s v="CCA,STS T4M2 PHASE SELECTOR BOARD A"/>
        <s v="CCA,STS T4M2 PHASE SELECTOR BOARD B"/>
        <s v="CCA,STS T4M2 PHASE SELECTOR BOARD C"/>
        <s v="MODULE ASSY,STS-5530,RF CALIBRATION MODULE,48 PORT,WIDE DYNAMIC RANGE"/>
        <s v="MODULE ASSY,STS-5530,RF CALIBRATION MODULE,12 PORT, WIDE DYNAMIC RANGE"/>
        <s v="MODULE ASSEMBLY, PXIE-5655"/>
        <s v="ASSY, STS, T4M2, GENERIC, TEST HEAD"/>
        <s v="ASSY, STS, T4M2, DX, TEST HEAD"/>
        <s v="ASSY, STS, T4M2, CORNER 2"/>
        <s v="ASSY, STS, T4M2, POWER DISTRIBUTION DAUGHTER BOX"/>
        <s v="CCA, NI AUTOMATED MEASUREMENTS BOARD"/>
        <s v="ASSY, STS, T4M2, CORNER 4"/>
        <s v="MODULE ASSY,STS T4M2 SOM SET"/>
        <s v="ASSY, STS, T4M2, FAN PANEL"/>
        <s v="CCA,5-21 GHZ DIFFERENTIAL POWER DIVIDER, BEND RIGHT"/>
        <s v="CCA,5-21 GHZ DIFFERENTIAL POWER DIVIDER, BEND LEFT"/>
        <s v="ASSEMBLY PLATE POWER, CORNER 4"/>
        <s v="ASSEMBLY PLATE POWER, CORNER 2"/>
        <s v="CCA, NI PXIE-8100,SINGLE CORE  INTEL ATOM D410 1.66GHZ,RT"/>
        <s v="CCA,PXIE-8820"/>
        <s v="CCA,PXIE-8115 DAUGHTER BOARD"/>
        <s v="CCA, PXIE-8115, USB RISER"/>
        <s v="CCA,DC/DC POWER SUPPLY 8-SLOT(SECONDARY)"/>
        <s v="SHIELD ASSY, FIP GASKET, TOPAZ, FEM, BOTTOM, SHORT"/>
        <s v="CCA,CMC,PXIE-1085"/>
        <s v="SHIELD ASSY, TOPAZ, FEM, BOTTOM, LONG"/>
        <s v="CCA,CMC,PXIE-1066"/>
        <s v="CCA,TRIDENT AND NAUTILUS CELLULAR RX"/>
        <s v="CCA,POWER SWITCH/LED DRIVER BOARD, PXIE-1066DC"/>
        <s v="CCA,TRIDENT CELLULAR TX"/>
        <s v="CCA,STINGRAY CELLULAR TX"/>
        <s v="CCA,PXIE-8135,CPU CARD,NO EXPRESSCARD VARIANT"/>
        <s v="CCA,PXIE-1085 SWITCH MODULE 1, GEN 2"/>
        <s v="CCA,DRAWER I/O, PXIE-1066DC"/>
        <s v="MODULE ASSY,NI PXIE-8115,INTEL CORE I5 2.5GHZ CONTROLLER, LOCALIZED OS"/>
        <s v="CHASSIS ASSEMBLY, PXIE-1082DC"/>
        <s v="CCA,PXIE-1085 SWITCH MODULE 2, GEN 2"/>
        <s v="CCA,FAN LED BOARD,PXIE-1085"/>
        <s v="CCA,POWER SWITCH/LED DRIVER BOARD, PXIE-1085"/>
        <s v="CCA,RF-RIO AUX POWER BOARD"/>
        <s v="CCA,RF-RIO BASEBAND ANALOG INTERCONNECTOR BOARD"/>
        <s v="CHASSIS ASSEMBLY, PXIE-1066DC"/>
        <s v="CCA,RF-RIO BASEBAND DIGITAL INTERCONNTECTOR BOARD"/>
        <s v="NI 5791 4.4 GHZ RF TRANSCEIVER, 100 MHZ BW ADAPTER MODULE FOR NI FLEXRIO"/>
        <s v="CORE ASSY, FAM NI 5791"/>
        <s v="BOTTOM SHIELD ASSY, FIP GASKET, RX CCA, PXIE-564XR"/>
        <s v="CCA, PXIE-8381"/>
        <s v="CCA,PXIE-8384"/>
        <s v="CCA,PXIE-5606,POWER BOARD"/>
        <s v="CCA,USRP N210  MOTHERBOARD"/>
        <s v="CCA,USRP N200 MOTHERBOARD"/>
        <s v="CCA,PXI-8820"/>
        <s v="CCA,NOT TESTED,WBX,50 MHZ - 2.2GHZ TRANSCEIVER"/>
        <s v="CCA,NOT TESTED,WBX,120MHZ BW,50MHZ - 2.2GHZ TRANSCEIVER"/>
        <s v="CCA,WBX,50 MHZ - 2.2GHZ TRANSCEIVER"/>
        <s v="CCA,WBX,120MHZ BW,50MHZ - 2.2GHZ TRANSCEIVER"/>
        <s v="CCA,WBX FE CARD"/>
        <s v="CHASSIS ASSEMBLY, PXIE-1085"/>
        <s v="CCA,NOT TESTED,SBX,400MHZ - 4.4GHZ TRANSCEIVER"/>
        <s v="CCA,NOT TESTED,SBX,120MHZ BW,400MHZ - 4.4GHZ TRANSCEIVER"/>
        <s v="CCA,SBX,400MHZ - 4.4GHZ TRANSCEIVER"/>
        <s v="CCA,SBX,120MHZ BW,400MHZ - 4.4GHZ TRANSCEIVER"/>
        <s v="ASSEMBLY, POWER SUPPLY SHUTTLE, PXIE-1082DC"/>
        <s v="CCA,PXIE-8830MC BATTERY BOARD"/>
        <s v="CCA,NI PXIE-8840 QUAD-CORE"/>
        <s v="CCA,PXIE-8840,CORE I5-4400E 2.7GHZ CONTROLLER,NO ECARD"/>
        <s v="CCA,SIRIUS SIGNAL GENERATOR CPU  DISTRIBUTION BOARD 1"/>
        <s v="CCA,SIRIUS SIGNAL GENERATOR CPU &amp; DISTRIBUTION BOARD 1"/>
        <s v="CCA,SIRIUS SIGNAL GENERATOR RF BOARD 1"/>
        <s v="CCA,SIRIUS SIGNAL GENERATOR DISTRIBUTION BOARD 2"/>
        <s v="CCA,SIRIUS SIGNAL GENERATOR RF BOARD 2"/>
        <s v="MODULE ASSEMBLY,NI USRP-2922,400MHZ - 4.4GHZ"/>
        <s v="MODULE ASSEMBLY,NI USRP-2921,2.4 - 2.5 GHZ AND 4.9 - 5.9 GHZ"/>
        <s v="MODULE ASSEMBLY,USRP N210"/>
        <s v="MODULE ASSEMBLY,USRP N200"/>
        <s v="MODULE ASSEMBLY,NI USRP-2932,400MHZ-4.4GHZ,GPSDO"/>
        <s v="MODULE ASSEMBLY,NI USRP-2920,50 MHZ - 2.2 GHZ"/>
        <s v="MODULE ASSEMBLY,NI USRP-2930,50MHZ-2.2GHZ,GPSDO"/>
        <s v="CCA,PXIE-1085 GEN 3, SWITCH MODULE 1"/>
        <s v="CCA, PXIE-1085 GEN 3, SWITCH MODULE 2"/>
        <s v="CCA,NI VB-8012 HIGH SPEED BOARD"/>
        <s v="CCA,PXIE-8880,CPU BOARD"/>
        <s v="CCA,PXIE-8880,IO BOARD"/>
        <s v="CCA,PXIE-8880,IO BOARD, W/O TRUSTED PLATFORM MODULE"/>
        <s v="MODULE ASSY,NI PXI-8119,INTEL CORE I7 2.3GHZ CONTROLLER, WINDOWS 7,(32-BIT)"/>
        <s v="CCA,SIRIUS AMPLITUDE EXTENDER MODULE DISTRIBUTION BOARD"/>
        <s v="SPACER ASSY, PXIE-5606"/>
        <s v="CORE ASSY, IF-1/IF-2, PXIE-5606"/>
        <s v="CORE ASSY, IF-2, PXIE-5606"/>
        <s v="SHIELD ASSY, RF CORE, PXIE-5606"/>
        <s v="COVER ASSY, RF, PXIE-5606"/>
        <s v="CCA,VB-8012 HIGH VOLTAGE BOARD"/>
        <s v="CCA,NI MYRIO-1900"/>
        <s v="MODULE ASSEMBLY, VB-8012"/>
        <s v="CCA,USRP E312,SG3 ZYNQ,2X2 MIMO,100MHZ-6GHZ,MOTHERBOARD"/>
        <s v="CCA,USRP E310,SG3 ZYNQ,2X2 MIMO,100MHZ-6GHZ,MOTHERBOARD"/>
        <s v="SHIELD ASSY, TOP, SP4T BYPASS SWITCH, NI 5531"/>
        <s v="SHIELD ASSY, BOTTOM, SP4T BYPASS SWITCH, NI 5531"/>
        <s v="SHIELD, ANALOG SECTION, PXIE-5624R, EMERALD BAY"/>
        <s v="CHASSIS ASSEMBLY, PXIE-1065, BAE"/>
        <s v="CCA,PXIE-8880 XEON POWER MEZZANINE"/>
        <s v="CCA,MEDUSA PORT MODULE MOTHERBOARD"/>
        <s v="CCA,USRP X300,K7,2X2 MIMO,PCIE,10GIGE,MOTHERBOARD"/>
        <s v="CCA,USRP X310,K7,2X2 MIMO,PCIE,10GIGE,MOTHERBOARD"/>
        <s v="CCA,PXIE-8840 DAUGHTER BOARD WITHOUT EXPRESS CARD"/>
        <s v="SHIELD ASSY, FIP GASKET, BOTTOM, DUAL BRIDGE, NI 5531"/>
        <s v="COVER SHIELD ASSY, FIP GASKET, DUAL BRIDGE, NI 5531"/>
        <s v="CCA,E310 DAUGHTERBOARD,70 MHZ - 6 GHZ,2X2 MIMO"/>
        <s v="MODULE ASSY,NI PXI-8820,INTEL CELERON 1020E 2.2GHZ CONTROLLER, WINDOWS 7,(32-BIT)"/>
        <s v="MODULE ASSY,NI PXI-8820,INTEL CELERON 1020E 2.2GHZ CONTROLLER, LOCALIZED OS"/>
        <s v="MODULE ASSY,NI PXIE-8820,INTEL CELERON 1020E 2.2GHZ CONTROLLER, LOCALIZED OS"/>
        <s v="MODULE ASSY,NI PXIE-8820,INTEL CELERON 1020E 2.2GHZ CONTROLLER, WINDOWS 7,(32BIT)"/>
        <s v="CCA,CBA 2.0 BASEBAND-WILLY/RENAULT,28NM"/>
        <s v="CCA,MEDUSA FIGS DIGITAL BOARD"/>
        <s v="CCA,MEDUSA FIGS RF BOARD"/>
        <s v="MODULE ASSY, NI 5530 RF MULTIPORT CALIBRATION MODULE"/>
        <s v="MODULE ASSY, NI 5530 RF MULTIPORT CALIBRATION MODULE, 12 PORT"/>
        <s v="MODULE ASSY,NI PXIE-8840,CORE I5-4400E 2.7GHZ CONTROLLER,LOCALIZED OS"/>
        <s v="MODULE ASSY,NI PXIE-8840,CORE I5-4400E 2.7GHZ CONTROLLER,NO ECARD,LOCALIZED OS"/>
        <s v="MODULE ASSY,NI PXIE-8840,CORE I5-4400E 2.7GHZ CONTROLLER,NO ECARD,WIN 7 (64-BIT)"/>
        <s v="MODULE ASSY,NI PXIE-8840,CORE I5-4400E 2.7GHZ CONTROLLER,NO ECARD,WIN IOT"/>
        <s v="MODULE ASSY,NI PXIE-8840,CORE I5-4400E 2.7GHZ CONTROLLER,NO ECARD,WIN IOT, SIMPLIFIED CHINESE"/>
        <s v="CCA,NI MYRIO-1900 PROTOBOARD KIT MXP"/>
        <s v="CCA,NI ROBORIO"/>
        <s v="CCA,NI 5542 RF,NON-CASCADING"/>
        <s v="CCA,NI 5542 CONTROLLER,MASTER"/>
        <s v="CCA,NI 5549 DC POWER ACCESSORY"/>
        <s v="CCA,PXIE-8135 E6460,CPU CARD,NO EXPRESSCARD"/>
        <s v="CCA,NI MYRIO-1950"/>
        <s v="CCA,NI 5542 VHDCI ADAPTER"/>
        <s v="MODULE ASSEMBLY,NI 5542,8 PORT,MIMO"/>
        <s v="CHASSIS ASSEMBLY, PXIE-1085 GEN 3"/>
        <s v="CHASSIS ASSEMBLY, PXIE-1085 GEN 3, TEKTRONIX OEM"/>
        <s v="ASSEMBLY, DC\DC POWER SUPPLY (BRICK LEVEL), PXIE-1082"/>
        <s v="CCA,TVRX2 DAUGHTERBOARD"/>
        <s v="MIDDLE SHIELD ASSY, PXI-2544"/>
        <s v="SHIELD ASSY, FIP GASKET, SIDE, DC2, PXI-2544"/>
        <s v="CCA, MEDUSA QUADRANT CALIBRATION BOARD"/>
        <s v="CCA,MEDUSA POWER DISTRIBUTION BOARD"/>
        <s v="SHIELD ASSY, FIGS CORE, NI 5530"/>
        <s v="SHIELD ASSY, FIGS RF BOARD, NI 5530"/>
        <s v="CCA,NOT TESTED CBX USRP DAUGHTERBOARD (1.2 -6GHZ)"/>
        <s v="CCA,NOT TESTED,CBX,120MHZ BW,USRP DAUGHTERBOARD (1.2 - 6GHZ)"/>
        <s v="CCA,CBX USRP DAUGHTERBOARD (1.2 -6GHZ)"/>
        <s v="CCA,SIRIUS AMPLITUDE EXTENDER MODULE SWITCHED AMPLIFIER BOARD"/>
        <s v="CCA,LO,DCELP,PMI PN 2020644-02"/>
        <s v="CCA,DIST MODULE,PMI PN 2020663-01"/>
        <s v="CCA,CPU CTRL MODULE,PMI PN 2020652-02"/>
        <s v="CCA,VBASE 20,RF MODULE,PMI PN 2020690-02"/>
        <s v="CCA,USRP B210 SDR 2X2 (70 MHZ - 6GHZ) MOTHERBOARD"/>
        <s v="MODULE ASSEMBLY,NI USRP-2901,2 CHANNEL,70 MHZ - 6 GHZ"/>
        <s v="MODULE ASSEMBLY,NI USRP-2900,1 CHANNEL,70 MHZ - 6 GHZ"/>
        <s v="CCA,USRP B200 SDR 1X1 (70 MHZ - 6GHZ) MOTHERBOARD"/>
        <s v="MODULE ASSY,PXIE-8830MC,2.3GHZ INTEL CORE I7-4700EQ,LOCALIZED OS"/>
        <s v="CCA,TWINRX USRP RF BOARD (10 MHZ-6 GHZ,2X RX,80 MHZ BW)"/>
        <s v="MODULE ASSEMBLY, PRE-AMPLIFIER, 26.5 GHZ, PXIE-5698"/>
        <s v="MODULE ASSEMBLY,USRP E310"/>
        <s v="CCA ,VST 2.0 WILLY RF CARD"/>
        <s v="CCA,BASICTX DAUGHTERBOARD 1-250 MHZ TX"/>
        <s v="CCA,BASICRX DAUGHTERBOARD 1-250 MHZ RX"/>
        <s v="CCA,MEDUSA CALIBRATION POWER INTERFACE BOARD"/>
        <s v="MODULE ASSEMBLY,NI USRP-2940R,50 MHZ TO 2.2 GHZ"/>
        <s v="MODULE ASSEMBLY, NI USRP-2950R,50 MHZ TO 2.2  GHZ + GPS CLOCK"/>
        <s v="MODULE ASSEMBLY,NI USRP-2940R, 50 MHZ TO 2.2 GHZ (120 MHZ BW)"/>
        <s v="MODULE ASSEMBLY,NI USRP-2942R, 400 MHZ TO 4.4 GHZ (120 MHZ BW)"/>
        <s v="MODULE ASSEMBLY,NI USRP-2943R, 1.2 GHZ TO 6 GHZ (120 MHZ BW)"/>
        <s v="MODULE ASSEMBLY, NI USRP-2950R, 50 MHZ TO 2.2  GHZ + GPS CLOCK (120 MHZ BW)"/>
        <s v="MODULE ASSEMBLY,NI USRP-2953R, 1.2 GHZ TO 6 GHZ + GPS CLOCK (120 MHZ BW)"/>
        <s v="MODULE ASSEMBLY,USRP X310"/>
        <s v="MODULE ASSEMBLY,USRP X300"/>
        <s v="MODULE ASSEMBLY,USRP-2945,10 MHZ TO 6 GHZ"/>
        <s v="MODULE ASSEMBLY,USRP-2955,10 MHZ TO 6 GHZ + GPS CLOCK"/>
        <s v="MODULE ASSEMBLY,USRP X310,OEM,BOARD ONLY"/>
        <s v="MODULE ASSEMBLY,NI USRP-2944R,10 MHZ TO 6 GHZ"/>
        <s v="MODULE ASSEMBLY,NI USRP-2954R,10 MHZ TO 6 GHZ + GPS CLOCK"/>
        <s v="MODULE ASSY,NI PXIE-8880,XEON E5-2618L 2.3GHZ CONTROLLER,LOCALIZED OS"/>
        <s v="MODULE ASSY,NI PXIE-8880,XEON E5-2618L 2.3GHZ CONTROLLER,LOCALIZED OS, W/O TPM"/>
        <s v="MODULE ASSY,NI PXIE-8880,XEON E5-2618L 2.3GHZ CONTROLLER,LOCALIZED OS, 3X8GB SODIMM, W/O TPM"/>
        <s v="MODULE ASSY,NI PXIE-8880,XEON E5-2618L 2.3GHZ CONTROLLER,WIN 7 (64-BIT)"/>
        <s v="MODULE ASSY,NI PXIE-8880,XEON E5-2618L 2.3GHZ CONTROLLER,WIN 7 (64-BIT), W/O TPM"/>
        <s v="MODULE ASSY,NI PXIE-8880,XEON E5-2618L 2.3GHZ CONTROLLER,WIN IOT"/>
        <s v="MODULE ASSY,NI PXIE-8880,XEON E5-2618L 2.3GHZ CONTROLLER,WIN IOT, SIMPLIFIED CHINESE, W/O TPM"/>
        <s v="KIT,STS,T2,NI 5530 MOUNTING STRUCTURE"/>
        <s v="KIT, STS, T4, NI 5530 MOUNTING STRUCTURE"/>
        <s v="CCA,STS MODULAR CHECKER BOARD I (FIRST 40 POGO BLOCKS)"/>
        <s v="CCA,RENAULT I/Q CARD"/>
        <s v="CCA,LFRX DAUGHTERBOARD"/>
        <s v="CCA,LFTX DAUGHTERBOARD"/>
        <s v="CCA,NI PXI-8840 QUAD-CORE"/>
        <s v="CCA,PXI-8840"/>
        <s v="CCA,PXIE-8398"/>
        <s v="CCA,PXIE-8399 DUAL SLOT"/>
        <s v="CCA,PXIE-8394 PERIPHERAL CARD"/>
        <s v="CCA,PCIE-8398"/>
        <s v="ASSEMBLY, DIO ADAPTER MODULE, CANBERRA2"/>
        <s v="MODULE ASSY,NI PXI-8840,CORE I5-4400E 2.7GHZ CONTROLLER,LOCALIZED OS"/>
        <s v="MODULE ASSY,NI PXI-8840,CORE I5-4400E 2.7GHZ CONTROLLER,NO ECARD,LOCALIZED OS"/>
        <s v="MODULE ASSY,NI PXI-8840,CORE I5-4400E 2.7GHZ CONTROLLER,NO ECARD,WIN 7 (64-BIT)"/>
        <s v="MODULE ASSY,NI PXI-8840,CORE I5-4400E 2.7GHZ CONTROLLER,NO ECARD,WIN IOT"/>
        <s v="MODULE ASSEMBLY,PXIE-5654 10 GHZ RF SIGNAL GENERATOR"/>
        <s v="MODULE ASSEMBLY,PXIE-5654 10 GHZ RF SIGNAL GENERATOR, FAST SWITCH"/>
        <s v="MODULE ASSEMBLY,PXIE-5654 20 GHZ RF SIGNAL GENERATOR"/>
        <s v="MODULE ASSEMBLY,PXIE-5654 20 GHZ RF SIGNAL GENERATOR, FAST SWITCH"/>
        <s v="MODULE ASSEMBLY,PXIE-5696 AMPLITUDE EXTENDER"/>
        <s v="ASSEMBLY,VIRTUALBENCH BINDING POST ACCESSORY"/>
        <s v="CCA,PXI-8360"/>
        <s v="CCA,PXI-8368"/>
        <s v="CCA,BACKPLANE,PXIE-1095,VCXO"/>
        <s v="CCA,BACKPLANE,PXIE-1095,OCXO"/>
        <s v="CCA,PXIE-3620 RX IF/LO1 BOARD"/>
        <s v="CCA,VB-8034/54 HIGH VOLTAGE"/>
        <s v="CCA,VB-8034 HIGH SPEED"/>
        <s v="CCA,STS SYSTEM SMU FIXTURE"/>
        <s v="CCA,GP QUADRANT TO AB FIXTURE"/>
        <s v="CCA,GP QUADRANT FIXTURE"/>
        <s v="CCA,PXIE-8135 E6465, IO BOARD"/>
        <s v="CCA,OCTOCLOCK 8 CHANNEL CLOCK DISTRIBUTION SYSTEM"/>
        <s v="CCA,PXIE-3620 TX IF/LO1 BOARD"/>
        <s v="CCA,PXIE-3620 LO2 BOARD"/>
        <s v="CCA,VB-8034 FRONT BEZEL"/>
        <s v="MODULE ASSEMBLY, VB-8034"/>
        <s v="CCA,HEAVENLY MICROWAVE BOARD"/>
        <s v="CCA,HEAVENLY POWER BOARD"/>
        <s v="MODULE ASSY,NI PXIE-8135 E6460,CORE I7-3610QE 2.3GHZ CONTROLLER,NO ECARD,LOCALIZED OS, 2X8GB SODIMM, SSD"/>
        <s v="MODULE ASSY,NI PXIE-8135 E6460,CORE I7-3610QE 2.3GHZ CONTROLLER,NO ECARD,WIN 7 (64-BIT)"/>
        <s v="MODULE ASSY,NI PXIE-8135 E6465,CORE I7-3610QE 2.3GHZ CONTROLLER,NO ECARD,LOCALIZED OS"/>
        <s v="MODULE ASSY,NI PXIE-8135 E6465,CORE I7-3610QE 2.3GHZ CONTROLLER,NO ECARD,LOCALIZED OS,EXT TEMP"/>
        <s v="MODULE ASSY,NI PXIE-8135 E6465,CORE I7-3610QE 2.3GHZ CONTROLLER,NO ECARD,WIN 7 (64-BIT)"/>
        <s v="MODULE ASSY,NI PXIE-8135 E6465,CORE I7-3610QE 2.3GHZ CONTROLLER,WIN 7 (64-BIT)"/>
        <s v="MODULE ASSY,NI PXIE-8135 E6465,CORE I7-3610QE 2.3GHZ CONTROLLER,NO ECARD,WIN 7 (64-BIT), EXT TEMP"/>
        <s v="MODULE ASSY,NI PXIE-8135 E6465,CORE I7-3610QE 2.3GHZ CONTROLLER,NO ECARD,WIN 7 (32-BIT)"/>
        <s v="CCA,UBX USRP DAUGHTERBOARD,40MHZ BW (10MHZ-6GHZ)"/>
        <s v="CCA,UBX USRP DAUGHTERBOARD,160MHZ BW (10MHZ-6GHZ)"/>
        <s v="CCA,STS HSDIO FIXTURE"/>
        <s v="5542 SHROUD SUBASSEMBLY, MCT1X01"/>
        <s v="5542 SHROUD SUBASSEMBLY, MCT1X11"/>
        <s v="CCA, BACKPLANE, PXIE-1084 VCXO"/>
        <s v="CCA, BACKPLANE, PXIE-1084 VCXO, UPGRADE"/>
        <s v="MODULE ASSEMBLY, PXIE-5840, 6 GHZ VST, 1 GHZ BW"/>
        <s v="MODULE ASSEMBLY,PXIE-5820 BASEBAND VST"/>
        <s v="CCA,CMC DC-DC PXIE-1084"/>
        <s v="CCA,TWINRX USRP IF BOARD (10 MHZ-6 GHZ,2XRX,80 MHZ BW)"/>
        <s v="MODULE ASSY,NI PXIE-8840 QUAD-CORE,CORE I7-5700EQ 2.6GHZ CONTROLLER,NO ECARD,LOCALIZED OS"/>
        <s v="MODULE ASSY,NI PXIE-8840 QUAD-CORE,CORE  I7-5700EQ 2.6GHZ CONTROLLER,NO ECARD,WIN 7 (64-BIT)"/>
        <s v="MODULE ASSY,NI PXIE-8840 QUAD-CORE,CORE  I7-5700EQ 2.6GHZ CONTROLLER,NO ECARD,WIN IOT"/>
        <s v="MODULE ASSY,NI PXIE-8840 QUAD-CORE,CORE  I7-5700EQ 2.6GHZ CONTROLLER,NO ECARD,WIN IOT, SIMPLIFIED CHINESE"/>
        <s v="MODULE ASSY,NI PXI-8840 QUAD-CORE,CORE I7-5700EQ 2.6GHZ CONTROLLER,NO ECARD,LOCALIZED OS"/>
        <s v="MODULE ASSY,NI PXI-8840 QUAD-CORE,CORE  I7-5700EQ 2.6GHZ CONTROLLER,NO ECARD,WIN 7 (64-BIT)"/>
        <s v="MODULE ASSY,NI PXI-8840 QUAD-CORE,CORE  I7-5700EQ 2.6GHZ CONTROLLER,NO ECARD,WIN IOT"/>
        <s v="MODULE ASSY,NI PXI-8840 QUAD-CORE,CORE  I7-5700EQ 2.6GHZ CONTROLLER,NO ECARD,WIN IOT, SIMPLIFIED CHINESE"/>
        <s v="CHASSIS ASSEMBLY, PXIE-1095"/>
        <s v="CHASSIS ASSEMBLY, PXIE-1095, *CUSTOM*"/>
        <s v="CHASSIS ASSEMBLY, PXIE-1095, TIMING AND SYNC"/>
        <s v="CHASSIS ASSEMBLY, PXIE-1095, M2"/>
        <s v="CCA,REAR EXPANSION,PXIE-1095"/>
        <s v="CHASSIS ASSEMBLY, PXIE-1084"/>
        <s v="CHASSIS ASSEMBLY, PXIE-1084, TIMING AND SYNC"/>
        <s v="CCA,USRP B200MINI,1X1,70MHZ-6GHZ"/>
        <s v="CCA,USRP B200MINI,I-GRADE,1X1,70MHZ-6GHZ"/>
        <s v="CCA,USRP B205MINI,I-GRADE,1X1,70MHZ-6GHZ"/>
        <s v="CCA,USRP N310,XC7Z100,10GIGE,MOTHERBOARD"/>
        <s v="CCA,USRP N300,XC7Z035,10GIGE,MOTHERBOARD"/>
        <s v="CCA,USRP N310 WITHOUT TPM,XC7Z100,10GIGE,MOTHERBOARD"/>
        <s v="NI SPRING PIN DIAGNOSTIC AND DC CALIBRATION MODULE 1-40 BLOCK"/>
        <s v="MODULE ASSY,NI PXIE-8861,SKYLAKE H,REMOVEABLE HARD-DRIVE OPTION"/>
        <s v="MODULE ASSY,NI PXIE-8861,SKYLAKE H,WINDOWS IOT"/>
        <s v="MODULE ASSY,NI PXIE-8861,SKYLAKE H,WINDOWS IOT,WITHOUT TPM"/>
        <s v="MODULE ASSY,NI PXIE-8861,SKYLAKE H,WINDOWS IOT (SIMPLIFIED CHINESE)"/>
        <s v="MODULE ASSY,NI PXIE-8861,SKYLAKE H,LINUX RT"/>
        <s v="CCA,CMC DC-DC PXIE-1095"/>
        <s v="CCA, CMC AND DC-DC PXIE-1092 (HALF BOCA)"/>
        <s v="RF SHIELD ASSY, DAUGHTERCARD, USRP, EVIL TWIN"/>
        <s v="CORE SHIELD ASSY, DAUGHTERCARD, USRP, EVIL TWIN"/>
        <s v="IF SHIELD ASSY, DAUGHTERCARD, USRP, EVIL TWIN"/>
        <s v="MODULE ASSEMBLY, TWINRX USRP DAUGHTERBOARD (10 MHZ-6 GHZ,2XRX,80 MHZ BW)"/>
        <s v="CCA,SYDNEY PXI POWER ADAPTER"/>
        <s v="CCA,PXIE-1092 BACKPLANE"/>
        <s v="MODULE ASSEMBLY,PXIE-3620 SYDNEY IF/LO"/>
        <s v="CCA,BROMINE,E330,70MHZ - 6GHZ X4 RECEIVER"/>
        <s v="CCA,PXIE GEN3 EXERCISER AND LOAD CARD,EXPRESS VERSION"/>
        <s v="CCA,PXIE GEN3 EXERCISER AND LOAD CARD, HYBRID VERSION"/>
        <s v="TEST FIXTURE ASSY,SBRIO-9651 FVT INTERPOSER BOARD"/>
        <s v="MODULE ASSEMBLY, PXIE THERMAL TEST CARD 2.0, LOAD CARD"/>
        <s v="CCA,PXI-5600 DIGITAL POWER AND CONTROL (ROHS)"/>
        <s v="CCA, PXIE-8375"/>
        <s v="CCA, PXI-1042,8-SLOT PXI BACKPLANE"/>
        <s v="CHASSIS ASSEMBLY, PXI-1042"/>
        <s v="ASSEMBLY, POWER SUPPLY SHUTTLE, PXI-1042, AC"/>
        <s v="CCA, PXI CHASSIS FAN INTERFACE,PXI-1042Q"/>
        <s v="CCA, PXI CHASSIS FAN INTERFACE,PXI-1042"/>
        <s v="CCA, PXI CHASSIS FAN INTERFACE,PXI-1045"/>
        <s v="CCA,POWER SWITCH BOARD,PXI CHASSIS"/>
        <s v="CCA, PXI-5610 LO"/>
        <s v="CCA, PXI-5610 SC BOARD"/>
        <s v="CCA,PXI-5610 DIGITAL POWER AND CONTROL (ROHS)"/>
        <s v="ASSEMBLY, POWER SUPPLY SHUTTLE, PXI-1045, AC"/>
        <s v="CHASSIS ASSEMBLY, PXI-1045"/>
        <s v="MODULE ASSEMBLY, NI PXI-5610 (ROHS)"/>
        <s v="CCA,BACKPLANE, PXIE-1073"/>
        <s v="CCA,PCIE-8362, PLX"/>
        <s v="CCA, NI PXIE-565X DIGITAL POWER AND CONTROL"/>
        <s v="CCA, ATTENUATOR MODULE"/>
        <s v="CHASSIS ASSEMBLY, PXI-1031"/>
        <s v="CCA, PXI-5690 RF PREAMPLIFIER"/>
        <s v="CHASSIS ASSEMBLY, PXI-1042Q"/>
        <s v="ASSEMBLY, POWER SUPPLY SHUTTLE, PXI-1042Q, AC"/>
        <s v="MODULE ASSY, NI PXI-5600"/>
        <s v="CCA,BACKPLANE,PXI-1045 18 SLOT CHASSIS"/>
        <s v="CCA,BACKPLANE,PXI-1044 14 SLOT CHASSIS"/>
        <s v="MODULE ASSY, NI PXI-5650 1.3 GHZ"/>
        <s v="MODULE ASSY, NI PXI-5651 3.3 GHZ"/>
        <s v="MODULE ASSY, NI PXI-5652 6.6 GHZ"/>
        <s v="CHASSIS ASSEMBLY, PXI-1044"/>
        <s v="CCA,BACKPLANE,PXIE-1062 8 SLOT HYBRID CHASSIS"/>
        <s v="CHASSIS ASSEMBLY, PXI-1036"/>
        <s v="CCA,BACKPLANE,PXIE-1065"/>
        <s v="CCA, NI PXI-565X, 6.6 GHZ SIGNAL GENERATOR ANALOG BOARD"/>
        <s v="CCA, NI PXIE-565X, 6.6 GHZ SIGNAL GENERATOR ANALOG BOARD"/>
        <s v="CCA,CMC,PXIE-1065"/>
        <s v="CCA,CMC,PXIE-1062Q"/>
        <s v="CCA,CMC,PXIE-1082"/>
        <s v="CCA,PXIE-5611 BASEBAND DRIVER BOARD"/>
        <s v="CENTER FRAME ASSY, PXIE-5653"/>
        <s v="CCA,PCIE-8375"/>
        <s v="ASSEMBLY, POWER SUPPLY SHUTTLE, PXIE-1062Q"/>
        <s v="CHASSIS ASSEMBLY, PXIE-1062Q"/>
        <s v="CCA,RF PROCESSING MODULE"/>
        <s v="CCA,PXIE-8364"/>
        <s v="CCA,PXIE-8374"/>
        <s v="CCA,BACKPLANE, PXIE-1071"/>
        <s v="CCA,POWER SWITCH BOARD, PXI-E CHASSIS"/>
        <s v="CCA,DIODE SENSOR ,PXIE-1062"/>
        <s v="CCA,DIODE SENSOR ,PXIE-1085"/>
        <s v="CCA, PXIE-8370"/>
        <s v="CCA, PXIE-8360"/>
        <s v="CHASSIS ASSEMBLY, PXIE-1065"/>
        <s v="ASSEMBLY,POWER SUPPLY SHUTTLE,PXIE-1065"/>
        <s v="CCA,PXI-1031,4 SLOT PXI BACKPLANE"/>
        <s v="CCA,BACKPLANE,PXI-1033"/>
        <s v="CHASSIS ASSY, PXI-1033"/>
        <s v="CENTER FRAME ASSY, ATTENUATOR MODULE, NI PXIE-5611"/>
        <s v="CCA,PXI-1033 MXI EXTENSION BOARD"/>
        <s v="CCA, PCIE-8361,LOW PROFILE"/>
        <s v="CCA,SENSORDAQ"/>
        <s v="CCA,RF-RIO BASEBAND CARD--TRIDENT"/>
        <s v="CCA, PXIE-564XR STINGRAY BASEBAND"/>
        <s v="CCA,NI MYDAQ 195511F-01"/>
        <s v="CCA, BACKPLANE, PXIE-1085, GEN 3"/>
        <s v="CCA, BACKPLANE, PXIE-1085 VCXO"/>
        <s v="CHASSIS ASSEMBLY, PXIE-1071"/>
        <s v="ENCLOSURE ASSY, FIP GASKET, RF, BOTTOM, NI 565X, PXI/PXIE"/>
        <s v="ENCLOSURE ASSY, FIP GASKET, RF, TOP, NI 565X, PXI/PXIE"/>
        <s v="MODULE ASSEMBLY, NI PXIE-5611 IQ MODULATOR"/>
        <s v="CHASSIS ASSEMBLY, PXIE-1073"/>
        <s v="CCA,NI ELVIS 2 RISER CARD"/>
        <s v="CCA, MIGHTY MOUSE POWER/CONTROL BOARD"/>
        <s v="CCA, HFGG POWER AND CONTROL BOARD"/>
        <s v="CCA,BACKPLANE,PXI-1036,6 SLOT CHASSIS"/>
        <s v="CCA, BACKPLANE, PXIE-1082"/>
        <s v="MODULE ASSEMBLY, NI PXIE-5606, PRE-AMP - 26.5 GHZ VSA, 200 MHZ BW"/>
        <s v="MODULE ASSEMBLY, NI PXIE-5606, PRE-AMP - 26.5 GHZ VSA, 320 MHZ BW  (BASE MODEL)"/>
        <s v="MODULE ASSEMBLY, NI PXIE-5606, PRE-AMP - 14 GHZ VSA, 80 MHZ BW"/>
        <s v="MODULE ASSEMBLY, NI PXIE-5606, PRE-AMP - 14 GHZ VSA, 200 MHZ BW"/>
        <s v="MODULE ASSEMBLY, NI PXIE-5606, PRE-AMP - 14 GHZ VSA, 320/765 MHZ BW"/>
        <s v="CCA,EXPRESSCARD-8360"/>
        <s v="MODULE ASSEMBLY,NI ELVIS II+"/>
        <s v="CHASSIS ASSEMBLY, PXIE-1082"/>
        <s v="ASSEMBLY, POWER SUPPLY SHUTTLE, PXIE-1082"/>
        <s v="SHIELD ASSEMBLY, PRIMARY SIDE, NI PXIE-5622"/>
        <s v="SHIELD ASSY, FIP GASKET, SECONDARY SIDE, NI PXIE-5622"/>
        <s v="CCA,PCIE-8361"/>
        <s v="MODULE ASSEMBLY, NI PXIE-5694, YICM IF"/>
        <s v="MODULE ASSEMBLY, NI PXIE-5693, YPSM, PRE-SELECTOR"/>
        <s v="MODULE ASSEMBLY, NI PXIE-5601, PHASE 2"/>
        <s v="CCA,NI PXIE-5641R, 95K FPGA"/>
        <s v="CCA, PXIE-5653 VCO (NEL OCXO)"/>
        <s v="CCA, PXIE-5653 YIG"/>
        <s v="CCA,PXIE-5653 P&amp;C"/>
        <s v="CCA,BACKPLANE,PXIE-1078"/>
        <s v="CCA,BACKPLANE,PXIE-1078 TCXO"/>
        <s v="CCA,PCI-8361"/>
        <s v="CCA,PCI-8366"/>
        <s v="CCA, PXIE-5603 RF BOARD REV C"/>
        <s v="PCB, (MODIFIED),PXIE-5603 RF BOARD - (199438C-11 IS NOT A PURCHASED PCB.  THE 199438C-11 IS A REWORKED 199438C-01 PCB THAT IS PLACE BACK IN STOCK),(REWORKED PCB PER INSTRUCTION IN ATTACHMENTS TAB)"/>
        <s v="CHASSIS ASSEMBLY, PXIE-1078, TCXO"/>
        <s v="CHASSIS ASSEMBLY, PXIE-1078"/>
        <s v="CCA, BASEBAND SDR FAM, TRANSCEIVER, 100 MHZ BW"/>
        <s v="CCA, PXIE-5693 PRE-SELECTOR BOARD"/>
        <s v="CCA, YICM CONDITIONING BOARD, PXIE-5694"/>
        <s v="CCA, PXIE-5606 RF BOARD"/>
        <s v="CCA, PXIE-5606 IF1 BOARD"/>
        <s v="CCA, PXIE-5606 HYBRID BIAS &amp; CONTROL BOARD"/>
        <s v="CCA, PXIE-5603 IF BOARD REV C"/>
        <s v="MODULE ASSY, NI PXIE-5650 1.3 GHZ"/>
        <s v="MODULE ASSY, NI PXIE-5651 3.3 GHZ"/>
        <s v="MODULE ASSY, NI PXIE-5652 6.6 GHZ"/>
        <s v="CCA, PXI CHASSIS POWER SWITCH BOARD,PXIE-107X SERIES"/>
        <s v="CCA, PXI CHASSIS POWER SWITCH BOARD,PXI 103X SERIES"/>
        <s v="MODULE ASSEMBLY, NI PXIE-5603,  PRE-AMP"/>
        <s v="CCA, PXIE-5606 IF2 BOARD"/>
        <s v="CCA, PXIE-XXX 4-WAY SWITCH MODULE BOARD"/>
        <s v="CCA, MEDUSA  BRIDGE COUPLER BOARD"/>
        <s v="MODULE ASSEMBLY, FIGS MODULE, NI 5532"/>
        <s v="MODULE ASSEMBLY, FIGS MODULE, NI 5532, NO EJECTOR LATCHES"/>
        <s v="MODULE ASSEMBLY,PORT MODULE,NI 5531"/>
        <s v="CCA,DC/DC POWER SUPPLY 8-SLOT(PRIMARY)"/>
        <s v="MODULE ASSEMBLY, PXIE-5653 (NEL OCXO)"/>
        <s v="CCA,PXI-8364"/>
        <s v="CCA,PCIE-8371,PLX"/>
        <s v="PCIE DESKTOP ADAPTER FOR M9005A"/>
      </sharedItems>
    </cacheField>
    <cacheField name="Item Source" numFmtId="0">
      <sharedItems/>
    </cacheField>
    <cacheField name="Planner Code" numFmtId="0">
      <sharedItems count="20">
        <s v="CHASSIS"/>
        <s v="STSFR"/>
        <s v="RFSV"/>
        <s v="VST5G"/>
        <s v="MCT"/>
        <s v="STS"/>
        <s v="STS5G"/>
        <s v="SDRUSRP"/>
        <s v="RF"/>
        <s v="CONT"/>
        <s v="DAQSC"/>
        <s v="VST"/>
        <s v="FIP"/>
        <s v="STS1"/>
        <s v="SDRRF"/>
        <s v="VB"/>
        <s v="SDRBEE"/>
        <s v="ACAD"/>
        <s v="WTS"/>
        <s v="SBRIO"/>
      </sharedItems>
    </cacheField>
    <cacheField name="Q1'20 SO+FCST+SS 50% Qty" numFmtId="0">
      <sharedItems containsSemiMixedTypes="0" containsString="0" containsNumber="1" minValue="0" maxValue="1642" count="222">
        <n v="7"/>
        <n v="68"/>
        <n v="0"/>
        <n v="10"/>
        <n v="70"/>
        <n v="40"/>
        <n v="2"/>
        <n v="5"/>
        <n v="38"/>
        <n v="4"/>
        <n v="8"/>
        <n v="36"/>
        <n v="19"/>
        <n v="14"/>
        <n v="6"/>
        <n v="1"/>
        <n v="27"/>
        <n v="997"/>
        <n v="37"/>
        <n v="104"/>
        <n v="112"/>
        <n v="26"/>
        <n v="705"/>
        <n v="34"/>
        <n v="43"/>
        <n v="219"/>
        <n v="35"/>
        <n v="283.74"/>
        <n v="102"/>
        <n v="21"/>
        <n v="29"/>
        <n v="224"/>
        <n v="17"/>
        <n v="13"/>
        <n v="47"/>
        <n v="121"/>
        <n v="59"/>
        <n v="33"/>
        <n v="135"/>
        <n v="98"/>
        <n v="45"/>
        <n v="49"/>
        <n v="176"/>
        <n v="69"/>
        <n v="18"/>
        <n v="193"/>
        <n v="278"/>
        <n v="3"/>
        <n v="71"/>
        <n v="90"/>
        <n v="83.9"/>
        <n v="91"/>
        <n v="462"/>
        <n v="22"/>
        <n v="41"/>
        <n v="39"/>
        <n v="64"/>
        <n v="15"/>
        <n v="567"/>
        <n v="25"/>
        <n v="12"/>
        <n v="124"/>
        <n v="31"/>
        <n v="242"/>
        <n v="58"/>
        <n v="79"/>
        <n v="50"/>
        <n v="30"/>
        <n v="62"/>
        <n v="84"/>
        <n v="214"/>
        <n v="55"/>
        <n v="105"/>
        <n v="9"/>
        <n v="315"/>
        <n v="51"/>
        <n v="16"/>
        <n v="87"/>
        <n v="11"/>
        <n v="53"/>
        <n v="106"/>
        <n v="158"/>
        <n v="73"/>
        <n v="269"/>
        <n v="232"/>
        <n v="63"/>
        <n v="266"/>
        <n v="61"/>
        <n v="74"/>
        <n v="77"/>
        <n v="138"/>
        <n v="72"/>
        <n v="65"/>
        <n v="79.7"/>
        <n v="76.7"/>
        <n v="66"/>
        <n v="46"/>
        <n v="286"/>
        <n v="42"/>
        <n v="24"/>
        <n v="177"/>
        <n v="20"/>
        <n v="165"/>
        <n v="88"/>
        <n v="130"/>
        <n v="131"/>
        <n v="818"/>
        <n v="277"/>
        <n v="76"/>
        <n v="44"/>
        <n v="362"/>
        <n v="300"/>
        <n v="111"/>
        <n v="202"/>
        <n v="250"/>
        <n v="137"/>
        <n v="94"/>
        <n v="252"/>
        <n v="553"/>
        <n v="312"/>
        <n v="83"/>
        <n v="23"/>
        <n v="263"/>
        <n v="154"/>
        <n v="78"/>
        <n v="109"/>
        <n v="504"/>
        <n v="332"/>
        <n v="236"/>
        <n v="81"/>
        <n v="1642"/>
        <n v="86"/>
        <n v="32"/>
        <n v="493"/>
        <n v="594"/>
        <n v="149"/>
        <n v="545"/>
        <n v="985"/>
        <n v="698"/>
        <n v="641"/>
        <n v="120"/>
        <n v="48"/>
        <n v="208.74"/>
        <n v="75"/>
        <n v="113"/>
        <n v="114"/>
        <n v="132"/>
        <n v="1451"/>
        <n v="1028"/>
        <n v="116"/>
        <n v="603"/>
        <n v="122"/>
        <n v="185"/>
        <n v="97"/>
        <n v="120.74"/>
        <n v="378"/>
        <n v="139"/>
        <n v="57"/>
        <n v="231"/>
        <n v="89"/>
        <n v="103"/>
        <n v="248"/>
        <n v="142"/>
        <n v="52"/>
        <n v="28"/>
        <n v="270"/>
        <n v="273"/>
        <n v="11.6668"/>
        <n v="125"/>
        <n v="8.3338000000000001"/>
        <n v="777"/>
        <n v="253"/>
        <n v="151"/>
        <n v="230"/>
        <n v="208"/>
        <n v="201"/>
        <n v="56"/>
        <n v="127"/>
        <n v="444"/>
        <n v="150"/>
        <n v="187"/>
        <n v="298"/>
        <n v="291"/>
        <n v="146"/>
        <n v="234"/>
        <n v="249"/>
        <n v="47.333799999999997"/>
        <n v="95"/>
        <n v="179"/>
        <n v="255"/>
        <n v="163"/>
        <n v="115"/>
        <n v="385"/>
        <n v="107"/>
        <n v="9.4184999999999999"/>
        <n v="246"/>
        <n v="382"/>
        <n v="1246"/>
        <n v="475"/>
        <n v="172"/>
        <n v="517"/>
        <n v="126"/>
        <n v="1512"/>
        <n v="467"/>
        <n v="37.418500000000002"/>
        <n v="442"/>
        <n v="283.46699999999998"/>
        <n v="3.7056"/>
        <n v="404"/>
        <n v="123"/>
        <n v="379"/>
        <n v="906"/>
        <n v="10.26"/>
        <n v="317"/>
        <n v="435"/>
        <n v="13.588200000000001"/>
        <n v="370"/>
        <n v="211"/>
        <n v="797"/>
        <n v="1196"/>
        <n v="306"/>
        <n v="2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x v="0"/>
    <s v="130140X-01"/>
    <x v="0"/>
    <s v="PEN SA"/>
    <x v="0"/>
    <x v="0"/>
  </r>
  <r>
    <x v="1"/>
    <s v="130182X-01L"/>
    <x v="1"/>
    <s v="PEN SA"/>
    <x v="1"/>
    <x v="1"/>
  </r>
  <r>
    <x v="2"/>
    <s v="130297X-01L"/>
    <x v="2"/>
    <s v="PEN SA"/>
    <x v="2"/>
    <x v="2"/>
  </r>
  <r>
    <x v="3"/>
    <s v="130304X-01L"/>
    <x v="3"/>
    <s v="PEN SA"/>
    <x v="2"/>
    <x v="2"/>
  </r>
  <r>
    <x v="4"/>
    <s v="130307X-01L"/>
    <x v="4"/>
    <s v="PEN SA"/>
    <x v="2"/>
    <x v="3"/>
  </r>
  <r>
    <x v="5"/>
    <s v="130310X-01L"/>
    <x v="5"/>
    <s v="PEN SA"/>
    <x v="1"/>
    <x v="0"/>
  </r>
  <r>
    <x v="6"/>
    <s v="130310X-02L"/>
    <x v="6"/>
    <s v="PEN SA"/>
    <x v="1"/>
    <x v="4"/>
  </r>
  <r>
    <x v="7"/>
    <s v="130503X-00L"/>
    <x v="7"/>
    <s v="PEN SA"/>
    <x v="3"/>
    <x v="5"/>
  </r>
  <r>
    <x v="8"/>
    <s v="130503X-01L"/>
    <x v="8"/>
    <s v="PEN SA"/>
    <x v="3"/>
    <x v="6"/>
  </r>
  <r>
    <x v="9"/>
    <s v="130503X-02L"/>
    <x v="9"/>
    <s v="PEN SA"/>
    <x v="3"/>
    <x v="7"/>
  </r>
  <r>
    <x v="10"/>
    <s v="130503X-00L"/>
    <x v="7"/>
    <s v="PEN SA"/>
    <x v="3"/>
    <x v="8"/>
  </r>
  <r>
    <x v="11"/>
    <s v="130572X-01L"/>
    <x v="10"/>
    <s v="PEN SA"/>
    <x v="3"/>
    <x v="7"/>
  </r>
  <r>
    <x v="12"/>
    <s v="131046X-01L"/>
    <x v="11"/>
    <s v="PEN SA"/>
    <x v="2"/>
    <x v="2"/>
  </r>
  <r>
    <x v="13"/>
    <s v="131049X-01L"/>
    <x v="12"/>
    <s v="PEN SA"/>
    <x v="2"/>
    <x v="6"/>
  </r>
  <r>
    <x v="14"/>
    <s v="131437X-01L"/>
    <x v="13"/>
    <s v="PEN SA"/>
    <x v="1"/>
    <x v="9"/>
  </r>
  <r>
    <x v="15"/>
    <s v="131440X-01L"/>
    <x v="14"/>
    <s v="PEN SA"/>
    <x v="1"/>
    <x v="10"/>
  </r>
  <r>
    <x v="16"/>
    <s v="131500X-01L"/>
    <x v="15"/>
    <s v="PEN SA"/>
    <x v="1"/>
    <x v="11"/>
  </r>
  <r>
    <x v="17"/>
    <s v="131581X-01L"/>
    <x v="16"/>
    <s v="PEN SA"/>
    <x v="1"/>
    <x v="12"/>
  </r>
  <r>
    <x v="18"/>
    <s v="131582X-01L"/>
    <x v="17"/>
    <s v="PEN SA"/>
    <x v="1"/>
    <x v="13"/>
  </r>
  <r>
    <x v="19"/>
    <s v="131650X-01L"/>
    <x v="18"/>
    <s v="PEN SA"/>
    <x v="1"/>
    <x v="14"/>
  </r>
  <r>
    <x v="20"/>
    <s v="131679X-01L"/>
    <x v="19"/>
    <s v="PEN SA"/>
    <x v="1"/>
    <x v="10"/>
  </r>
  <r>
    <x v="21"/>
    <s v="131698X-01"/>
    <x v="20"/>
    <s v="PEN SA"/>
    <x v="1"/>
    <x v="6"/>
  </r>
  <r>
    <x v="22"/>
    <s v="131791X-01L"/>
    <x v="21"/>
    <s v="PEN SA"/>
    <x v="4"/>
    <x v="3"/>
  </r>
  <r>
    <x v="23"/>
    <s v="131796X-01L"/>
    <x v="22"/>
    <s v="PEN SA"/>
    <x v="4"/>
    <x v="3"/>
  </r>
  <r>
    <x v="24"/>
    <s v="131847X-01"/>
    <x v="23"/>
    <s v="PEN SA"/>
    <x v="5"/>
    <x v="15"/>
  </r>
  <r>
    <x v="25"/>
    <s v="131895X-01"/>
    <x v="24"/>
    <s v="PEN SA"/>
    <x v="5"/>
    <x v="6"/>
  </r>
  <r>
    <x v="26"/>
    <s v="131896X-01"/>
    <x v="25"/>
    <s v="PEN SA"/>
    <x v="6"/>
    <x v="16"/>
  </r>
  <r>
    <x v="27"/>
    <s v="131899X-01"/>
    <x v="26"/>
    <s v="PEN SA"/>
    <x v="6"/>
    <x v="6"/>
  </r>
  <r>
    <x v="28"/>
    <s v="131915X-01"/>
    <x v="27"/>
    <s v="PEN SA"/>
    <x v="5"/>
    <x v="9"/>
  </r>
  <r>
    <x v="29"/>
    <s v="132212X-01"/>
    <x v="28"/>
    <s v="PEN SA"/>
    <x v="0"/>
    <x v="17"/>
  </r>
  <r>
    <x v="30"/>
    <s v="132304X-01"/>
    <x v="29"/>
    <s v="PEN SA"/>
    <x v="5"/>
    <x v="6"/>
  </r>
  <r>
    <x v="31"/>
    <s v="132578X-01"/>
    <x v="30"/>
    <s v="PEN SA"/>
    <x v="5"/>
    <x v="13"/>
  </r>
  <r>
    <x v="32"/>
    <s v="140001X-03L"/>
    <x v="31"/>
    <s v="PEN SA"/>
    <x v="7"/>
    <x v="18"/>
  </r>
  <r>
    <x v="33"/>
    <s v="140001X-04L"/>
    <x v="32"/>
    <s v="PEN SA"/>
    <x v="7"/>
    <x v="19"/>
  </r>
  <r>
    <x v="34"/>
    <s v="140081X-01L"/>
    <x v="33"/>
    <s v="PEN SA"/>
    <x v="0"/>
    <x v="20"/>
  </r>
  <r>
    <x v="35"/>
    <s v="140171X-01L"/>
    <x v="34"/>
    <s v="PEN SA"/>
    <x v="8"/>
    <x v="21"/>
  </r>
  <r>
    <x v="36"/>
    <s v="140172X-01L"/>
    <x v="35"/>
    <s v="PEN SA"/>
    <x v="0"/>
    <x v="22"/>
  </r>
  <r>
    <x v="37"/>
    <s v="140287X-01L"/>
    <x v="36"/>
    <s v="PEN SA"/>
    <x v="9"/>
    <x v="18"/>
  </r>
  <r>
    <x v="38"/>
    <s v="140605X-01L"/>
    <x v="37"/>
    <s v="PEN SA"/>
    <x v="7"/>
    <x v="23"/>
  </r>
  <r>
    <x v="39"/>
    <s v="140641X-01L"/>
    <x v="38"/>
    <s v="PEN SA"/>
    <x v="0"/>
    <x v="24"/>
  </r>
  <r>
    <x v="40"/>
    <s v="140652X-01L"/>
    <x v="39"/>
    <s v="PEN SA"/>
    <x v="9"/>
    <x v="25"/>
  </r>
  <r>
    <x v="41"/>
    <s v="140661X-01L"/>
    <x v="40"/>
    <s v="PEN SA"/>
    <x v="0"/>
    <x v="12"/>
  </r>
  <r>
    <x v="42"/>
    <s v="140968X-01L"/>
    <x v="41"/>
    <s v="PEN SA"/>
    <x v="10"/>
    <x v="26"/>
  </r>
  <r>
    <x v="43"/>
    <s v="141046X-01L"/>
    <x v="42"/>
    <s v="PEN SA"/>
    <x v="11"/>
    <x v="27"/>
  </r>
  <r>
    <x v="44"/>
    <s v="141064X-01L"/>
    <x v="43"/>
    <s v="PEN SA"/>
    <x v="7"/>
    <x v="28"/>
  </r>
  <r>
    <x v="45"/>
    <s v="141064X-02L"/>
    <x v="44"/>
    <s v="PEN SA"/>
    <x v="7"/>
    <x v="29"/>
  </r>
  <r>
    <x v="46"/>
    <s v="141064X-03L"/>
    <x v="45"/>
    <s v="PEN SA"/>
    <x v="7"/>
    <x v="13"/>
  </r>
  <r>
    <x v="47"/>
    <s v="141104X-01L"/>
    <x v="46"/>
    <s v="PEN SA"/>
    <x v="9"/>
    <x v="15"/>
  </r>
  <r>
    <x v="48"/>
    <s v="141172X-01"/>
    <x v="47"/>
    <s v="PEN SA"/>
    <x v="12"/>
    <x v="30"/>
  </r>
  <r>
    <x v="49"/>
    <s v="141176X-01"/>
    <x v="48"/>
    <s v="PEN SA"/>
    <x v="12"/>
    <x v="18"/>
  </r>
  <r>
    <x v="50"/>
    <s v="141190X-03L"/>
    <x v="49"/>
    <s v="PEN SA"/>
    <x v="11"/>
    <x v="6"/>
  </r>
  <r>
    <x v="51"/>
    <s v="141327X-01L"/>
    <x v="50"/>
    <s v="PEN SA"/>
    <x v="7"/>
    <x v="31"/>
  </r>
  <r>
    <x v="52"/>
    <s v="141631X-01L"/>
    <x v="51"/>
    <s v="PEN SA"/>
    <x v="13"/>
    <x v="0"/>
  </r>
  <r>
    <x v="53"/>
    <s v="141631X-01L"/>
    <x v="52"/>
    <s v="PEN SA"/>
    <x v="13"/>
    <x v="32"/>
  </r>
  <r>
    <x v="54"/>
    <s v="141634X-01L"/>
    <x v="53"/>
    <s v="PEN SA"/>
    <x v="7"/>
    <x v="33"/>
  </r>
  <r>
    <x v="55"/>
    <s v="141642X-03L"/>
    <x v="54"/>
    <s v="PEN SA"/>
    <x v="14"/>
    <x v="6"/>
  </r>
  <r>
    <x v="56"/>
    <s v="141642X-13L"/>
    <x v="55"/>
    <s v="PEN SA"/>
    <x v="14"/>
    <x v="6"/>
  </r>
  <r>
    <x v="57"/>
    <s v="141642X-14L"/>
    <x v="56"/>
    <s v="PEN SA"/>
    <x v="14"/>
    <x v="15"/>
  </r>
  <r>
    <x v="58"/>
    <s v="141642X-15L"/>
    <x v="57"/>
    <s v="PEN SA"/>
    <x v="14"/>
    <x v="15"/>
  </r>
  <r>
    <x v="59"/>
    <s v="141642X-16L"/>
    <x v="58"/>
    <s v="PEN SA"/>
    <x v="14"/>
    <x v="9"/>
  </r>
  <r>
    <x v="60"/>
    <s v="141687X-01L"/>
    <x v="59"/>
    <s v="PEN SA"/>
    <x v="13"/>
    <x v="3"/>
  </r>
  <r>
    <x v="61"/>
    <s v="141687X-01L"/>
    <x v="60"/>
    <s v="PEN SA"/>
    <x v="13"/>
    <x v="32"/>
  </r>
  <r>
    <x v="62"/>
    <s v="141751X-01L"/>
    <x v="61"/>
    <s v="PEN SA"/>
    <x v="10"/>
    <x v="34"/>
  </r>
  <r>
    <x v="63"/>
    <s v="141884X-01L"/>
    <x v="62"/>
    <s v="PEN SA"/>
    <x v="0"/>
    <x v="35"/>
  </r>
  <r>
    <x v="64"/>
    <s v="141894X-01L"/>
    <x v="63"/>
    <s v="PEN SA"/>
    <x v="8"/>
    <x v="6"/>
  </r>
  <r>
    <x v="65"/>
    <s v="141894X-01L"/>
    <x v="64"/>
    <s v="PEN SA"/>
    <x v="8"/>
    <x v="6"/>
  </r>
  <r>
    <x v="66"/>
    <s v="141895X-01L"/>
    <x v="65"/>
    <s v="PEN SA"/>
    <x v="8"/>
    <x v="7"/>
  </r>
  <r>
    <x v="67"/>
    <s v="141895X-01L"/>
    <x v="66"/>
    <s v="PEN SA"/>
    <x v="8"/>
    <x v="6"/>
  </r>
  <r>
    <x v="68"/>
    <s v="142041X-01L"/>
    <x v="67"/>
    <s v="PEN SA"/>
    <x v="2"/>
    <x v="36"/>
  </r>
  <r>
    <x v="69"/>
    <s v="142044X-01L"/>
    <x v="68"/>
    <s v="PEN SA"/>
    <x v="2"/>
    <x v="37"/>
  </r>
  <r>
    <x v="70"/>
    <s v="142173X-01L"/>
    <x v="69"/>
    <s v="PEN SA"/>
    <x v="9"/>
    <x v="38"/>
  </r>
  <r>
    <x v="71"/>
    <s v="142176X-01L"/>
    <x v="70"/>
    <s v="PEN SA"/>
    <x v="9"/>
    <x v="18"/>
  </r>
  <r>
    <x v="72"/>
    <s v="142176X-02L"/>
    <x v="71"/>
    <s v="PEN SA"/>
    <x v="9"/>
    <x v="39"/>
  </r>
  <r>
    <x v="73"/>
    <s v="142176X-03L"/>
    <x v="72"/>
    <s v="PEN SA"/>
    <x v="9"/>
    <x v="10"/>
  </r>
  <r>
    <x v="74"/>
    <s v="142292X-011L"/>
    <x v="73"/>
    <s v="PEN SA"/>
    <x v="9"/>
    <x v="40"/>
  </r>
  <r>
    <x v="75"/>
    <s v="142292X-111L"/>
    <x v="74"/>
    <s v="PEN SA"/>
    <x v="9"/>
    <x v="41"/>
  </r>
  <r>
    <x v="76"/>
    <s v="142292X-311L"/>
    <x v="75"/>
    <s v="PEN SA"/>
    <x v="9"/>
    <x v="42"/>
  </r>
  <r>
    <x v="77"/>
    <s v="142292X-351L"/>
    <x v="76"/>
    <s v="PEN SA"/>
    <x v="9"/>
    <x v="30"/>
  </r>
  <r>
    <x v="78"/>
    <s v="142299X-02L"/>
    <x v="77"/>
    <s v="PEN SA"/>
    <x v="8"/>
    <x v="32"/>
  </r>
  <r>
    <x v="79"/>
    <s v="142467X-01L"/>
    <x v="78"/>
    <s v="PEN SA"/>
    <x v="9"/>
    <x v="41"/>
  </r>
  <r>
    <x v="80"/>
    <s v="142470X-010L"/>
    <x v="79"/>
    <s v="PEN SA"/>
    <x v="9"/>
    <x v="43"/>
  </r>
  <r>
    <x v="81"/>
    <s v="142470X-040L"/>
    <x v="80"/>
    <s v="PEN SA"/>
    <x v="9"/>
    <x v="26"/>
  </r>
  <r>
    <x v="82"/>
    <s v="142471X-01L"/>
    <x v="81"/>
    <s v="PEN SA"/>
    <x v="15"/>
    <x v="10"/>
  </r>
  <r>
    <x v="83"/>
    <s v="142735X-01L"/>
    <x v="82"/>
    <s v="PEN SA"/>
    <x v="14"/>
    <x v="15"/>
  </r>
  <r>
    <x v="84"/>
    <s v="142818X-02L"/>
    <x v="83"/>
    <s v="PEN SA"/>
    <x v="11"/>
    <x v="44"/>
  </r>
  <r>
    <x v="85"/>
    <s v="142818X-02L"/>
    <x v="84"/>
    <s v="PEN SA"/>
    <x v="11"/>
    <x v="3"/>
  </r>
  <r>
    <x v="86"/>
    <s v="142819X-02L"/>
    <x v="85"/>
    <s v="PEN SA"/>
    <x v="11"/>
    <x v="14"/>
  </r>
  <r>
    <x v="87"/>
    <s v="142820X-01L"/>
    <x v="86"/>
    <s v="PEN SA"/>
    <x v="11"/>
    <x v="45"/>
  </r>
  <r>
    <x v="88"/>
    <s v="142820X-01L"/>
    <x v="86"/>
    <s v="PEN SA"/>
    <x v="11"/>
    <x v="3"/>
  </r>
  <r>
    <x v="89"/>
    <s v="142870X-01L"/>
    <x v="84"/>
    <s v="PEN SA"/>
    <x v="11"/>
    <x v="15"/>
  </r>
  <r>
    <x v="90"/>
    <s v="142994X-02L"/>
    <x v="87"/>
    <s v="PEN SA"/>
    <x v="9"/>
    <x v="46"/>
  </r>
  <r>
    <x v="91"/>
    <s v="143125X-01L"/>
    <x v="88"/>
    <s v="PEN SA"/>
    <x v="2"/>
    <x v="29"/>
  </r>
  <r>
    <x v="92"/>
    <s v="143128X-01L"/>
    <x v="89"/>
    <s v="PEN SA"/>
    <x v="2"/>
    <x v="2"/>
  </r>
  <r>
    <x v="93"/>
    <s v="143226X-01L"/>
    <x v="90"/>
    <s v="PEN SA"/>
    <x v="16"/>
    <x v="47"/>
  </r>
  <r>
    <x v="94"/>
    <s v="143232X-02L"/>
    <x v="91"/>
    <s v="PEN SA"/>
    <x v="8"/>
    <x v="47"/>
  </r>
  <r>
    <x v="95"/>
    <s v="143232X-01L"/>
    <x v="92"/>
    <s v="PEN SA"/>
    <x v="8"/>
    <x v="47"/>
  </r>
  <r>
    <x v="96"/>
    <s v="143441X-01L"/>
    <x v="93"/>
    <s v="PEN SA"/>
    <x v="16"/>
    <x v="47"/>
  </r>
  <r>
    <x v="97"/>
    <s v="143822X-01L"/>
    <x v="94"/>
    <s v="PEN SA"/>
    <x v="7"/>
    <x v="7"/>
  </r>
  <r>
    <x v="98"/>
    <s v="143823X-01L"/>
    <x v="95"/>
    <s v="PEN SA"/>
    <x v="7"/>
    <x v="48"/>
  </r>
  <r>
    <x v="99"/>
    <s v="143824X-01L"/>
    <x v="96"/>
    <s v="PEN SA"/>
    <x v="7"/>
    <x v="37"/>
  </r>
  <r>
    <x v="100"/>
    <s v="144152X-01L"/>
    <x v="97"/>
    <s v="PEN SA"/>
    <x v="16"/>
    <x v="14"/>
  </r>
  <r>
    <x v="101"/>
    <s v="144179X-01L"/>
    <x v="98"/>
    <s v="PEN SA"/>
    <x v="2"/>
    <x v="40"/>
  </r>
  <r>
    <x v="102"/>
    <s v="144179X-02L"/>
    <x v="99"/>
    <s v="PEN SA"/>
    <x v="2"/>
    <x v="3"/>
  </r>
  <r>
    <x v="103"/>
    <s v="144182X-01L"/>
    <x v="100"/>
    <s v="PEN SA"/>
    <x v="2"/>
    <x v="4"/>
  </r>
  <r>
    <x v="104"/>
    <s v="144193X-01L"/>
    <x v="101"/>
    <s v="PEN SA"/>
    <x v="3"/>
    <x v="15"/>
  </r>
  <r>
    <x v="105"/>
    <s v="144193X-02L"/>
    <x v="102"/>
    <s v="PEN SA"/>
    <x v="3"/>
    <x v="49"/>
  </r>
  <r>
    <x v="106"/>
    <s v="144196X-01L"/>
    <x v="103"/>
    <s v="PEN SA"/>
    <x v="3"/>
    <x v="50"/>
  </r>
  <r>
    <x v="107"/>
    <s v="144199X-01L"/>
    <x v="104"/>
    <s v="PEN SA"/>
    <x v="3"/>
    <x v="51"/>
  </r>
  <r>
    <x v="108"/>
    <s v="144592X-01L"/>
    <x v="105"/>
    <s v="PEN SA"/>
    <x v="16"/>
    <x v="9"/>
  </r>
  <r>
    <x v="109"/>
    <s v="144705X-01L"/>
    <x v="106"/>
    <s v="PEN SA"/>
    <x v="17"/>
    <x v="52"/>
  </r>
  <r>
    <x v="110"/>
    <s v="144705X-02L"/>
    <x v="107"/>
    <s v="PEN SA"/>
    <x v="17"/>
    <x v="53"/>
  </r>
  <r>
    <x v="111"/>
    <s v="144765X-01L"/>
    <x v="108"/>
    <s v="PEN SA"/>
    <x v="16"/>
    <x v="6"/>
  </r>
  <r>
    <x v="112"/>
    <s v="144787X-01L"/>
    <x v="109"/>
    <s v="PEN SA"/>
    <x v="2"/>
    <x v="37"/>
  </r>
  <r>
    <x v="113"/>
    <s v="144797X-01L"/>
    <x v="110"/>
    <s v="PEN SA"/>
    <x v="2"/>
    <x v="54"/>
  </r>
  <r>
    <x v="114"/>
    <s v="145006X-01L"/>
    <x v="111"/>
    <s v="PEN SA"/>
    <x v="7"/>
    <x v="6"/>
  </r>
  <r>
    <x v="115"/>
    <s v="145536X-01L"/>
    <x v="112"/>
    <s v="PEN SA"/>
    <x v="0"/>
    <x v="38"/>
  </r>
  <r>
    <x v="116"/>
    <s v="145536X-21L"/>
    <x v="113"/>
    <s v="PEN SA"/>
    <x v="0"/>
    <x v="55"/>
  </r>
  <r>
    <x v="117"/>
    <s v="145561X-01L"/>
    <x v="114"/>
    <s v="PEN SA"/>
    <x v="7"/>
    <x v="21"/>
  </r>
  <r>
    <x v="118"/>
    <s v="145581X-01L"/>
    <x v="115"/>
    <s v="PEN SA"/>
    <x v="1"/>
    <x v="9"/>
  </r>
  <r>
    <x v="119"/>
    <s v="145624X-01L"/>
    <x v="116"/>
    <s v="PEN SA"/>
    <x v="1"/>
    <x v="9"/>
  </r>
  <r>
    <x v="120"/>
    <s v="145627X-01L"/>
    <x v="117"/>
    <s v="PEN SA"/>
    <x v="1"/>
    <x v="9"/>
  </r>
  <r>
    <x v="121"/>
    <s v="145630X-01L"/>
    <x v="118"/>
    <s v="PEN SA"/>
    <x v="1"/>
    <x v="47"/>
  </r>
  <r>
    <x v="122"/>
    <s v="145697X-01L"/>
    <x v="18"/>
    <s v="PEN SA"/>
    <x v="1"/>
    <x v="7"/>
  </r>
  <r>
    <x v="123"/>
    <s v="145831X-01L"/>
    <x v="119"/>
    <s v="PEN SA"/>
    <x v="8"/>
    <x v="7"/>
  </r>
  <r>
    <x v="124"/>
    <s v="145834X-01L"/>
    <x v="120"/>
    <s v="PEN SA"/>
    <x v="8"/>
    <x v="7"/>
  </r>
  <r>
    <x v="125"/>
    <s v="145837X-01L"/>
    <x v="121"/>
    <s v="PEN SA"/>
    <x v="8"/>
    <x v="32"/>
  </r>
  <r>
    <x v="126"/>
    <s v="145840X-01L"/>
    <x v="122"/>
    <s v="PEN SA"/>
    <x v="9"/>
    <x v="55"/>
  </r>
  <r>
    <x v="127"/>
    <s v="145843X-01L"/>
    <x v="123"/>
    <s v="PEN SA"/>
    <x v="2"/>
    <x v="56"/>
  </r>
  <r>
    <x v="128"/>
    <s v="145871X-01L"/>
    <x v="124"/>
    <s v="PEN SA"/>
    <x v="3"/>
    <x v="15"/>
  </r>
  <r>
    <x v="129"/>
    <s v="145871X-02L"/>
    <x v="125"/>
    <s v="PEN SA"/>
    <x v="3"/>
    <x v="49"/>
  </r>
  <r>
    <x v="130"/>
    <s v="145871X-55L"/>
    <x v="126"/>
    <s v="PEN SA"/>
    <x v="3"/>
    <x v="40"/>
  </r>
  <r>
    <x v="131"/>
    <s v="146351X-01L"/>
    <x v="127"/>
    <s v="PEN SA"/>
    <x v="1"/>
    <x v="9"/>
  </r>
  <r>
    <x v="132"/>
    <s v="146354X-01L"/>
    <x v="128"/>
    <s v="PEN SA"/>
    <x v="1"/>
    <x v="57"/>
  </r>
  <r>
    <x v="133"/>
    <s v="146354X-01L"/>
    <x v="128"/>
    <s v="PEN SA"/>
    <x v="1"/>
    <x v="44"/>
  </r>
  <r>
    <x v="134"/>
    <s v="146411X-01L"/>
    <x v="129"/>
    <s v="PEN SA"/>
    <x v="1"/>
    <x v="10"/>
  </r>
  <r>
    <x v="135"/>
    <s v="146412X-01L"/>
    <x v="130"/>
    <s v="PEN SA"/>
    <x v="1"/>
    <x v="10"/>
  </r>
  <r>
    <x v="136"/>
    <s v="146413X-01L"/>
    <x v="131"/>
    <s v="PEN SA"/>
    <x v="1"/>
    <x v="10"/>
  </r>
  <r>
    <x v="137"/>
    <s v="146414X-01L"/>
    <x v="132"/>
    <s v="PEN SA"/>
    <x v="1"/>
    <x v="10"/>
  </r>
  <r>
    <x v="138"/>
    <s v="146439X-01L"/>
    <x v="133"/>
    <s v="PEN SA"/>
    <x v="17"/>
    <x v="58"/>
  </r>
  <r>
    <x v="139"/>
    <s v="146455X-01L"/>
    <x v="134"/>
    <s v="PEN SA"/>
    <x v="7"/>
    <x v="55"/>
  </r>
  <r>
    <x v="140"/>
    <s v="146589X-01L"/>
    <x v="135"/>
    <s v="PEN SA"/>
    <x v="2"/>
    <x v="59"/>
  </r>
  <r>
    <x v="141"/>
    <s v="146763X-01"/>
    <x v="136"/>
    <s v="PEN SA"/>
    <x v="1"/>
    <x v="15"/>
  </r>
  <r>
    <x v="142"/>
    <s v="146764X-01"/>
    <x v="137"/>
    <s v="PEN SA"/>
    <x v="1"/>
    <x v="47"/>
  </r>
  <r>
    <x v="143"/>
    <s v="146873X-01L"/>
    <x v="138"/>
    <s v="PEN SA"/>
    <x v="7"/>
    <x v="24"/>
  </r>
  <r>
    <x v="144"/>
    <s v="146967X-01L"/>
    <x v="139"/>
    <s v="PEN SA"/>
    <x v="7"/>
    <x v="60"/>
  </r>
  <r>
    <x v="145"/>
    <s v="146975X-01L"/>
    <x v="140"/>
    <s v="PEN SA"/>
    <x v="7"/>
    <x v="61"/>
  </r>
  <r>
    <x v="146"/>
    <s v="146976X-01L"/>
    <x v="141"/>
    <s v="PEN SA"/>
    <x v="7"/>
    <x v="62"/>
  </r>
  <r>
    <x v="147"/>
    <s v="146977X-01L"/>
    <x v="142"/>
    <s v="PEN SA"/>
    <x v="7"/>
    <x v="63"/>
  </r>
  <r>
    <x v="148"/>
    <s v="146982X-01L"/>
    <x v="143"/>
    <s v="PEN SA"/>
    <x v="7"/>
    <x v="64"/>
  </r>
  <r>
    <x v="149"/>
    <s v="146998X-01L"/>
    <x v="144"/>
    <s v="PEN SA"/>
    <x v="11"/>
    <x v="55"/>
  </r>
  <r>
    <x v="150"/>
    <s v="147001X-01L"/>
    <x v="145"/>
    <s v="PEN SA"/>
    <x v="11"/>
    <x v="55"/>
  </r>
  <r>
    <x v="151"/>
    <s v="147026X-01L"/>
    <x v="146"/>
    <s v="PEN SA"/>
    <x v="7"/>
    <x v="65"/>
  </r>
  <r>
    <x v="152"/>
    <s v="147054X-01L"/>
    <x v="147"/>
    <s v="PEN SA"/>
    <x v="1"/>
    <x v="15"/>
  </r>
  <r>
    <x v="153"/>
    <s v="147054X-01L"/>
    <x v="147"/>
    <s v="PEN SA"/>
    <x v="1"/>
    <x v="6"/>
  </r>
  <r>
    <x v="154"/>
    <s v="147164X-01L"/>
    <x v="148"/>
    <s v="PEN SA"/>
    <x v="9"/>
    <x v="66"/>
  </r>
  <r>
    <x v="155"/>
    <s v="147183X-01L"/>
    <x v="149"/>
    <s v="PEN SA"/>
    <x v="7"/>
    <x v="44"/>
  </r>
  <r>
    <x v="156"/>
    <s v="147257X-02"/>
    <x v="150"/>
    <s v="PEN SA"/>
    <x v="1"/>
    <x v="0"/>
  </r>
  <r>
    <x v="157"/>
    <s v="147257X-03"/>
    <x v="151"/>
    <s v="PEN SA"/>
    <x v="1"/>
    <x v="14"/>
  </r>
  <r>
    <x v="158"/>
    <s v="147257X-04"/>
    <x v="152"/>
    <s v="PEN SA"/>
    <x v="1"/>
    <x v="47"/>
  </r>
  <r>
    <x v="159"/>
    <s v="147257X-05"/>
    <x v="153"/>
    <s v="PEN SA"/>
    <x v="1"/>
    <x v="9"/>
  </r>
  <r>
    <x v="160"/>
    <s v="147257X-06"/>
    <x v="154"/>
    <s v="PEN SA"/>
    <x v="1"/>
    <x v="18"/>
  </r>
  <r>
    <x v="161"/>
    <s v="147257X-22L"/>
    <x v="155"/>
    <s v="PEN SA"/>
    <x v="1"/>
    <x v="30"/>
  </r>
  <r>
    <x v="162"/>
    <s v="147257X-23L"/>
    <x v="156"/>
    <s v="PEN SA"/>
    <x v="1"/>
    <x v="62"/>
  </r>
  <r>
    <x v="163"/>
    <s v="147257X-24L"/>
    <x v="157"/>
    <s v="PEN SA"/>
    <x v="1"/>
    <x v="59"/>
  </r>
  <r>
    <x v="164"/>
    <s v="147257X-25L"/>
    <x v="158"/>
    <s v="PEN SA"/>
    <x v="1"/>
    <x v="67"/>
  </r>
  <r>
    <x v="165"/>
    <s v="147257X-26L"/>
    <x v="159"/>
    <s v="PEN SA"/>
    <x v="1"/>
    <x v="68"/>
  </r>
  <r>
    <x v="166"/>
    <s v="147257X-33L"/>
    <x v="160"/>
    <s v="PEN SA"/>
    <x v="1"/>
    <x v="62"/>
  </r>
  <r>
    <x v="167"/>
    <s v="147261X-01L"/>
    <x v="161"/>
    <s v="PEN SA"/>
    <x v="16"/>
    <x v="47"/>
  </r>
  <r>
    <x v="168"/>
    <s v="147269X-01"/>
    <x v="162"/>
    <s v="PEN SA"/>
    <x v="1"/>
    <x v="16"/>
  </r>
  <r>
    <x v="169"/>
    <s v="147305X-01L"/>
    <x v="163"/>
    <s v="PEN SA"/>
    <x v="7"/>
    <x v="16"/>
  </r>
  <r>
    <x v="170"/>
    <s v="147305X-02L"/>
    <x v="164"/>
    <s v="PEN SA"/>
    <x v="7"/>
    <x v="3"/>
  </r>
  <r>
    <x v="171"/>
    <s v="147309X-01L"/>
    <x v="165"/>
    <s v="PEN SA"/>
    <x v="2"/>
    <x v="69"/>
  </r>
  <r>
    <x v="172"/>
    <s v="147372X-01L"/>
    <x v="166"/>
    <s v="PEN SA"/>
    <x v="2"/>
    <x v="24"/>
  </r>
  <r>
    <x v="173"/>
    <s v="147872X-01L"/>
    <x v="167"/>
    <s v="PEN SA"/>
    <x v="1"/>
    <x v="0"/>
  </r>
  <r>
    <x v="174"/>
    <s v="147880X-02L"/>
    <x v="168"/>
    <s v="PEN SA"/>
    <x v="1"/>
    <x v="36"/>
  </r>
  <r>
    <x v="175"/>
    <s v="147915X-01"/>
    <x v="169"/>
    <s v="PEN SA"/>
    <x v="5"/>
    <x v="47"/>
  </r>
  <r>
    <x v="176"/>
    <s v="147931X-01L"/>
    <x v="170"/>
    <s v="PEN SA"/>
    <x v="7"/>
    <x v="13"/>
  </r>
  <r>
    <x v="177"/>
    <s v="147931X-03L"/>
    <x v="171"/>
    <s v="PEN SA"/>
    <x v="7"/>
    <x v="9"/>
  </r>
  <r>
    <x v="178"/>
    <s v="147932X-01L"/>
    <x v="172"/>
    <s v="PEN SA"/>
    <x v="7"/>
    <x v="0"/>
  </r>
  <r>
    <x v="179"/>
    <s v="147932X-03L"/>
    <x v="173"/>
    <s v="PEN SA"/>
    <x v="7"/>
    <x v="3"/>
  </r>
  <r>
    <x v="180"/>
    <s v="147976X-01L"/>
    <x v="174"/>
    <s v="PEN SA"/>
    <x v="1"/>
    <x v="9"/>
  </r>
  <r>
    <x v="181"/>
    <s v="147979X-01L"/>
    <x v="175"/>
    <s v="PEN SA"/>
    <x v="1"/>
    <x v="70"/>
  </r>
  <r>
    <x v="182"/>
    <s v="148002X-01"/>
    <x v="176"/>
    <s v="PEN SA"/>
    <x v="0"/>
    <x v="7"/>
  </r>
  <r>
    <x v="183"/>
    <s v="148110X-01L"/>
    <x v="177"/>
    <s v="PEN SA"/>
    <x v="1"/>
    <x v="12"/>
  </r>
  <r>
    <x v="184"/>
    <s v="148110X-02L"/>
    <x v="178"/>
    <s v="PEN SA"/>
    <x v="1"/>
    <x v="71"/>
  </r>
  <r>
    <x v="185"/>
    <s v="148126X-01L"/>
    <x v="179"/>
    <s v="PEN SA"/>
    <x v="1"/>
    <x v="32"/>
  </r>
  <r>
    <x v="186"/>
    <s v="148161X-01L"/>
    <x v="180"/>
    <s v="PEN SA"/>
    <x v="7"/>
    <x v="54"/>
  </r>
  <r>
    <x v="187"/>
    <s v="148247X-01L"/>
    <x v="181"/>
    <s v="PEN SA"/>
    <x v="1"/>
    <x v="57"/>
  </r>
  <r>
    <x v="188"/>
    <s v="148549X-01L"/>
    <x v="182"/>
    <s v="PEN SA"/>
    <x v="17"/>
    <x v="72"/>
  </r>
  <r>
    <x v="189"/>
    <s v="148549X-02L"/>
    <x v="183"/>
    <s v="PEN SA"/>
    <x v="17"/>
    <x v="73"/>
  </r>
  <r>
    <x v="190"/>
    <s v="148549X-03L"/>
    <x v="184"/>
    <s v="PEN SA"/>
    <x v="17"/>
    <x v="74"/>
  </r>
  <r>
    <x v="191"/>
    <s v="148549X-04L"/>
    <x v="185"/>
    <s v="PEN SA"/>
    <x v="17"/>
    <x v="75"/>
  </r>
  <r>
    <x v="192"/>
    <s v="148549X-05L"/>
    <x v="186"/>
    <s v="PEN SA"/>
    <x v="17"/>
    <x v="21"/>
  </r>
  <r>
    <x v="193"/>
    <s v="148549X-06L"/>
    <x v="187"/>
    <s v="PEN SA"/>
    <x v="17"/>
    <x v="47"/>
  </r>
  <r>
    <x v="194"/>
    <s v="148617X-01L"/>
    <x v="188"/>
    <s v="PEN SA"/>
    <x v="1"/>
    <x v="0"/>
  </r>
  <r>
    <x v="195"/>
    <s v="148691X-01L"/>
    <x v="189"/>
    <s v="PEN SA"/>
    <x v="4"/>
    <x v="66"/>
  </r>
  <r>
    <x v="196"/>
    <s v="148777X-01L"/>
    <x v="190"/>
    <s v="PEN SA"/>
    <x v="1"/>
    <x v="1"/>
  </r>
  <r>
    <x v="197"/>
    <s v="148778X-01L"/>
    <x v="191"/>
    <s v="PEN SA"/>
    <x v="1"/>
    <x v="76"/>
  </r>
  <r>
    <x v="198"/>
    <s v="148779X-01L"/>
    <x v="192"/>
    <s v="PEN SA"/>
    <x v="1"/>
    <x v="15"/>
  </r>
  <r>
    <x v="199"/>
    <s v="148781X-01L"/>
    <x v="193"/>
    <s v="PEN SA"/>
    <x v="1"/>
    <x v="0"/>
  </r>
  <r>
    <x v="200"/>
    <s v="148782X-01L"/>
    <x v="194"/>
    <s v="PEN SA"/>
    <x v="1"/>
    <x v="10"/>
  </r>
  <r>
    <x v="201"/>
    <s v="148782X-02L"/>
    <x v="195"/>
    <s v="PEN SA"/>
    <x v="13"/>
    <x v="76"/>
  </r>
  <r>
    <x v="202"/>
    <s v="148782X-03L"/>
    <x v="196"/>
    <s v="PEN SA"/>
    <x v="1"/>
    <x v="6"/>
  </r>
  <r>
    <x v="203"/>
    <s v="148798X-01L"/>
    <x v="197"/>
    <s v="PEN SA"/>
    <x v="4"/>
    <x v="3"/>
  </r>
  <r>
    <x v="204"/>
    <s v="148798X-55L"/>
    <x v="198"/>
    <s v="PEN SA"/>
    <x v="4"/>
    <x v="41"/>
  </r>
  <r>
    <x v="205"/>
    <s v="148821X-01L"/>
    <x v="199"/>
    <s v="PEN SA"/>
    <x v="1"/>
    <x v="77"/>
  </r>
  <r>
    <x v="206"/>
    <s v="148822X-01L"/>
    <x v="200"/>
    <s v="PEN SA"/>
    <x v="1"/>
    <x v="33"/>
  </r>
  <r>
    <x v="207"/>
    <s v="148823X-01L"/>
    <x v="201"/>
    <s v="PEN SA"/>
    <x v="1"/>
    <x v="60"/>
  </r>
  <r>
    <x v="208"/>
    <s v="148824X-01L"/>
    <x v="202"/>
    <s v="PEN SA"/>
    <x v="1"/>
    <x v="78"/>
  </r>
  <r>
    <x v="209"/>
    <s v="148825X-01L"/>
    <x v="203"/>
    <s v="PEN SA"/>
    <x v="1"/>
    <x v="10"/>
  </r>
  <r>
    <x v="210"/>
    <s v="148830X-01L"/>
    <x v="204"/>
    <s v="PEN SA"/>
    <x v="1"/>
    <x v="13"/>
  </r>
  <r>
    <x v="211"/>
    <s v="148836X-01L"/>
    <x v="205"/>
    <s v="PEN SA"/>
    <x v="1"/>
    <x v="79"/>
  </r>
  <r>
    <x v="212"/>
    <s v="148868X-02L"/>
    <x v="206"/>
    <s v="PEN SA"/>
    <x v="11"/>
    <x v="80"/>
  </r>
  <r>
    <x v="213"/>
    <s v="148882X-01L"/>
    <x v="207"/>
    <s v="PEN SA"/>
    <x v="11"/>
    <x v="81"/>
  </r>
  <r>
    <x v="214"/>
    <s v="148905X-01L"/>
    <x v="208"/>
    <s v="PEN SA"/>
    <x v="1"/>
    <x v="82"/>
  </r>
  <r>
    <x v="215"/>
    <s v="148933X-01L"/>
    <x v="209"/>
    <s v="PEN SA"/>
    <x v="3"/>
    <x v="83"/>
  </r>
  <r>
    <x v="216"/>
    <s v="148933X-01L"/>
    <x v="209"/>
    <s v="PEN SA"/>
    <x v="2"/>
    <x v="0"/>
  </r>
  <r>
    <x v="217"/>
    <s v="148936X-01L"/>
    <x v="210"/>
    <s v="PEN SA"/>
    <x v="3"/>
    <x v="84"/>
  </r>
  <r>
    <x v="218"/>
    <s v="149021X-03L"/>
    <x v="211"/>
    <s v="PEN SA"/>
    <x v="3"/>
    <x v="85"/>
  </r>
  <r>
    <x v="219"/>
    <s v="149021X-04L"/>
    <x v="212"/>
    <s v="PEN SA"/>
    <x v="3"/>
    <x v="30"/>
  </r>
  <r>
    <x v="220"/>
    <s v="149021X-06L"/>
    <x v="213"/>
    <s v="PEN SA"/>
    <x v="3"/>
    <x v="23"/>
  </r>
  <r>
    <x v="221"/>
    <s v="149021X-07L"/>
    <x v="214"/>
    <s v="PEN SA"/>
    <x v="3"/>
    <x v="14"/>
  </r>
  <r>
    <x v="222"/>
    <s v="149021X-211L"/>
    <x v="215"/>
    <s v="PEN SA"/>
    <x v="3"/>
    <x v="6"/>
  </r>
  <r>
    <x v="223"/>
    <s v="149021X-55L"/>
    <x v="216"/>
    <s v="PEN SA"/>
    <x v="3"/>
    <x v="66"/>
  </r>
  <r>
    <x v="224"/>
    <s v="149108X-01L"/>
    <x v="217"/>
    <s v="PEN SA"/>
    <x v="7"/>
    <x v="23"/>
  </r>
  <r>
    <x v="225"/>
    <s v="149108X-02L"/>
    <x v="218"/>
    <s v="PEN SA"/>
    <x v="7"/>
    <x v="78"/>
  </r>
  <r>
    <x v="226"/>
    <s v="149134X-01L"/>
    <x v="219"/>
    <s v="PEN SA"/>
    <x v="3"/>
    <x v="86"/>
  </r>
  <r>
    <x v="227"/>
    <s v="149134X-02L"/>
    <x v="219"/>
    <s v="PEN SA"/>
    <x v="2"/>
    <x v="47"/>
  </r>
  <r>
    <x v="228"/>
    <s v="149170X-01L"/>
    <x v="220"/>
    <s v="PEN SA"/>
    <x v="1"/>
    <x v="10"/>
  </r>
  <r>
    <x v="229"/>
    <s v="149173X-01L"/>
    <x v="221"/>
    <s v="PEN SA"/>
    <x v="1"/>
    <x v="9"/>
  </r>
  <r>
    <x v="230"/>
    <s v="149176X-01L"/>
    <x v="222"/>
    <s v="PEN SA"/>
    <x v="1"/>
    <x v="6"/>
  </r>
  <r>
    <x v="231"/>
    <s v="149239X-01L"/>
    <x v="223"/>
    <s v="PEN SA"/>
    <x v="8"/>
    <x v="15"/>
  </r>
  <r>
    <x v="232"/>
    <s v="149239X-02L"/>
    <x v="224"/>
    <s v="PEN SA"/>
    <x v="8"/>
    <x v="15"/>
  </r>
  <r>
    <x v="233"/>
    <s v="149458X-01L"/>
    <x v="225"/>
    <s v="PEN SA"/>
    <x v="11"/>
    <x v="87"/>
  </r>
  <r>
    <x v="234"/>
    <s v="149555X-01L"/>
    <x v="226"/>
    <s v="PEN SA"/>
    <x v="1"/>
    <x v="88"/>
  </r>
  <r>
    <x v="235"/>
    <s v="149556X-01L"/>
    <x v="227"/>
    <s v="PEN SA"/>
    <x v="1"/>
    <x v="89"/>
  </r>
  <r>
    <x v="236"/>
    <s v="149725X-01L"/>
    <x v="228"/>
    <s v="PEN SA"/>
    <x v="1"/>
    <x v="82"/>
  </r>
  <r>
    <x v="237"/>
    <s v="149726X-01L"/>
    <x v="229"/>
    <s v="PEN SA"/>
    <x v="1"/>
    <x v="89"/>
  </r>
  <r>
    <x v="238"/>
    <s v="149772X-01L"/>
    <x v="230"/>
    <s v="PEN SA"/>
    <x v="17"/>
    <x v="90"/>
  </r>
  <r>
    <x v="239"/>
    <s v="149868X-01L"/>
    <x v="231"/>
    <s v="PEN SA"/>
    <x v="1"/>
    <x v="91"/>
  </r>
  <r>
    <x v="240"/>
    <s v="149869X-01L"/>
    <x v="232"/>
    <s v="PEN SA"/>
    <x v="1"/>
    <x v="68"/>
  </r>
  <r>
    <x v="241"/>
    <s v="149899X-01L"/>
    <x v="233"/>
    <s v="PEN SA"/>
    <x v="1"/>
    <x v="92"/>
  </r>
  <r>
    <x v="242"/>
    <s v="149900X-01L"/>
    <x v="234"/>
    <s v="PEN SA"/>
    <x v="3"/>
    <x v="93"/>
  </r>
  <r>
    <x v="243"/>
    <s v="149903X-01L"/>
    <x v="235"/>
    <s v="PEN SA"/>
    <x v="3"/>
    <x v="94"/>
  </r>
  <r>
    <x v="244"/>
    <s v="149917X-01L"/>
    <x v="236"/>
    <s v="PEN SA"/>
    <x v="1"/>
    <x v="95"/>
  </r>
  <r>
    <x v="245"/>
    <s v="149918X-01L"/>
    <x v="237"/>
    <s v="PEN SA"/>
    <x v="1"/>
    <x v="95"/>
  </r>
  <r>
    <x v="246"/>
    <s v="150173X-012L"/>
    <x v="238"/>
    <s v="PEN SA"/>
    <x v="9"/>
    <x v="26"/>
  </r>
  <r>
    <x v="247"/>
    <s v="150592X-06L"/>
    <x v="239"/>
    <s v="PEN SA"/>
    <x v="9"/>
    <x v="57"/>
  </r>
  <r>
    <x v="248"/>
    <s v="150898X-01L"/>
    <x v="240"/>
    <s v="PEN SA"/>
    <x v="9"/>
    <x v="6"/>
  </r>
  <r>
    <x v="249"/>
    <s v="150914X-01L"/>
    <x v="241"/>
    <s v="PEN SA"/>
    <x v="9"/>
    <x v="36"/>
  </r>
  <r>
    <x v="250"/>
    <s v="151136X-01L"/>
    <x v="242"/>
    <s v="PEN SA"/>
    <x v="0"/>
    <x v="7"/>
  </r>
  <r>
    <x v="251"/>
    <s v="151509X-01"/>
    <x v="243"/>
    <s v="PEN SA"/>
    <x v="12"/>
    <x v="96"/>
  </r>
  <r>
    <x v="252"/>
    <s v="151637X-01L"/>
    <x v="244"/>
    <s v="PEN SA"/>
    <x v="0"/>
    <x v="97"/>
  </r>
  <r>
    <x v="253"/>
    <s v="151637X-01L"/>
    <x v="244"/>
    <s v="PEN SA"/>
    <x v="0"/>
    <x v="3"/>
  </r>
  <r>
    <x v="254"/>
    <s v="151757X-01"/>
    <x v="245"/>
    <s v="PEN SA"/>
    <x v="12"/>
    <x v="1"/>
  </r>
  <r>
    <x v="255"/>
    <s v="151809X-02L"/>
    <x v="246"/>
    <s v="PEN SA"/>
    <x v="0"/>
    <x v="98"/>
  </r>
  <r>
    <x v="256"/>
    <s v="151961X-02L"/>
    <x v="247"/>
    <s v="PEN SA"/>
    <x v="11"/>
    <x v="99"/>
  </r>
  <r>
    <x v="257"/>
    <s v="151961X-02L"/>
    <x v="247"/>
    <s v="PEN SA"/>
    <x v="11"/>
    <x v="100"/>
  </r>
  <r>
    <x v="258"/>
    <s v="151961X-02L"/>
    <x v="247"/>
    <s v="PEN SA"/>
    <x v="11"/>
    <x v="101"/>
  </r>
  <r>
    <x v="259"/>
    <s v="151964X-02L"/>
    <x v="248"/>
    <s v="PEN SA"/>
    <x v="0"/>
    <x v="34"/>
  </r>
  <r>
    <x v="260"/>
    <s v="151967X-03L"/>
    <x v="249"/>
    <s v="PEN SA"/>
    <x v="11"/>
    <x v="59"/>
  </r>
  <r>
    <x v="261"/>
    <s v="151967X-11L"/>
    <x v="250"/>
    <s v="PEN SA"/>
    <x v="11"/>
    <x v="102"/>
  </r>
  <r>
    <x v="262"/>
    <s v="151967X-11L"/>
    <x v="250"/>
    <s v="PEN SA"/>
    <x v="11"/>
    <x v="101"/>
  </r>
  <r>
    <x v="263"/>
    <s v="151988X-02L"/>
    <x v="251"/>
    <s v="PEN SA"/>
    <x v="9"/>
    <x v="103"/>
  </r>
  <r>
    <x v="264"/>
    <s v="152008X-01L"/>
    <x v="252"/>
    <s v="PEN SA"/>
    <x v="0"/>
    <x v="104"/>
  </r>
  <r>
    <x v="265"/>
    <s v="152014X-01L"/>
    <x v="253"/>
    <s v="PEN SA"/>
    <x v="0"/>
    <x v="34"/>
  </r>
  <r>
    <x v="266"/>
    <s v="152034X-012L"/>
    <x v="254"/>
    <s v="PEN SA"/>
    <x v="9"/>
    <x v="7"/>
  </r>
  <r>
    <x v="267"/>
    <s v="152115X-01L"/>
    <x v="255"/>
    <s v="PEN SA"/>
    <x v="0"/>
    <x v="57"/>
  </r>
  <r>
    <x v="268"/>
    <s v="152179X-01L"/>
    <x v="256"/>
    <s v="PEN SA"/>
    <x v="0"/>
    <x v="105"/>
  </r>
  <r>
    <x v="269"/>
    <s v="152224X-01L"/>
    <x v="257"/>
    <s v="PEN SA"/>
    <x v="0"/>
    <x v="106"/>
  </r>
  <r>
    <x v="270"/>
    <s v="152404X-01L"/>
    <x v="258"/>
    <s v="PEN SA"/>
    <x v="0"/>
    <x v="107"/>
  </r>
  <r>
    <x v="271"/>
    <s v="152532X-01L"/>
    <x v="259"/>
    <s v="PEN SA"/>
    <x v="11"/>
    <x v="108"/>
  </r>
  <r>
    <x v="272"/>
    <s v="152535X-01L"/>
    <x v="260"/>
    <s v="PEN SA"/>
    <x v="11"/>
    <x v="109"/>
  </r>
  <r>
    <x v="273"/>
    <s v="152573X-01L"/>
    <x v="261"/>
    <s v="PEN SA"/>
    <x v="0"/>
    <x v="79"/>
  </r>
  <r>
    <x v="274"/>
    <s v="152574X-01L"/>
    <x v="262"/>
    <s v="PEN SA"/>
    <x v="11"/>
    <x v="51"/>
  </r>
  <r>
    <x v="275"/>
    <s v="152888X-01L"/>
    <x v="263"/>
    <s v="PEN SA"/>
    <x v="14"/>
    <x v="33"/>
  </r>
  <r>
    <x v="276"/>
    <s v="152983X-01"/>
    <x v="264"/>
    <s v="PEN SA"/>
    <x v="12"/>
    <x v="9"/>
  </r>
  <r>
    <x v="277"/>
    <s v="153012X-01"/>
    <x v="265"/>
    <s v="PEN SA"/>
    <x v="12"/>
    <x v="56"/>
  </r>
  <r>
    <x v="278"/>
    <s v="153097X-01L"/>
    <x v="266"/>
    <s v="PEN SA"/>
    <x v="9"/>
    <x v="110"/>
  </r>
  <r>
    <x v="279"/>
    <s v="153100X-01L"/>
    <x v="267"/>
    <s v="PEN SA"/>
    <x v="9"/>
    <x v="88"/>
  </r>
  <r>
    <x v="280"/>
    <s v="153197X-01L"/>
    <x v="268"/>
    <s v="PEN SA"/>
    <x v="8"/>
    <x v="30"/>
  </r>
  <r>
    <x v="281"/>
    <s v="153304X-01L"/>
    <x v="269"/>
    <s v="PEN SA"/>
    <x v="7"/>
    <x v="111"/>
  </r>
  <r>
    <x v="282"/>
    <s v="153304X-02L"/>
    <x v="270"/>
    <s v="PEN SA"/>
    <x v="7"/>
    <x v="112"/>
  </r>
  <r>
    <x v="283"/>
    <s v="153363X-06L"/>
    <x v="271"/>
    <s v="PEN SA"/>
    <x v="9"/>
    <x v="68"/>
  </r>
  <r>
    <x v="284"/>
    <s v="153839X-01L"/>
    <x v="272"/>
    <s v="PEN SA"/>
    <x v="7"/>
    <x v="113"/>
  </r>
  <r>
    <x v="285"/>
    <s v="153839X-02L"/>
    <x v="273"/>
    <s v="PEN SA"/>
    <x v="7"/>
    <x v="99"/>
  </r>
  <r>
    <x v="286"/>
    <s v="153839X-11L"/>
    <x v="274"/>
    <s v="PEN SA"/>
    <x v="7"/>
    <x v="80"/>
  </r>
  <r>
    <x v="287"/>
    <s v="153839X-12L"/>
    <x v="275"/>
    <s v="PEN SA"/>
    <x v="7"/>
    <x v="60"/>
  </r>
  <r>
    <x v="288"/>
    <s v="153842X-01L"/>
    <x v="276"/>
    <s v="PEN SA"/>
    <x v="7"/>
    <x v="38"/>
  </r>
  <r>
    <x v="289"/>
    <s v="153869X-01L"/>
    <x v="277"/>
    <s v="PEN SA"/>
    <x v="0"/>
    <x v="114"/>
  </r>
  <r>
    <x v="290"/>
    <s v="153933X-01L"/>
    <x v="278"/>
    <s v="PEN SA"/>
    <x v="7"/>
    <x v="115"/>
  </r>
  <r>
    <x v="291"/>
    <s v="153933X-03L"/>
    <x v="279"/>
    <s v="PEN SA"/>
    <x v="7"/>
    <x v="48"/>
  </r>
  <r>
    <x v="292"/>
    <s v="153933X-11L"/>
    <x v="280"/>
    <s v="PEN SA"/>
    <x v="7"/>
    <x v="116"/>
  </r>
  <r>
    <x v="293"/>
    <s v="153933X-13L"/>
    <x v="281"/>
    <s v="PEN SA"/>
    <x v="7"/>
    <x v="88"/>
  </r>
  <r>
    <x v="294"/>
    <s v="153980X-01L"/>
    <x v="282"/>
    <s v="PEN SA"/>
    <x v="0"/>
    <x v="57"/>
  </r>
  <r>
    <x v="295"/>
    <s v="154004X-01L"/>
    <x v="283"/>
    <s v="PEN SA"/>
    <x v="9"/>
    <x v="117"/>
  </r>
  <r>
    <x v="296"/>
    <s v="154019X-04L"/>
    <x v="284"/>
    <s v="PEN SA"/>
    <x v="9"/>
    <x v="118"/>
  </r>
  <r>
    <x v="297"/>
    <s v="154019X-02L"/>
    <x v="285"/>
    <s v="PEN SA"/>
    <x v="9"/>
    <x v="119"/>
  </r>
  <r>
    <x v="298"/>
    <s v="154027X-01L"/>
    <x v="286"/>
    <s v="PEN SA"/>
    <x v="8"/>
    <x v="71"/>
  </r>
  <r>
    <x v="299"/>
    <s v="154027X-01L"/>
    <x v="287"/>
    <s v="PEN SA"/>
    <x v="8"/>
    <x v="14"/>
  </r>
  <r>
    <x v="300"/>
    <s v="154030X-01L"/>
    <x v="288"/>
    <s v="PEN SA"/>
    <x v="8"/>
    <x v="120"/>
  </r>
  <r>
    <x v="301"/>
    <s v="154030X-01L"/>
    <x v="288"/>
    <s v="PEN SA"/>
    <x v="8"/>
    <x v="14"/>
  </r>
  <r>
    <x v="302"/>
    <s v="154033X-01L"/>
    <x v="289"/>
    <s v="PEN SA"/>
    <x v="8"/>
    <x v="82"/>
  </r>
  <r>
    <x v="303"/>
    <s v="154036X-01L"/>
    <x v="290"/>
    <s v="PEN SA"/>
    <x v="8"/>
    <x v="88"/>
  </r>
  <r>
    <x v="304"/>
    <s v="154036X-01L"/>
    <x v="290"/>
    <s v="PEN SA"/>
    <x v="8"/>
    <x v="121"/>
  </r>
  <r>
    <x v="305"/>
    <s v="154062X-01L"/>
    <x v="291"/>
    <s v="PEN SA"/>
    <x v="7"/>
    <x v="29"/>
  </r>
  <r>
    <x v="306"/>
    <s v="154062X-02L"/>
    <x v="292"/>
    <s v="PEN SA"/>
    <x v="7"/>
    <x v="15"/>
  </r>
  <r>
    <x v="307"/>
    <s v="154062X-04L"/>
    <x v="293"/>
    <s v="PEN SA"/>
    <x v="7"/>
    <x v="122"/>
  </r>
  <r>
    <x v="308"/>
    <s v="154062X-05L"/>
    <x v="294"/>
    <s v="PEN SA"/>
    <x v="7"/>
    <x v="123"/>
  </r>
  <r>
    <x v="309"/>
    <s v="154062X-07L"/>
    <x v="295"/>
    <s v="PEN SA"/>
    <x v="7"/>
    <x v="59"/>
  </r>
  <r>
    <x v="310"/>
    <s v="154062X-03L"/>
    <x v="296"/>
    <s v="PEN SA"/>
    <x v="7"/>
    <x v="4"/>
  </r>
  <r>
    <x v="311"/>
    <s v="154062X-06L"/>
    <x v="297"/>
    <s v="PEN SA"/>
    <x v="7"/>
    <x v="3"/>
  </r>
  <r>
    <x v="312"/>
    <s v="154104X-01L"/>
    <x v="298"/>
    <s v="PEN SA"/>
    <x v="0"/>
    <x v="124"/>
  </r>
  <r>
    <x v="313"/>
    <s v="154107X-01L"/>
    <x v="299"/>
    <s v="PEN SA"/>
    <x v="0"/>
    <x v="125"/>
  </r>
  <r>
    <x v="314"/>
    <s v="154119X-01L"/>
    <x v="300"/>
    <s v="PEN SA"/>
    <x v="15"/>
    <x v="108"/>
  </r>
  <r>
    <x v="315"/>
    <s v="154129X-01L"/>
    <x v="301"/>
    <s v="PEN SA"/>
    <x v="9"/>
    <x v="126"/>
  </r>
  <r>
    <x v="316"/>
    <s v="154132X-01L"/>
    <x v="302"/>
    <s v="PEN SA"/>
    <x v="9"/>
    <x v="127"/>
  </r>
  <r>
    <x v="317"/>
    <s v="154132X-02L"/>
    <x v="303"/>
    <s v="PEN SA"/>
    <x v="9"/>
    <x v="128"/>
  </r>
  <r>
    <x v="318"/>
    <s v="154166X-912L"/>
    <x v="304"/>
    <s v="PEN SA"/>
    <x v="9"/>
    <x v="15"/>
  </r>
  <r>
    <x v="319"/>
    <s v="154185X-01L"/>
    <x v="305"/>
    <s v="PEN SA"/>
    <x v="8"/>
    <x v="44"/>
  </r>
  <r>
    <x v="320"/>
    <s v="154195X-01"/>
    <x v="306"/>
    <s v="PEN SA"/>
    <x v="12"/>
    <x v="99"/>
  </r>
  <r>
    <x v="321"/>
    <s v="154197X-01"/>
    <x v="307"/>
    <s v="PEN SA"/>
    <x v="12"/>
    <x v="99"/>
  </r>
  <r>
    <x v="322"/>
    <s v="154198X-01"/>
    <x v="308"/>
    <s v="PEN SA"/>
    <x v="12"/>
    <x v="59"/>
  </r>
  <r>
    <x v="323"/>
    <s v="154204X-01"/>
    <x v="309"/>
    <s v="PEN SA"/>
    <x v="12"/>
    <x v="59"/>
  </r>
  <r>
    <x v="324"/>
    <s v="154205X-01"/>
    <x v="310"/>
    <s v="PEN SA"/>
    <x v="12"/>
    <x v="59"/>
  </r>
  <r>
    <x v="325"/>
    <s v="154261X-01L"/>
    <x v="311"/>
    <s v="PEN SA"/>
    <x v="15"/>
    <x v="129"/>
  </r>
  <r>
    <x v="326"/>
    <s v="154294X-01L"/>
    <x v="312"/>
    <s v="PEN SA"/>
    <x v="17"/>
    <x v="130"/>
  </r>
  <r>
    <x v="327"/>
    <s v="154321X-01L"/>
    <x v="313"/>
    <s v="PEN SA"/>
    <x v="15"/>
    <x v="131"/>
  </r>
  <r>
    <x v="328"/>
    <s v="154349X-02L"/>
    <x v="314"/>
    <s v="PEN SA"/>
    <x v="7"/>
    <x v="132"/>
  </r>
  <r>
    <x v="329"/>
    <s v="154349X-01L"/>
    <x v="315"/>
    <s v="PEN SA"/>
    <x v="7"/>
    <x v="131"/>
  </r>
  <r>
    <x v="330"/>
    <s v="154377X-01"/>
    <x v="316"/>
    <s v="PEN SA"/>
    <x v="12"/>
    <x v="133"/>
  </r>
  <r>
    <x v="331"/>
    <s v="154378X-01"/>
    <x v="317"/>
    <s v="PEN SA"/>
    <x v="12"/>
    <x v="133"/>
  </r>
  <r>
    <x v="332"/>
    <s v="154383X-01"/>
    <x v="318"/>
    <s v="PEN SA"/>
    <x v="12"/>
    <x v="57"/>
  </r>
  <r>
    <x v="333"/>
    <s v="154439X-01L"/>
    <x v="319"/>
    <s v="PEN SA"/>
    <x v="0"/>
    <x v="15"/>
  </r>
  <r>
    <x v="334"/>
    <s v="154471X-01L"/>
    <x v="320"/>
    <s v="PEN SA"/>
    <x v="9"/>
    <x v="134"/>
  </r>
  <r>
    <x v="335"/>
    <s v="154544X-01L"/>
    <x v="321"/>
    <s v="PEN SA"/>
    <x v="8"/>
    <x v="135"/>
  </r>
  <r>
    <x v="336"/>
    <s v="154573X-01L"/>
    <x v="322"/>
    <s v="PEN SA"/>
    <x v="7"/>
    <x v="72"/>
  </r>
  <r>
    <x v="337"/>
    <s v="154573X-02L"/>
    <x v="323"/>
    <s v="PEN SA"/>
    <x v="7"/>
    <x v="136"/>
  </r>
  <r>
    <x v="338"/>
    <s v="154664X-02L"/>
    <x v="324"/>
    <s v="PEN SA"/>
    <x v="9"/>
    <x v="137"/>
  </r>
  <r>
    <x v="339"/>
    <s v="154685X-01"/>
    <x v="325"/>
    <s v="PEN SA"/>
    <x v="12"/>
    <x v="138"/>
  </r>
  <r>
    <x v="340"/>
    <s v="154688X-01"/>
    <x v="326"/>
    <s v="PEN SA"/>
    <x v="12"/>
    <x v="139"/>
  </r>
  <r>
    <x v="341"/>
    <s v="154905X-01L"/>
    <x v="327"/>
    <s v="PEN SA"/>
    <x v="7"/>
    <x v="140"/>
  </r>
  <r>
    <x v="342"/>
    <s v="154909X-912L"/>
    <x v="328"/>
    <s v="PEN SA"/>
    <x v="9"/>
    <x v="62"/>
  </r>
  <r>
    <x v="343"/>
    <s v="154909X-012L"/>
    <x v="329"/>
    <s v="PEN SA"/>
    <x v="9"/>
    <x v="141"/>
  </r>
  <r>
    <x v="344"/>
    <s v="154911X-012L"/>
    <x v="330"/>
    <s v="PEN SA"/>
    <x v="9"/>
    <x v="3"/>
  </r>
  <r>
    <x v="345"/>
    <s v="154911X-912L"/>
    <x v="331"/>
    <s v="PEN SA"/>
    <x v="9"/>
    <x v="60"/>
  </r>
  <r>
    <x v="346"/>
    <s v="154962X-02L"/>
    <x v="332"/>
    <s v="PEN SA"/>
    <x v="11"/>
    <x v="142"/>
  </r>
  <r>
    <x v="347"/>
    <s v="155108X-01L"/>
    <x v="333"/>
    <s v="PEN SA"/>
    <x v="8"/>
    <x v="143"/>
  </r>
  <r>
    <x v="348"/>
    <s v="155111X-01L"/>
    <x v="334"/>
    <s v="PEN SA"/>
    <x v="8"/>
    <x v="101"/>
  </r>
  <r>
    <x v="349"/>
    <s v="155111X-01L"/>
    <x v="334"/>
    <s v="PEN SA"/>
    <x v="8"/>
    <x v="144"/>
  </r>
  <r>
    <x v="350"/>
    <s v="155129X-01L"/>
    <x v="335"/>
    <s v="PEN SA"/>
    <x v="8"/>
    <x v="13"/>
  </r>
  <r>
    <x v="351"/>
    <s v="155129X-02L"/>
    <x v="336"/>
    <s v="PEN SA"/>
    <x v="8"/>
    <x v="6"/>
  </r>
  <r>
    <x v="352"/>
    <s v="155186X-012L"/>
    <x v="337"/>
    <s v="PEN SA"/>
    <x v="9"/>
    <x v="9"/>
  </r>
  <r>
    <x v="353"/>
    <s v="155186X-011L"/>
    <x v="338"/>
    <s v="PEN SA"/>
    <x v="9"/>
    <x v="39"/>
  </r>
  <r>
    <x v="354"/>
    <s v="155186X-111L"/>
    <x v="339"/>
    <s v="PEN SA"/>
    <x v="9"/>
    <x v="145"/>
  </r>
  <r>
    <x v="355"/>
    <s v="155186X-311L"/>
    <x v="340"/>
    <s v="PEN SA"/>
    <x v="9"/>
    <x v="146"/>
  </r>
  <r>
    <x v="356"/>
    <s v="155186X-351L"/>
    <x v="341"/>
    <s v="PEN SA"/>
    <x v="9"/>
    <x v="73"/>
  </r>
  <r>
    <x v="357"/>
    <s v="155199X-01L"/>
    <x v="342"/>
    <s v="PEN SA"/>
    <x v="17"/>
    <x v="147"/>
  </r>
  <r>
    <x v="358"/>
    <s v="155213X-01L"/>
    <x v="343"/>
    <s v="PEN SA"/>
    <x v="17"/>
    <x v="148"/>
  </r>
  <r>
    <x v="359"/>
    <s v="155361X-02L"/>
    <x v="344"/>
    <s v="PEN SA"/>
    <x v="18"/>
    <x v="44"/>
  </r>
  <r>
    <x v="360"/>
    <s v="155364X-01L"/>
    <x v="345"/>
    <s v="PEN SA"/>
    <x v="18"/>
    <x v="12"/>
  </r>
  <r>
    <x v="361"/>
    <s v="155367X-01L"/>
    <x v="346"/>
    <s v="PEN SA"/>
    <x v="18"/>
    <x v="10"/>
  </r>
  <r>
    <x v="362"/>
    <s v="155387X-02L"/>
    <x v="347"/>
    <s v="PEN SA"/>
    <x v="9"/>
    <x v="15"/>
  </r>
  <r>
    <x v="363"/>
    <s v="155431X-01L"/>
    <x v="348"/>
    <s v="PEN SA"/>
    <x v="17"/>
    <x v="15"/>
  </r>
  <r>
    <x v="364"/>
    <s v="155505X-01L"/>
    <x v="349"/>
    <s v="PEN SA"/>
    <x v="18"/>
    <x v="15"/>
  </r>
  <r>
    <x v="365"/>
    <s v="155600X-11L"/>
    <x v="350"/>
    <s v="PEN SA"/>
    <x v="18"/>
    <x v="21"/>
  </r>
  <r>
    <x v="366"/>
    <s v="155623X-01L"/>
    <x v="351"/>
    <s v="PEN SA"/>
    <x v="0"/>
    <x v="144"/>
  </r>
  <r>
    <x v="367"/>
    <s v="155623X-11L"/>
    <x v="352"/>
    <s v="PEN SA"/>
    <x v="0"/>
    <x v="73"/>
  </r>
  <r>
    <x v="368"/>
    <s v="155627X-01L"/>
    <x v="353"/>
    <s v="PEN SA"/>
    <x v="0"/>
    <x v="57"/>
  </r>
  <r>
    <x v="369"/>
    <s v="155646X-01L"/>
    <x v="354"/>
    <s v="PEN SA"/>
    <x v="7"/>
    <x v="0"/>
  </r>
  <r>
    <x v="370"/>
    <s v="155660X-01"/>
    <x v="355"/>
    <s v="PEN SA"/>
    <x v="12"/>
    <x v="47"/>
  </r>
  <r>
    <x v="371"/>
    <s v="155664X-01"/>
    <x v="356"/>
    <s v="PEN SA"/>
    <x v="12"/>
    <x v="47"/>
  </r>
  <r>
    <x v="372"/>
    <s v="155776X-01L"/>
    <x v="357"/>
    <s v="PEN SA"/>
    <x v="8"/>
    <x v="6"/>
  </r>
  <r>
    <x v="373"/>
    <s v="155779X-01L"/>
    <x v="358"/>
    <s v="PEN SA"/>
    <x v="8"/>
    <x v="24"/>
  </r>
  <r>
    <x v="374"/>
    <s v="155803X-01"/>
    <x v="359"/>
    <s v="PEN SA"/>
    <x v="12"/>
    <x v="149"/>
  </r>
  <r>
    <x v="375"/>
    <s v="155804X-01"/>
    <x v="360"/>
    <s v="PEN SA"/>
    <x v="12"/>
    <x v="51"/>
  </r>
  <r>
    <x v="376"/>
    <s v="155937X-01L"/>
    <x v="361"/>
    <s v="PEN SA"/>
    <x v="7"/>
    <x v="60"/>
  </r>
  <r>
    <x v="377"/>
    <s v="155937X-02L"/>
    <x v="362"/>
    <s v="PEN SA"/>
    <x v="7"/>
    <x v="23"/>
  </r>
  <r>
    <x v="378"/>
    <s v="155937X-11L"/>
    <x v="363"/>
    <s v="PEN SA"/>
    <x v="7"/>
    <x v="121"/>
  </r>
  <r>
    <x v="379"/>
    <s v="156072X-02L"/>
    <x v="364"/>
    <s v="PEN SA"/>
    <x v="8"/>
    <x v="21"/>
  </r>
  <r>
    <x v="380"/>
    <s v="156094X-01L"/>
    <x v="365"/>
    <s v="PEN SA"/>
    <x v="2"/>
    <x v="66"/>
  </r>
  <r>
    <x v="381"/>
    <s v="156097X-01L"/>
    <x v="366"/>
    <s v="PEN SA"/>
    <x v="2"/>
    <x v="66"/>
  </r>
  <r>
    <x v="382"/>
    <s v="156106X-01L"/>
    <x v="367"/>
    <s v="PEN SA"/>
    <x v="2"/>
    <x v="18"/>
  </r>
  <r>
    <x v="383"/>
    <s v="156112X-01L"/>
    <x v="368"/>
    <s v="PEN SA"/>
    <x v="2"/>
    <x v="3"/>
  </r>
  <r>
    <x v="384"/>
    <s v="156229X-01L"/>
    <x v="369"/>
    <s v="PEN SA"/>
    <x v="7"/>
    <x v="150"/>
  </r>
  <r>
    <x v="385"/>
    <s v="156229X-11L"/>
    <x v="370"/>
    <s v="PEN SA"/>
    <x v="7"/>
    <x v="51"/>
  </r>
  <r>
    <x v="386"/>
    <s v="156229X-12L"/>
    <x v="371"/>
    <s v="PEN SA"/>
    <x v="7"/>
    <x v="64"/>
  </r>
  <r>
    <x v="387"/>
    <s v="156229X-02L"/>
    <x v="372"/>
    <s v="PEN SA"/>
    <x v="7"/>
    <x v="151"/>
  </r>
  <r>
    <x v="388"/>
    <s v="156252X-011L"/>
    <x v="373"/>
    <s v="PEN SA"/>
    <x v="9"/>
    <x v="15"/>
  </r>
  <r>
    <x v="389"/>
    <s v="156263X-01L"/>
    <x v="374"/>
    <s v="PEN SA"/>
    <x v="7"/>
    <x v="152"/>
  </r>
  <r>
    <x v="390"/>
    <s v="156312X-01L"/>
    <x v="375"/>
    <s v="PEN SA"/>
    <x v="8"/>
    <x v="3"/>
  </r>
  <r>
    <x v="391"/>
    <s v="156333X-01L"/>
    <x v="376"/>
    <s v="PEN SA"/>
    <x v="7"/>
    <x v="153"/>
  </r>
  <r>
    <x v="392"/>
    <s v="156396X-01L"/>
    <x v="377"/>
    <s v="PEN SA"/>
    <x v="11"/>
    <x v="154"/>
  </r>
  <r>
    <x v="393"/>
    <s v="156396X-01L"/>
    <x v="377"/>
    <s v="PEN SA"/>
    <x v="11"/>
    <x v="81"/>
  </r>
  <r>
    <x v="394"/>
    <s v="156408X-01L"/>
    <x v="378"/>
    <s v="PEN SA"/>
    <x v="7"/>
    <x v="34"/>
  </r>
  <r>
    <x v="395"/>
    <s v="156411X-01L"/>
    <x v="379"/>
    <s v="PEN SA"/>
    <x v="7"/>
    <x v="56"/>
  </r>
  <r>
    <x v="396"/>
    <s v="156444X-01L"/>
    <x v="380"/>
    <s v="PEN SA"/>
    <x v="8"/>
    <x v="7"/>
  </r>
  <r>
    <x v="397"/>
    <s v="156485X-01L"/>
    <x v="381"/>
    <s v="PEN SA"/>
    <x v="7"/>
    <x v="14"/>
  </r>
  <r>
    <x v="398"/>
    <s v="156485X-05L"/>
    <x v="382"/>
    <s v="PEN SA"/>
    <x v="7"/>
    <x v="14"/>
  </r>
  <r>
    <x v="399"/>
    <s v="156485X-11L"/>
    <x v="383"/>
    <s v="PEN SA"/>
    <x v="7"/>
    <x v="9"/>
  </r>
  <r>
    <x v="400"/>
    <s v="156485X-12L"/>
    <x v="384"/>
    <s v="PEN SA"/>
    <x v="7"/>
    <x v="78"/>
  </r>
  <r>
    <x v="401"/>
    <s v="156485X-13L"/>
    <x v="385"/>
    <s v="PEN SA"/>
    <x v="7"/>
    <x v="33"/>
  </r>
  <r>
    <x v="402"/>
    <s v="156485X-15L"/>
    <x v="386"/>
    <s v="PEN SA"/>
    <x v="7"/>
    <x v="9"/>
  </r>
  <r>
    <x v="403"/>
    <s v="156485X-17L"/>
    <x v="387"/>
    <s v="PEN SA"/>
    <x v="7"/>
    <x v="73"/>
  </r>
  <r>
    <x v="404"/>
    <s v="156485X-09L"/>
    <x v="388"/>
    <s v="PEN SA"/>
    <x v="7"/>
    <x v="155"/>
  </r>
  <r>
    <x v="405"/>
    <s v="156485X-10L"/>
    <x v="389"/>
    <s v="PEN SA"/>
    <x v="7"/>
    <x v="125"/>
  </r>
  <r>
    <x v="406"/>
    <s v="156485X-21L"/>
    <x v="390"/>
    <s v="PEN SA"/>
    <x v="7"/>
    <x v="3"/>
  </r>
  <r>
    <x v="407"/>
    <s v="156485X-22L"/>
    <x v="391"/>
    <s v="PEN SA"/>
    <x v="7"/>
    <x v="29"/>
  </r>
  <r>
    <x v="408"/>
    <s v="156485X-24L"/>
    <x v="392"/>
    <s v="PEN SA"/>
    <x v="7"/>
    <x v="156"/>
  </r>
  <r>
    <x v="409"/>
    <s v="156485X-04L"/>
    <x v="393"/>
    <s v="PEN SA"/>
    <x v="7"/>
    <x v="157"/>
  </r>
  <r>
    <x v="410"/>
    <s v="156485X-08L"/>
    <x v="394"/>
    <s v="PEN SA"/>
    <x v="7"/>
    <x v="120"/>
  </r>
  <r>
    <x v="411"/>
    <s v="156521X-011L"/>
    <x v="395"/>
    <s v="PEN SA"/>
    <x v="9"/>
    <x v="39"/>
  </r>
  <r>
    <x v="412"/>
    <s v="156521X-012L"/>
    <x v="396"/>
    <s v="PEN SA"/>
    <x v="9"/>
    <x v="8"/>
  </r>
  <r>
    <x v="413"/>
    <s v="156521X-022L"/>
    <x v="397"/>
    <s v="PEN SA"/>
    <x v="9"/>
    <x v="66"/>
  </r>
  <r>
    <x v="414"/>
    <s v="156521X-111L"/>
    <x v="398"/>
    <s v="PEN SA"/>
    <x v="9"/>
    <x v="1"/>
  </r>
  <r>
    <x v="415"/>
    <s v="156521X-112L"/>
    <x v="399"/>
    <s v="PEN SA"/>
    <x v="9"/>
    <x v="115"/>
  </r>
  <r>
    <x v="416"/>
    <s v="156521X-311L"/>
    <x v="400"/>
    <s v="PEN SA"/>
    <x v="9"/>
    <x v="158"/>
  </r>
  <r>
    <x v="417"/>
    <s v="156521X-352L"/>
    <x v="401"/>
    <s v="PEN SA"/>
    <x v="9"/>
    <x v="56"/>
  </r>
  <r>
    <x v="418"/>
    <s v="156602X-01L"/>
    <x v="402"/>
    <s v="PEN SA"/>
    <x v="1"/>
    <x v="13"/>
  </r>
  <r>
    <x v="419"/>
    <s v="156603X-01L"/>
    <x v="403"/>
    <s v="PEN SA"/>
    <x v="1"/>
    <x v="141"/>
  </r>
  <r>
    <x v="420"/>
    <s v="156629X-01L"/>
    <x v="404"/>
    <s v="PEN SA"/>
    <x v="13"/>
    <x v="14"/>
  </r>
  <r>
    <x v="421"/>
    <s v="156673X-01L"/>
    <x v="405"/>
    <s v="PEN SA"/>
    <x v="11"/>
    <x v="144"/>
  </r>
  <r>
    <x v="422"/>
    <s v="156673X-01L"/>
    <x v="405"/>
    <s v="PEN SA"/>
    <x v="11"/>
    <x v="6"/>
  </r>
  <r>
    <x v="423"/>
    <s v="156777X-01L"/>
    <x v="406"/>
    <s v="PEN SA"/>
    <x v="7"/>
    <x v="159"/>
  </r>
  <r>
    <x v="424"/>
    <s v="156780X-01L"/>
    <x v="407"/>
    <s v="PEN SA"/>
    <x v="7"/>
    <x v="92"/>
  </r>
  <r>
    <x v="425"/>
    <s v="156803X-04L"/>
    <x v="408"/>
    <s v="PEN SA"/>
    <x v="9"/>
    <x v="160"/>
  </r>
  <r>
    <x v="426"/>
    <s v="156803X-01L"/>
    <x v="409"/>
    <s v="PEN SA"/>
    <x v="9"/>
    <x v="77"/>
  </r>
  <r>
    <x v="427"/>
    <s v="156874X-01L"/>
    <x v="410"/>
    <s v="PEN SA"/>
    <x v="9"/>
    <x v="161"/>
  </r>
  <r>
    <x v="428"/>
    <s v="156874X-02L"/>
    <x v="411"/>
    <s v="PEN SA"/>
    <x v="9"/>
    <x v="73"/>
  </r>
  <r>
    <x v="429"/>
    <s v="156874X-04L"/>
    <x v="412"/>
    <s v="PEN SA"/>
    <x v="9"/>
    <x v="162"/>
  </r>
  <r>
    <x v="430"/>
    <s v="156877X-01L"/>
    <x v="413"/>
    <s v="PEN SA"/>
    <x v="9"/>
    <x v="68"/>
  </r>
  <r>
    <x v="431"/>
    <s v="156886X-01L"/>
    <x v="414"/>
    <s v="PEN SA"/>
    <x v="2"/>
    <x v="2"/>
  </r>
  <r>
    <x v="432"/>
    <s v="156968X-012L"/>
    <x v="415"/>
    <s v="PEN SA"/>
    <x v="9"/>
    <x v="15"/>
  </r>
  <r>
    <x v="433"/>
    <s v="156968X-011L"/>
    <x v="416"/>
    <s v="PEN SA"/>
    <x v="9"/>
    <x v="37"/>
  </r>
  <r>
    <x v="434"/>
    <s v="156968X-111L"/>
    <x v="417"/>
    <s v="PEN SA"/>
    <x v="9"/>
    <x v="163"/>
  </r>
  <r>
    <x v="435"/>
    <s v="156968X-311L"/>
    <x v="418"/>
    <s v="PEN SA"/>
    <x v="9"/>
    <x v="121"/>
  </r>
  <r>
    <x v="436"/>
    <s v="157089X-01L"/>
    <x v="419"/>
    <s v="PEN SA"/>
    <x v="8"/>
    <x v="32"/>
  </r>
  <r>
    <x v="437"/>
    <s v="157089X-02L"/>
    <x v="420"/>
    <s v="PEN SA"/>
    <x v="8"/>
    <x v="0"/>
  </r>
  <r>
    <x v="438"/>
    <s v="157089X-03L"/>
    <x v="421"/>
    <s v="PEN SA"/>
    <x v="8"/>
    <x v="56"/>
  </r>
  <r>
    <x v="439"/>
    <s v="157089X-04L"/>
    <x v="422"/>
    <s v="PEN SA"/>
    <x v="8"/>
    <x v="76"/>
  </r>
  <r>
    <x v="440"/>
    <s v="157093X-01L"/>
    <x v="423"/>
    <s v="PEN SA"/>
    <x v="8"/>
    <x v="164"/>
  </r>
  <r>
    <x v="441"/>
    <s v="157206X-01"/>
    <x v="424"/>
    <s v="PEN SA"/>
    <x v="15"/>
    <x v="33"/>
  </r>
  <r>
    <x v="442"/>
    <s v="157298X-01L"/>
    <x v="425"/>
    <s v="PEN SA"/>
    <x v="9"/>
    <x v="165"/>
  </r>
  <r>
    <x v="443"/>
    <s v="157298X-02L"/>
    <x v="426"/>
    <s v="PEN SA"/>
    <x v="9"/>
    <x v="44"/>
  </r>
  <r>
    <x v="444"/>
    <s v="157549X-01L"/>
    <x v="427"/>
    <s v="PEN SA"/>
    <x v="0"/>
    <x v="160"/>
  </r>
  <r>
    <x v="445"/>
    <s v="157549X-01L"/>
    <x v="427"/>
    <s v="PEN SA"/>
    <x v="0"/>
    <x v="166"/>
  </r>
  <r>
    <x v="446"/>
    <s v="157549X-03L"/>
    <x v="428"/>
    <s v="PEN SA"/>
    <x v="0"/>
    <x v="72"/>
  </r>
  <r>
    <x v="447"/>
    <s v="157680X-01L"/>
    <x v="429"/>
    <s v="PEN SA"/>
    <x v="8"/>
    <x v="167"/>
  </r>
  <r>
    <x v="448"/>
    <s v="157749X-01L"/>
    <x v="430"/>
    <s v="PEN SA"/>
    <x v="15"/>
    <x v="99"/>
  </r>
  <r>
    <x v="449"/>
    <s v="157758X-01L"/>
    <x v="431"/>
    <s v="PEN SA"/>
    <x v="15"/>
    <x v="13"/>
  </r>
  <r>
    <x v="450"/>
    <s v="157766X-01L"/>
    <x v="432"/>
    <s v="PEN SA"/>
    <x v="13"/>
    <x v="15"/>
  </r>
  <r>
    <x v="451"/>
    <s v="157918X-01L"/>
    <x v="433"/>
    <s v="PEN SA"/>
    <x v="13"/>
    <x v="9"/>
  </r>
  <r>
    <x v="452"/>
    <s v="157921X-01L"/>
    <x v="434"/>
    <s v="PEN SA"/>
    <x v="13"/>
    <x v="40"/>
  </r>
  <r>
    <x v="453"/>
    <s v="157932X-01L"/>
    <x v="435"/>
    <s v="PEN SA"/>
    <x v="9"/>
    <x v="116"/>
  </r>
  <r>
    <x v="454"/>
    <s v="157946X-01L"/>
    <x v="436"/>
    <s v="PEN SA"/>
    <x v="7"/>
    <x v="168"/>
  </r>
  <r>
    <x v="455"/>
    <s v="157960X-01L"/>
    <x v="437"/>
    <s v="PEN SA"/>
    <x v="8"/>
    <x v="167"/>
  </r>
  <r>
    <x v="456"/>
    <s v="157963X-01L"/>
    <x v="438"/>
    <s v="PEN SA"/>
    <x v="8"/>
    <x v="169"/>
  </r>
  <r>
    <x v="457"/>
    <s v="157977X-01L"/>
    <x v="439"/>
    <s v="PEN SA"/>
    <x v="15"/>
    <x v="10"/>
  </r>
  <r>
    <x v="458"/>
    <s v="158079X-01L"/>
    <x v="440"/>
    <s v="PEN SA"/>
    <x v="15"/>
    <x v="101"/>
  </r>
  <r>
    <x v="459"/>
    <s v="158127X-01L"/>
    <x v="441"/>
    <s v="PEN SA"/>
    <x v="8"/>
    <x v="47"/>
  </r>
  <r>
    <x v="460"/>
    <s v="158130X-01L"/>
    <x v="442"/>
    <s v="PEN SA"/>
    <x v="8"/>
    <x v="57"/>
  </r>
  <r>
    <x v="461"/>
    <s v="158130X-01L"/>
    <x v="442"/>
    <s v="PEN SA"/>
    <x v="8"/>
    <x v="14"/>
  </r>
  <r>
    <x v="462"/>
    <s v="158166X-013L"/>
    <x v="443"/>
    <s v="PEN SA"/>
    <x v="9"/>
    <x v="47"/>
  </r>
  <r>
    <x v="463"/>
    <s v="158166X-111L"/>
    <x v="444"/>
    <s v="PEN SA"/>
    <x v="9"/>
    <x v="7"/>
  </r>
  <r>
    <x v="464"/>
    <s v="158166X-011L"/>
    <x v="445"/>
    <s v="PEN SA"/>
    <x v="9"/>
    <x v="37"/>
  </r>
  <r>
    <x v="465"/>
    <s v="158166X-021L"/>
    <x v="446"/>
    <s v="PEN SA"/>
    <x v="9"/>
    <x v="6"/>
  </r>
  <r>
    <x v="466"/>
    <s v="158166X-111L"/>
    <x v="447"/>
    <s v="PEN SA"/>
    <x v="9"/>
    <x v="132"/>
  </r>
  <r>
    <x v="467"/>
    <s v="158166X-112L"/>
    <x v="448"/>
    <s v="PEN SA"/>
    <x v="9"/>
    <x v="6"/>
  </r>
  <r>
    <x v="468"/>
    <s v="158166X-121L"/>
    <x v="449"/>
    <s v="PEN SA"/>
    <x v="9"/>
    <x v="29"/>
  </r>
  <r>
    <x v="469"/>
    <s v="158166X-911L"/>
    <x v="450"/>
    <s v="PEN SA"/>
    <x v="9"/>
    <x v="53"/>
  </r>
  <r>
    <x v="470"/>
    <s v="158277X-01L"/>
    <x v="451"/>
    <s v="PEN SA"/>
    <x v="7"/>
    <x v="51"/>
  </r>
  <r>
    <x v="471"/>
    <s v="158277X-02L"/>
    <x v="452"/>
    <s v="PEN SA"/>
    <x v="7"/>
    <x v="170"/>
  </r>
  <r>
    <x v="472"/>
    <s v="158284X-01L"/>
    <x v="453"/>
    <s v="PEN SA"/>
    <x v="13"/>
    <x v="11"/>
  </r>
  <r>
    <x v="473"/>
    <s v="158340X-02L"/>
    <x v="454"/>
    <s v="PEN SA"/>
    <x v="18"/>
    <x v="14"/>
  </r>
  <r>
    <x v="474"/>
    <s v="158340X-03L"/>
    <x v="455"/>
    <s v="PEN SA"/>
    <x v="18"/>
    <x v="3"/>
  </r>
  <r>
    <x v="475"/>
    <s v="158381X-01L"/>
    <x v="456"/>
    <s v="PEN SA"/>
    <x v="0"/>
    <x v="171"/>
  </r>
  <r>
    <x v="476"/>
    <s v="158381X-02L"/>
    <x v="457"/>
    <s v="PEN SA"/>
    <x v="0"/>
    <x v="141"/>
  </r>
  <r>
    <x v="477"/>
    <s v="158395X-01L"/>
    <x v="458"/>
    <s v="PEN SA"/>
    <x v="11"/>
    <x v="162"/>
  </r>
  <r>
    <x v="478"/>
    <s v="158396X-01L"/>
    <x v="459"/>
    <s v="PEN SA"/>
    <x v="11"/>
    <x v="172"/>
  </r>
  <r>
    <x v="479"/>
    <s v="158539X-01L"/>
    <x v="460"/>
    <s v="PEN SA"/>
    <x v="0"/>
    <x v="10"/>
  </r>
  <r>
    <x v="480"/>
    <s v="158539X-01L"/>
    <x v="460"/>
    <s v="PEN SA"/>
    <x v="0"/>
    <x v="173"/>
  </r>
  <r>
    <x v="481"/>
    <s v="158671X-01L"/>
    <x v="461"/>
    <s v="PEN SA"/>
    <x v="7"/>
    <x v="152"/>
  </r>
  <r>
    <x v="482"/>
    <s v="158675X-011L"/>
    <x v="462"/>
    <s v="PEN SA"/>
    <x v="9"/>
    <x v="174"/>
  </r>
  <r>
    <x v="483"/>
    <s v="158675X-111L"/>
    <x v="463"/>
    <s v="PEN SA"/>
    <x v="9"/>
    <x v="175"/>
  </r>
  <r>
    <x v="484"/>
    <s v="158675X-311L"/>
    <x v="464"/>
    <s v="PEN SA"/>
    <x v="9"/>
    <x v="113"/>
  </r>
  <r>
    <x v="485"/>
    <s v="158675X-351L"/>
    <x v="465"/>
    <s v="PEN SA"/>
    <x v="9"/>
    <x v="176"/>
  </r>
  <r>
    <x v="486"/>
    <s v="158686X-011L"/>
    <x v="466"/>
    <s v="PEN SA"/>
    <x v="9"/>
    <x v="5"/>
  </r>
  <r>
    <x v="487"/>
    <s v="158686X-111L"/>
    <x v="467"/>
    <s v="PEN SA"/>
    <x v="9"/>
    <x v="26"/>
  </r>
  <r>
    <x v="488"/>
    <s v="158686X-311L"/>
    <x v="468"/>
    <s v="PEN SA"/>
    <x v="9"/>
    <x v="18"/>
  </r>
  <r>
    <x v="489"/>
    <s v="158686X-351L"/>
    <x v="469"/>
    <s v="PEN SA"/>
    <x v="9"/>
    <x v="73"/>
  </r>
  <r>
    <x v="490"/>
    <s v="158697X-01L"/>
    <x v="470"/>
    <s v="PEN SA"/>
    <x v="0"/>
    <x v="160"/>
  </r>
  <r>
    <x v="491"/>
    <s v="158697X-11L"/>
    <x v="471"/>
    <s v="PEN SA"/>
    <x v="0"/>
    <x v="32"/>
  </r>
  <r>
    <x v="492"/>
    <s v="158697X-21L"/>
    <x v="472"/>
    <s v="PEN SA"/>
    <x v="0"/>
    <x v="177"/>
  </r>
  <r>
    <x v="493"/>
    <s v="158697X-22L"/>
    <x v="473"/>
    <s v="PEN SA"/>
    <x v="0"/>
    <x v="171"/>
  </r>
  <r>
    <x v="494"/>
    <s v="158731X-01L"/>
    <x v="474"/>
    <s v="PEN SA"/>
    <x v="0"/>
    <x v="178"/>
  </r>
  <r>
    <x v="495"/>
    <s v="158966X-01L"/>
    <x v="475"/>
    <s v="PEN SA"/>
    <x v="0"/>
    <x v="46"/>
  </r>
  <r>
    <x v="496"/>
    <s v="158966X-21L"/>
    <x v="476"/>
    <s v="PEN SA"/>
    <x v="0"/>
    <x v="68"/>
  </r>
  <r>
    <x v="497"/>
    <s v="159034X-01L"/>
    <x v="477"/>
    <s v="PEN SA"/>
    <x v="7"/>
    <x v="179"/>
  </r>
  <r>
    <x v="498"/>
    <s v="159034X-02L"/>
    <x v="478"/>
    <s v="PEN SA"/>
    <x v="7"/>
    <x v="180"/>
  </r>
  <r>
    <x v="499"/>
    <s v="159034X-03L"/>
    <x v="479"/>
    <s v="PEN SA"/>
    <x v="7"/>
    <x v="181"/>
  </r>
  <r>
    <x v="500"/>
    <s v="159063X-01L"/>
    <x v="480"/>
    <s v="PEN SA"/>
    <x v="7"/>
    <x v="116"/>
  </r>
  <r>
    <x v="501"/>
    <s v="159063X-02L"/>
    <x v="481"/>
    <s v="PEN SA"/>
    <x v="7"/>
    <x v="33"/>
  </r>
  <r>
    <x v="502"/>
    <s v="159063X-03L"/>
    <x v="482"/>
    <s v="PEN SA"/>
    <x v="7"/>
    <x v="53"/>
  </r>
  <r>
    <x v="503"/>
    <s v="159063X-01L"/>
    <x v="480"/>
    <s v="PEN SA"/>
    <x v="7"/>
    <x v="15"/>
  </r>
  <r>
    <x v="504"/>
    <s v="159323X-01L"/>
    <x v="483"/>
    <s v="PEN SA"/>
    <x v="13"/>
    <x v="60"/>
  </r>
  <r>
    <x v="505"/>
    <s v="159572X-000L"/>
    <x v="484"/>
    <s v="PEN SA"/>
    <x v="9"/>
    <x v="121"/>
  </r>
  <r>
    <x v="506"/>
    <s v="159572X-311L"/>
    <x v="485"/>
    <s v="PEN SA"/>
    <x v="9"/>
    <x v="125"/>
  </r>
  <r>
    <x v="507"/>
    <s v="159572X-312L"/>
    <x v="486"/>
    <s v="PEN SA"/>
    <x v="9"/>
    <x v="14"/>
  </r>
  <r>
    <x v="508"/>
    <s v="159572X-352L"/>
    <x v="487"/>
    <s v="PEN SA"/>
    <x v="9"/>
    <x v="62"/>
  </r>
  <r>
    <x v="509"/>
    <s v="159572X-411L"/>
    <x v="488"/>
    <s v="PEN SA"/>
    <x v="9"/>
    <x v="8"/>
  </r>
  <r>
    <x v="510"/>
    <s v="159597X-01L"/>
    <x v="489"/>
    <s v="PEN SA"/>
    <x v="0"/>
    <x v="65"/>
  </r>
  <r>
    <x v="511"/>
    <s v="159597X-01L"/>
    <x v="489"/>
    <s v="PEN SA"/>
    <x v="0"/>
    <x v="182"/>
  </r>
  <r>
    <x v="512"/>
    <s v="159679X-01L"/>
    <x v="490"/>
    <s v="PEN SA"/>
    <x v="0"/>
    <x v="183"/>
  </r>
  <r>
    <x v="513"/>
    <s v="159682X-01"/>
    <x v="491"/>
    <s v="PEN SA"/>
    <x v="12"/>
    <x v="128"/>
  </r>
  <r>
    <x v="514"/>
    <s v="159683X-01"/>
    <x v="492"/>
    <s v="PEN SA"/>
    <x v="12"/>
    <x v="184"/>
  </r>
  <r>
    <x v="515"/>
    <s v="159684X-01"/>
    <x v="493"/>
    <s v="PEN SA"/>
    <x v="12"/>
    <x v="128"/>
  </r>
  <r>
    <x v="516"/>
    <s v="159685X-01L"/>
    <x v="494"/>
    <s v="PEN SA"/>
    <x v="7"/>
    <x v="185"/>
  </r>
  <r>
    <x v="517"/>
    <s v="159736X-01L"/>
    <x v="495"/>
    <s v="PEN SA"/>
    <x v="2"/>
    <x v="186"/>
  </r>
  <r>
    <x v="518"/>
    <s v="159741X-01L"/>
    <x v="496"/>
    <s v="PEN SA"/>
    <x v="0"/>
    <x v="168"/>
  </r>
  <r>
    <x v="519"/>
    <s v="159741X-01L"/>
    <x v="496"/>
    <s v="PEN SA"/>
    <x v="0"/>
    <x v="14"/>
  </r>
  <r>
    <x v="520"/>
    <s v="159813X-01L"/>
    <x v="497"/>
    <s v="PEN SA"/>
    <x v="14"/>
    <x v="26"/>
  </r>
  <r>
    <x v="521"/>
    <s v="159922X-01L"/>
    <x v="498"/>
    <s v="PEN SA"/>
    <x v="7"/>
    <x v="8"/>
  </r>
  <r>
    <x v="522"/>
    <s v="168100X-01L"/>
    <x v="499"/>
    <s v="PEN SA"/>
    <x v="0"/>
    <x v="14"/>
  </r>
  <r>
    <x v="523"/>
    <s v="168100X-02L"/>
    <x v="500"/>
    <s v="PEN SA"/>
    <x v="0"/>
    <x v="14"/>
  </r>
  <r>
    <x v="524"/>
    <s v="168651X-01L"/>
    <x v="501"/>
    <s v="PEN SA"/>
    <x v="19"/>
    <x v="7"/>
  </r>
  <r>
    <x v="525"/>
    <s v="170901X-03L"/>
    <x v="502"/>
    <s v="PEN SA"/>
    <x v="0"/>
    <x v="60"/>
  </r>
  <r>
    <x v="526"/>
    <s v="186055X-01L"/>
    <x v="503"/>
    <s v="PEN SA"/>
    <x v="8"/>
    <x v="0"/>
  </r>
  <r>
    <x v="527"/>
    <s v="186800X-02L"/>
    <x v="504"/>
    <s v="PEN SA"/>
    <x v="9"/>
    <x v="40"/>
  </r>
  <r>
    <x v="528"/>
    <s v="187968X-01L"/>
    <x v="505"/>
    <s v="PEN SA"/>
    <x v="0"/>
    <x v="187"/>
  </r>
  <r>
    <x v="529"/>
    <s v="188079X-01L"/>
    <x v="506"/>
    <s v="PEN SA"/>
    <x v="0"/>
    <x v="1"/>
  </r>
  <r>
    <x v="530"/>
    <s v="188129X-01L"/>
    <x v="507"/>
    <s v="PEN SA"/>
    <x v="0"/>
    <x v="1"/>
  </r>
  <r>
    <x v="531"/>
    <s v="188129X-02L"/>
    <x v="507"/>
    <s v="PEN SA"/>
    <x v="0"/>
    <x v="78"/>
  </r>
  <r>
    <x v="532"/>
    <s v="188193X-04L"/>
    <x v="508"/>
    <s v="PEN SA"/>
    <x v="0"/>
    <x v="78"/>
  </r>
  <r>
    <x v="533"/>
    <s v="188193X-01L"/>
    <x v="509"/>
    <s v="PEN SA"/>
    <x v="0"/>
    <x v="108"/>
  </r>
  <r>
    <x v="534"/>
    <s v="188193X-02L"/>
    <x v="510"/>
    <s v="PEN SA"/>
    <x v="0"/>
    <x v="188"/>
  </r>
  <r>
    <x v="535"/>
    <s v="188370X-01L"/>
    <x v="511"/>
    <s v="PEN SA"/>
    <x v="0"/>
    <x v="189"/>
  </r>
  <r>
    <x v="536"/>
    <s v="188558X-01L"/>
    <x v="512"/>
    <s v="PEN SA"/>
    <x v="8"/>
    <x v="10"/>
  </r>
  <r>
    <x v="537"/>
    <s v="188561X-01L"/>
    <x v="513"/>
    <s v="PEN SA"/>
    <x v="8"/>
    <x v="0"/>
  </r>
  <r>
    <x v="538"/>
    <s v="188564X-01L"/>
    <x v="514"/>
    <s v="PEN SA"/>
    <x v="8"/>
    <x v="0"/>
  </r>
  <r>
    <x v="539"/>
    <s v="189105X-01L"/>
    <x v="515"/>
    <s v="PEN SA"/>
    <x v="0"/>
    <x v="190"/>
  </r>
  <r>
    <x v="540"/>
    <s v="189105X-02L"/>
    <x v="515"/>
    <s v="PEN SA"/>
    <x v="0"/>
    <x v="53"/>
  </r>
  <r>
    <x v="541"/>
    <s v="189106X-01L"/>
    <x v="516"/>
    <s v="PEN SA"/>
    <x v="0"/>
    <x v="191"/>
  </r>
  <r>
    <x v="542"/>
    <s v="189718X-01L"/>
    <x v="517"/>
    <s v="PEN SA"/>
    <x v="8"/>
    <x v="76"/>
  </r>
  <r>
    <x v="543"/>
    <s v="190424X-01L"/>
    <x v="518"/>
    <s v="PEN SA"/>
    <x v="0"/>
    <x v="192"/>
  </r>
  <r>
    <x v="544"/>
    <s v="190735X-01L"/>
    <x v="519"/>
    <s v="PEN SA"/>
    <x v="9"/>
    <x v="71"/>
  </r>
  <r>
    <x v="545"/>
    <s v="190770X-01L"/>
    <x v="520"/>
    <s v="PEN SA"/>
    <x v="8"/>
    <x v="67"/>
  </r>
  <r>
    <x v="546"/>
    <s v="190793X-01L"/>
    <x v="521"/>
    <s v="PEN SA"/>
    <x v="8"/>
    <x v="14"/>
  </r>
  <r>
    <x v="547"/>
    <s v="190871X-01L"/>
    <x v="522"/>
    <s v="PEN SA"/>
    <x v="0"/>
    <x v="109"/>
  </r>
  <r>
    <x v="548"/>
    <s v="190872X-01L"/>
    <x v="523"/>
    <s v="PEN SA"/>
    <x v="8"/>
    <x v="73"/>
  </r>
  <r>
    <x v="549"/>
    <s v="191043X-01L"/>
    <x v="524"/>
    <s v="PEN SA"/>
    <x v="0"/>
    <x v="164"/>
  </r>
  <r>
    <x v="550"/>
    <s v="191238X-01L"/>
    <x v="525"/>
    <s v="PEN SA"/>
    <x v="0"/>
    <x v="164"/>
  </r>
  <r>
    <x v="551"/>
    <s v="191238X-02L"/>
    <x v="525"/>
    <s v="PEN SA"/>
    <x v="0"/>
    <x v="15"/>
  </r>
  <r>
    <x v="552"/>
    <s v="191764X-01L"/>
    <x v="526"/>
    <s v="PEN SA"/>
    <x v="8"/>
    <x v="32"/>
  </r>
  <r>
    <x v="553"/>
    <s v="191933X-01L"/>
    <x v="527"/>
    <s v="PEN SA"/>
    <x v="0"/>
    <x v="193"/>
  </r>
  <r>
    <x v="554"/>
    <s v="191933X-14L"/>
    <x v="528"/>
    <s v="PEN SA"/>
    <x v="0"/>
    <x v="98"/>
  </r>
  <r>
    <x v="555"/>
    <s v="191967X-01L"/>
    <x v="529"/>
    <s v="PEN SA"/>
    <x v="8"/>
    <x v="73"/>
  </r>
  <r>
    <x v="556"/>
    <s v="191967X-02L"/>
    <x v="530"/>
    <s v="PEN SA"/>
    <x v="8"/>
    <x v="0"/>
  </r>
  <r>
    <x v="557"/>
    <s v="191967X-03L"/>
    <x v="531"/>
    <s v="PEN SA"/>
    <x v="8"/>
    <x v="0"/>
  </r>
  <r>
    <x v="558"/>
    <s v="192011X-01L"/>
    <x v="532"/>
    <s v="PEN SA"/>
    <x v="0"/>
    <x v="141"/>
  </r>
  <r>
    <x v="559"/>
    <s v="192160X-01L"/>
    <x v="533"/>
    <s v="PEN SA"/>
    <x v="0"/>
    <x v="80"/>
  </r>
  <r>
    <x v="560"/>
    <s v="192592X-01L"/>
    <x v="534"/>
    <s v="PEN SA"/>
    <x v="0"/>
    <x v="30"/>
  </r>
  <r>
    <x v="561"/>
    <s v="192706X-01L"/>
    <x v="535"/>
    <s v="PEN SA"/>
    <x v="0"/>
    <x v="112"/>
  </r>
  <r>
    <x v="562"/>
    <s v="192951X-01L"/>
    <x v="536"/>
    <s v="PEN SA"/>
    <x v="8"/>
    <x v="194"/>
  </r>
  <r>
    <x v="563"/>
    <s v="192951X-02L"/>
    <x v="537"/>
    <s v="PEN SA"/>
    <x v="8"/>
    <x v="132"/>
  </r>
  <r>
    <x v="564"/>
    <s v="192951X-02L"/>
    <x v="537"/>
    <s v="PEN SA"/>
    <x v="8"/>
    <x v="3"/>
  </r>
  <r>
    <x v="565"/>
    <s v="193286X-04L"/>
    <x v="538"/>
    <s v="PEN SA"/>
    <x v="0"/>
    <x v="41"/>
  </r>
  <r>
    <x v="566"/>
    <s v="193286X-01L"/>
    <x v="539"/>
    <s v="PEN SA"/>
    <x v="0"/>
    <x v="72"/>
  </r>
  <r>
    <x v="567"/>
    <s v="193286X-03L"/>
    <x v="540"/>
    <s v="PEN SA"/>
    <x v="0"/>
    <x v="195"/>
  </r>
  <r>
    <x v="568"/>
    <s v="193374X-01L"/>
    <x v="541"/>
    <s v="PEN SA"/>
    <x v="8"/>
    <x v="10"/>
  </r>
  <r>
    <x v="569"/>
    <s v="193388X-01"/>
    <x v="542"/>
    <s v="PEN SA"/>
    <x v="12"/>
    <x v="164"/>
  </r>
  <r>
    <x v="570"/>
    <s v="193500X-01L"/>
    <x v="543"/>
    <s v="PEN SA"/>
    <x v="9"/>
    <x v="98"/>
  </r>
  <r>
    <x v="571"/>
    <s v="193893X-01L"/>
    <x v="544"/>
    <s v="PEN SA"/>
    <x v="0"/>
    <x v="160"/>
  </r>
  <r>
    <x v="572"/>
    <s v="193893X-02L"/>
    <x v="544"/>
    <s v="PEN SA"/>
    <x v="0"/>
    <x v="6"/>
  </r>
  <r>
    <x v="573"/>
    <s v="193895X-01L"/>
    <x v="545"/>
    <s v="PEN SA"/>
    <x v="0"/>
    <x v="160"/>
  </r>
  <r>
    <x v="574"/>
    <s v="193959X-01L"/>
    <x v="546"/>
    <s v="PEN SA"/>
    <x v="8"/>
    <x v="32"/>
  </r>
  <r>
    <x v="575"/>
    <s v="193970X-01L"/>
    <x v="547"/>
    <s v="PEN SA"/>
    <x v="9"/>
    <x v="67"/>
  </r>
  <r>
    <x v="576"/>
    <s v="193970X-02L"/>
    <x v="548"/>
    <s v="PEN SA"/>
    <x v="9"/>
    <x v="87"/>
  </r>
  <r>
    <x v="577"/>
    <s v="193977X-01L"/>
    <x v="549"/>
    <s v="PEN SA"/>
    <x v="0"/>
    <x v="196"/>
  </r>
  <r>
    <x v="578"/>
    <s v="194041X-01L"/>
    <x v="550"/>
    <s v="PEN SA"/>
    <x v="0"/>
    <x v="197"/>
  </r>
  <r>
    <x v="579"/>
    <s v="194295X-01L"/>
    <x v="551"/>
    <s v="PEN SA"/>
    <x v="0"/>
    <x v="198"/>
  </r>
  <r>
    <x v="580"/>
    <s v="194295X-02L"/>
    <x v="552"/>
    <s v="PEN SA"/>
    <x v="0"/>
    <x v="115"/>
  </r>
  <r>
    <x v="581"/>
    <s v="194402X-02L"/>
    <x v="553"/>
    <s v="PEN SA"/>
    <x v="9"/>
    <x v="36"/>
  </r>
  <r>
    <x v="582"/>
    <s v="194402X-01L"/>
    <x v="554"/>
    <s v="PEN SA"/>
    <x v="9"/>
    <x v="31"/>
  </r>
  <r>
    <x v="583"/>
    <s v="194743X-01L"/>
    <x v="555"/>
    <s v="PEN SA"/>
    <x v="0"/>
    <x v="72"/>
  </r>
  <r>
    <x v="584"/>
    <s v="194744X-01L"/>
    <x v="556"/>
    <s v="PEN SA"/>
    <x v="0"/>
    <x v="28"/>
  </r>
  <r>
    <x v="585"/>
    <s v="194744X-02L"/>
    <x v="556"/>
    <s v="PEN SA"/>
    <x v="0"/>
    <x v="9"/>
  </r>
  <r>
    <x v="586"/>
    <s v="194878X-01L"/>
    <x v="557"/>
    <s v="PEN SA"/>
    <x v="0"/>
    <x v="23"/>
  </r>
  <r>
    <x v="587"/>
    <s v="194915X-01L"/>
    <x v="558"/>
    <s v="PEN SA"/>
    <x v="0"/>
    <x v="199"/>
  </r>
  <r>
    <x v="588"/>
    <s v="194918X-01L"/>
    <x v="559"/>
    <s v="PEN SA"/>
    <x v="0"/>
    <x v="152"/>
  </r>
  <r>
    <x v="589"/>
    <s v="194975X-01"/>
    <x v="560"/>
    <s v="PEN SA"/>
    <x v="12"/>
    <x v="9"/>
  </r>
  <r>
    <x v="590"/>
    <s v="195178X-01L"/>
    <x v="561"/>
    <s v="PEN SA"/>
    <x v="0"/>
    <x v="200"/>
  </r>
  <r>
    <x v="591"/>
    <s v="195315X-01L"/>
    <x v="562"/>
    <s v="PEN SA"/>
    <x v="9"/>
    <x v="201"/>
  </r>
  <r>
    <x v="592"/>
    <s v="195321X-01L"/>
    <x v="563"/>
    <s v="PEN SA"/>
    <x v="17"/>
    <x v="105"/>
  </r>
  <r>
    <x v="593"/>
    <s v="195423X-03L"/>
    <x v="564"/>
    <s v="PEN SA"/>
    <x v="11"/>
    <x v="32"/>
  </r>
  <r>
    <x v="594"/>
    <s v="195423X-11L"/>
    <x v="565"/>
    <s v="PEN SA"/>
    <x v="11"/>
    <x v="179"/>
  </r>
  <r>
    <x v="595"/>
    <s v="195509X-01L"/>
    <x v="566"/>
    <s v="PEN SA"/>
    <x v="17"/>
    <x v="202"/>
  </r>
  <r>
    <x v="596"/>
    <s v="195581X-01L"/>
    <x v="567"/>
    <s v="PEN SA"/>
    <x v="0"/>
    <x v="151"/>
  </r>
  <r>
    <x v="597"/>
    <s v="195581X-01L"/>
    <x v="567"/>
    <s v="PEN SA"/>
    <x v="0"/>
    <x v="6"/>
  </r>
  <r>
    <x v="598"/>
    <s v="195581X-03L"/>
    <x v="568"/>
    <s v="PEN SA"/>
    <x v="0"/>
    <x v="15"/>
  </r>
  <r>
    <x v="599"/>
    <s v="195581X-01L"/>
    <x v="567"/>
    <s v="PEN SA"/>
    <x v="0"/>
    <x v="73"/>
  </r>
  <r>
    <x v="600"/>
    <s v="195581X-03L"/>
    <x v="568"/>
    <s v="PEN SA"/>
    <x v="0"/>
    <x v="185"/>
  </r>
  <r>
    <x v="601"/>
    <s v="195659X-01L"/>
    <x v="569"/>
    <s v="PEN SA"/>
    <x v="0"/>
    <x v="203"/>
  </r>
  <r>
    <x v="602"/>
    <s v="195720X-01"/>
    <x v="570"/>
    <s v="PEN SA"/>
    <x v="12"/>
    <x v="204"/>
  </r>
  <r>
    <x v="603"/>
    <s v="195721X-01"/>
    <x v="571"/>
    <s v="PEN SA"/>
    <x v="12"/>
    <x v="204"/>
  </r>
  <r>
    <x v="604"/>
    <s v="196385X-01L"/>
    <x v="572"/>
    <s v="PEN SA"/>
    <x v="8"/>
    <x v="53"/>
  </r>
  <r>
    <x v="605"/>
    <s v="196695X-01L"/>
    <x v="573"/>
    <s v="PEN SA"/>
    <x v="0"/>
    <x v="205"/>
  </r>
  <r>
    <x v="606"/>
    <s v="196744X-01L"/>
    <x v="574"/>
    <s v="PEN SA"/>
    <x v="17"/>
    <x v="60"/>
  </r>
  <r>
    <x v="607"/>
    <s v="196945X-01L"/>
    <x v="575"/>
    <s v="PEN SA"/>
    <x v="8"/>
    <x v="206"/>
  </r>
  <r>
    <x v="608"/>
    <s v="196945X-02L"/>
    <x v="575"/>
    <s v="PEN SA"/>
    <x v="8"/>
    <x v="207"/>
  </r>
  <r>
    <x v="609"/>
    <s v="196952X-01L"/>
    <x v="576"/>
    <s v="PEN SA"/>
    <x v="8"/>
    <x v="10"/>
  </r>
  <r>
    <x v="610"/>
    <s v="196972X-01L"/>
    <x v="577"/>
    <s v="PEN SA"/>
    <x v="0"/>
    <x v="30"/>
  </r>
  <r>
    <x v="611"/>
    <s v="197678X-01L"/>
    <x v="578"/>
    <s v="PEN SA"/>
    <x v="0"/>
    <x v="208"/>
  </r>
  <r>
    <x v="612"/>
    <s v="198265X-02L"/>
    <x v="579"/>
    <s v="PEN SA"/>
    <x v="8"/>
    <x v="0"/>
  </r>
  <r>
    <x v="613"/>
    <s v="198265X-03L"/>
    <x v="580"/>
    <s v="PEN SA"/>
    <x v="8"/>
    <x v="69"/>
  </r>
  <r>
    <x v="614"/>
    <s v="198265X-04L"/>
    <x v="581"/>
    <s v="PEN SA"/>
    <x v="8"/>
    <x v="7"/>
  </r>
  <r>
    <x v="615"/>
    <s v="198265X-05L"/>
    <x v="582"/>
    <s v="PEN SA"/>
    <x v="8"/>
    <x v="7"/>
  </r>
  <r>
    <x v="616"/>
    <s v="198265X-06L"/>
    <x v="583"/>
    <s v="PEN SA"/>
    <x v="8"/>
    <x v="47"/>
  </r>
  <r>
    <x v="617"/>
    <s v="198266X-01L"/>
    <x v="584"/>
    <s v="PEN SA"/>
    <x v="9"/>
    <x v="12"/>
  </r>
  <r>
    <x v="618"/>
    <s v="198570X-02L"/>
    <x v="585"/>
    <s v="PEN SA"/>
    <x v="17"/>
    <x v="209"/>
  </r>
  <r>
    <x v="619"/>
    <s v="198666X-01L"/>
    <x v="586"/>
    <s v="PEN SA"/>
    <x v="0"/>
    <x v="210"/>
  </r>
  <r>
    <x v="620"/>
    <s v="198754X-01L"/>
    <x v="587"/>
    <s v="PEN SA"/>
    <x v="0"/>
    <x v="210"/>
  </r>
  <r>
    <x v="621"/>
    <s v="198754X-02L"/>
    <x v="587"/>
    <s v="PEN SA"/>
    <x v="0"/>
    <x v="9"/>
  </r>
  <r>
    <x v="622"/>
    <s v="198787X-01"/>
    <x v="588"/>
    <s v="PEN SA"/>
    <x v="12"/>
    <x v="44"/>
  </r>
  <r>
    <x v="623"/>
    <s v="198809X-01"/>
    <x v="589"/>
    <s v="PEN SA"/>
    <x v="12"/>
    <x v="10"/>
  </r>
  <r>
    <x v="624"/>
    <s v="199042X-01L"/>
    <x v="590"/>
    <s v="PEN SA"/>
    <x v="9"/>
    <x v="211"/>
  </r>
  <r>
    <x v="625"/>
    <s v="199050X-01L"/>
    <x v="591"/>
    <s v="PEN SA"/>
    <x v="8"/>
    <x v="12"/>
  </r>
  <r>
    <x v="626"/>
    <s v="199060X-01L"/>
    <x v="592"/>
    <s v="PEN SA"/>
    <x v="8"/>
    <x v="32"/>
  </r>
  <r>
    <x v="627"/>
    <s v="199080X-01L"/>
    <x v="593"/>
    <s v="PEN SA"/>
    <x v="8"/>
    <x v="7"/>
  </r>
  <r>
    <x v="628"/>
    <s v="199116X-01L"/>
    <x v="594"/>
    <s v="PEN SA"/>
    <x v="14"/>
    <x v="6"/>
  </r>
  <r>
    <x v="629"/>
    <s v="199226X-01L"/>
    <x v="595"/>
    <s v="PEN SA"/>
    <x v="8"/>
    <x v="9"/>
  </r>
  <r>
    <x v="630"/>
    <s v="199229X-01L"/>
    <x v="596"/>
    <s v="PEN SA"/>
    <x v="8"/>
    <x v="212"/>
  </r>
  <r>
    <x v="631"/>
    <s v="199232X-01L"/>
    <x v="597"/>
    <s v="PEN SA"/>
    <x v="8"/>
    <x v="9"/>
  </r>
  <r>
    <x v="632"/>
    <s v="199365X-01L"/>
    <x v="598"/>
    <s v="PEN SA"/>
    <x v="0"/>
    <x v="213"/>
  </r>
  <r>
    <x v="633"/>
    <s v="199365X-03L"/>
    <x v="599"/>
    <s v="PEN SA"/>
    <x v="0"/>
    <x v="14"/>
  </r>
  <r>
    <x v="634"/>
    <s v="199392X-01L"/>
    <x v="600"/>
    <s v="PEN SA"/>
    <x v="9"/>
    <x v="79"/>
  </r>
  <r>
    <x v="635"/>
    <s v="199392X-02L"/>
    <x v="601"/>
    <s v="PEN SA"/>
    <x v="9"/>
    <x v="0"/>
  </r>
  <r>
    <x v="636"/>
    <s v="199436X-01L"/>
    <x v="602"/>
    <s v="PEN SA"/>
    <x v="8"/>
    <x v="32"/>
  </r>
  <r>
    <x v="637"/>
    <s v="199438X-11"/>
    <x v="603"/>
    <s v="PEN SA"/>
    <x v="8"/>
    <x v="47"/>
  </r>
  <r>
    <x v="638"/>
    <s v="199485X-03L"/>
    <x v="604"/>
    <s v="PEN SA"/>
    <x v="0"/>
    <x v="33"/>
  </r>
  <r>
    <x v="639"/>
    <s v="199485X-01L"/>
    <x v="605"/>
    <s v="PEN SA"/>
    <x v="0"/>
    <x v="214"/>
  </r>
  <r>
    <x v="640"/>
    <s v="199503X-01L"/>
    <x v="606"/>
    <s v="PEN SA"/>
    <x v="14"/>
    <x v="7"/>
  </r>
  <r>
    <x v="641"/>
    <s v="199517X-01L"/>
    <x v="607"/>
    <s v="PEN SA"/>
    <x v="8"/>
    <x v="215"/>
  </r>
  <r>
    <x v="642"/>
    <s v="199520X-01L"/>
    <x v="608"/>
    <s v="PEN SA"/>
    <x v="8"/>
    <x v="76"/>
  </r>
  <r>
    <x v="643"/>
    <s v="199523X-01L"/>
    <x v="609"/>
    <s v="PEN SA"/>
    <x v="8"/>
    <x v="8"/>
  </r>
  <r>
    <x v="644"/>
    <s v="199523X-01L"/>
    <x v="609"/>
    <s v="PEN SA"/>
    <x v="8"/>
    <x v="14"/>
  </r>
  <r>
    <x v="645"/>
    <s v="199526X-01L"/>
    <x v="610"/>
    <s v="PEN SA"/>
    <x v="8"/>
    <x v="59"/>
  </r>
  <r>
    <x v="646"/>
    <s v="199529X-01L"/>
    <x v="611"/>
    <s v="PEN SA"/>
    <x v="8"/>
    <x v="59"/>
  </r>
  <r>
    <x v="647"/>
    <s v="199536X-01L"/>
    <x v="612"/>
    <s v="PEN SA"/>
    <x v="8"/>
    <x v="32"/>
  </r>
  <r>
    <x v="648"/>
    <s v="199541X-01L"/>
    <x v="613"/>
    <s v="PEN SA"/>
    <x v="8"/>
    <x v="10"/>
  </r>
  <r>
    <x v="649"/>
    <s v="199541X-02L"/>
    <x v="614"/>
    <s v="PEN SA"/>
    <x v="8"/>
    <x v="15"/>
  </r>
  <r>
    <x v="650"/>
    <s v="199541X-03L"/>
    <x v="615"/>
    <s v="PEN SA"/>
    <x v="8"/>
    <x v="28"/>
  </r>
  <r>
    <x v="651"/>
    <s v="199541X-03L"/>
    <x v="615"/>
    <s v="PEN SA"/>
    <x v="8"/>
    <x v="6"/>
  </r>
  <r>
    <x v="652"/>
    <s v="199548X-02L"/>
    <x v="616"/>
    <s v="PEN SA"/>
    <x v="0"/>
    <x v="216"/>
  </r>
  <r>
    <x v="653"/>
    <s v="199548X-03L"/>
    <x v="617"/>
    <s v="PEN SA"/>
    <x v="0"/>
    <x v="217"/>
  </r>
  <r>
    <x v="654"/>
    <s v="199572X-02L"/>
    <x v="618"/>
    <s v="PEN SA"/>
    <x v="8"/>
    <x v="12"/>
  </r>
  <r>
    <x v="655"/>
    <s v="199622X-01L"/>
    <x v="619"/>
    <s v="PEN SA"/>
    <x v="8"/>
    <x v="21"/>
  </r>
  <r>
    <x v="656"/>
    <s v="199646X-01L"/>
    <x v="620"/>
    <s v="PEN SA"/>
    <x v="8"/>
    <x v="218"/>
  </r>
  <r>
    <x v="657"/>
    <s v="199649X-01L"/>
    <x v="621"/>
    <s v="PEN SA"/>
    <x v="8"/>
    <x v="219"/>
  </r>
  <r>
    <x v="658"/>
    <s v="199652X-01L"/>
    <x v="622"/>
    <s v="PEN SA"/>
    <x v="8"/>
    <x v="3"/>
  </r>
  <r>
    <x v="659"/>
    <s v="199652X-02L"/>
    <x v="623"/>
    <s v="PEN SA"/>
    <x v="8"/>
    <x v="3"/>
  </r>
  <r>
    <x v="660"/>
    <s v="199652X-01L"/>
    <x v="622"/>
    <s v="PEN SA"/>
    <x v="8"/>
    <x v="156"/>
  </r>
  <r>
    <x v="661"/>
    <s v="199652X-02L"/>
    <x v="623"/>
    <s v="PEN SA"/>
    <x v="8"/>
    <x v="121"/>
  </r>
  <r>
    <x v="662"/>
    <s v="199653X-01L"/>
    <x v="624"/>
    <s v="PEN SA"/>
    <x v="8"/>
    <x v="220"/>
  </r>
  <r>
    <x v="663"/>
    <s v="199785X-01L"/>
    <x v="625"/>
    <s v="PEN SA"/>
    <x v="0"/>
    <x v="78"/>
  </r>
  <r>
    <x v="664"/>
    <s v="199861X-01L"/>
    <x v="626"/>
    <s v="PEN SA"/>
    <x v="8"/>
    <x v="221"/>
  </r>
  <r>
    <x v="665"/>
    <s v="199861X-01L"/>
    <x v="626"/>
    <s v="PEN SA"/>
    <x v="8"/>
    <x v="15"/>
  </r>
  <r>
    <x v="666"/>
    <s v="199991X-02L"/>
    <x v="627"/>
    <s v="PEN SA"/>
    <x v="9"/>
    <x v="67"/>
  </r>
  <r>
    <x v="667"/>
    <s v="199994X-01L"/>
    <x v="628"/>
    <s v="PEN SA"/>
    <x v="9"/>
    <x v="191"/>
  </r>
  <r>
    <x v="668"/>
    <s v="X9005A-002"/>
    <x v="629"/>
    <s v="PEN SA"/>
    <x v="0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14613-61AD-493F-9A71-B5A6AC462CA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0" firstHeaderRow="1" firstDataRow="1" firstDataCol="2" rowPageCount="1" colPageCount="1"/>
  <pivotFields count="6">
    <pivotField axis="axisRow" compact="0" showAll="0" sortType="ascending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631">
        <item x="454"/>
        <item x="455"/>
        <item x="28"/>
        <item x="129"/>
        <item x="130"/>
        <item x="131"/>
        <item x="132"/>
        <item x="237"/>
        <item x="236"/>
        <item x="353"/>
        <item x="414"/>
        <item x="189"/>
        <item x="507"/>
        <item x="525"/>
        <item x="515"/>
        <item x="544"/>
        <item x="587"/>
        <item x="282"/>
        <item x="108"/>
        <item x="161"/>
        <item x="21"/>
        <item x="556"/>
        <item x="424"/>
        <item x="77"/>
        <item x="0"/>
        <item x="176"/>
        <item x="24"/>
        <item x="169"/>
        <item x="27"/>
        <item x="29"/>
        <item x="30"/>
        <item x="26"/>
        <item x="23"/>
        <item x="25"/>
        <item x="5"/>
        <item x="6"/>
        <item x="147"/>
        <item x="128"/>
        <item x="18"/>
        <item x="127"/>
        <item x="151"/>
        <item x="152"/>
        <item x="150"/>
        <item x="154"/>
        <item x="153"/>
        <item x="162"/>
        <item x="196"/>
        <item x="199"/>
        <item x="156"/>
        <item x="157"/>
        <item x="155"/>
        <item x="159"/>
        <item x="158"/>
        <item x="193"/>
        <item x="200"/>
        <item x="201"/>
        <item x="202"/>
        <item x="192"/>
        <item x="191"/>
        <item x="203"/>
        <item x="179"/>
        <item x="190"/>
        <item x="194"/>
        <item x="160"/>
        <item x="137"/>
        <item x="228"/>
        <item x="1"/>
        <item x="231"/>
        <item x="20"/>
        <item x="227"/>
        <item x="233"/>
        <item x="226"/>
        <item x="229"/>
        <item x="195"/>
        <item x="136"/>
        <item x="265"/>
        <item x="377"/>
        <item x="521"/>
        <item x="578"/>
        <item x="456"/>
        <item x="457"/>
        <item x="568"/>
        <item x="567"/>
        <item x="33"/>
        <item x="606"/>
        <item x="206"/>
        <item x="490"/>
        <item x="133"/>
        <item x="576"/>
        <item x="621"/>
        <item x="357"/>
        <item x="575"/>
        <item x="230"/>
        <item x="536"/>
        <item x="520"/>
        <item x="537"/>
        <item x="238"/>
        <item x="562"/>
        <item x="35"/>
        <item x="509"/>
        <item x="508"/>
        <item x="510"/>
        <item x="617"/>
        <item x="616"/>
        <item x="505"/>
        <item x="512"/>
        <item x="513"/>
        <item x="523"/>
        <item x="299"/>
        <item x="103"/>
        <item x="612"/>
        <item x="602"/>
        <item x="611"/>
        <item x="610"/>
        <item x="619"/>
        <item x="609"/>
        <item x="565"/>
        <item x="595"/>
        <item x="596"/>
        <item x="607"/>
        <item x="241"/>
        <item x="36"/>
        <item x="554"/>
        <item x="553"/>
        <item x="504"/>
        <item x="266"/>
        <item x="87"/>
        <item x="620"/>
        <item x="115"/>
        <item x="134"/>
        <item x="608"/>
        <item x="235"/>
        <item x="234"/>
        <item x="121"/>
        <item x="144"/>
        <item x="145"/>
        <item x="210"/>
        <item x="209"/>
        <item x="68"/>
        <item x="67"/>
        <item x="549"/>
        <item x="518"/>
        <item x="558"/>
        <item x="577"/>
        <item x="528"/>
        <item x="527"/>
        <item x="533"/>
        <item x="535"/>
        <item x="598"/>
        <item x="599"/>
        <item x="428"/>
        <item x="427"/>
        <item x="379"/>
        <item x="378"/>
        <item x="90"/>
        <item x="498"/>
        <item x="15"/>
        <item x="99"/>
        <item x="332"/>
        <item x="363"/>
        <item x="460"/>
        <item x="489"/>
        <item x="539"/>
        <item x="538"/>
        <item x="246"/>
        <item x="540"/>
        <item x="244"/>
        <item x="219"/>
        <item x="367"/>
        <item x="625"/>
        <item x="242"/>
        <item x="551"/>
        <item x="552"/>
        <item x="366"/>
        <item x="253"/>
        <item x="327"/>
        <item x="584"/>
        <item x="257"/>
        <item x="89"/>
        <item x="88"/>
        <item x="123"/>
        <item x="135"/>
        <item x="119"/>
        <item x="120"/>
        <item x="434"/>
        <item x="433"/>
        <item x="441"/>
        <item x="442"/>
        <item x="4"/>
        <item x="166"/>
        <item x="107"/>
        <item x="106"/>
        <item x="114"/>
        <item x="122"/>
        <item x="406"/>
        <item x="407"/>
        <item x="365"/>
        <item x="98"/>
        <item x="100"/>
        <item x="380"/>
        <item x="333"/>
        <item x="334"/>
        <item x="321"/>
        <item x="358"/>
        <item x="93"/>
        <item x="139"/>
        <item x="345"/>
        <item x="344"/>
        <item x="349"/>
        <item x="346"/>
        <item x="574"/>
        <item x="566"/>
        <item x="312"/>
        <item x="342"/>
        <item x="348"/>
        <item x="408"/>
        <item x="594"/>
        <item x="78"/>
        <item x="284"/>
        <item x="343"/>
        <item x="300"/>
        <item x="361"/>
        <item x="362"/>
        <item x="279"/>
        <item x="278"/>
        <item x="273"/>
        <item x="272"/>
        <item x="436"/>
        <item x="600"/>
        <item x="601"/>
        <item x="590"/>
        <item x="519"/>
        <item x="628"/>
        <item x="543"/>
        <item x="413"/>
        <item x="111"/>
        <item x="550"/>
        <item x="511"/>
        <item x="248"/>
        <item x="258"/>
        <item x="557"/>
        <item x="561"/>
        <item x="503"/>
        <item x="514"/>
        <item x="425"/>
        <item x="627"/>
        <item x="426"/>
        <item x="271"/>
        <item x="409"/>
        <item x="500"/>
        <item x="499"/>
        <item x="40"/>
        <item x="298"/>
        <item x="252"/>
        <item x="256"/>
        <item x="496"/>
        <item x="438"/>
        <item x="429"/>
        <item x="437"/>
        <item x="101"/>
        <item x="102"/>
        <item x="104"/>
        <item x="268"/>
        <item x="541"/>
        <item x="597"/>
        <item x="240"/>
        <item x="347"/>
        <item x="435"/>
        <item x="251"/>
        <item x="39"/>
        <item x="547"/>
        <item x="548"/>
        <item x="267"/>
        <item x="412"/>
        <item x="410"/>
        <item x="46"/>
        <item x="411"/>
        <item x="239"/>
        <item x="283"/>
        <item x="324"/>
        <item x="285"/>
        <item x="71"/>
        <item x="70"/>
        <item x="72"/>
        <item x="69"/>
        <item x="320"/>
        <item x="301"/>
        <item x="302"/>
        <item x="303"/>
        <item x="149"/>
        <item x="474"/>
        <item x="405"/>
        <item x="546"/>
        <item x="259"/>
        <item x="260"/>
        <item x="564"/>
        <item x="262"/>
        <item x="281"/>
        <item x="280"/>
        <item x="563"/>
        <item x="305"/>
        <item x="364"/>
        <item x="286"/>
        <item x="287"/>
        <item x="289"/>
        <item x="288"/>
        <item x="290"/>
        <item x="38"/>
        <item x="41"/>
        <item x="250"/>
        <item x="51"/>
        <item x="52"/>
        <item x="453"/>
        <item x="404"/>
        <item x="432"/>
        <item x="117"/>
        <item x="14"/>
        <item x="116"/>
        <item x="181"/>
        <item x="167"/>
        <item x="177"/>
        <item x="178"/>
        <item x="174"/>
        <item x="175"/>
        <item x="168"/>
        <item x="220"/>
        <item x="221"/>
        <item x="222"/>
        <item x="205"/>
        <item x="208"/>
        <item x="204"/>
        <item x="13"/>
        <item x="495"/>
        <item x="146"/>
        <item x="247"/>
        <item x="249"/>
        <item x="354"/>
        <item x="461"/>
        <item x="374"/>
        <item x="452"/>
        <item x="451"/>
        <item x="372"/>
        <item x="477"/>
        <item x="478"/>
        <item x="479"/>
        <item x="369"/>
        <item x="315"/>
        <item x="314"/>
        <item x="164"/>
        <item x="163"/>
        <item x="270"/>
        <item x="269"/>
        <item x="481"/>
        <item x="482"/>
        <item x="50"/>
        <item x="480"/>
        <item x="322"/>
        <item x="323"/>
        <item x="143"/>
        <item x="110"/>
        <item x="109"/>
        <item x="2"/>
        <item x="3"/>
        <item x="311"/>
        <item x="439"/>
        <item x="431"/>
        <item x="430"/>
        <item x="368"/>
        <item x="165"/>
        <item x="11"/>
        <item x="12"/>
        <item x="49"/>
        <item x="42"/>
        <item x="276"/>
        <item x="275"/>
        <item x="274"/>
        <item x="560"/>
        <item x="542"/>
        <item x="522"/>
        <item x="534"/>
        <item x="506"/>
        <item x="524"/>
        <item x="532"/>
        <item x="516"/>
        <item x="545"/>
        <item x="555"/>
        <item x="319"/>
        <item x="261"/>
        <item x="569"/>
        <item x="573"/>
        <item x="605"/>
        <item x="604"/>
        <item x="586"/>
        <item x="255"/>
        <item x="475"/>
        <item x="476"/>
        <item x="277"/>
        <item x="351"/>
        <item x="352"/>
        <item x="62"/>
        <item x="112"/>
        <item x="113"/>
        <item x="470"/>
        <item x="471"/>
        <item x="473"/>
        <item x="472"/>
        <item x="61"/>
        <item x="559"/>
        <item x="264"/>
        <item x="307"/>
        <item x="308"/>
        <item x="492"/>
        <item x="310"/>
        <item x="326"/>
        <item x="570"/>
        <item x="571"/>
        <item x="94"/>
        <item x="95"/>
        <item x="96"/>
        <item x="92"/>
        <item x="91"/>
        <item x="493"/>
        <item x="403"/>
        <item x="402"/>
        <item x="355"/>
        <item x="216"/>
        <item x="83"/>
        <item x="85"/>
        <item x="86"/>
        <item x="622"/>
        <item x="623"/>
        <item x="7"/>
        <item x="8"/>
        <item x="9"/>
        <item x="517"/>
        <item x="593"/>
        <item x="618"/>
        <item x="582"/>
        <item x="583"/>
        <item x="581"/>
        <item x="579"/>
        <item x="580"/>
        <item x="572"/>
        <item x="84"/>
        <item x="592"/>
        <item x="591"/>
        <item x="386"/>
        <item x="382"/>
        <item x="375"/>
        <item x="502"/>
        <item x="124"/>
        <item x="125"/>
        <item x="126"/>
        <item x="626"/>
        <item x="225"/>
        <item x="458"/>
        <item x="207"/>
        <item x="494"/>
        <item x="313"/>
        <item x="440"/>
        <item x="81"/>
        <item x="105"/>
        <item x="97"/>
        <item x="350"/>
        <item x="585"/>
        <item x="371"/>
        <item x="370"/>
        <item x="296"/>
        <item x="292"/>
        <item x="291"/>
        <item x="297"/>
        <item x="295"/>
        <item x="383"/>
        <item x="381"/>
        <item x="384"/>
        <item x="385"/>
        <item x="393"/>
        <item x="387"/>
        <item x="394"/>
        <item x="624"/>
        <item x="34"/>
        <item x="497"/>
        <item x="419"/>
        <item x="420"/>
        <item x="421"/>
        <item x="422"/>
        <item x="423"/>
        <item x="459"/>
        <item x="148"/>
        <item x="54"/>
        <item x="58"/>
        <item x="56"/>
        <item x="57"/>
        <item x="55"/>
        <item x="82"/>
        <item x="140"/>
        <item x="141"/>
        <item x="142"/>
        <item x="376"/>
        <item x="37"/>
        <item x="53"/>
        <item x="217"/>
        <item x="218"/>
        <item x="294"/>
        <item x="293"/>
        <item x="44"/>
        <item x="43"/>
        <item x="45"/>
        <item x="170"/>
        <item x="171"/>
        <item x="172"/>
        <item x="173"/>
        <item x="389"/>
        <item x="388"/>
        <item x="392"/>
        <item x="390"/>
        <item x="391"/>
        <item x="185"/>
        <item x="184"/>
        <item x="183"/>
        <item x="187"/>
        <item x="186"/>
        <item x="182"/>
        <item x="335"/>
        <item x="336"/>
        <item x="526"/>
        <item x="529"/>
        <item x="530"/>
        <item x="531"/>
        <item x="613"/>
        <item x="614"/>
        <item x="615"/>
        <item x="79"/>
        <item x="80"/>
        <item x="19"/>
        <item x="197"/>
        <item x="22"/>
        <item x="198"/>
        <item x="138"/>
        <item x="31"/>
        <item x="32"/>
        <item x="304"/>
        <item x="329"/>
        <item x="328"/>
        <item x="467"/>
        <item x="468"/>
        <item x="469"/>
        <item x="466"/>
        <item x="415"/>
        <item x="416"/>
        <item x="417"/>
        <item x="418"/>
        <item x="254"/>
        <item x="443"/>
        <item x="444"/>
        <item x="445"/>
        <item x="446"/>
        <item x="450"/>
        <item x="447"/>
        <item x="449"/>
        <item x="448"/>
        <item x="330"/>
        <item x="331"/>
        <item x="73"/>
        <item x="74"/>
        <item x="75"/>
        <item x="76"/>
        <item x="463"/>
        <item x="464"/>
        <item x="465"/>
        <item x="462"/>
        <item x="337"/>
        <item x="338"/>
        <item x="339"/>
        <item x="340"/>
        <item x="341"/>
        <item x="488"/>
        <item x="484"/>
        <item x="485"/>
        <item x="487"/>
        <item x="486"/>
        <item x="395"/>
        <item x="397"/>
        <item x="396"/>
        <item x="398"/>
        <item x="399"/>
        <item x="400"/>
        <item x="401"/>
        <item x="373"/>
        <item x="188"/>
        <item x="232"/>
        <item x="224"/>
        <item x="223"/>
        <item x="60"/>
        <item x="263"/>
        <item x="59"/>
        <item x="483"/>
        <item x="64"/>
        <item x="66"/>
        <item x="603"/>
        <item x="629"/>
        <item x="10"/>
        <item x="211"/>
        <item x="212"/>
        <item x="213"/>
        <item x="214"/>
        <item x="215"/>
        <item x="491"/>
        <item x="180"/>
        <item x="588"/>
        <item x="317"/>
        <item x="47"/>
        <item x="359"/>
        <item x="360"/>
        <item x="325"/>
        <item x="589"/>
        <item x="356"/>
        <item x="243"/>
        <item x="309"/>
        <item x="48"/>
        <item x="316"/>
        <item x="245"/>
        <item x="318"/>
        <item x="306"/>
        <item x="118"/>
        <item x="16"/>
        <item x="17"/>
        <item x="63"/>
        <item x="65"/>
        <item x="501"/>
        <item t="default"/>
      </items>
    </pivotField>
    <pivotField showAll="0"/>
    <pivotField axis="axisPage" multipleItemSelectionAllowed="1" showAll="0">
      <items count="21">
        <item h="1" x="17"/>
        <item h="1" x="0"/>
        <item h="1" x="9"/>
        <item h="1" x="10"/>
        <item h="1" x="12"/>
        <item h="1" x="4"/>
        <item h="1" x="8"/>
        <item h="1" x="2"/>
        <item h="1" x="19"/>
        <item h="1" x="16"/>
        <item h="1" x="14"/>
        <item h="1" x="7"/>
        <item h="1" x="5"/>
        <item h="1" x="13"/>
        <item h="1" x="6"/>
        <item h="1" x="1"/>
        <item h="1" x="15"/>
        <item h="1" x="11"/>
        <item x="3"/>
        <item h="1" x="18"/>
        <item t="default"/>
      </items>
    </pivotField>
    <pivotField dataField="1" showAll="0">
      <items count="223">
        <item x="2"/>
        <item x="15"/>
        <item x="6"/>
        <item x="47"/>
        <item x="207"/>
        <item x="9"/>
        <item x="7"/>
        <item x="14"/>
        <item x="0"/>
        <item x="10"/>
        <item x="169"/>
        <item x="73"/>
        <item x="194"/>
        <item x="3"/>
        <item x="212"/>
        <item x="78"/>
        <item x="167"/>
        <item x="60"/>
        <item x="33"/>
        <item x="215"/>
        <item x="13"/>
        <item x="57"/>
        <item x="76"/>
        <item x="32"/>
        <item x="44"/>
        <item x="12"/>
        <item x="101"/>
        <item x="29"/>
        <item x="53"/>
        <item x="121"/>
        <item x="99"/>
        <item x="59"/>
        <item x="21"/>
        <item x="16"/>
        <item x="164"/>
        <item x="30"/>
        <item x="67"/>
        <item x="62"/>
        <item x="132"/>
        <item x="37"/>
        <item x="23"/>
        <item x="26"/>
        <item x="11"/>
        <item x="18"/>
        <item x="204"/>
        <item x="8"/>
        <item x="55"/>
        <item x="5"/>
        <item x="54"/>
        <item x="98"/>
        <item x="24"/>
        <item x="109"/>
        <item x="40"/>
        <item x="96"/>
        <item x="34"/>
        <item x="186"/>
        <item x="141"/>
        <item x="41"/>
        <item x="66"/>
        <item x="75"/>
        <item x="163"/>
        <item x="79"/>
        <item x="71"/>
        <item x="176"/>
        <item x="157"/>
        <item x="64"/>
        <item x="36"/>
        <item x="87"/>
        <item x="68"/>
        <item x="85"/>
        <item x="56"/>
        <item x="92"/>
        <item x="95"/>
        <item x="1"/>
        <item x="43"/>
        <item x="4"/>
        <item x="48"/>
        <item x="91"/>
        <item x="82"/>
        <item x="88"/>
        <item x="143"/>
        <item x="108"/>
        <item x="94"/>
        <item x="89"/>
        <item x="124"/>
        <item x="65"/>
        <item x="93"/>
        <item x="129"/>
        <item x="120"/>
        <item x="50"/>
        <item x="69"/>
        <item x="131"/>
        <item x="77"/>
        <item x="103"/>
        <item x="159"/>
        <item x="49"/>
        <item x="51"/>
        <item x="116"/>
        <item x="187"/>
        <item x="153"/>
        <item x="39"/>
        <item x="28"/>
        <item x="160"/>
        <item x="19"/>
        <item x="72"/>
        <item x="80"/>
        <item x="193"/>
        <item x="125"/>
        <item x="112"/>
        <item x="20"/>
        <item x="144"/>
        <item x="145"/>
        <item x="191"/>
        <item x="149"/>
        <item x="140"/>
        <item x="154"/>
        <item x="35"/>
        <item x="151"/>
        <item x="209"/>
        <item x="61"/>
        <item x="168"/>
        <item x="201"/>
        <item x="177"/>
        <item x="104"/>
        <item x="105"/>
        <item x="146"/>
        <item x="38"/>
        <item x="115"/>
        <item x="90"/>
        <item x="156"/>
        <item x="162"/>
        <item x="183"/>
        <item x="135"/>
        <item x="179"/>
        <item x="172"/>
        <item x="123"/>
        <item x="81"/>
        <item x="190"/>
        <item x="102"/>
        <item x="199"/>
        <item x="42"/>
        <item x="100"/>
        <item x="188"/>
        <item x="152"/>
        <item x="180"/>
        <item x="45"/>
        <item x="175"/>
        <item x="113"/>
        <item x="221"/>
        <item x="174"/>
        <item x="142"/>
        <item x="217"/>
        <item x="70"/>
        <item x="25"/>
        <item x="31"/>
        <item x="173"/>
        <item x="158"/>
        <item x="84"/>
        <item x="184"/>
        <item x="128"/>
        <item x="63"/>
        <item x="195"/>
        <item x="161"/>
        <item x="185"/>
        <item x="114"/>
        <item x="117"/>
        <item x="171"/>
        <item x="189"/>
        <item x="122"/>
        <item x="86"/>
        <item x="83"/>
        <item x="165"/>
        <item x="166"/>
        <item x="107"/>
        <item x="46"/>
        <item x="206"/>
        <item x="27"/>
        <item x="97"/>
        <item x="182"/>
        <item x="181"/>
        <item x="111"/>
        <item x="220"/>
        <item x="119"/>
        <item x="74"/>
        <item x="213"/>
        <item x="127"/>
        <item x="110"/>
        <item x="216"/>
        <item x="155"/>
        <item x="210"/>
        <item x="196"/>
        <item x="192"/>
        <item x="208"/>
        <item x="214"/>
        <item x="205"/>
        <item x="178"/>
        <item x="52"/>
        <item x="203"/>
        <item x="198"/>
        <item x="133"/>
        <item x="126"/>
        <item x="200"/>
        <item x="136"/>
        <item x="118"/>
        <item x="58"/>
        <item x="134"/>
        <item x="150"/>
        <item x="139"/>
        <item x="138"/>
        <item x="22"/>
        <item x="170"/>
        <item x="218"/>
        <item x="106"/>
        <item x="211"/>
        <item x="137"/>
        <item x="17"/>
        <item x="148"/>
        <item x="219"/>
        <item x="197"/>
        <item x="147"/>
        <item x="202"/>
        <item x="130"/>
        <item t="default"/>
      </items>
    </pivotField>
  </pivotFields>
  <rowFields count="2">
    <field x="0"/>
    <field x="2"/>
  </rowFields>
  <rowItems count="47">
    <i>
      <x v="7"/>
    </i>
    <i r="1">
      <x v="431"/>
    </i>
    <i>
      <x v="8"/>
    </i>
    <i r="1">
      <x v="432"/>
    </i>
    <i>
      <x v="9"/>
    </i>
    <i r="1">
      <x v="433"/>
    </i>
    <i>
      <x v="10"/>
    </i>
    <i r="1">
      <x v="431"/>
    </i>
    <i>
      <x v="11"/>
    </i>
    <i r="1">
      <x v="601"/>
    </i>
    <i>
      <x v="104"/>
    </i>
    <i r="1">
      <x v="259"/>
    </i>
    <i>
      <x v="105"/>
    </i>
    <i r="1">
      <x v="260"/>
    </i>
    <i>
      <x v="106"/>
    </i>
    <i r="1">
      <x v="109"/>
    </i>
    <i>
      <x v="107"/>
    </i>
    <i r="1">
      <x v="261"/>
    </i>
    <i>
      <x v="128"/>
    </i>
    <i r="1">
      <x v="450"/>
    </i>
    <i>
      <x v="129"/>
    </i>
    <i r="1">
      <x v="451"/>
    </i>
    <i>
      <x v="130"/>
    </i>
    <i r="1">
      <x v="452"/>
    </i>
    <i>
      <x v="215"/>
    </i>
    <i r="1">
      <x v="137"/>
    </i>
    <i>
      <x v="217"/>
    </i>
    <i r="1">
      <x v="136"/>
    </i>
    <i>
      <x v="218"/>
    </i>
    <i r="1">
      <x v="602"/>
    </i>
    <i>
      <x v="219"/>
    </i>
    <i r="1">
      <x v="603"/>
    </i>
    <i>
      <x v="220"/>
    </i>
    <i r="1">
      <x v="604"/>
    </i>
    <i>
      <x v="221"/>
    </i>
    <i r="1">
      <x v="605"/>
    </i>
    <i>
      <x v="222"/>
    </i>
    <i r="1">
      <x v="606"/>
    </i>
    <i>
      <x v="223"/>
    </i>
    <i r="1">
      <x v="425"/>
    </i>
    <i>
      <x v="226"/>
    </i>
    <i r="1">
      <x v="167"/>
    </i>
    <i>
      <x v="242"/>
    </i>
    <i r="1">
      <x v="132"/>
    </i>
    <i>
      <x v="243"/>
    </i>
    <i r="1">
      <x v="131"/>
    </i>
    <i t="grand">
      <x/>
    </i>
  </rowItems>
  <colItems count="1">
    <i/>
  </colItems>
  <pageFields count="1">
    <pageField fld="4" hier="-1"/>
  </pageFields>
  <dataFields count="1">
    <dataField name="Sum of Q1'20 SO+FCST+SS 50% Qt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FCB-167D-4D12-8AD1-0FB0FD18DDE2}">
  <dimension ref="A1:C50"/>
  <sheetViews>
    <sheetView workbookViewId="0">
      <selection activeCell="B23" sqref="B23"/>
    </sheetView>
  </sheetViews>
  <sheetFormatPr defaultRowHeight="15.75" x14ac:dyDescent="0.25"/>
  <cols>
    <col min="1" max="1" width="14.375" bestFit="1" customWidth="1"/>
    <col min="2" max="2" width="59.875" bestFit="1" customWidth="1"/>
    <col min="3" max="3" width="30" bestFit="1" customWidth="1"/>
    <col min="4" max="5" width="1.875" bestFit="1" customWidth="1"/>
    <col min="6" max="12" width="2.875" bestFit="1" customWidth="1"/>
    <col min="13" max="15" width="4.875" bestFit="1" customWidth="1"/>
    <col min="16" max="17" width="2.875" bestFit="1" customWidth="1"/>
    <col min="18" max="20" width="3.875" bestFit="1" customWidth="1"/>
    <col min="21" max="21" width="10.375" bestFit="1" customWidth="1"/>
    <col min="22" max="22" width="59.875" bestFit="1" customWidth="1"/>
    <col min="23" max="23" width="58.5" bestFit="1" customWidth="1"/>
    <col min="24" max="24" width="10.375" bestFit="1" customWidth="1"/>
    <col min="25" max="25" width="68.25" bestFit="1" customWidth="1"/>
    <col min="26" max="27" width="32.25" bestFit="1" customWidth="1"/>
    <col min="28" max="28" width="47.875" bestFit="1" customWidth="1"/>
    <col min="29" max="29" width="41.5" bestFit="1" customWidth="1"/>
    <col min="30" max="30" width="43.625" bestFit="1" customWidth="1"/>
    <col min="31" max="31" width="42.875" bestFit="1" customWidth="1"/>
    <col min="32" max="32" width="44.25" bestFit="1" customWidth="1"/>
    <col min="33" max="33" width="47.125" bestFit="1" customWidth="1"/>
    <col min="34" max="34" width="44.125" bestFit="1" customWidth="1"/>
    <col min="35" max="35" width="46.125" bestFit="1" customWidth="1"/>
    <col min="36" max="36" width="39.625" bestFit="1" customWidth="1"/>
    <col min="37" max="37" width="33.875" bestFit="1" customWidth="1"/>
    <col min="38" max="38" width="27.75" bestFit="1" customWidth="1"/>
    <col min="39" max="39" width="27.875" bestFit="1" customWidth="1"/>
    <col min="40" max="40" width="29.5" bestFit="1" customWidth="1"/>
    <col min="41" max="41" width="25.75" bestFit="1" customWidth="1"/>
    <col min="42" max="42" width="40.375" bestFit="1" customWidth="1"/>
    <col min="43" max="43" width="40.625" bestFit="1" customWidth="1"/>
    <col min="44" max="45" width="40.5" bestFit="1" customWidth="1"/>
    <col min="46" max="46" width="40.875" bestFit="1" customWidth="1"/>
    <col min="47" max="47" width="29.125" bestFit="1" customWidth="1"/>
    <col min="48" max="48" width="26" bestFit="1" customWidth="1"/>
    <col min="49" max="49" width="30.625" bestFit="1" customWidth="1"/>
    <col min="50" max="50" width="47" bestFit="1" customWidth="1"/>
    <col min="51" max="51" width="47.25" bestFit="1" customWidth="1"/>
    <col min="52" max="53" width="47.125" bestFit="1" customWidth="1"/>
    <col min="54" max="54" width="47.5" bestFit="1" customWidth="1"/>
    <col min="55" max="55" width="33" bestFit="1" customWidth="1"/>
    <col min="56" max="58" width="24" bestFit="1" customWidth="1"/>
    <col min="59" max="59" width="27.75" bestFit="1" customWidth="1"/>
    <col min="60" max="60" width="27.875" bestFit="1" customWidth="1"/>
    <col min="61" max="61" width="24.5" bestFit="1" customWidth="1"/>
    <col min="62" max="62" width="33" bestFit="1" customWidth="1"/>
    <col min="63" max="63" width="32.5" bestFit="1" customWidth="1"/>
    <col min="64" max="64" width="26" bestFit="1" customWidth="1"/>
    <col min="65" max="65" width="39" bestFit="1" customWidth="1"/>
    <col min="66" max="66" width="58.125" bestFit="1" customWidth="1"/>
    <col min="67" max="69" width="24" bestFit="1" customWidth="1"/>
    <col min="70" max="70" width="53.5" bestFit="1" customWidth="1"/>
    <col min="71" max="71" width="27.875" bestFit="1" customWidth="1"/>
    <col min="72" max="72" width="24.5" bestFit="1" customWidth="1"/>
    <col min="73" max="73" width="33" bestFit="1" customWidth="1"/>
    <col min="74" max="74" width="48.5" bestFit="1" customWidth="1"/>
    <col min="75" max="75" width="26" bestFit="1" customWidth="1"/>
    <col min="76" max="76" width="29.5" bestFit="1" customWidth="1"/>
    <col min="77" max="77" width="47.5" bestFit="1" customWidth="1"/>
    <col min="78" max="79" width="24.75" bestFit="1" customWidth="1"/>
    <col min="80" max="80" width="24.375" bestFit="1" customWidth="1"/>
    <col min="81" max="81" width="29.75" bestFit="1" customWidth="1"/>
    <col min="82" max="82" width="39" bestFit="1" customWidth="1"/>
    <col min="83" max="83" width="29.75" bestFit="1" customWidth="1"/>
    <col min="84" max="84" width="30.625" bestFit="1" customWidth="1"/>
    <col min="85" max="85" width="29.75" bestFit="1" customWidth="1"/>
    <col min="86" max="86" width="47.125" bestFit="1" customWidth="1"/>
    <col min="87" max="87" width="21.375" bestFit="1" customWidth="1"/>
    <col min="88" max="88" width="39.75" bestFit="1" customWidth="1"/>
    <col min="89" max="89" width="31.625" bestFit="1" customWidth="1"/>
    <col min="90" max="90" width="36.625" bestFit="1" customWidth="1"/>
    <col min="91" max="91" width="35.125" bestFit="1" customWidth="1"/>
    <col min="92" max="92" width="41.375" bestFit="1" customWidth="1"/>
    <col min="93" max="93" width="41.5" bestFit="1" customWidth="1"/>
    <col min="94" max="94" width="39.875" bestFit="1" customWidth="1"/>
    <col min="95" max="95" width="54.625" bestFit="1" customWidth="1"/>
    <col min="96" max="96" width="43.125" bestFit="1" customWidth="1"/>
    <col min="97" max="97" width="55.625" bestFit="1" customWidth="1"/>
    <col min="98" max="98" width="54.5" bestFit="1" customWidth="1"/>
    <col min="99" max="99" width="25.75" bestFit="1" customWidth="1"/>
    <col min="100" max="100" width="45.625" bestFit="1" customWidth="1"/>
    <col min="101" max="101" width="36.5" bestFit="1" customWidth="1"/>
    <col min="102" max="102" width="38" bestFit="1" customWidth="1"/>
    <col min="103" max="103" width="36.5" bestFit="1" customWidth="1"/>
    <col min="104" max="104" width="49.625" bestFit="1" customWidth="1"/>
    <col min="105" max="105" width="50.875" bestFit="1" customWidth="1"/>
    <col min="106" max="106" width="32.375" bestFit="1" customWidth="1"/>
    <col min="107" max="107" width="15.25" bestFit="1" customWidth="1"/>
    <col min="108" max="108" width="21.75" bestFit="1" customWidth="1"/>
    <col min="109" max="109" width="27.625" bestFit="1" customWidth="1"/>
    <col min="110" max="110" width="36.5" bestFit="1" customWidth="1"/>
    <col min="111" max="111" width="27.75" bestFit="1" customWidth="1"/>
    <col min="112" max="112" width="27.625" bestFit="1" customWidth="1"/>
    <col min="113" max="113" width="28.25" bestFit="1" customWidth="1"/>
    <col min="114" max="114" width="42.25" bestFit="1" customWidth="1"/>
    <col min="115" max="116" width="23.125" bestFit="1" customWidth="1"/>
    <col min="117" max="117" width="22.75" bestFit="1" customWidth="1"/>
    <col min="118" max="118" width="33.125" bestFit="1" customWidth="1"/>
    <col min="119" max="119" width="28.25" bestFit="1" customWidth="1"/>
    <col min="120" max="120" width="16.75" bestFit="1" customWidth="1"/>
    <col min="121" max="121" width="33.125" bestFit="1" customWidth="1"/>
    <col min="122" max="122" width="23.125" bestFit="1" customWidth="1"/>
    <col min="123" max="123" width="31" bestFit="1" customWidth="1"/>
    <col min="124" max="128" width="13.5" bestFit="1" customWidth="1"/>
    <col min="129" max="129" width="40.625" bestFit="1" customWidth="1"/>
    <col min="130" max="130" width="52" bestFit="1" customWidth="1"/>
    <col min="131" max="131" width="58.75" bestFit="1" customWidth="1"/>
    <col min="132" max="132" width="39.125" bestFit="1" customWidth="1"/>
    <col min="133" max="133" width="49.25" bestFit="1" customWidth="1"/>
    <col min="134" max="134" width="50.75" bestFit="1" customWidth="1"/>
    <col min="135" max="135" width="50.25" bestFit="1" customWidth="1"/>
    <col min="136" max="136" width="13.875" bestFit="1" customWidth="1"/>
    <col min="137" max="137" width="25.875" bestFit="1" customWidth="1"/>
    <col min="138" max="138" width="23.25" bestFit="1" customWidth="1"/>
    <col min="139" max="139" width="39.625" bestFit="1" customWidth="1"/>
    <col min="140" max="140" width="26.25" bestFit="1" customWidth="1"/>
    <col min="141" max="141" width="36.5" bestFit="1" customWidth="1"/>
    <col min="142" max="143" width="23.875" bestFit="1" customWidth="1"/>
    <col min="144" max="144" width="22.375" bestFit="1" customWidth="1"/>
    <col min="145" max="145" width="36" bestFit="1" customWidth="1"/>
    <col min="146" max="147" width="37" bestFit="1" customWidth="1"/>
    <col min="148" max="148" width="44" bestFit="1" customWidth="1"/>
    <col min="149" max="150" width="23.375" bestFit="1" customWidth="1"/>
    <col min="151" max="151" width="28.5" bestFit="1" customWidth="1"/>
    <col min="152" max="152" width="28.875" bestFit="1" customWidth="1"/>
    <col min="153" max="153" width="28.625" bestFit="1" customWidth="1"/>
    <col min="154" max="154" width="40.375" bestFit="1" customWidth="1"/>
    <col min="155" max="155" width="40.125" bestFit="1" customWidth="1"/>
    <col min="156" max="156" width="10.375" bestFit="1" customWidth="1"/>
    <col min="157" max="157" width="41.625" bestFit="1" customWidth="1"/>
    <col min="158" max="158" width="46.75" bestFit="1" customWidth="1"/>
    <col min="159" max="159" width="33.625" bestFit="1" customWidth="1"/>
    <col min="160" max="160" width="40.75" bestFit="1" customWidth="1"/>
    <col min="161" max="161" width="39.25" bestFit="1" customWidth="1"/>
    <col min="162" max="163" width="23.5" bestFit="1" customWidth="1"/>
    <col min="164" max="164" width="18.875" bestFit="1" customWidth="1"/>
    <col min="165" max="168" width="17.5" bestFit="1" customWidth="1"/>
    <col min="169" max="169" width="49.75" bestFit="1" customWidth="1"/>
    <col min="170" max="170" width="38" bestFit="1" customWidth="1"/>
    <col min="171" max="171" width="39.375" bestFit="1" customWidth="1"/>
    <col min="172" max="172" width="42.125" bestFit="1" customWidth="1"/>
    <col min="173" max="174" width="26.75" bestFit="1" customWidth="1"/>
    <col min="175" max="175" width="33.375" bestFit="1" customWidth="1"/>
    <col min="176" max="176" width="27.25" bestFit="1" customWidth="1"/>
    <col min="177" max="177" width="48.25" bestFit="1" customWidth="1"/>
    <col min="178" max="178" width="21.25" bestFit="1" customWidth="1"/>
    <col min="179" max="179" width="27.25" bestFit="1" customWidth="1"/>
    <col min="180" max="180" width="48" bestFit="1" customWidth="1"/>
    <col min="181" max="181" width="58" bestFit="1" customWidth="1"/>
    <col min="182" max="182" width="53.25" bestFit="1" customWidth="1"/>
    <col min="183" max="183" width="54.25" bestFit="1" customWidth="1"/>
    <col min="184" max="185" width="66" bestFit="1" customWidth="1"/>
    <col min="186" max="186" width="24.625" bestFit="1" customWidth="1"/>
    <col min="187" max="187" width="30.5" bestFit="1" customWidth="1"/>
    <col min="188" max="188" width="31.75" bestFit="1" customWidth="1"/>
    <col min="189" max="189" width="27.125" bestFit="1" customWidth="1"/>
    <col min="190" max="190" width="13.625" bestFit="1" customWidth="1"/>
    <col min="191" max="191" width="10.75" bestFit="1" customWidth="1"/>
    <col min="192" max="192" width="31" bestFit="1" customWidth="1"/>
    <col min="193" max="193" width="22.125" bestFit="1" customWidth="1"/>
    <col min="194" max="194" width="28.875" bestFit="1" customWidth="1"/>
    <col min="195" max="195" width="26.875" bestFit="1" customWidth="1"/>
    <col min="196" max="196" width="24.75" bestFit="1" customWidth="1"/>
    <col min="197" max="197" width="24.625" bestFit="1" customWidth="1"/>
    <col min="198" max="198" width="29.875" bestFit="1" customWidth="1"/>
    <col min="199" max="199" width="30.75" bestFit="1" customWidth="1"/>
    <col min="200" max="200" width="27" bestFit="1" customWidth="1"/>
    <col min="201" max="201" width="47.375" bestFit="1" customWidth="1"/>
    <col min="202" max="202" width="30" bestFit="1" customWidth="1"/>
    <col min="203" max="203" width="25.375" bestFit="1" customWidth="1"/>
    <col min="204" max="204" width="39.5" bestFit="1" customWidth="1"/>
    <col min="205" max="205" width="38.25" bestFit="1" customWidth="1"/>
    <col min="206" max="206" width="20.875" bestFit="1" customWidth="1"/>
    <col min="207" max="207" width="31.125" bestFit="1" customWidth="1"/>
    <col min="208" max="208" width="30.5" bestFit="1" customWidth="1"/>
    <col min="209" max="209" width="28.625" bestFit="1" customWidth="1"/>
    <col min="210" max="210" width="25.375" bestFit="1" customWidth="1"/>
    <col min="211" max="211" width="31.375" bestFit="1" customWidth="1"/>
    <col min="212" max="212" width="23.5" bestFit="1" customWidth="1"/>
    <col min="213" max="213" width="23.75" bestFit="1" customWidth="1"/>
    <col min="214" max="214" width="17.5" bestFit="1" customWidth="1"/>
    <col min="215" max="215" width="37.5" bestFit="1" customWidth="1"/>
    <col min="216" max="216" width="17.5" bestFit="1" customWidth="1"/>
    <col min="217" max="217" width="25.375" bestFit="1" customWidth="1"/>
    <col min="218" max="218" width="25.5" bestFit="1" customWidth="1"/>
    <col min="219" max="219" width="32.125" bestFit="1" customWidth="1"/>
    <col min="220" max="220" width="26.375" bestFit="1" customWidth="1"/>
    <col min="221" max="221" width="15.125" bestFit="1" customWidth="1"/>
    <col min="222" max="222" width="31.375" bestFit="1" customWidth="1"/>
    <col min="223" max="223" width="50.375" bestFit="1" customWidth="1"/>
    <col min="224" max="224" width="61.875" bestFit="1" customWidth="1"/>
    <col min="225" max="225" width="57.375" bestFit="1" customWidth="1"/>
    <col min="226" max="226" width="46.375" bestFit="1" customWidth="1"/>
    <col min="227" max="227" width="57.25" bestFit="1" customWidth="1"/>
    <col min="228" max="228" width="46.75" bestFit="1" customWidth="1"/>
    <col min="229" max="229" width="51.375" bestFit="1" customWidth="1"/>
    <col min="230" max="231" width="12" bestFit="1" customWidth="1"/>
    <col min="232" max="232" width="13.125" bestFit="1" customWidth="1"/>
    <col min="233" max="233" width="17.125" bestFit="1" customWidth="1"/>
    <col min="234" max="234" width="16.5" bestFit="1" customWidth="1"/>
    <col min="235" max="236" width="13.125" bestFit="1" customWidth="1"/>
    <col min="237" max="237" width="37.75" bestFit="1" customWidth="1"/>
    <col min="238" max="238" width="37.5" bestFit="1" customWidth="1"/>
    <col min="239" max="239" width="35.375" bestFit="1" customWidth="1"/>
    <col min="240" max="240" width="47.625" bestFit="1" customWidth="1"/>
    <col min="241" max="241" width="45.125" bestFit="1" customWidth="1"/>
    <col min="242" max="242" width="31.75" bestFit="1" customWidth="1"/>
    <col min="243" max="243" width="32.375" bestFit="1" customWidth="1"/>
    <col min="244" max="245" width="45.75" bestFit="1" customWidth="1"/>
    <col min="246" max="250" width="11.875" bestFit="1" customWidth="1"/>
    <col min="251" max="251" width="53.125" bestFit="1" customWidth="1"/>
    <col min="252" max="252" width="53.25" bestFit="1" customWidth="1"/>
    <col min="253" max="253" width="37.125" bestFit="1" customWidth="1"/>
    <col min="254" max="256" width="36" bestFit="1" customWidth="1"/>
    <col min="257" max="257" width="23.375" bestFit="1" customWidth="1"/>
    <col min="258" max="258" width="23.5" bestFit="1" customWidth="1"/>
    <col min="259" max="259" width="28.375" bestFit="1" customWidth="1"/>
    <col min="260" max="260" width="28.25" bestFit="1" customWidth="1"/>
    <col min="261" max="261" width="21.625" bestFit="1" customWidth="1"/>
    <col min="262" max="262" width="34.75" bestFit="1" customWidth="1"/>
    <col min="263" max="263" width="23.5" bestFit="1" customWidth="1"/>
    <col min="264" max="264" width="26.625" bestFit="1" customWidth="1"/>
    <col min="265" max="265" width="36.125" bestFit="1" customWidth="1"/>
    <col min="266" max="266" width="17.125" bestFit="1" customWidth="1"/>
    <col min="267" max="267" width="29.75" bestFit="1" customWidth="1"/>
    <col min="268" max="268" width="43.5" bestFit="1" customWidth="1"/>
    <col min="269" max="269" width="28.25" bestFit="1" customWidth="1"/>
    <col min="270" max="270" width="45.75" bestFit="1" customWidth="1"/>
    <col min="271" max="274" width="13" bestFit="1" customWidth="1"/>
    <col min="275" max="275" width="29" bestFit="1" customWidth="1"/>
    <col min="276" max="276" width="13" bestFit="1" customWidth="1"/>
    <col min="277" max="277" width="28.25" bestFit="1" customWidth="1"/>
    <col min="278" max="278" width="22.875" bestFit="1" customWidth="1"/>
    <col min="279" max="279" width="13" bestFit="1" customWidth="1"/>
    <col min="280" max="280" width="30.625" bestFit="1" customWidth="1"/>
    <col min="281" max="281" width="51.5" bestFit="1" customWidth="1"/>
    <col min="282" max="282" width="54.375" bestFit="1" customWidth="1"/>
    <col min="283" max="283" width="42.875" bestFit="1" customWidth="1"/>
    <col min="284" max="284" width="56" bestFit="1" customWidth="1"/>
    <col min="285" max="285" width="56.5" bestFit="1" customWidth="1"/>
    <col min="286" max="286" width="31.625" bestFit="1" customWidth="1"/>
    <col min="287" max="287" width="35.75" bestFit="1" customWidth="1"/>
    <col min="288" max="288" width="23.625" bestFit="1" customWidth="1"/>
    <col min="289" max="289" width="22.125" bestFit="1" customWidth="1"/>
    <col min="290" max="290" width="53.25" bestFit="1" customWidth="1"/>
    <col min="291" max="291" width="26.625" bestFit="1" customWidth="1"/>
    <col min="292" max="292" width="28.125" bestFit="1" customWidth="1"/>
    <col min="293" max="293" width="20.875" bestFit="1" customWidth="1"/>
    <col min="294" max="294" width="26" bestFit="1" customWidth="1"/>
    <col min="295" max="295" width="28" bestFit="1" customWidth="1"/>
    <col min="296" max="296" width="51" bestFit="1" customWidth="1"/>
    <col min="297" max="297" width="34" bestFit="1" customWidth="1"/>
    <col min="298" max="298" width="51.5" bestFit="1" customWidth="1"/>
    <col min="299" max="299" width="46.375" bestFit="1" customWidth="1"/>
    <col min="300" max="300" width="35.25" bestFit="1" customWidth="1"/>
    <col min="301" max="301" width="15.125" bestFit="1" customWidth="1"/>
    <col min="302" max="302" width="57.125" bestFit="1" customWidth="1"/>
    <col min="303" max="303" width="63.5" bestFit="1" customWidth="1"/>
    <col min="304" max="304" width="52.875" bestFit="1" customWidth="1"/>
    <col min="305" max="305" width="54.375" bestFit="1" customWidth="1"/>
    <col min="306" max="306" width="48.375" bestFit="1" customWidth="1"/>
    <col min="307" max="308" width="38.375" bestFit="1" customWidth="1"/>
    <col min="309" max="309" width="18.875" bestFit="1" customWidth="1"/>
    <col min="310" max="310" width="20.5" bestFit="1" customWidth="1"/>
    <col min="311" max="311" width="24.5" bestFit="1" customWidth="1"/>
    <col min="312" max="312" width="75.125" bestFit="1" customWidth="1"/>
    <col min="313" max="313" width="89.5" bestFit="1" customWidth="1"/>
    <col min="314" max="314" width="20.75" bestFit="1" customWidth="1"/>
    <col min="315" max="315" width="54.625" bestFit="1" customWidth="1"/>
    <col min="316" max="316" width="26.375" bestFit="1" customWidth="1"/>
    <col min="317" max="317" width="34.875" bestFit="1" customWidth="1"/>
    <col min="318" max="318" width="31.75" bestFit="1" customWidth="1"/>
    <col min="319" max="319" width="34" bestFit="1" customWidth="1"/>
    <col min="320" max="320" width="39" bestFit="1" customWidth="1"/>
    <col min="321" max="321" width="31.75" bestFit="1" customWidth="1"/>
    <col min="322" max="322" width="62.125" bestFit="1" customWidth="1"/>
    <col min="323" max="323" width="60.625" bestFit="1" customWidth="1"/>
    <col min="324" max="324" width="40" bestFit="1" customWidth="1"/>
    <col min="325" max="325" width="42.75" bestFit="1" customWidth="1"/>
    <col min="326" max="326" width="21.875" bestFit="1" customWidth="1"/>
    <col min="327" max="329" width="36.125" bestFit="1" customWidth="1"/>
    <col min="330" max="330" width="39" bestFit="1" customWidth="1"/>
    <col min="331" max="331" width="49" bestFit="1" customWidth="1"/>
    <col min="332" max="332" width="31.75" bestFit="1" customWidth="1"/>
    <col min="333" max="333" width="51.5" bestFit="1" customWidth="1"/>
    <col min="334" max="334" width="29.625" bestFit="1" customWidth="1"/>
    <col min="335" max="335" width="75" bestFit="1" customWidth="1"/>
    <col min="336" max="336" width="36.75" bestFit="1" customWidth="1"/>
    <col min="337" max="337" width="23.5" bestFit="1" customWidth="1"/>
    <col min="338" max="338" width="26.25" bestFit="1" customWidth="1"/>
    <col min="339" max="339" width="54.5" bestFit="1" customWidth="1"/>
    <col min="340" max="340" width="55.625" bestFit="1" customWidth="1"/>
    <col min="341" max="341" width="53.375" bestFit="1" customWidth="1"/>
    <col min="342" max="342" width="52.375" bestFit="1" customWidth="1"/>
    <col min="343" max="343" width="50.25" bestFit="1" customWidth="1"/>
    <col min="344" max="344" width="33.125" bestFit="1" customWidth="1"/>
    <col min="345" max="346" width="40.75" bestFit="1" customWidth="1"/>
    <col min="347" max="347" width="50.25" bestFit="1" customWidth="1"/>
    <col min="348" max="349" width="59.25" bestFit="1" customWidth="1"/>
    <col min="350" max="350" width="53.25" bestFit="1" customWidth="1"/>
    <col min="351" max="351" width="40.125" bestFit="1" customWidth="1"/>
    <col min="352" max="352" width="28.125" bestFit="1" customWidth="1"/>
    <col min="353" max="353" width="28.625" bestFit="1" customWidth="1"/>
    <col min="354" max="354" width="42.75" bestFit="1" customWidth="1"/>
    <col min="355" max="355" width="55.875" bestFit="1" customWidth="1"/>
    <col min="356" max="356" width="45.75" bestFit="1" customWidth="1"/>
    <col min="357" max="357" width="42.75" bestFit="1" customWidth="1"/>
    <col min="358" max="359" width="50.875" bestFit="1" customWidth="1"/>
    <col min="360" max="360" width="23.125" bestFit="1" customWidth="1"/>
    <col min="361" max="361" width="47.125" bestFit="1" customWidth="1"/>
    <col min="362" max="362" width="44" bestFit="1" customWidth="1"/>
    <col min="363" max="363" width="52.25" bestFit="1" customWidth="1"/>
    <col min="364" max="364" width="49.125" bestFit="1" customWidth="1"/>
    <col min="365" max="365" width="31.75" bestFit="1" customWidth="1"/>
    <col min="366" max="366" width="23.625" bestFit="1" customWidth="1"/>
    <col min="367" max="367" width="22.375" bestFit="1" customWidth="1"/>
    <col min="368" max="368" width="27.875" bestFit="1" customWidth="1"/>
    <col min="369" max="369" width="40.25" bestFit="1" customWidth="1"/>
    <col min="370" max="370" width="25" bestFit="1" customWidth="1"/>
    <col min="371" max="371" width="44.125" bestFit="1" customWidth="1"/>
    <col min="372" max="372" width="44" bestFit="1" customWidth="1"/>
    <col min="373" max="373" width="55.25" bestFit="1" customWidth="1"/>
    <col min="374" max="374" width="28.25" bestFit="1" customWidth="1"/>
    <col min="375" max="375" width="16.25" bestFit="1" customWidth="1"/>
    <col min="376" max="376" width="46.25" bestFit="1" customWidth="1"/>
    <col min="377" max="377" width="35.625" bestFit="1" customWidth="1"/>
    <col min="378" max="378" width="50.75" bestFit="1" customWidth="1"/>
    <col min="379" max="379" width="27.625" bestFit="1" customWidth="1"/>
    <col min="380" max="382" width="25" bestFit="1" customWidth="1"/>
    <col min="383" max="383" width="26.5" bestFit="1" customWidth="1"/>
    <col min="384" max="385" width="25" bestFit="1" customWidth="1"/>
    <col min="386" max="386" width="27.5" bestFit="1" customWidth="1"/>
    <col min="387" max="387" width="26.125" bestFit="1" customWidth="1"/>
    <col min="388" max="388" width="30.5" bestFit="1" customWidth="1"/>
    <col min="389" max="389" width="28.5" bestFit="1" customWidth="1"/>
    <col min="390" max="392" width="26.125" bestFit="1" customWidth="1"/>
    <col min="393" max="393" width="31.75" bestFit="1" customWidth="1"/>
    <col min="394" max="394" width="26.125" bestFit="1" customWidth="1"/>
    <col min="395" max="395" width="28.5" bestFit="1" customWidth="1"/>
    <col min="396" max="396" width="26.125" bestFit="1" customWidth="1"/>
    <col min="397" max="397" width="42.625" bestFit="1" customWidth="1"/>
    <col min="398" max="398" width="26.125" bestFit="1" customWidth="1"/>
    <col min="399" max="399" width="31.75" bestFit="1" customWidth="1"/>
    <col min="400" max="400" width="47" bestFit="1" customWidth="1"/>
    <col min="401" max="402" width="26.125" bestFit="1" customWidth="1"/>
    <col min="403" max="403" width="42.625" bestFit="1" customWidth="1"/>
    <col min="404" max="404" width="26.125" bestFit="1" customWidth="1"/>
    <col min="405" max="405" width="36.625" bestFit="1" customWidth="1"/>
    <col min="406" max="406" width="29.875" bestFit="1" customWidth="1"/>
    <col min="407" max="407" width="42.625" bestFit="1" customWidth="1"/>
    <col min="408" max="408" width="27.375" bestFit="1" customWidth="1"/>
    <col min="409" max="409" width="20.25" bestFit="1" customWidth="1"/>
    <col min="410" max="410" width="21.625" bestFit="1" customWidth="1"/>
    <col min="411" max="411" width="27.25" bestFit="1" customWidth="1"/>
    <col min="412" max="412" width="23.375" bestFit="1" customWidth="1"/>
    <col min="413" max="413" width="46.875" bestFit="1" customWidth="1"/>
    <col min="414" max="414" width="23.5" bestFit="1" customWidth="1"/>
    <col min="415" max="415" width="48" bestFit="1" customWidth="1"/>
    <col min="416" max="416" width="53" bestFit="1" customWidth="1"/>
    <col min="417" max="417" width="48.75" bestFit="1" customWidth="1"/>
    <col min="418" max="418" width="29.5" bestFit="1" customWidth="1"/>
    <col min="419" max="420" width="37" bestFit="1" customWidth="1"/>
    <col min="421" max="421" width="61.375" bestFit="1" customWidth="1"/>
    <col min="422" max="422" width="55.875" bestFit="1" customWidth="1"/>
    <col min="423" max="423" width="43.5" bestFit="1" customWidth="1"/>
    <col min="424" max="424" width="38.5" bestFit="1" customWidth="1"/>
    <col min="425" max="425" width="36.875" bestFit="1" customWidth="1"/>
    <col min="426" max="426" width="26.625" bestFit="1" customWidth="1"/>
    <col min="427" max="427" width="20.375" bestFit="1" customWidth="1"/>
    <col min="428" max="430" width="20" bestFit="1" customWidth="1"/>
    <col min="431" max="431" width="37.75" bestFit="1" customWidth="1"/>
    <col min="432" max="432" width="57.375" bestFit="1" customWidth="1"/>
    <col min="433" max="434" width="38.375" bestFit="1" customWidth="1"/>
    <col min="435" max="435" width="40.25" bestFit="1" customWidth="1"/>
    <col min="436" max="436" width="34.75" bestFit="1" customWidth="1"/>
    <col min="437" max="437" width="37.125" bestFit="1" customWidth="1"/>
    <col min="438" max="438" width="38.5" bestFit="1" customWidth="1"/>
    <col min="439" max="439" width="61.625" bestFit="1" customWidth="1"/>
    <col min="440" max="440" width="65.5" bestFit="1" customWidth="1"/>
    <col min="441" max="441" width="60.625" bestFit="1" customWidth="1"/>
    <col min="442" max="442" width="63.25" bestFit="1" customWidth="1"/>
    <col min="443" max="443" width="76.625" bestFit="1" customWidth="1"/>
    <col min="444" max="444" width="43.5" bestFit="1" customWidth="1"/>
    <col min="445" max="445" width="30.375" bestFit="1" customWidth="1"/>
    <col min="446" max="446" width="48.375" bestFit="1" customWidth="1"/>
    <col min="447" max="447" width="36.5" bestFit="1" customWidth="1"/>
    <col min="448" max="448" width="73.75" bestFit="1" customWidth="1"/>
    <col min="449" max="449" width="60.375" bestFit="1" customWidth="1"/>
    <col min="450" max="450" width="49.375" bestFit="1" customWidth="1"/>
    <col min="451" max="451" width="54.875" bestFit="1" customWidth="1"/>
    <col min="452" max="452" width="40.5" bestFit="1" customWidth="1"/>
    <col min="453" max="453" width="53.625" bestFit="1" customWidth="1"/>
    <col min="454" max="454" width="57.5" bestFit="1" customWidth="1"/>
    <col min="455" max="455" width="37.375" bestFit="1" customWidth="1"/>
    <col min="456" max="456" width="26.875" bestFit="1" customWidth="1"/>
    <col min="457" max="458" width="46.375" bestFit="1" customWidth="1"/>
    <col min="459" max="459" width="76" bestFit="1" customWidth="1"/>
    <col min="460" max="462" width="25.625" bestFit="1" customWidth="1"/>
    <col min="463" max="463" width="25.875" bestFit="1" customWidth="1"/>
    <col min="464" max="464" width="27.25" bestFit="1" customWidth="1"/>
    <col min="465" max="465" width="36.875" bestFit="1" customWidth="1"/>
    <col min="466" max="466" width="27.375" bestFit="1" customWidth="1"/>
    <col min="467" max="468" width="53.5" bestFit="1" customWidth="1"/>
    <col min="469" max="469" width="44.875" bestFit="1" customWidth="1"/>
    <col min="470" max="470" width="56.625" bestFit="1" customWidth="1"/>
    <col min="471" max="471" width="44.875" bestFit="1" customWidth="1"/>
    <col min="472" max="472" width="49.25" bestFit="1" customWidth="1"/>
    <col min="473" max="473" width="50.375" bestFit="1" customWidth="1"/>
    <col min="474" max="474" width="61.25" bestFit="1" customWidth="1"/>
    <col min="475" max="475" width="47.875" bestFit="1" customWidth="1"/>
    <col min="476" max="476" width="62.25" bestFit="1" customWidth="1"/>
    <col min="477" max="477" width="59.875" bestFit="1" customWidth="1"/>
    <col min="478" max="478" width="46.375" bestFit="1" customWidth="1"/>
    <col min="479" max="479" width="71.375" bestFit="1" customWidth="1"/>
    <col min="480" max="480" width="57.75" bestFit="1" customWidth="1"/>
    <col min="481" max="481" width="37.75" bestFit="1" customWidth="1"/>
    <col min="482" max="482" width="42.375" bestFit="1" customWidth="1"/>
    <col min="483" max="483" width="38.5" bestFit="1" customWidth="1"/>
    <col min="484" max="484" width="53.25" bestFit="1" customWidth="1"/>
    <col min="485" max="485" width="65.5" bestFit="1" customWidth="1"/>
    <col min="486" max="486" width="53.25" bestFit="1" customWidth="1"/>
    <col min="487" max="487" width="65.5" bestFit="1" customWidth="1"/>
    <col min="488" max="488" width="46.25" bestFit="1" customWidth="1"/>
    <col min="489" max="489" width="39.625" bestFit="1" customWidth="1"/>
    <col min="490" max="490" width="51.25" bestFit="1" customWidth="1"/>
    <col min="491" max="491" width="37.125" bestFit="1" customWidth="1"/>
    <col min="492" max="492" width="46.375" bestFit="1" customWidth="1"/>
    <col min="493" max="493" width="41.25" bestFit="1" customWidth="1"/>
    <col min="494" max="494" width="41" bestFit="1" customWidth="1"/>
    <col min="495" max="495" width="39.625" bestFit="1" customWidth="1"/>
    <col min="496" max="496" width="45" bestFit="1" customWidth="1"/>
    <col min="497" max="497" width="46.625" bestFit="1" customWidth="1"/>
    <col min="498" max="499" width="54.25" bestFit="1" customWidth="1"/>
    <col min="500" max="501" width="27" bestFit="1" customWidth="1"/>
    <col min="502" max="502" width="41.875" bestFit="1" customWidth="1"/>
    <col min="503" max="503" width="44" bestFit="1" customWidth="1"/>
    <col min="504" max="504" width="56.625" bestFit="1" customWidth="1"/>
    <col min="505" max="506" width="27.25" bestFit="1" customWidth="1"/>
    <col min="507" max="507" width="40.375" bestFit="1" customWidth="1"/>
    <col min="508" max="508" width="27.25" bestFit="1" customWidth="1"/>
    <col min="509" max="509" width="40.375" bestFit="1" customWidth="1"/>
    <col min="510" max="510" width="27.25" bestFit="1" customWidth="1"/>
    <col min="511" max="511" width="40.375" bestFit="1" customWidth="1"/>
    <col min="512" max="512" width="27.25" bestFit="1" customWidth="1"/>
    <col min="513" max="513" width="40.375" bestFit="1" customWidth="1"/>
    <col min="514" max="515" width="27" bestFit="1" customWidth="1"/>
    <col min="516" max="516" width="43.5" bestFit="1" customWidth="1"/>
    <col min="517" max="517" width="42.875" bestFit="1" customWidth="1"/>
    <col min="518" max="518" width="54.375" bestFit="1" customWidth="1"/>
    <col min="519" max="519" width="28.25" bestFit="1" customWidth="1"/>
    <col min="520" max="520" width="35.125" bestFit="1" customWidth="1"/>
    <col min="521" max="521" width="27.125" bestFit="1" customWidth="1"/>
    <col min="522" max="522" width="29.875" bestFit="1" customWidth="1"/>
    <col min="523" max="523" width="29.75" bestFit="1" customWidth="1"/>
    <col min="524" max="524" width="31.5" bestFit="1" customWidth="1"/>
    <col min="525" max="525" width="53.375" bestFit="1" customWidth="1"/>
    <col min="526" max="526" width="61.625" bestFit="1" customWidth="1"/>
    <col min="527" max="527" width="23.375" bestFit="1" customWidth="1"/>
    <col min="528" max="530" width="30.625" bestFit="1" customWidth="1"/>
    <col min="531" max="533" width="31.625" bestFit="1" customWidth="1"/>
    <col min="534" max="535" width="43.875" bestFit="1" customWidth="1"/>
    <col min="536" max="536" width="29.875" bestFit="1" customWidth="1"/>
    <col min="537" max="537" width="46.75" bestFit="1" customWidth="1"/>
    <col min="538" max="538" width="71.625" bestFit="1" customWidth="1"/>
    <col min="539" max="539" width="50.25" bestFit="1" customWidth="1"/>
    <col min="540" max="540" width="98.625" bestFit="1" customWidth="1"/>
    <col min="541" max="541" width="57.625" bestFit="1" customWidth="1"/>
    <col min="542" max="542" width="80.625" bestFit="1" customWidth="1"/>
    <col min="543" max="543" width="73" bestFit="1" customWidth="1"/>
    <col min="544" max="544" width="74.25" bestFit="1" customWidth="1"/>
    <col min="545" max="545" width="79.875" bestFit="1" customWidth="1"/>
    <col min="546" max="546" width="90.125" bestFit="1" customWidth="1"/>
    <col min="547" max="547" width="84.875" bestFit="1" customWidth="1"/>
    <col min="548" max="548" width="102.875" bestFit="1" customWidth="1"/>
    <col min="549" max="549" width="89.5" bestFit="1" customWidth="1"/>
    <col min="550" max="550" width="67.5" bestFit="1" customWidth="1"/>
    <col min="551" max="551" width="77" bestFit="1" customWidth="1"/>
    <col min="552" max="552" width="77.125" bestFit="1" customWidth="1"/>
    <col min="553" max="553" width="71.875" bestFit="1" customWidth="1"/>
    <col min="554" max="554" width="68.5" bestFit="1" customWidth="1"/>
    <col min="555" max="555" width="103.875" bestFit="1" customWidth="1"/>
    <col min="556" max="556" width="85.25" bestFit="1" customWidth="1"/>
    <col min="557" max="557" width="85.125" bestFit="1" customWidth="1"/>
    <col min="558" max="558" width="94" bestFit="1" customWidth="1"/>
    <col min="559" max="560" width="85.25" bestFit="1" customWidth="1"/>
    <col min="561" max="561" width="94.625" bestFit="1" customWidth="1"/>
    <col min="562" max="562" width="75.75" bestFit="1" customWidth="1"/>
    <col min="563" max="563" width="75.375" bestFit="1" customWidth="1"/>
    <col min="564" max="564" width="80.25" bestFit="1" customWidth="1"/>
    <col min="565" max="565" width="79" bestFit="1" customWidth="1"/>
    <col min="566" max="566" width="79.125" bestFit="1" customWidth="1"/>
    <col min="567" max="567" width="73.75" bestFit="1" customWidth="1"/>
    <col min="568" max="568" width="91.875" bestFit="1" customWidth="1"/>
    <col min="569" max="569" width="91.125" bestFit="1" customWidth="1"/>
    <col min="570" max="570" width="85.875" bestFit="1" customWidth="1"/>
    <col min="571" max="571" width="104" bestFit="1" customWidth="1"/>
    <col min="572" max="572" width="90.5" bestFit="1" customWidth="1"/>
    <col min="573" max="573" width="68.5" bestFit="1" customWidth="1"/>
    <col min="574" max="574" width="78" bestFit="1" customWidth="1"/>
    <col min="575" max="575" width="78.125" bestFit="1" customWidth="1"/>
    <col min="576" max="576" width="72.875" bestFit="1" customWidth="1"/>
    <col min="577" max="577" width="90.875" bestFit="1" customWidth="1"/>
    <col min="578" max="578" width="41.5" bestFit="1" customWidth="1"/>
    <col min="579" max="579" width="64" bestFit="1" customWidth="1"/>
    <col min="580" max="580" width="46.375" bestFit="1" customWidth="1"/>
    <col min="581" max="581" width="65.125" bestFit="1" customWidth="1"/>
    <col min="582" max="582" width="59.5" bestFit="1" customWidth="1"/>
    <col min="583" max="583" width="68.875" bestFit="1" customWidth="1"/>
    <col min="584" max="584" width="92.75" bestFit="1" customWidth="1"/>
    <col min="585" max="585" width="78.125" bestFit="1" customWidth="1"/>
    <col min="586" max="586" width="69" bestFit="1" customWidth="1"/>
    <col min="587" max="587" width="78.25" bestFit="1" customWidth="1"/>
    <col min="588" max="588" width="63.75" bestFit="1" customWidth="1"/>
    <col min="589" max="589" width="91" bestFit="1" customWidth="1"/>
    <col min="590" max="590" width="63.75" bestFit="1" customWidth="1"/>
    <col min="591" max="592" width="29.25" bestFit="1" customWidth="1"/>
    <col min="593" max="593" width="72" bestFit="1" customWidth="1"/>
    <col min="594" max="594" width="71.5" bestFit="1" customWidth="1"/>
    <col min="595" max="595" width="48.125" bestFit="1" customWidth="1"/>
    <col min="596" max="596" width="71.375" bestFit="1" customWidth="1"/>
    <col min="597" max="597" width="45.375" bestFit="1" customWidth="1"/>
    <col min="598" max="598" width="61.25" bestFit="1" customWidth="1"/>
    <col min="599" max="599" width="90.625" bestFit="1" customWidth="1"/>
    <col min="600" max="600" width="94.875" bestFit="1" customWidth="1"/>
    <col min="601" max="601" width="189.625" bestFit="1" customWidth="1"/>
    <col min="602" max="602" width="32.375" bestFit="1" customWidth="1"/>
    <col min="603" max="603" width="23.125" bestFit="1" customWidth="1"/>
    <col min="604" max="604" width="24.625" bestFit="1" customWidth="1"/>
    <col min="605" max="605" width="44" bestFit="1" customWidth="1"/>
    <col min="606" max="606" width="56.375" bestFit="1" customWidth="1"/>
    <col min="607" max="607" width="59.875" bestFit="1" customWidth="1"/>
    <col min="608" max="608" width="58.5" bestFit="1" customWidth="1"/>
    <col min="609" max="609" width="44.125" bestFit="1" customWidth="1"/>
    <col min="610" max="610" width="19" bestFit="1" customWidth="1"/>
    <col min="611" max="611" width="40.5" bestFit="1" customWidth="1"/>
    <col min="612" max="612" width="46.25" bestFit="1" customWidth="1"/>
    <col min="613" max="613" width="39.25" bestFit="1" customWidth="1"/>
    <col min="614" max="614" width="28.375" bestFit="1" customWidth="1"/>
    <col min="615" max="615" width="32.375" bestFit="1" customWidth="1"/>
    <col min="616" max="616" width="50.375" bestFit="1" customWidth="1"/>
    <col min="617" max="617" width="48.875" bestFit="1" customWidth="1"/>
    <col min="618" max="618" width="39.125" bestFit="1" customWidth="1"/>
    <col min="619" max="619" width="48.375" bestFit="1" customWidth="1"/>
    <col min="620" max="620" width="28.75" bestFit="1" customWidth="1"/>
    <col min="621" max="621" width="40.875" bestFit="1" customWidth="1"/>
    <col min="622" max="622" width="42" bestFit="1" customWidth="1"/>
    <col min="623" max="623" width="37" bestFit="1" customWidth="1"/>
    <col min="624" max="624" width="46.375" bestFit="1" customWidth="1"/>
    <col min="625" max="625" width="20.875" bestFit="1" customWidth="1"/>
    <col min="626" max="626" width="58.5" bestFit="1" customWidth="1"/>
    <col min="627" max="627" width="38.375" bestFit="1" customWidth="1"/>
    <col min="628" max="628" width="35.75" bestFit="1" customWidth="1"/>
    <col min="629" max="629" width="44.625" bestFit="1" customWidth="1"/>
    <col min="630" max="630" width="53.5" bestFit="1" customWidth="1"/>
    <col min="631" max="631" width="48.375" bestFit="1" customWidth="1"/>
    <col min="632" max="632" width="10.375" bestFit="1" customWidth="1"/>
  </cols>
  <sheetData>
    <row r="1" spans="1:3" x14ac:dyDescent="0.25">
      <c r="A1" s="64" t="s">
        <v>0</v>
      </c>
      <c r="B1" t="s">
        <v>1</v>
      </c>
    </row>
    <row r="3" spans="1:3" x14ac:dyDescent="0.25">
      <c r="A3" s="64" t="s">
        <v>2</v>
      </c>
      <c r="B3" s="64" t="s">
        <v>3</v>
      </c>
      <c r="C3" t="s">
        <v>4</v>
      </c>
    </row>
    <row r="4" spans="1:3" x14ac:dyDescent="0.25">
      <c r="A4" s="65" t="s">
        <v>5</v>
      </c>
      <c r="C4" s="66">
        <v>40</v>
      </c>
    </row>
    <row r="5" spans="1:3" x14ac:dyDescent="0.25">
      <c r="A5" s="65" t="s">
        <v>5</v>
      </c>
      <c r="B5" s="65" t="s">
        <v>6</v>
      </c>
      <c r="C5" s="66">
        <v>40</v>
      </c>
    </row>
    <row r="6" spans="1:3" x14ac:dyDescent="0.25">
      <c r="A6" s="65" t="s">
        <v>7</v>
      </c>
      <c r="C6" s="66">
        <v>2</v>
      </c>
    </row>
    <row r="7" spans="1:3" x14ac:dyDescent="0.25">
      <c r="A7" s="65" t="s">
        <v>7</v>
      </c>
      <c r="B7" s="65" t="s">
        <v>8</v>
      </c>
      <c r="C7" s="66">
        <v>2</v>
      </c>
    </row>
    <row r="8" spans="1:3" x14ac:dyDescent="0.25">
      <c r="A8" s="65" t="s">
        <v>9</v>
      </c>
      <c r="C8" s="66">
        <v>5</v>
      </c>
    </row>
    <row r="9" spans="1:3" x14ac:dyDescent="0.25">
      <c r="A9" s="65" t="s">
        <v>9</v>
      </c>
      <c r="B9" s="65" t="s">
        <v>10</v>
      </c>
      <c r="C9" s="66">
        <v>5</v>
      </c>
    </row>
    <row r="10" spans="1:3" x14ac:dyDescent="0.25">
      <c r="A10" s="65" t="s">
        <v>11</v>
      </c>
      <c r="C10" s="66">
        <v>38</v>
      </c>
    </row>
    <row r="11" spans="1:3" x14ac:dyDescent="0.25">
      <c r="A11" s="65" t="s">
        <v>11</v>
      </c>
      <c r="B11" s="65" t="s">
        <v>6</v>
      </c>
      <c r="C11" s="66">
        <v>38</v>
      </c>
    </row>
    <row r="12" spans="1:3" x14ac:dyDescent="0.25">
      <c r="A12" s="65" t="s">
        <v>12</v>
      </c>
      <c r="C12" s="66">
        <v>5</v>
      </c>
    </row>
    <row r="13" spans="1:3" x14ac:dyDescent="0.25">
      <c r="A13" s="65" t="s">
        <v>12</v>
      </c>
      <c r="B13" s="65" t="s">
        <v>13</v>
      </c>
      <c r="C13" s="66">
        <v>5</v>
      </c>
    </row>
    <row r="14" spans="1:3" x14ac:dyDescent="0.25">
      <c r="A14" s="65" t="s">
        <v>14</v>
      </c>
      <c r="C14" s="66">
        <v>1</v>
      </c>
    </row>
    <row r="15" spans="1:3" x14ac:dyDescent="0.25">
      <c r="A15" s="65" t="s">
        <v>14</v>
      </c>
      <c r="B15" s="65" t="s">
        <v>15</v>
      </c>
      <c r="C15" s="66">
        <v>1</v>
      </c>
    </row>
    <row r="16" spans="1:3" x14ac:dyDescent="0.25">
      <c r="A16" s="65" t="s">
        <v>16</v>
      </c>
      <c r="C16" s="66">
        <v>90</v>
      </c>
    </row>
    <row r="17" spans="1:3" x14ac:dyDescent="0.25">
      <c r="A17" s="65" t="s">
        <v>16</v>
      </c>
      <c r="B17" s="65" t="s">
        <v>17</v>
      </c>
      <c r="C17" s="66">
        <v>90</v>
      </c>
    </row>
    <row r="18" spans="1:3" x14ac:dyDescent="0.25">
      <c r="A18" s="65" t="s">
        <v>18</v>
      </c>
      <c r="C18" s="66">
        <v>83.9</v>
      </c>
    </row>
    <row r="19" spans="1:3" x14ac:dyDescent="0.25">
      <c r="A19" s="65" t="s">
        <v>18</v>
      </c>
      <c r="B19" s="65" t="s">
        <v>19</v>
      </c>
      <c r="C19" s="66">
        <v>83.9</v>
      </c>
    </row>
    <row r="20" spans="1:3" x14ac:dyDescent="0.25">
      <c r="A20" s="65" t="s">
        <v>20</v>
      </c>
      <c r="C20" s="66">
        <v>91</v>
      </c>
    </row>
    <row r="21" spans="1:3" x14ac:dyDescent="0.25">
      <c r="A21" s="65" t="s">
        <v>20</v>
      </c>
      <c r="B21" s="65" t="s">
        <v>21</v>
      </c>
      <c r="C21" s="66">
        <v>91</v>
      </c>
    </row>
    <row r="22" spans="1:3" x14ac:dyDescent="0.25">
      <c r="A22" s="65" t="s">
        <v>22</v>
      </c>
      <c r="C22" s="66">
        <v>1</v>
      </c>
    </row>
    <row r="23" spans="1:3" x14ac:dyDescent="0.25">
      <c r="A23" s="65" t="s">
        <v>22</v>
      </c>
      <c r="B23" s="65" t="s">
        <v>23</v>
      </c>
      <c r="C23" s="66">
        <v>1</v>
      </c>
    </row>
    <row r="24" spans="1:3" x14ac:dyDescent="0.25">
      <c r="A24" s="65" t="s">
        <v>24</v>
      </c>
      <c r="C24" s="66">
        <v>90</v>
      </c>
    </row>
    <row r="25" spans="1:3" x14ac:dyDescent="0.25">
      <c r="A25" s="65" t="s">
        <v>24</v>
      </c>
      <c r="B25" s="65" t="s">
        <v>25</v>
      </c>
      <c r="C25" s="66">
        <v>90</v>
      </c>
    </row>
    <row r="26" spans="1:3" x14ac:dyDescent="0.25">
      <c r="A26" s="65" t="s">
        <v>26</v>
      </c>
      <c r="C26" s="66">
        <v>45</v>
      </c>
    </row>
    <row r="27" spans="1:3" x14ac:dyDescent="0.25">
      <c r="A27" s="65" t="s">
        <v>26</v>
      </c>
      <c r="B27" s="65" t="s">
        <v>27</v>
      </c>
      <c r="C27" s="66">
        <v>45</v>
      </c>
    </row>
    <row r="28" spans="1:3" x14ac:dyDescent="0.25">
      <c r="A28" s="65" t="s">
        <v>28</v>
      </c>
      <c r="C28" s="66">
        <v>269</v>
      </c>
    </row>
    <row r="29" spans="1:3" x14ac:dyDescent="0.25">
      <c r="A29" s="65" t="s">
        <v>28</v>
      </c>
      <c r="B29" s="65" t="s">
        <v>29</v>
      </c>
      <c r="C29" s="66">
        <v>269</v>
      </c>
    </row>
    <row r="30" spans="1:3" x14ac:dyDescent="0.25">
      <c r="A30" s="65" t="s">
        <v>30</v>
      </c>
      <c r="C30" s="66">
        <v>232</v>
      </c>
    </row>
    <row r="31" spans="1:3" x14ac:dyDescent="0.25">
      <c r="A31" s="65" t="s">
        <v>30</v>
      </c>
      <c r="B31" s="65" t="s">
        <v>31</v>
      </c>
      <c r="C31" s="66">
        <v>232</v>
      </c>
    </row>
    <row r="32" spans="1:3" x14ac:dyDescent="0.25">
      <c r="A32" s="65" t="s">
        <v>32</v>
      </c>
      <c r="C32" s="66">
        <v>63</v>
      </c>
    </row>
    <row r="33" spans="1:3" x14ac:dyDescent="0.25">
      <c r="A33" s="65" t="s">
        <v>32</v>
      </c>
      <c r="B33" s="65" t="s">
        <v>33</v>
      </c>
      <c r="C33" s="66">
        <v>63</v>
      </c>
    </row>
    <row r="34" spans="1:3" x14ac:dyDescent="0.25">
      <c r="A34" s="65" t="s">
        <v>34</v>
      </c>
      <c r="C34" s="66">
        <v>29</v>
      </c>
    </row>
    <row r="35" spans="1:3" x14ac:dyDescent="0.25">
      <c r="A35" s="65" t="s">
        <v>34</v>
      </c>
      <c r="B35" s="65" t="s">
        <v>35</v>
      </c>
      <c r="C35" s="66">
        <v>29</v>
      </c>
    </row>
    <row r="36" spans="1:3" x14ac:dyDescent="0.25">
      <c r="A36" s="65" t="s">
        <v>36</v>
      </c>
      <c r="C36" s="66">
        <v>34</v>
      </c>
    </row>
    <row r="37" spans="1:3" x14ac:dyDescent="0.25">
      <c r="A37" s="65" t="s">
        <v>36</v>
      </c>
      <c r="B37" s="65" t="s">
        <v>37</v>
      </c>
      <c r="C37" s="66">
        <v>34</v>
      </c>
    </row>
    <row r="38" spans="1:3" x14ac:dyDescent="0.25">
      <c r="A38" s="65" t="s">
        <v>38</v>
      </c>
      <c r="C38" s="66">
        <v>6</v>
      </c>
    </row>
    <row r="39" spans="1:3" x14ac:dyDescent="0.25">
      <c r="A39" s="65" t="s">
        <v>38</v>
      </c>
      <c r="B39" s="65" t="s">
        <v>39</v>
      </c>
      <c r="C39" s="66">
        <v>6</v>
      </c>
    </row>
    <row r="40" spans="1:3" x14ac:dyDescent="0.25">
      <c r="A40" s="65" t="s">
        <v>40</v>
      </c>
      <c r="C40" s="66">
        <v>2</v>
      </c>
    </row>
    <row r="41" spans="1:3" x14ac:dyDescent="0.25">
      <c r="A41" s="65" t="s">
        <v>40</v>
      </c>
      <c r="B41" s="65" t="s">
        <v>41</v>
      </c>
      <c r="C41" s="66">
        <v>2</v>
      </c>
    </row>
    <row r="42" spans="1:3" x14ac:dyDescent="0.25">
      <c r="A42" s="65" t="s">
        <v>42</v>
      </c>
      <c r="C42" s="66">
        <v>50</v>
      </c>
    </row>
    <row r="43" spans="1:3" x14ac:dyDescent="0.25">
      <c r="A43" s="65" t="s">
        <v>42</v>
      </c>
      <c r="B43" s="65" t="s">
        <v>43</v>
      </c>
      <c r="C43" s="66">
        <v>50</v>
      </c>
    </row>
    <row r="44" spans="1:3" x14ac:dyDescent="0.25">
      <c r="A44" s="65" t="s">
        <v>44</v>
      </c>
      <c r="C44" s="66">
        <v>266</v>
      </c>
    </row>
    <row r="45" spans="1:3" x14ac:dyDescent="0.25">
      <c r="A45" s="65" t="s">
        <v>44</v>
      </c>
      <c r="B45" s="65" t="s">
        <v>45</v>
      </c>
      <c r="C45" s="66">
        <v>266</v>
      </c>
    </row>
    <row r="46" spans="1:3" x14ac:dyDescent="0.25">
      <c r="A46" s="65" t="s">
        <v>46</v>
      </c>
      <c r="C46" s="66">
        <v>79.7</v>
      </c>
    </row>
    <row r="47" spans="1:3" x14ac:dyDescent="0.25">
      <c r="A47" s="65" t="s">
        <v>46</v>
      </c>
      <c r="B47" s="65" t="s">
        <v>47</v>
      </c>
      <c r="C47" s="66">
        <v>79.7</v>
      </c>
    </row>
    <row r="48" spans="1:3" x14ac:dyDescent="0.25">
      <c r="A48" s="65" t="s">
        <v>48</v>
      </c>
      <c r="C48" s="66">
        <v>76.7</v>
      </c>
    </row>
    <row r="49" spans="1:3" x14ac:dyDescent="0.25">
      <c r="A49" s="65" t="s">
        <v>48</v>
      </c>
      <c r="B49" s="65" t="s">
        <v>49</v>
      </c>
      <c r="C49" s="66">
        <v>76.7</v>
      </c>
    </row>
    <row r="50" spans="1:3" x14ac:dyDescent="0.25">
      <c r="A50" s="65" t="s">
        <v>50</v>
      </c>
      <c r="C50" s="66">
        <v>1599.3000000000002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D89C-00D7-4D22-8A76-352B0F8BAA1D}">
  <dimension ref="A1:G100"/>
  <sheetViews>
    <sheetView zoomScale="70" zoomScaleNormal="70" workbookViewId="0">
      <selection activeCell="I33" sqref="I33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27" t="s">
        <v>2727</v>
      </c>
      <c r="B2" s="28" t="s">
        <v>1487</v>
      </c>
      <c r="C2" s="13"/>
      <c r="D2" s="13"/>
      <c r="E2" s="13"/>
      <c r="F2" s="14"/>
      <c r="G2" s="14"/>
    </row>
    <row r="3" spans="1:7" x14ac:dyDescent="0.25">
      <c r="A3" s="27" t="s">
        <v>2728</v>
      </c>
      <c r="B3" s="28" t="s">
        <v>1490</v>
      </c>
      <c r="C3" s="13"/>
      <c r="D3" s="13"/>
      <c r="E3" s="13"/>
      <c r="F3" s="14"/>
      <c r="G3" s="14"/>
    </row>
    <row r="4" spans="1:7" x14ac:dyDescent="0.25">
      <c r="A4" s="27" t="s">
        <v>2729</v>
      </c>
      <c r="B4" s="28" t="s">
        <v>2730</v>
      </c>
      <c r="C4" s="13"/>
      <c r="D4" s="13"/>
      <c r="E4" s="13"/>
      <c r="F4" s="14"/>
      <c r="G4" s="14"/>
    </row>
    <row r="5" spans="1:7" x14ac:dyDescent="0.25">
      <c r="A5" s="27" t="s">
        <v>2731</v>
      </c>
      <c r="B5" s="28" t="s">
        <v>2732</v>
      </c>
      <c r="C5" s="13"/>
      <c r="D5" s="13"/>
      <c r="E5" s="13"/>
      <c r="F5" s="14"/>
      <c r="G5" s="14"/>
    </row>
    <row r="6" spans="1:7" x14ac:dyDescent="0.25">
      <c r="A6" s="29" t="s">
        <v>2733</v>
      </c>
      <c r="B6" s="30" t="s">
        <v>196</v>
      </c>
      <c r="C6" s="13"/>
      <c r="D6" s="13"/>
      <c r="E6" s="13"/>
      <c r="F6" s="14"/>
      <c r="G6" s="14"/>
    </row>
    <row r="7" spans="1:7" x14ac:dyDescent="0.25">
      <c r="A7" s="29" t="s">
        <v>2734</v>
      </c>
      <c r="B7" s="30" t="s">
        <v>193</v>
      </c>
      <c r="C7" s="13"/>
      <c r="D7" s="13"/>
      <c r="E7" s="13"/>
      <c r="F7" s="14"/>
      <c r="G7" s="14"/>
    </row>
    <row r="8" spans="1:7" x14ac:dyDescent="0.25">
      <c r="A8" s="31" t="s">
        <v>2735</v>
      </c>
      <c r="B8" s="30" t="s">
        <v>544</v>
      </c>
      <c r="C8" s="13"/>
      <c r="D8" s="13"/>
      <c r="E8" s="13"/>
      <c r="F8" s="14"/>
      <c r="G8" s="14"/>
    </row>
    <row r="9" spans="1:7" x14ac:dyDescent="0.25">
      <c r="A9" s="31" t="s">
        <v>2736</v>
      </c>
      <c r="B9" s="30" t="s">
        <v>547</v>
      </c>
      <c r="C9" s="13"/>
      <c r="D9" s="13"/>
      <c r="E9" s="13"/>
      <c r="F9" s="15"/>
      <c r="G9" s="15"/>
    </row>
    <row r="10" spans="1:7" x14ac:dyDescent="0.25">
      <c r="A10" s="31" t="s">
        <v>2737</v>
      </c>
      <c r="B10" s="30" t="s">
        <v>2280</v>
      </c>
      <c r="C10" s="13"/>
      <c r="D10" s="13"/>
      <c r="E10" s="13"/>
      <c r="F10" s="16"/>
      <c r="G10" s="16"/>
    </row>
    <row r="11" spans="1:7" x14ac:dyDescent="0.25">
      <c r="A11" s="31" t="s">
        <v>2738</v>
      </c>
      <c r="B11" s="30" t="s">
        <v>2739</v>
      </c>
      <c r="C11" s="13"/>
      <c r="D11" s="13"/>
      <c r="E11" s="13"/>
      <c r="F11" s="14"/>
      <c r="G11" s="14"/>
    </row>
    <row r="12" spans="1:7" x14ac:dyDescent="0.25">
      <c r="A12" s="31" t="s">
        <v>2740</v>
      </c>
      <c r="B12" s="30" t="s">
        <v>2741</v>
      </c>
      <c r="C12" s="13"/>
      <c r="D12" s="13"/>
      <c r="E12" s="13"/>
      <c r="F12" s="14"/>
      <c r="G12" s="14"/>
    </row>
    <row r="13" spans="1:7" x14ac:dyDescent="0.25">
      <c r="A13" s="32" t="s">
        <v>2742</v>
      </c>
      <c r="B13" s="28" t="s">
        <v>694</v>
      </c>
      <c r="C13" s="13"/>
      <c r="D13" s="13"/>
      <c r="E13" s="13"/>
      <c r="F13" s="17"/>
      <c r="G13" s="17"/>
    </row>
    <row r="14" spans="1:7" x14ac:dyDescent="0.25">
      <c r="A14" s="32" t="s">
        <v>2743</v>
      </c>
      <c r="B14" s="28" t="s">
        <v>2744</v>
      </c>
      <c r="C14" s="13"/>
      <c r="D14" s="13"/>
      <c r="E14" s="13"/>
      <c r="F14" s="14"/>
      <c r="G14" s="14"/>
    </row>
    <row r="15" spans="1:7" x14ac:dyDescent="0.25">
      <c r="A15" s="32" t="s">
        <v>2745</v>
      </c>
      <c r="B15" s="28" t="s">
        <v>2746</v>
      </c>
      <c r="C15" s="13"/>
      <c r="D15" s="13"/>
      <c r="E15" s="13"/>
      <c r="F15" s="14"/>
      <c r="G15" s="14"/>
    </row>
    <row r="16" spans="1:7" x14ac:dyDescent="0.25">
      <c r="A16" s="32" t="s">
        <v>2747</v>
      </c>
      <c r="B16" s="28" t="s">
        <v>2748</v>
      </c>
      <c r="C16" s="13"/>
      <c r="D16" s="13"/>
      <c r="E16" s="13"/>
      <c r="F16" s="14"/>
      <c r="G16" s="14"/>
    </row>
    <row r="17" spans="1:7" x14ac:dyDescent="0.25">
      <c r="A17" s="32" t="s">
        <v>2749</v>
      </c>
      <c r="B17" s="28" t="s">
        <v>2750</v>
      </c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6CE9-3125-49CE-BB1C-B48A09A28406}">
  <dimension ref="A1:G100"/>
  <sheetViews>
    <sheetView topLeftCell="A16" zoomScale="70" zoomScaleNormal="70" workbookViewId="0">
      <selection activeCell="L36" sqref="L36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35" t="s">
        <v>776</v>
      </c>
      <c r="B2" s="35" t="s">
        <v>2751</v>
      </c>
      <c r="C2" s="13"/>
      <c r="D2" s="13"/>
      <c r="E2" s="13"/>
      <c r="F2" s="14"/>
      <c r="G2" s="14"/>
    </row>
    <row r="3" spans="1:7" x14ac:dyDescent="0.25">
      <c r="A3" s="35" t="s">
        <v>2752</v>
      </c>
      <c r="B3" s="35" t="s">
        <v>2753</v>
      </c>
      <c r="C3" s="13"/>
      <c r="D3" s="13"/>
      <c r="E3" s="13"/>
      <c r="F3" s="14"/>
      <c r="G3" s="14"/>
    </row>
    <row r="4" spans="1:7" x14ac:dyDescent="0.25">
      <c r="A4" s="35" t="s">
        <v>2754</v>
      </c>
      <c r="B4" s="35" t="s">
        <v>2755</v>
      </c>
      <c r="C4" s="13"/>
      <c r="D4" s="13"/>
      <c r="E4" s="13"/>
      <c r="F4" s="14"/>
      <c r="G4" s="14"/>
    </row>
    <row r="5" spans="1:7" x14ac:dyDescent="0.25">
      <c r="A5" s="35" t="s">
        <v>2756</v>
      </c>
      <c r="B5" s="35" t="s">
        <v>2757</v>
      </c>
      <c r="C5" s="13"/>
      <c r="D5" s="13"/>
      <c r="E5" s="13"/>
      <c r="F5" s="14"/>
      <c r="G5" s="14"/>
    </row>
    <row r="6" spans="1:7" x14ac:dyDescent="0.25">
      <c r="A6" s="35" t="s">
        <v>784</v>
      </c>
      <c r="B6" s="35" t="s">
        <v>2758</v>
      </c>
      <c r="C6" s="13"/>
      <c r="D6" s="13"/>
      <c r="E6" s="13"/>
      <c r="F6" s="14"/>
      <c r="G6" s="14"/>
    </row>
    <row r="7" spans="1:7" x14ac:dyDescent="0.25">
      <c r="A7" s="50" t="s">
        <v>2759</v>
      </c>
      <c r="B7" s="50" t="s">
        <v>2760</v>
      </c>
      <c r="C7" s="13"/>
      <c r="D7" s="13"/>
      <c r="E7" s="13"/>
      <c r="F7" s="14"/>
      <c r="G7" s="14"/>
    </row>
    <row r="8" spans="1:7" x14ac:dyDescent="0.25">
      <c r="A8" s="50" t="s">
        <v>1752</v>
      </c>
      <c r="B8" s="50" t="s">
        <v>2761</v>
      </c>
      <c r="C8" s="13"/>
      <c r="D8" s="13"/>
      <c r="E8" s="13"/>
      <c r="F8" s="14"/>
      <c r="G8" s="14"/>
    </row>
    <row r="9" spans="1:7" x14ac:dyDescent="0.25">
      <c r="A9" s="50" t="s">
        <v>1755</v>
      </c>
      <c r="B9" s="50" t="s">
        <v>1757</v>
      </c>
      <c r="C9" s="13"/>
      <c r="D9" s="13"/>
      <c r="E9" s="13"/>
      <c r="F9" s="15"/>
      <c r="G9" s="15"/>
    </row>
    <row r="10" spans="1:7" x14ac:dyDescent="0.25">
      <c r="A10" s="50" t="s">
        <v>2762</v>
      </c>
      <c r="B10" s="50" t="s">
        <v>2763</v>
      </c>
      <c r="C10" s="13"/>
      <c r="D10" s="13"/>
      <c r="E10" s="13"/>
      <c r="F10" s="16"/>
      <c r="G10" s="16"/>
    </row>
    <row r="11" spans="1:7" x14ac:dyDescent="0.25">
      <c r="A11" s="50" t="s">
        <v>316</v>
      </c>
      <c r="B11" s="50" t="s">
        <v>318</v>
      </c>
      <c r="C11" s="13"/>
      <c r="D11" s="13"/>
      <c r="E11" s="13"/>
      <c r="F11" s="14"/>
      <c r="G11" s="14"/>
    </row>
    <row r="12" spans="1:7" x14ac:dyDescent="0.25">
      <c r="A12" s="50" t="s">
        <v>308</v>
      </c>
      <c r="B12" s="50" t="s">
        <v>312</v>
      </c>
      <c r="C12" s="13"/>
      <c r="D12" s="13"/>
      <c r="E12" s="13"/>
      <c r="F12" s="14"/>
      <c r="G12" s="14"/>
    </row>
    <row r="13" spans="1:7" x14ac:dyDescent="0.25">
      <c r="A13" s="50" t="s">
        <v>2764</v>
      </c>
      <c r="B13" s="50" t="s">
        <v>315</v>
      </c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490B-91E8-4E9C-93FC-95877727933A}">
  <dimension ref="A1:G100"/>
  <sheetViews>
    <sheetView topLeftCell="A11" zoomScale="70" zoomScaleNormal="70" workbookViewId="0">
      <selection activeCell="K31" sqref="K31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 t="s">
        <v>2765</v>
      </c>
      <c r="B2" s="12" t="s">
        <v>1174</v>
      </c>
      <c r="C2" s="13"/>
      <c r="D2" s="13"/>
      <c r="E2" s="13"/>
      <c r="F2" s="14"/>
      <c r="G2" s="14"/>
    </row>
    <row r="3" spans="1:7" x14ac:dyDescent="0.25">
      <c r="A3" s="12" t="s">
        <v>1257</v>
      </c>
      <c r="B3" s="12" t="s">
        <v>1259</v>
      </c>
      <c r="C3" s="13"/>
      <c r="D3" s="13"/>
      <c r="E3" s="13"/>
      <c r="F3" s="14"/>
      <c r="G3" s="14"/>
    </row>
    <row r="4" spans="1:7" x14ac:dyDescent="0.25">
      <c r="A4" s="12" t="s">
        <v>1035</v>
      </c>
      <c r="B4" s="12" t="s">
        <v>2766</v>
      </c>
      <c r="C4" s="13"/>
      <c r="D4" s="13"/>
      <c r="E4" s="13"/>
      <c r="F4" s="14"/>
      <c r="G4" s="14"/>
    </row>
    <row r="5" spans="1:7" x14ac:dyDescent="0.25">
      <c r="A5" s="12" t="s">
        <v>671</v>
      </c>
      <c r="B5" s="12" t="s">
        <v>2767</v>
      </c>
      <c r="C5" s="13"/>
      <c r="D5" s="13"/>
      <c r="E5" s="13"/>
      <c r="F5" s="14"/>
      <c r="G5" s="14"/>
    </row>
    <row r="6" spans="1:7" x14ac:dyDescent="0.25">
      <c r="A6" s="12" t="s">
        <v>484</v>
      </c>
      <c r="B6" s="12" t="s">
        <v>486</v>
      </c>
      <c r="C6" s="13"/>
      <c r="D6" s="13"/>
      <c r="E6" s="13"/>
      <c r="F6" s="14"/>
      <c r="G6" s="14"/>
    </row>
    <row r="7" spans="1:7" x14ac:dyDescent="0.25">
      <c r="A7" s="26" t="s">
        <v>487</v>
      </c>
      <c r="B7" s="26" t="s">
        <v>489</v>
      </c>
      <c r="C7" s="13"/>
      <c r="D7" s="13"/>
      <c r="E7" s="13"/>
      <c r="F7" s="14"/>
      <c r="G7" s="14"/>
    </row>
    <row r="8" spans="1:7" x14ac:dyDescent="0.25">
      <c r="A8" s="26" t="s">
        <v>16</v>
      </c>
      <c r="B8" s="26" t="s">
        <v>15</v>
      </c>
      <c r="C8" s="13"/>
      <c r="D8" s="13"/>
      <c r="E8" s="13"/>
      <c r="F8" s="14"/>
      <c r="G8" s="14"/>
    </row>
    <row r="9" spans="1:7" x14ac:dyDescent="0.25">
      <c r="A9" s="26" t="s">
        <v>18</v>
      </c>
      <c r="B9" s="26" t="s">
        <v>19</v>
      </c>
      <c r="C9" s="13"/>
      <c r="D9" s="13"/>
      <c r="E9" s="13"/>
      <c r="F9" s="15"/>
      <c r="G9" s="15"/>
    </row>
    <row r="10" spans="1:7" x14ac:dyDescent="0.25">
      <c r="A10" s="26" t="s">
        <v>20</v>
      </c>
      <c r="B10" s="26" t="s">
        <v>21</v>
      </c>
      <c r="C10" s="13"/>
      <c r="D10" s="13"/>
      <c r="E10" s="13"/>
      <c r="F10" s="16"/>
      <c r="G10" s="16"/>
    </row>
    <row r="11" spans="1:7" x14ac:dyDescent="0.25">
      <c r="A11" s="26" t="s">
        <v>1418</v>
      </c>
      <c r="B11" s="26" t="s">
        <v>2768</v>
      </c>
      <c r="C11" s="13"/>
      <c r="D11" s="13"/>
      <c r="E11" s="13"/>
      <c r="F11" s="14"/>
      <c r="G11" s="14"/>
    </row>
    <row r="12" spans="1:7" x14ac:dyDescent="0.25">
      <c r="A12" s="26" t="s">
        <v>2769</v>
      </c>
      <c r="B12" s="26" t="s">
        <v>2770</v>
      </c>
      <c r="C12" s="13"/>
      <c r="D12" s="13"/>
      <c r="E12" s="13"/>
      <c r="F12" s="14"/>
      <c r="G12" s="14"/>
    </row>
    <row r="13" spans="1:7" x14ac:dyDescent="0.25">
      <c r="A13" s="26" t="s">
        <v>713</v>
      </c>
      <c r="B13" s="26" t="s">
        <v>715</v>
      </c>
      <c r="C13" s="13"/>
      <c r="D13" s="13"/>
      <c r="E13" s="13"/>
      <c r="F13" s="17"/>
      <c r="G13" s="17"/>
    </row>
    <row r="14" spans="1:7" x14ac:dyDescent="0.25">
      <c r="A14" s="26" t="s">
        <v>2771</v>
      </c>
      <c r="B14" s="26" t="s">
        <v>2772</v>
      </c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3558-E9B1-49A8-9F62-D21D3C632286}">
  <dimension ref="A1:G100"/>
  <sheetViews>
    <sheetView topLeftCell="A14" zoomScale="70" zoomScaleNormal="70" workbookViewId="0">
      <selection activeCell="I34" sqref="I34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67" t="s">
        <v>1045</v>
      </c>
      <c r="B2" s="25" t="s">
        <v>1047</v>
      </c>
      <c r="C2" s="13"/>
      <c r="D2" s="13"/>
      <c r="E2" s="13"/>
      <c r="F2" s="14"/>
      <c r="G2" s="14"/>
    </row>
    <row r="3" spans="1:7" x14ac:dyDescent="0.25">
      <c r="A3" s="67" t="s">
        <v>1048</v>
      </c>
      <c r="B3" s="35" t="s">
        <v>2773</v>
      </c>
      <c r="C3" s="13"/>
      <c r="D3" s="13"/>
      <c r="E3" s="13"/>
      <c r="F3" s="14"/>
      <c r="G3" s="14"/>
    </row>
    <row r="4" spans="1:7" x14ac:dyDescent="0.25">
      <c r="A4" s="35" t="s">
        <v>2774</v>
      </c>
      <c r="B4" s="35" t="s">
        <v>2775</v>
      </c>
      <c r="C4" s="13"/>
      <c r="D4" s="13"/>
      <c r="E4" s="13"/>
      <c r="F4" s="14"/>
      <c r="G4" s="14"/>
    </row>
    <row r="5" spans="1:7" x14ac:dyDescent="0.25">
      <c r="A5" s="35" t="s">
        <v>2776</v>
      </c>
      <c r="B5" s="35" t="s">
        <v>2777</v>
      </c>
      <c r="C5" s="13"/>
      <c r="D5" s="13"/>
      <c r="E5" s="13"/>
      <c r="F5" s="14"/>
      <c r="G5" s="14"/>
    </row>
    <row r="6" spans="1:7" x14ac:dyDescent="0.25">
      <c r="A6" s="35" t="s">
        <v>2778</v>
      </c>
      <c r="B6" s="35" t="s">
        <v>2779</v>
      </c>
      <c r="C6" s="13"/>
      <c r="D6" s="13"/>
      <c r="E6" s="13"/>
      <c r="F6" s="14"/>
      <c r="G6" s="14"/>
    </row>
    <row r="7" spans="1:7" x14ac:dyDescent="0.25">
      <c r="A7" s="26"/>
      <c r="B7" s="26"/>
      <c r="C7" s="13"/>
      <c r="D7" s="13"/>
      <c r="E7" s="13"/>
      <c r="F7" s="14"/>
      <c r="G7" s="14"/>
    </row>
    <row r="8" spans="1:7" x14ac:dyDescent="0.25">
      <c r="A8" s="26"/>
      <c r="B8" s="26"/>
      <c r="C8" s="13"/>
      <c r="D8" s="13"/>
      <c r="E8" s="13"/>
      <c r="F8" s="14"/>
      <c r="G8" s="14"/>
    </row>
    <row r="9" spans="1:7" x14ac:dyDescent="0.25">
      <c r="A9" s="26"/>
      <c r="B9" s="26"/>
      <c r="C9" s="13"/>
      <c r="D9" s="13"/>
      <c r="E9" s="13"/>
      <c r="F9" s="15"/>
      <c r="G9" s="15"/>
    </row>
    <row r="10" spans="1:7" x14ac:dyDescent="0.25">
      <c r="A10" s="26"/>
      <c r="B10" s="26"/>
      <c r="C10" s="13"/>
      <c r="D10" s="13"/>
      <c r="E10" s="13"/>
      <c r="F10" s="16"/>
      <c r="G10" s="16"/>
    </row>
    <row r="11" spans="1:7" x14ac:dyDescent="0.25">
      <c r="A11" s="26"/>
      <c r="B11" s="26"/>
      <c r="C11" s="13"/>
      <c r="D11" s="13"/>
      <c r="E11" s="13"/>
      <c r="F11" s="14"/>
      <c r="G11" s="14"/>
    </row>
    <row r="12" spans="1:7" x14ac:dyDescent="0.25">
      <c r="A12" s="26"/>
      <c r="B12" s="26"/>
      <c r="C12" s="13"/>
      <c r="D12" s="13"/>
      <c r="E12" s="13"/>
      <c r="F12" s="14"/>
      <c r="G12" s="14"/>
    </row>
    <row r="13" spans="1:7" x14ac:dyDescent="0.25">
      <c r="A13" s="26"/>
      <c r="B13" s="26"/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7564-7E38-42C9-B8FD-C379F3AFA700}">
  <dimension ref="A1:G100"/>
  <sheetViews>
    <sheetView topLeftCell="B16" zoomScale="70" zoomScaleNormal="70" workbookViewId="0">
      <selection activeCell="L36" sqref="L36"/>
    </sheetView>
  </sheetViews>
  <sheetFormatPr defaultRowHeight="15.75" x14ac:dyDescent="0.25"/>
  <cols>
    <col min="1" max="1" width="13.875" customWidth="1"/>
    <col min="2" max="2" width="62.125" bestFit="1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 t="s">
        <v>629</v>
      </c>
      <c r="B2" s="12" t="s">
        <v>2780</v>
      </c>
      <c r="C2" s="13"/>
      <c r="D2" s="13"/>
      <c r="E2" s="13"/>
      <c r="F2" s="14"/>
      <c r="G2" s="14"/>
    </row>
    <row r="3" spans="1:7" x14ac:dyDescent="0.25">
      <c r="A3" s="12" t="s">
        <v>584</v>
      </c>
      <c r="B3" s="12" t="s">
        <v>586</v>
      </c>
      <c r="C3" s="13"/>
      <c r="D3" s="13"/>
      <c r="E3" s="13"/>
      <c r="F3" s="14"/>
      <c r="G3" s="14"/>
    </row>
    <row r="4" spans="1:7" x14ac:dyDescent="0.25">
      <c r="A4" s="12" t="s">
        <v>587</v>
      </c>
      <c r="B4" s="12" t="s">
        <v>589</v>
      </c>
      <c r="C4" s="13"/>
      <c r="D4" s="13"/>
      <c r="E4" s="13"/>
      <c r="F4" s="14"/>
      <c r="G4" s="14"/>
    </row>
    <row r="5" spans="1:7" x14ac:dyDescent="0.25">
      <c r="A5" s="12" t="s">
        <v>503</v>
      </c>
      <c r="B5" s="12" t="s">
        <v>505</v>
      </c>
      <c r="C5" s="13"/>
      <c r="D5" s="13"/>
      <c r="E5" s="13"/>
      <c r="F5" s="14"/>
      <c r="G5" s="14"/>
    </row>
    <row r="6" spans="1:7" x14ac:dyDescent="0.25">
      <c r="A6" s="12" t="s">
        <v>506</v>
      </c>
      <c r="B6" s="12" t="s">
        <v>508</v>
      </c>
      <c r="C6" s="13"/>
      <c r="D6" s="13"/>
      <c r="E6" s="13"/>
      <c r="F6" s="14"/>
      <c r="G6" s="14"/>
    </row>
    <row r="7" spans="1:7" x14ac:dyDescent="0.25">
      <c r="A7" s="26" t="s">
        <v>509</v>
      </c>
      <c r="B7" s="26" t="s">
        <v>511</v>
      </c>
      <c r="C7" s="13"/>
      <c r="D7" s="13"/>
      <c r="E7" s="13"/>
      <c r="F7" s="14"/>
      <c r="G7" s="14"/>
    </row>
    <row r="8" spans="1:7" x14ac:dyDescent="0.25">
      <c r="A8" s="26" t="s">
        <v>512</v>
      </c>
      <c r="B8" s="26" t="s">
        <v>514</v>
      </c>
      <c r="C8" s="13"/>
      <c r="D8" s="13"/>
      <c r="E8" s="13"/>
      <c r="F8" s="14"/>
      <c r="G8" s="14"/>
    </row>
    <row r="9" spans="1:7" x14ac:dyDescent="0.25">
      <c r="A9" s="26" t="s">
        <v>515</v>
      </c>
      <c r="B9" s="26" t="s">
        <v>517</v>
      </c>
      <c r="C9" s="13"/>
      <c r="D9" s="13"/>
      <c r="E9" s="13"/>
      <c r="F9" s="15"/>
      <c r="G9" s="15"/>
    </row>
    <row r="10" spans="1:7" x14ac:dyDescent="0.25">
      <c r="A10" s="26" t="s">
        <v>2781</v>
      </c>
      <c r="B10" s="26" t="s">
        <v>625</v>
      </c>
      <c r="C10" s="13"/>
      <c r="D10" s="13"/>
      <c r="E10" s="13"/>
      <c r="F10" s="16"/>
      <c r="G10" s="16"/>
    </row>
    <row r="11" spans="1:7" x14ac:dyDescent="0.25">
      <c r="A11" s="26" t="s">
        <v>2782</v>
      </c>
      <c r="B11" s="26" t="s">
        <v>2783</v>
      </c>
      <c r="C11" s="13"/>
      <c r="D11" s="13"/>
      <c r="E11" s="13"/>
      <c r="F11" s="14"/>
      <c r="G11" s="14"/>
    </row>
    <row r="12" spans="1:7" x14ac:dyDescent="0.25">
      <c r="A12" s="26" t="s">
        <v>518</v>
      </c>
      <c r="B12" s="26" t="s">
        <v>2784</v>
      </c>
      <c r="C12" s="13"/>
      <c r="D12" s="13"/>
      <c r="E12" s="13"/>
      <c r="F12" s="14"/>
      <c r="G12" s="14"/>
    </row>
    <row r="13" spans="1:7" x14ac:dyDescent="0.25">
      <c r="A13" s="26" t="s">
        <v>521</v>
      </c>
      <c r="B13" s="26" t="s">
        <v>2785</v>
      </c>
      <c r="C13" s="13"/>
      <c r="D13" s="13"/>
      <c r="E13" s="13"/>
      <c r="F13" s="17"/>
      <c r="G13" s="17"/>
    </row>
    <row r="14" spans="1:7" x14ac:dyDescent="0.25">
      <c r="A14" s="26" t="s">
        <v>524</v>
      </c>
      <c r="B14" s="26" t="s">
        <v>2786</v>
      </c>
      <c r="C14" s="13"/>
      <c r="D14" s="13"/>
      <c r="E14" s="13"/>
      <c r="F14" s="14"/>
      <c r="G14" s="14"/>
    </row>
    <row r="15" spans="1:7" x14ac:dyDescent="0.25">
      <c r="A15" s="26" t="s">
        <v>527</v>
      </c>
      <c r="B15" s="26" t="s">
        <v>2787</v>
      </c>
      <c r="C15" s="13"/>
      <c r="D15" s="13"/>
      <c r="E15" s="13"/>
      <c r="F15" s="14"/>
      <c r="G15" s="14"/>
    </row>
    <row r="16" spans="1:7" x14ac:dyDescent="0.25">
      <c r="A16" s="26" t="s">
        <v>530</v>
      </c>
      <c r="B16" s="26" t="s">
        <v>2788</v>
      </c>
      <c r="C16" s="13"/>
      <c r="D16" s="13"/>
      <c r="E16" s="13"/>
      <c r="F16" s="14"/>
      <c r="G16" s="14"/>
    </row>
    <row r="17" spans="1:7" x14ac:dyDescent="0.25">
      <c r="A17" s="12" t="s">
        <v>2789</v>
      </c>
      <c r="B17" s="12" t="s">
        <v>727</v>
      </c>
      <c r="C17" s="13"/>
      <c r="D17" s="13"/>
      <c r="E17" s="13"/>
      <c r="F17" s="14"/>
      <c r="G17" s="14"/>
    </row>
    <row r="18" spans="1:7" x14ac:dyDescent="0.25">
      <c r="A18" s="12" t="s">
        <v>725</v>
      </c>
      <c r="B18" s="12" t="s">
        <v>727</v>
      </c>
      <c r="C18" s="13"/>
      <c r="D18" s="13"/>
      <c r="E18" s="13"/>
      <c r="F18" s="14"/>
      <c r="G18" s="14"/>
    </row>
    <row r="19" spans="1:7" x14ac:dyDescent="0.25">
      <c r="A19" s="18" t="s">
        <v>722</v>
      </c>
      <c r="B19" s="19" t="s">
        <v>724</v>
      </c>
      <c r="C19" s="20"/>
      <c r="D19" s="18"/>
      <c r="E19" s="18"/>
      <c r="F19" s="14"/>
      <c r="G19" s="14"/>
    </row>
    <row r="20" spans="1:7" x14ac:dyDescent="0.25">
      <c r="A20" s="18" t="s">
        <v>2790</v>
      </c>
      <c r="B20" s="51" t="s">
        <v>718</v>
      </c>
      <c r="C20" s="20"/>
      <c r="D20" s="18"/>
      <c r="E20" s="18"/>
      <c r="F20" s="14"/>
      <c r="G20" s="14"/>
    </row>
    <row r="21" spans="1:7" x14ac:dyDescent="0.25">
      <c r="A21" s="20" t="s">
        <v>111</v>
      </c>
      <c r="B21" s="20" t="s">
        <v>113</v>
      </c>
      <c r="C21" s="20"/>
      <c r="D21" s="18"/>
      <c r="E21" s="18"/>
      <c r="F21" s="14"/>
      <c r="G21" s="14"/>
    </row>
    <row r="22" spans="1:7" x14ac:dyDescent="0.25">
      <c r="A22" s="20" t="s">
        <v>533</v>
      </c>
      <c r="B22" s="20" t="s">
        <v>535</v>
      </c>
      <c r="C22" s="20"/>
      <c r="D22" s="18"/>
      <c r="E22" s="18"/>
      <c r="F22" s="14"/>
      <c r="G22" s="14"/>
    </row>
    <row r="23" spans="1:7" x14ac:dyDescent="0.25">
      <c r="A23" s="20" t="s">
        <v>2791</v>
      </c>
      <c r="B23" s="22" t="s">
        <v>721</v>
      </c>
      <c r="C23" s="20"/>
      <c r="D23" s="18"/>
      <c r="E23" s="18"/>
      <c r="F23" s="14"/>
      <c r="G23" s="14"/>
    </row>
    <row r="24" spans="1:7" x14ac:dyDescent="0.25">
      <c r="A24" s="20" t="s">
        <v>716</v>
      </c>
      <c r="B24" s="20" t="s">
        <v>718</v>
      </c>
      <c r="C24" s="20"/>
      <c r="D24" s="18"/>
      <c r="E24" s="18"/>
      <c r="F24" s="14"/>
      <c r="G24" s="14"/>
    </row>
    <row r="25" spans="1:7" x14ac:dyDescent="0.25">
      <c r="A25" s="20" t="s">
        <v>496</v>
      </c>
      <c r="B25" s="20" t="s">
        <v>495</v>
      </c>
      <c r="C25" s="20"/>
      <c r="D25" s="18"/>
      <c r="E25" s="18"/>
      <c r="F25" s="14"/>
      <c r="G25" s="14"/>
    </row>
    <row r="26" spans="1:7" x14ac:dyDescent="0.25">
      <c r="A26" s="20" t="s">
        <v>438</v>
      </c>
      <c r="B26" s="20" t="s">
        <v>2792</v>
      </c>
      <c r="C26" s="20"/>
      <c r="D26" s="18"/>
      <c r="E26" s="18"/>
      <c r="F26" s="14"/>
      <c r="G26" s="14"/>
    </row>
    <row r="27" spans="1:7" x14ac:dyDescent="0.25">
      <c r="A27" s="20" t="s">
        <v>2793</v>
      </c>
      <c r="B27" s="20" t="s">
        <v>721</v>
      </c>
      <c r="C27" s="20"/>
      <c r="D27" s="18"/>
      <c r="E27" s="18"/>
      <c r="F27" s="14"/>
      <c r="G27" s="14"/>
    </row>
    <row r="28" spans="1:7" x14ac:dyDescent="0.25">
      <c r="A28" s="20" t="s">
        <v>719</v>
      </c>
      <c r="B28" s="20" t="s">
        <v>721</v>
      </c>
      <c r="C28" s="20"/>
      <c r="D28" s="18"/>
      <c r="E28" s="18"/>
      <c r="F28" s="14"/>
      <c r="G28" s="14"/>
    </row>
    <row r="29" spans="1:7" x14ac:dyDescent="0.25">
      <c r="A29" s="20" t="s">
        <v>105</v>
      </c>
      <c r="B29" s="20" t="s">
        <v>107</v>
      </c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F57D-CA0B-4B8B-8CBE-DDF6F7F0B086}">
  <dimension ref="A1:L100"/>
  <sheetViews>
    <sheetView topLeftCell="A21" zoomScale="80" zoomScaleNormal="80" workbookViewId="0">
      <selection activeCell="I41" sqref="I41"/>
    </sheetView>
  </sheetViews>
  <sheetFormatPr defaultColWidth="11" defaultRowHeight="15.75" x14ac:dyDescent="0.25"/>
  <cols>
    <col min="1" max="1" width="21.875" customWidth="1"/>
    <col min="2" max="2" width="60.5" bestFit="1" customWidth="1"/>
    <col min="3" max="3" width="9.375" style="1" customWidth="1"/>
    <col min="4" max="7" width="9.375" customWidth="1"/>
  </cols>
  <sheetData>
    <row r="1" spans="1:12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  <c r="H1" s="5"/>
      <c r="I1" s="5"/>
      <c r="J1" s="5"/>
      <c r="K1" s="5"/>
      <c r="L1" s="5"/>
    </row>
    <row r="2" spans="1:12" x14ac:dyDescent="0.25">
      <c r="A2" s="12" t="s">
        <v>2199</v>
      </c>
      <c r="B2" s="12" t="s">
        <v>2200</v>
      </c>
      <c r="C2" s="13">
        <v>4</v>
      </c>
      <c r="D2" s="13"/>
      <c r="E2" s="13"/>
      <c r="F2" s="14"/>
      <c r="G2" s="14"/>
      <c r="H2" s="5"/>
      <c r="I2" s="5"/>
      <c r="J2" s="5"/>
      <c r="K2" s="5"/>
      <c r="L2" s="5"/>
    </row>
    <row r="3" spans="1:12" x14ac:dyDescent="0.25">
      <c r="A3" s="12" t="s">
        <v>24</v>
      </c>
      <c r="B3" s="12" t="s">
        <v>2794</v>
      </c>
      <c r="C3" s="13">
        <v>43</v>
      </c>
      <c r="D3" s="13"/>
      <c r="E3" s="13"/>
      <c r="F3" s="14"/>
      <c r="G3" s="14"/>
      <c r="H3" s="5"/>
      <c r="I3" s="5"/>
      <c r="J3" s="5"/>
      <c r="K3" s="5"/>
      <c r="L3" s="5"/>
    </row>
    <row r="4" spans="1:12" x14ac:dyDescent="0.25">
      <c r="A4" s="12" t="s">
        <v>5</v>
      </c>
      <c r="B4" s="12" t="s">
        <v>2795</v>
      </c>
      <c r="C4" s="13">
        <v>30</v>
      </c>
      <c r="D4" s="13"/>
      <c r="E4" s="13"/>
      <c r="F4" s="14"/>
      <c r="G4" s="14"/>
      <c r="H4" s="5"/>
      <c r="I4" s="5"/>
      <c r="J4" s="5"/>
      <c r="K4" s="5"/>
      <c r="L4" s="5"/>
    </row>
    <row r="5" spans="1:12" x14ac:dyDescent="0.25">
      <c r="A5" s="12" t="s">
        <v>7</v>
      </c>
      <c r="B5" s="12" t="s">
        <v>2796</v>
      </c>
      <c r="C5" s="13">
        <v>15</v>
      </c>
      <c r="D5" s="13"/>
      <c r="E5" s="13"/>
      <c r="F5" s="14"/>
      <c r="G5" s="14"/>
      <c r="H5" s="5"/>
      <c r="I5" s="5"/>
      <c r="J5" s="5"/>
      <c r="K5" s="5"/>
      <c r="L5" s="5"/>
    </row>
    <row r="6" spans="1:12" x14ac:dyDescent="0.25">
      <c r="A6" s="12" t="s">
        <v>9</v>
      </c>
      <c r="B6" s="12" t="s">
        <v>2797</v>
      </c>
      <c r="C6" s="13">
        <v>18</v>
      </c>
      <c r="D6" s="13"/>
      <c r="E6" s="13"/>
      <c r="F6" s="14"/>
      <c r="G6" s="14"/>
      <c r="H6" s="5"/>
      <c r="I6" s="5"/>
      <c r="J6" s="5"/>
      <c r="K6" s="5"/>
      <c r="L6" s="5"/>
    </row>
    <row r="7" spans="1:12" x14ac:dyDescent="0.25">
      <c r="A7" s="26" t="s">
        <v>2798</v>
      </c>
      <c r="B7" s="26" t="s">
        <v>2799</v>
      </c>
      <c r="C7" s="13">
        <v>4</v>
      </c>
      <c r="D7" s="13"/>
      <c r="E7" s="13"/>
      <c r="F7" s="14"/>
      <c r="G7" s="14"/>
      <c r="H7" s="5"/>
      <c r="I7" s="5"/>
      <c r="J7" s="5"/>
      <c r="K7" s="5"/>
      <c r="L7" s="5"/>
    </row>
    <row r="8" spans="1:12" x14ac:dyDescent="0.25">
      <c r="A8" s="26" t="s">
        <v>2800</v>
      </c>
      <c r="B8" s="26" t="s">
        <v>2801</v>
      </c>
      <c r="C8" s="13"/>
      <c r="D8" s="13"/>
      <c r="E8" s="13"/>
      <c r="F8" s="14"/>
      <c r="G8" s="14"/>
      <c r="H8" s="5"/>
      <c r="I8" s="5"/>
      <c r="J8" s="5"/>
      <c r="K8" s="5"/>
      <c r="L8" s="5"/>
    </row>
    <row r="9" spans="1:12" s="6" customFormat="1" x14ac:dyDescent="0.25">
      <c r="A9" s="26" t="s">
        <v>2800</v>
      </c>
      <c r="B9" s="26" t="s">
        <v>2802</v>
      </c>
      <c r="C9" s="13">
        <v>32</v>
      </c>
      <c r="D9" s="13"/>
      <c r="E9" s="13"/>
      <c r="F9" s="15"/>
      <c r="G9" s="15"/>
      <c r="H9" s="7"/>
      <c r="I9" s="7"/>
      <c r="J9" s="7"/>
      <c r="K9" s="7"/>
      <c r="L9" s="7"/>
    </row>
    <row r="10" spans="1:12" s="9" customFormat="1" x14ac:dyDescent="0.25">
      <c r="A10" s="26" t="s">
        <v>2803</v>
      </c>
      <c r="B10" s="26" t="s">
        <v>2804</v>
      </c>
      <c r="C10" s="13">
        <v>6</v>
      </c>
      <c r="D10" s="13"/>
      <c r="E10" s="13"/>
      <c r="F10" s="16"/>
      <c r="G10" s="16"/>
    </row>
    <row r="11" spans="1:12" x14ac:dyDescent="0.25">
      <c r="A11" s="26" t="s">
        <v>2805</v>
      </c>
      <c r="B11" s="26" t="s">
        <v>2806</v>
      </c>
      <c r="C11" s="13">
        <v>5</v>
      </c>
      <c r="D11" s="13"/>
      <c r="E11" s="13"/>
      <c r="F11" s="14"/>
      <c r="G11" s="14"/>
      <c r="H11" s="5"/>
      <c r="I11" s="5"/>
      <c r="J11" s="5"/>
      <c r="K11" s="5"/>
      <c r="L11" s="5"/>
    </row>
    <row r="12" spans="1:12" x14ac:dyDescent="0.25">
      <c r="A12" s="26" t="s">
        <v>2807</v>
      </c>
      <c r="B12" s="26" t="s">
        <v>2808</v>
      </c>
      <c r="C12" s="13">
        <v>2</v>
      </c>
      <c r="D12" s="13"/>
      <c r="E12" s="13"/>
      <c r="F12" s="14"/>
      <c r="G12" s="14"/>
      <c r="H12" s="5"/>
      <c r="I12" s="5"/>
      <c r="J12" s="5"/>
      <c r="K12" s="5"/>
      <c r="L12" s="5"/>
    </row>
    <row r="13" spans="1:12" s="8" customFormat="1" x14ac:dyDescent="0.25">
      <c r="A13" s="26" t="s">
        <v>2809</v>
      </c>
      <c r="B13" s="26" t="s">
        <v>2810</v>
      </c>
      <c r="C13" s="13">
        <v>4</v>
      </c>
      <c r="D13" s="13"/>
      <c r="E13" s="13"/>
      <c r="F13" s="17"/>
      <c r="G13" s="17"/>
    </row>
    <row r="14" spans="1:12" x14ac:dyDescent="0.25">
      <c r="A14" s="26" t="s">
        <v>2811</v>
      </c>
      <c r="B14" s="26" t="s">
        <v>2812</v>
      </c>
      <c r="C14" s="13">
        <v>2</v>
      </c>
      <c r="D14" s="13"/>
      <c r="E14" s="13"/>
      <c r="F14" s="14"/>
      <c r="G14" s="14"/>
      <c r="H14" s="5"/>
      <c r="I14" s="5"/>
      <c r="J14" s="5"/>
      <c r="K14" s="5"/>
      <c r="L14" s="5"/>
    </row>
    <row r="15" spans="1:12" x14ac:dyDescent="0.25">
      <c r="A15" s="26" t="s">
        <v>2813</v>
      </c>
      <c r="B15" s="26" t="s">
        <v>2814</v>
      </c>
      <c r="C15" s="13">
        <v>4</v>
      </c>
      <c r="D15" s="13"/>
      <c r="E15" s="13"/>
      <c r="F15" s="14"/>
      <c r="G15" s="14"/>
      <c r="H15" s="5"/>
      <c r="I15" s="5"/>
      <c r="J15" s="5"/>
      <c r="K15" s="5"/>
      <c r="L15" s="5"/>
    </row>
    <row r="16" spans="1:12" x14ac:dyDescent="0.25">
      <c r="A16" s="26" t="s">
        <v>2815</v>
      </c>
      <c r="B16" s="26" t="s">
        <v>2816</v>
      </c>
      <c r="C16" s="13">
        <v>3</v>
      </c>
      <c r="D16" s="13"/>
      <c r="E16" s="13"/>
      <c r="F16" s="14"/>
      <c r="G16" s="14"/>
      <c r="H16" s="5"/>
      <c r="I16" s="5"/>
      <c r="J16" s="5"/>
      <c r="K16" s="5"/>
      <c r="L16" s="5"/>
    </row>
    <row r="17" spans="1:12" x14ac:dyDescent="0.25">
      <c r="A17" s="12" t="s">
        <v>2817</v>
      </c>
      <c r="B17" s="12" t="s">
        <v>2818</v>
      </c>
      <c r="C17" s="13">
        <v>0</v>
      </c>
      <c r="D17" s="13"/>
      <c r="E17" s="13"/>
      <c r="F17" s="14"/>
      <c r="G17" s="14"/>
      <c r="H17" s="5"/>
      <c r="I17" s="5"/>
      <c r="J17" s="5"/>
      <c r="K17" s="5"/>
      <c r="L17" s="5"/>
    </row>
    <row r="18" spans="1:12" x14ac:dyDescent="0.25">
      <c r="A18" s="12" t="s">
        <v>2819</v>
      </c>
      <c r="B18" s="12" t="s">
        <v>2820</v>
      </c>
      <c r="C18" s="13">
        <v>6</v>
      </c>
      <c r="D18" s="13"/>
      <c r="E18" s="13"/>
      <c r="F18" s="14"/>
      <c r="G18" s="14"/>
      <c r="H18" s="5"/>
      <c r="I18" s="5"/>
      <c r="J18" s="5"/>
      <c r="K18" s="5"/>
      <c r="L18" s="5"/>
    </row>
    <row r="19" spans="1:12" x14ac:dyDescent="0.25">
      <c r="A19" s="18"/>
      <c r="B19" s="19"/>
      <c r="C19" s="20"/>
      <c r="D19" s="18"/>
      <c r="E19" s="18"/>
      <c r="F19" s="14"/>
      <c r="G19" s="14"/>
      <c r="H19" s="5"/>
      <c r="I19" s="5"/>
      <c r="J19" s="5"/>
      <c r="K19" s="5"/>
      <c r="L19" s="5"/>
    </row>
    <row r="20" spans="1:12" x14ac:dyDescent="0.25">
      <c r="A20" s="18"/>
      <c r="B20" s="21"/>
      <c r="C20" s="20"/>
      <c r="D20" s="18"/>
      <c r="E20" s="18"/>
      <c r="F20" s="14"/>
      <c r="G20" s="14"/>
      <c r="H20" s="5"/>
      <c r="I20" s="5"/>
      <c r="J20" s="5"/>
      <c r="K20" s="5"/>
      <c r="L20" s="5"/>
    </row>
    <row r="21" spans="1:12" x14ac:dyDescent="0.25">
      <c r="A21" s="20"/>
      <c r="B21" s="20"/>
      <c r="C21" s="20"/>
      <c r="D21" s="18"/>
      <c r="E21" s="18"/>
      <c r="F21" s="14"/>
      <c r="G21" s="14"/>
      <c r="H21" s="5"/>
      <c r="I21" s="5"/>
      <c r="J21" s="5"/>
      <c r="K21" s="5"/>
      <c r="L21" s="5"/>
    </row>
    <row r="22" spans="1:12" x14ac:dyDescent="0.25">
      <c r="A22" s="20"/>
      <c r="B22" s="20"/>
      <c r="C22" s="20"/>
      <c r="D22" s="18"/>
      <c r="E22" s="18"/>
      <c r="F22" s="14"/>
      <c r="G22" s="14"/>
      <c r="H22" s="5"/>
      <c r="I22" s="5"/>
      <c r="J22" s="5"/>
      <c r="K22" s="5"/>
      <c r="L22" s="5"/>
    </row>
    <row r="23" spans="1:12" x14ac:dyDescent="0.25">
      <c r="A23" s="20"/>
      <c r="B23" s="22"/>
      <c r="C23" s="20"/>
      <c r="D23" s="18"/>
      <c r="E23" s="18"/>
      <c r="F23" s="14"/>
      <c r="G23" s="14"/>
      <c r="H23" s="5"/>
      <c r="I23" s="5"/>
      <c r="J23" s="5"/>
      <c r="K23" s="5"/>
      <c r="L23" s="5"/>
    </row>
    <row r="24" spans="1:12" x14ac:dyDescent="0.25">
      <c r="A24" s="20"/>
      <c r="B24" s="20"/>
      <c r="C24" s="20"/>
      <c r="D24" s="18"/>
      <c r="E24" s="18"/>
      <c r="F24" s="14"/>
      <c r="G24" s="14"/>
      <c r="H24" s="5"/>
      <c r="I24" s="5"/>
      <c r="J24" s="5"/>
      <c r="K24" s="5"/>
      <c r="L24" s="5"/>
    </row>
    <row r="25" spans="1:12" x14ac:dyDescent="0.25">
      <c r="A25" s="20"/>
      <c r="B25" s="20"/>
      <c r="C25" s="20"/>
      <c r="D25" s="18"/>
      <c r="E25" s="18"/>
      <c r="F25" s="14"/>
      <c r="G25" s="14"/>
      <c r="H25" s="5"/>
      <c r="I25" s="5"/>
      <c r="J25" s="5"/>
      <c r="K25" s="5"/>
      <c r="L25" s="5"/>
    </row>
    <row r="26" spans="1:12" x14ac:dyDescent="0.25">
      <c r="A26" s="20"/>
      <c r="B26" s="20"/>
      <c r="C26" s="20"/>
      <c r="D26" s="18"/>
      <c r="E26" s="18"/>
      <c r="F26" s="14"/>
      <c r="G26" s="14"/>
      <c r="H26" s="5"/>
      <c r="I26" s="5"/>
      <c r="J26" s="5"/>
      <c r="K26" s="5"/>
      <c r="L26" s="5"/>
    </row>
    <row r="27" spans="1:12" x14ac:dyDescent="0.25">
      <c r="A27" s="20"/>
      <c r="B27" s="20"/>
      <c r="C27" s="20"/>
      <c r="D27" s="18"/>
      <c r="E27" s="18"/>
      <c r="F27" s="14"/>
      <c r="G27" s="14"/>
      <c r="H27" s="5"/>
      <c r="I27" s="5"/>
      <c r="J27" s="5"/>
      <c r="K27" s="5"/>
      <c r="L27" s="5"/>
    </row>
    <row r="28" spans="1:12" x14ac:dyDescent="0.25">
      <c r="A28" s="20"/>
      <c r="B28" s="20"/>
      <c r="C28" s="20"/>
      <c r="D28" s="18"/>
      <c r="E28" s="18"/>
      <c r="F28" s="14"/>
      <c r="G28" s="14"/>
      <c r="H28" s="5"/>
      <c r="I28" s="5"/>
      <c r="J28" s="5"/>
      <c r="K28" s="5"/>
      <c r="L28" s="5"/>
    </row>
    <row r="29" spans="1:12" x14ac:dyDescent="0.25">
      <c r="A29" s="20"/>
      <c r="B29" s="20"/>
      <c r="C29" s="20"/>
      <c r="D29" s="18"/>
      <c r="E29" s="18"/>
      <c r="F29" s="14"/>
      <c r="G29" s="14"/>
      <c r="H29" s="5"/>
      <c r="I29" s="5"/>
      <c r="J29" s="5"/>
      <c r="K29" s="5"/>
      <c r="L29" s="5"/>
    </row>
    <row r="30" spans="1:12" x14ac:dyDescent="0.25">
      <c r="A30" s="20"/>
      <c r="B30" s="20"/>
      <c r="C30" s="20"/>
      <c r="D30" s="18"/>
      <c r="E30" s="18"/>
      <c r="F30" s="14"/>
      <c r="G30" s="14"/>
      <c r="H30" s="5"/>
      <c r="I30" s="5"/>
      <c r="J30" s="5"/>
      <c r="K30" s="5"/>
      <c r="L30" s="5"/>
    </row>
    <row r="31" spans="1:12" x14ac:dyDescent="0.25">
      <c r="A31" s="20"/>
      <c r="B31" s="20"/>
      <c r="C31" s="20"/>
      <c r="D31" s="18"/>
      <c r="E31" s="18"/>
      <c r="F31" s="14"/>
      <c r="G31" s="14"/>
      <c r="H31" s="5"/>
      <c r="I31" s="5"/>
      <c r="J31" s="5"/>
      <c r="K31" s="5"/>
      <c r="L31" s="5"/>
    </row>
    <row r="32" spans="1:12" x14ac:dyDescent="0.25">
      <c r="A32" s="20"/>
      <c r="B32" s="20"/>
      <c r="C32" s="20"/>
      <c r="D32" s="18"/>
      <c r="E32" s="18"/>
      <c r="F32" s="14"/>
      <c r="G32" s="14"/>
      <c r="H32" s="5"/>
      <c r="I32" s="5"/>
      <c r="J32" s="5"/>
      <c r="K32" s="5"/>
      <c r="L32" s="5"/>
    </row>
    <row r="33" spans="1:12" x14ac:dyDescent="0.25">
      <c r="A33" s="20"/>
      <c r="B33" s="20"/>
      <c r="C33" s="20"/>
      <c r="D33" s="18"/>
      <c r="E33" s="18"/>
      <c r="F33" s="14"/>
      <c r="G33" s="14"/>
      <c r="H33" s="5"/>
      <c r="I33" s="5"/>
      <c r="J33" s="5"/>
      <c r="K33" s="5"/>
      <c r="L33" s="5"/>
    </row>
    <row r="34" spans="1:12" x14ac:dyDescent="0.25">
      <c r="A34" s="20"/>
      <c r="B34" s="20"/>
      <c r="C34" s="20"/>
      <c r="D34" s="18"/>
      <c r="E34" s="18"/>
      <c r="F34" s="14"/>
      <c r="G34" s="14"/>
      <c r="H34" s="5"/>
      <c r="I34" s="5"/>
      <c r="J34" s="5"/>
      <c r="K34" s="5"/>
      <c r="L34" s="5"/>
    </row>
    <row r="35" spans="1:12" x14ac:dyDescent="0.25">
      <c r="A35" s="20"/>
      <c r="B35" s="20"/>
      <c r="C35" s="20"/>
      <c r="D35" s="18"/>
      <c r="E35" s="18"/>
      <c r="F35" s="14"/>
      <c r="G35" s="14"/>
      <c r="H35" s="5"/>
      <c r="I35" s="5"/>
      <c r="J35" s="5"/>
      <c r="K35" s="5"/>
      <c r="L35" s="5"/>
    </row>
    <row r="36" spans="1:12" x14ac:dyDescent="0.25">
      <c r="A36" s="20"/>
      <c r="B36" s="18"/>
      <c r="C36" s="20"/>
      <c r="D36" s="18"/>
      <c r="E36" s="18"/>
      <c r="F36" s="14"/>
      <c r="G36" s="14"/>
      <c r="H36" s="5"/>
      <c r="I36" s="5"/>
      <c r="J36" s="5"/>
      <c r="K36" s="5"/>
      <c r="L36" s="5"/>
    </row>
    <row r="37" spans="1:12" x14ac:dyDescent="0.25">
      <c r="A37" s="20"/>
      <c r="B37" s="18"/>
      <c r="C37" s="20"/>
      <c r="D37" s="18"/>
      <c r="E37" s="18"/>
      <c r="F37" s="14"/>
      <c r="G37" s="14"/>
      <c r="H37" s="5"/>
      <c r="I37" s="5"/>
      <c r="J37" s="5"/>
      <c r="K37" s="5"/>
      <c r="L37" s="5"/>
    </row>
    <row r="38" spans="1:12" x14ac:dyDescent="0.25">
      <c r="A38" s="20"/>
      <c r="B38" s="18"/>
      <c r="C38" s="20"/>
      <c r="D38" s="18"/>
      <c r="E38" s="18"/>
      <c r="F38" s="14"/>
      <c r="G38" s="14"/>
      <c r="H38" s="5"/>
      <c r="I38" s="5"/>
      <c r="J38" s="5"/>
      <c r="K38" s="5"/>
      <c r="L38" s="5"/>
    </row>
    <row r="39" spans="1:12" x14ac:dyDescent="0.25">
      <c r="A39" s="20"/>
      <c r="B39" s="18"/>
      <c r="C39" s="20"/>
      <c r="D39" s="18"/>
      <c r="E39" s="18"/>
      <c r="F39" s="14"/>
      <c r="G39" s="14"/>
      <c r="H39" s="5"/>
      <c r="I39" s="5"/>
      <c r="J39" s="5"/>
      <c r="K39" s="5"/>
      <c r="L39" s="5"/>
    </row>
    <row r="40" spans="1:12" x14ac:dyDescent="0.25">
      <c r="A40" s="20"/>
      <c r="B40" s="18"/>
      <c r="C40" s="20"/>
      <c r="D40" s="18"/>
      <c r="E40" s="18"/>
      <c r="F40" s="14"/>
      <c r="G40" s="14"/>
      <c r="H40" s="5"/>
      <c r="I40" s="5"/>
      <c r="J40" s="5"/>
      <c r="K40" s="5"/>
      <c r="L40" s="5"/>
    </row>
    <row r="41" spans="1:12" x14ac:dyDescent="0.25">
      <c r="A41" s="20"/>
      <c r="B41" s="23"/>
      <c r="C41" s="20"/>
      <c r="D41" s="18"/>
      <c r="E41" s="18"/>
      <c r="F41" s="14"/>
      <c r="G41" s="14"/>
      <c r="H41" s="5"/>
      <c r="I41" s="5"/>
      <c r="J41" s="5"/>
      <c r="K41" s="5"/>
      <c r="L41" s="5"/>
    </row>
    <row r="42" spans="1:12" x14ac:dyDescent="0.25">
      <c r="A42" s="20"/>
      <c r="B42" s="18"/>
      <c r="C42" s="20"/>
      <c r="D42" s="18"/>
      <c r="E42" s="18"/>
      <c r="F42" s="14"/>
      <c r="G42" s="14"/>
      <c r="H42" s="5"/>
      <c r="I42" s="5"/>
      <c r="J42" s="5"/>
      <c r="K42" s="5"/>
      <c r="L42" s="5"/>
    </row>
    <row r="43" spans="1:12" x14ac:dyDescent="0.25">
      <c r="A43" s="24"/>
      <c r="B43" s="24"/>
      <c r="C43" s="20"/>
      <c r="D43" s="18"/>
      <c r="E43" s="18"/>
      <c r="F43" s="14"/>
      <c r="G43" s="14"/>
      <c r="H43" s="5"/>
      <c r="I43" s="5"/>
      <c r="J43" s="5"/>
      <c r="K43" s="5"/>
      <c r="L43" s="5"/>
    </row>
    <row r="44" spans="1:12" x14ac:dyDescent="0.25">
      <c r="A44" s="24"/>
      <c r="B44" s="24"/>
      <c r="C44" s="20"/>
      <c r="D44" s="18"/>
      <c r="E44" s="18"/>
      <c r="F44" s="14"/>
      <c r="G44" s="14"/>
      <c r="H44" s="5"/>
      <c r="I44" s="5"/>
      <c r="J44" s="5"/>
      <c r="K44" s="5"/>
      <c r="L44" s="5"/>
    </row>
    <row r="45" spans="1:12" x14ac:dyDescent="0.25">
      <c r="A45" s="24"/>
      <c r="B45" s="24"/>
      <c r="C45" s="20"/>
      <c r="D45" s="18"/>
      <c r="E45" s="18"/>
      <c r="F45" s="14"/>
      <c r="G45" s="14"/>
      <c r="H45" s="5"/>
      <c r="I45" s="5"/>
      <c r="J45" s="5"/>
      <c r="K45" s="5"/>
      <c r="L45" s="5"/>
    </row>
    <row r="46" spans="1:12" x14ac:dyDescent="0.25">
      <c r="A46" s="24"/>
      <c r="B46" s="24"/>
      <c r="C46" s="20"/>
      <c r="D46" s="18"/>
      <c r="E46" s="18"/>
      <c r="F46" s="14"/>
      <c r="G46" s="14"/>
      <c r="H46" s="5"/>
      <c r="I46" s="5"/>
      <c r="J46" s="5"/>
      <c r="K46" s="5"/>
      <c r="L46" s="5"/>
    </row>
    <row r="47" spans="1:12" x14ac:dyDescent="0.25">
      <c r="A47" s="18"/>
      <c r="B47" s="18"/>
      <c r="C47" s="20"/>
      <c r="D47" s="18"/>
      <c r="E47" s="18"/>
      <c r="F47" s="14"/>
      <c r="G47" s="14"/>
      <c r="H47" s="5"/>
      <c r="I47" s="5"/>
      <c r="J47" s="5"/>
      <c r="K47" s="5"/>
      <c r="L47" s="5"/>
    </row>
    <row r="48" spans="1:12" x14ac:dyDescent="0.25">
      <c r="A48" s="18"/>
      <c r="B48" s="18"/>
      <c r="C48" s="20"/>
      <c r="D48" s="18"/>
      <c r="E48" s="18"/>
      <c r="F48" s="14"/>
      <c r="G48" s="14"/>
      <c r="H48" s="5"/>
      <c r="I48" s="5"/>
      <c r="J48" s="5"/>
      <c r="K48" s="5"/>
      <c r="L48" s="5"/>
    </row>
    <row r="49" spans="1:12" x14ac:dyDescent="0.25">
      <c r="A49" s="18"/>
      <c r="B49" s="18"/>
      <c r="C49" s="20"/>
      <c r="D49" s="18"/>
      <c r="E49" s="18"/>
      <c r="F49" s="14"/>
      <c r="G49" s="14"/>
      <c r="H49" s="5"/>
      <c r="I49" s="5"/>
      <c r="J49" s="5"/>
      <c r="K49" s="5"/>
      <c r="L49" s="5"/>
    </row>
    <row r="50" spans="1:12" x14ac:dyDescent="0.25">
      <c r="A50" s="18"/>
      <c r="B50" s="18"/>
      <c r="C50" s="20"/>
      <c r="D50" s="18"/>
      <c r="E50" s="18"/>
      <c r="F50" s="14"/>
      <c r="G50" s="14"/>
      <c r="H50" s="5"/>
      <c r="I50" s="5"/>
      <c r="J50" s="5"/>
      <c r="K50" s="5"/>
      <c r="L50" s="5"/>
    </row>
    <row r="51" spans="1:12" x14ac:dyDescent="0.25">
      <c r="A51" s="18"/>
      <c r="B51" s="18"/>
      <c r="C51" s="20"/>
      <c r="D51" s="18"/>
      <c r="E51" s="18"/>
      <c r="F51" s="14"/>
      <c r="G51" s="14"/>
      <c r="H51" s="5"/>
      <c r="I51" s="5"/>
      <c r="J51" s="5"/>
      <c r="K51" s="5"/>
      <c r="L51" s="5"/>
    </row>
    <row r="52" spans="1:12" x14ac:dyDescent="0.25">
      <c r="A52" s="18"/>
      <c r="B52" s="18"/>
      <c r="C52" s="20"/>
      <c r="D52" s="18"/>
      <c r="E52" s="18"/>
      <c r="F52" s="25"/>
      <c r="G52" s="25"/>
    </row>
    <row r="53" spans="1:12" x14ac:dyDescent="0.25">
      <c r="A53" s="18"/>
      <c r="B53" s="18"/>
      <c r="C53" s="20"/>
      <c r="D53" s="18"/>
      <c r="E53" s="18"/>
      <c r="F53" s="25"/>
      <c r="G53" s="25"/>
    </row>
    <row r="54" spans="1:12" x14ac:dyDescent="0.25">
      <c r="A54" s="18"/>
      <c r="B54" s="18"/>
      <c r="C54" s="20"/>
      <c r="D54" s="18"/>
      <c r="E54" s="18"/>
      <c r="F54" s="25"/>
      <c r="G54" s="25"/>
    </row>
    <row r="55" spans="1:12" x14ac:dyDescent="0.25">
      <c r="A55" s="18"/>
      <c r="B55" s="18"/>
      <c r="C55" s="20"/>
      <c r="D55" s="18"/>
      <c r="E55" s="18"/>
      <c r="F55" s="25"/>
      <c r="G55" s="25"/>
    </row>
    <row r="56" spans="1:12" x14ac:dyDescent="0.25">
      <c r="A56" s="18"/>
      <c r="B56" s="18"/>
      <c r="C56" s="20"/>
      <c r="D56" s="18"/>
      <c r="E56" s="18"/>
      <c r="F56" s="25"/>
      <c r="G56" s="25"/>
    </row>
    <row r="57" spans="1:12" x14ac:dyDescent="0.25">
      <c r="A57" s="18"/>
      <c r="B57" s="18"/>
      <c r="C57" s="20"/>
      <c r="D57" s="18"/>
      <c r="E57" s="18"/>
      <c r="F57" s="25"/>
      <c r="G57" s="25"/>
    </row>
    <row r="58" spans="1:12" x14ac:dyDescent="0.25">
      <c r="A58" s="18"/>
      <c r="B58" s="18"/>
      <c r="C58" s="20"/>
      <c r="D58" s="18"/>
      <c r="E58" s="18"/>
      <c r="F58" s="25"/>
      <c r="G58" s="25"/>
    </row>
    <row r="59" spans="1:12" x14ac:dyDescent="0.25">
      <c r="A59" s="18"/>
      <c r="B59" s="18"/>
      <c r="C59" s="20"/>
      <c r="D59" s="18"/>
      <c r="E59" s="18"/>
      <c r="F59" s="25"/>
      <c r="G59" s="25"/>
    </row>
    <row r="60" spans="1:12" x14ac:dyDescent="0.25">
      <c r="A60" s="18"/>
      <c r="B60" s="18"/>
      <c r="C60" s="20"/>
      <c r="D60" s="18"/>
      <c r="E60" s="18"/>
      <c r="F60" s="25"/>
      <c r="G60" s="25"/>
    </row>
    <row r="61" spans="1:12" x14ac:dyDescent="0.25">
      <c r="A61" s="18"/>
      <c r="B61" s="18"/>
      <c r="C61" s="20"/>
      <c r="D61" s="18"/>
      <c r="E61" s="18"/>
      <c r="F61" s="25"/>
      <c r="G61" s="25"/>
    </row>
    <row r="62" spans="1:12" x14ac:dyDescent="0.25">
      <c r="A62" s="18"/>
      <c r="B62" s="18"/>
      <c r="C62" s="20"/>
      <c r="D62" s="18"/>
      <c r="E62" s="18"/>
      <c r="F62" s="25"/>
      <c r="G62" s="25"/>
    </row>
    <row r="63" spans="1:12" x14ac:dyDescent="0.25">
      <c r="A63" s="18"/>
      <c r="B63" s="18"/>
      <c r="C63" s="20"/>
      <c r="D63" s="18"/>
      <c r="E63" s="18"/>
      <c r="F63" s="25"/>
      <c r="G63" s="25"/>
    </row>
    <row r="64" spans="1:12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E339-BCF8-4C7A-B882-A5F58253321D}">
  <dimension ref="A1:G100"/>
  <sheetViews>
    <sheetView workbookViewId="0"/>
  </sheetViews>
  <sheetFormatPr defaultRowHeight="15.75" x14ac:dyDescent="0.25"/>
  <cols>
    <col min="1" max="1" width="13.875" customWidth="1"/>
    <col min="2" max="2" width="62.12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35" t="s">
        <v>707</v>
      </c>
      <c r="B2" s="35" t="s">
        <v>2821</v>
      </c>
      <c r="C2" s="33"/>
      <c r="D2" s="33"/>
      <c r="E2" s="33"/>
      <c r="F2" s="14"/>
      <c r="G2" s="14"/>
    </row>
    <row r="3" spans="1:7" x14ac:dyDescent="0.25">
      <c r="A3" s="35" t="s">
        <v>710</v>
      </c>
      <c r="B3" s="35" t="s">
        <v>2822</v>
      </c>
      <c r="C3" s="33"/>
      <c r="D3" s="33"/>
      <c r="E3" s="33"/>
      <c r="F3" s="14"/>
      <c r="G3" s="14"/>
    </row>
    <row r="4" spans="1:7" x14ac:dyDescent="0.25">
      <c r="A4" s="35" t="s">
        <v>1045</v>
      </c>
      <c r="B4" s="35" t="s">
        <v>2823</v>
      </c>
      <c r="C4" s="33"/>
      <c r="D4" s="33"/>
      <c r="E4" s="33"/>
      <c r="F4" s="14"/>
      <c r="G4" s="14"/>
    </row>
    <row r="5" spans="1:7" x14ac:dyDescent="0.25">
      <c r="A5" s="35" t="s">
        <v>1048</v>
      </c>
      <c r="B5" s="35" t="s">
        <v>2823</v>
      </c>
      <c r="C5" s="33"/>
      <c r="D5" s="33"/>
      <c r="E5" s="33"/>
      <c r="F5" s="14"/>
      <c r="G5" s="14"/>
    </row>
    <row r="6" spans="1:7" x14ac:dyDescent="0.25">
      <c r="A6" s="35" t="s">
        <v>238</v>
      </c>
      <c r="B6" s="35" t="s">
        <v>240</v>
      </c>
      <c r="C6" s="33"/>
      <c r="D6" s="33"/>
      <c r="E6" s="33"/>
      <c r="F6" s="14"/>
      <c r="G6" s="14"/>
    </row>
    <row r="7" spans="1:7" x14ac:dyDescent="0.25">
      <c r="A7" s="50" t="s">
        <v>1495</v>
      </c>
      <c r="B7" s="50" t="s">
        <v>1497</v>
      </c>
      <c r="C7" s="33"/>
      <c r="D7" s="33"/>
      <c r="E7" s="33"/>
      <c r="F7" s="14"/>
      <c r="G7" s="14"/>
    </row>
    <row r="8" spans="1:7" x14ac:dyDescent="0.25">
      <c r="A8" s="50" t="s">
        <v>2824</v>
      </c>
      <c r="B8" s="50" t="s">
        <v>2825</v>
      </c>
      <c r="C8" s="33"/>
      <c r="D8" s="33"/>
      <c r="E8" s="33"/>
      <c r="F8" s="14"/>
      <c r="G8" s="14"/>
    </row>
    <row r="9" spans="1:7" x14ac:dyDescent="0.25">
      <c r="A9" s="50" t="s">
        <v>1943</v>
      </c>
      <c r="B9" s="50" t="s">
        <v>2826</v>
      </c>
      <c r="C9" s="33"/>
      <c r="D9" s="33"/>
      <c r="E9" s="33"/>
      <c r="F9" s="15"/>
      <c r="G9" s="15"/>
    </row>
    <row r="10" spans="1:7" x14ac:dyDescent="0.25">
      <c r="A10" s="50" t="s">
        <v>1929</v>
      </c>
      <c r="B10" s="50" t="s">
        <v>2827</v>
      </c>
      <c r="C10" s="33"/>
      <c r="D10" s="33"/>
      <c r="E10" s="33"/>
      <c r="F10" s="34"/>
      <c r="G10" s="34"/>
    </row>
    <row r="11" spans="1:7" x14ac:dyDescent="0.25">
      <c r="A11" s="50" t="s">
        <v>1932</v>
      </c>
      <c r="B11" s="50" t="s">
        <v>2828</v>
      </c>
      <c r="C11" s="33"/>
      <c r="D11" s="33"/>
      <c r="E11" s="33"/>
      <c r="F11" s="14"/>
      <c r="G11" s="14"/>
    </row>
    <row r="12" spans="1:7" x14ac:dyDescent="0.25">
      <c r="A12" s="50" t="s">
        <v>2829</v>
      </c>
      <c r="B12" s="50" t="s">
        <v>2830</v>
      </c>
      <c r="C12" s="33"/>
      <c r="D12" s="33"/>
      <c r="E12" s="33"/>
      <c r="F12" s="14"/>
      <c r="G12" s="14"/>
    </row>
    <row r="13" spans="1:7" x14ac:dyDescent="0.25">
      <c r="A13" s="50" t="s">
        <v>157</v>
      </c>
      <c r="B13" s="50" t="s">
        <v>2831</v>
      </c>
      <c r="C13" s="33"/>
      <c r="D13" s="33"/>
      <c r="E13" s="33"/>
      <c r="F13" s="17"/>
      <c r="G13" s="17"/>
    </row>
    <row r="14" spans="1:7" x14ac:dyDescent="0.25">
      <c r="A14" s="50" t="s">
        <v>1112</v>
      </c>
      <c r="B14" s="50" t="s">
        <v>1114</v>
      </c>
      <c r="C14" s="33"/>
      <c r="D14" s="33"/>
      <c r="E14" s="33"/>
      <c r="F14" s="14"/>
      <c r="G14" s="14"/>
    </row>
    <row r="15" spans="1:7" x14ac:dyDescent="0.25">
      <c r="A15" s="50"/>
      <c r="B15" s="50"/>
      <c r="C15" s="33"/>
      <c r="D15" s="33"/>
      <c r="E15" s="33"/>
      <c r="F15" s="14"/>
      <c r="G15" s="14"/>
    </row>
    <row r="16" spans="1:7" x14ac:dyDescent="0.25">
      <c r="A16" s="50"/>
      <c r="B16" s="50"/>
      <c r="C16" s="33"/>
      <c r="D16" s="33"/>
      <c r="E16" s="33"/>
      <c r="F16" s="14"/>
      <c r="G16" s="14"/>
    </row>
    <row r="17" spans="1:7" x14ac:dyDescent="0.25">
      <c r="A17" s="35"/>
      <c r="B17" s="35"/>
      <c r="C17" s="33"/>
      <c r="D17" s="33"/>
      <c r="E17" s="33"/>
      <c r="F17" s="14"/>
      <c r="G17" s="14"/>
    </row>
    <row r="18" spans="1:7" x14ac:dyDescent="0.25">
      <c r="A18" s="35"/>
      <c r="B18" s="35"/>
      <c r="C18" s="33"/>
      <c r="D18" s="33"/>
      <c r="E18" s="33"/>
      <c r="F18" s="14"/>
      <c r="G18" s="14"/>
    </row>
    <row r="19" spans="1:7" x14ac:dyDescent="0.25">
      <c r="A19" s="25"/>
      <c r="B19" s="36"/>
      <c r="C19" s="37"/>
      <c r="D19" s="25"/>
      <c r="E19" s="25"/>
      <c r="F19" s="14"/>
      <c r="G19" s="14"/>
    </row>
    <row r="20" spans="1:7" x14ac:dyDescent="0.25">
      <c r="A20" s="25"/>
      <c r="B20" s="38"/>
      <c r="C20" s="37"/>
      <c r="D20" s="25"/>
      <c r="E20" s="25"/>
      <c r="F20" s="14"/>
      <c r="G20" s="14"/>
    </row>
    <row r="21" spans="1:7" x14ac:dyDescent="0.25">
      <c r="A21" s="37"/>
      <c r="B21" s="37"/>
      <c r="C21" s="37"/>
      <c r="D21" s="25"/>
      <c r="E21" s="25"/>
      <c r="F21" s="14"/>
      <c r="G21" s="14"/>
    </row>
    <row r="22" spans="1:7" x14ac:dyDescent="0.25">
      <c r="A22" s="37"/>
      <c r="B22" s="37"/>
      <c r="C22" s="37"/>
      <c r="D22" s="25"/>
      <c r="E22" s="25"/>
      <c r="F22" s="14"/>
      <c r="G22" s="14"/>
    </row>
    <row r="23" spans="1:7" x14ac:dyDescent="0.25">
      <c r="A23" s="37"/>
      <c r="B23" s="39"/>
      <c r="C23" s="37"/>
      <c r="D23" s="25"/>
      <c r="E23" s="25"/>
      <c r="F23" s="14"/>
      <c r="G23" s="14"/>
    </row>
    <row r="24" spans="1:7" x14ac:dyDescent="0.25">
      <c r="A24" s="37"/>
      <c r="B24" s="37"/>
      <c r="C24" s="37"/>
      <c r="D24" s="25"/>
      <c r="E24" s="25"/>
      <c r="F24" s="14"/>
      <c r="G24" s="14"/>
    </row>
    <row r="25" spans="1:7" x14ac:dyDescent="0.25">
      <c r="A25" s="37"/>
      <c r="B25" s="37"/>
      <c r="C25" s="37"/>
      <c r="D25" s="25"/>
      <c r="E25" s="25"/>
      <c r="F25" s="14"/>
      <c r="G25" s="14"/>
    </row>
    <row r="26" spans="1:7" x14ac:dyDescent="0.25">
      <c r="A26" s="37"/>
      <c r="B26" s="37"/>
      <c r="C26" s="37"/>
      <c r="D26" s="25"/>
      <c r="E26" s="25"/>
      <c r="F26" s="14"/>
      <c r="G26" s="14"/>
    </row>
    <row r="27" spans="1:7" x14ac:dyDescent="0.25">
      <c r="A27" s="37"/>
      <c r="B27" s="37"/>
      <c r="C27" s="37"/>
      <c r="D27" s="25"/>
      <c r="E27" s="25"/>
      <c r="F27" s="14"/>
      <c r="G27" s="14"/>
    </row>
    <row r="28" spans="1:7" x14ac:dyDescent="0.25">
      <c r="A28" s="37"/>
      <c r="B28" s="37"/>
      <c r="C28" s="37"/>
      <c r="D28" s="25"/>
      <c r="E28" s="25"/>
      <c r="F28" s="14"/>
      <c r="G28" s="14"/>
    </row>
    <row r="29" spans="1:7" x14ac:dyDescent="0.25">
      <c r="A29" s="37"/>
      <c r="B29" s="37"/>
      <c r="C29" s="37"/>
      <c r="D29" s="25"/>
      <c r="E29" s="25"/>
      <c r="F29" s="14"/>
      <c r="G29" s="14"/>
    </row>
    <row r="30" spans="1:7" x14ac:dyDescent="0.25">
      <c r="A30" s="37"/>
      <c r="B30" s="37"/>
      <c r="C30" s="37"/>
      <c r="D30" s="25"/>
      <c r="E30" s="25"/>
      <c r="F30" s="14"/>
      <c r="G30" s="14"/>
    </row>
    <row r="31" spans="1:7" x14ac:dyDescent="0.25">
      <c r="A31" s="37"/>
      <c r="B31" s="37"/>
      <c r="C31" s="37"/>
      <c r="D31" s="25"/>
      <c r="E31" s="25"/>
      <c r="F31" s="14"/>
      <c r="G31" s="14"/>
    </row>
    <row r="32" spans="1:7" x14ac:dyDescent="0.25">
      <c r="A32" s="37"/>
      <c r="B32" s="37"/>
      <c r="C32" s="37"/>
      <c r="D32" s="25"/>
      <c r="E32" s="25"/>
      <c r="F32" s="14"/>
      <c r="G32" s="14"/>
    </row>
    <row r="33" spans="1:7" x14ac:dyDescent="0.25">
      <c r="A33" s="37"/>
      <c r="B33" s="37"/>
      <c r="C33" s="37"/>
      <c r="D33" s="25"/>
      <c r="E33" s="25"/>
      <c r="F33" s="14"/>
      <c r="G33" s="14"/>
    </row>
    <row r="34" spans="1:7" x14ac:dyDescent="0.25">
      <c r="A34" s="37"/>
      <c r="B34" s="37"/>
      <c r="C34" s="37"/>
      <c r="D34" s="25"/>
      <c r="E34" s="25"/>
      <c r="F34" s="14"/>
      <c r="G34" s="14"/>
    </row>
    <row r="35" spans="1:7" x14ac:dyDescent="0.25">
      <c r="A35" s="37"/>
      <c r="B35" s="37"/>
      <c r="C35" s="37"/>
      <c r="D35" s="25"/>
      <c r="E35" s="25"/>
      <c r="F35" s="14"/>
      <c r="G35" s="14"/>
    </row>
    <row r="36" spans="1:7" x14ac:dyDescent="0.25">
      <c r="A36" s="37"/>
      <c r="B36" s="25"/>
      <c r="C36" s="37"/>
      <c r="D36" s="25"/>
      <c r="E36" s="25"/>
      <c r="F36" s="14"/>
      <c r="G36" s="14"/>
    </row>
    <row r="37" spans="1:7" x14ac:dyDescent="0.25">
      <c r="A37" s="37"/>
      <c r="B37" s="25"/>
      <c r="C37" s="37"/>
      <c r="D37" s="25"/>
      <c r="E37" s="25"/>
      <c r="F37" s="14"/>
      <c r="G37" s="14"/>
    </row>
    <row r="38" spans="1:7" x14ac:dyDescent="0.25">
      <c r="A38" s="37"/>
      <c r="B38" s="25"/>
      <c r="C38" s="37"/>
      <c r="D38" s="25"/>
      <c r="E38" s="25"/>
      <c r="F38" s="14"/>
      <c r="G38" s="14"/>
    </row>
    <row r="39" spans="1:7" x14ac:dyDescent="0.25">
      <c r="A39" s="37"/>
      <c r="B39" s="25"/>
      <c r="C39" s="37"/>
      <c r="D39" s="25"/>
      <c r="E39" s="25"/>
      <c r="F39" s="14"/>
      <c r="G39" s="14"/>
    </row>
    <row r="40" spans="1:7" x14ac:dyDescent="0.25">
      <c r="A40" s="37"/>
      <c r="B40" s="25"/>
      <c r="C40" s="37"/>
      <c r="D40" s="25"/>
      <c r="E40" s="25"/>
      <c r="F40" s="14"/>
      <c r="G40" s="14"/>
    </row>
    <row r="41" spans="1:7" x14ac:dyDescent="0.25">
      <c r="A41" s="37"/>
      <c r="B41" s="40"/>
      <c r="C41" s="37"/>
      <c r="D41" s="25"/>
      <c r="E41" s="25"/>
      <c r="F41" s="14"/>
      <c r="G41" s="14"/>
    </row>
    <row r="42" spans="1:7" x14ac:dyDescent="0.25">
      <c r="A42" s="37"/>
      <c r="B42" s="25"/>
      <c r="C42" s="37"/>
      <c r="D42" s="25"/>
      <c r="E42" s="25"/>
      <c r="F42" s="14"/>
      <c r="G42" s="14"/>
    </row>
    <row r="43" spans="1:7" x14ac:dyDescent="0.25">
      <c r="A43" s="41"/>
      <c r="B43" s="41"/>
      <c r="C43" s="37"/>
      <c r="D43" s="25"/>
      <c r="E43" s="25"/>
      <c r="F43" s="14"/>
      <c r="G43" s="14"/>
    </row>
    <row r="44" spans="1:7" x14ac:dyDescent="0.25">
      <c r="A44" s="41"/>
      <c r="B44" s="41"/>
      <c r="C44" s="37"/>
      <c r="D44" s="25"/>
      <c r="E44" s="25"/>
      <c r="F44" s="14"/>
      <c r="G44" s="14"/>
    </row>
    <row r="45" spans="1:7" x14ac:dyDescent="0.25">
      <c r="A45" s="41"/>
      <c r="B45" s="41"/>
      <c r="C45" s="37"/>
      <c r="D45" s="25"/>
      <c r="E45" s="25"/>
      <c r="F45" s="14"/>
      <c r="G45" s="14"/>
    </row>
    <row r="46" spans="1:7" x14ac:dyDescent="0.25">
      <c r="A46" s="41"/>
      <c r="B46" s="41"/>
      <c r="C46" s="37"/>
      <c r="D46" s="25"/>
      <c r="E46" s="25"/>
      <c r="F46" s="14"/>
      <c r="G46" s="14"/>
    </row>
    <row r="47" spans="1:7" x14ac:dyDescent="0.25">
      <c r="A47" s="25"/>
      <c r="B47" s="25"/>
      <c r="C47" s="37"/>
      <c r="D47" s="25"/>
      <c r="E47" s="25"/>
      <c r="F47" s="14"/>
      <c r="G47" s="14"/>
    </row>
    <row r="48" spans="1:7" x14ac:dyDescent="0.25">
      <c r="A48" s="25"/>
      <c r="B48" s="25"/>
      <c r="C48" s="37"/>
      <c r="D48" s="25"/>
      <c r="E48" s="25"/>
      <c r="F48" s="14"/>
      <c r="G48" s="14"/>
    </row>
    <row r="49" spans="1:7" x14ac:dyDescent="0.25">
      <c r="A49" s="25"/>
      <c r="B49" s="25"/>
      <c r="C49" s="37"/>
      <c r="D49" s="25"/>
      <c r="E49" s="25"/>
      <c r="F49" s="14"/>
      <c r="G49" s="14"/>
    </row>
    <row r="50" spans="1:7" x14ac:dyDescent="0.25">
      <c r="A50" s="25"/>
      <c r="B50" s="25"/>
      <c r="C50" s="37"/>
      <c r="D50" s="25"/>
      <c r="E50" s="25"/>
      <c r="F50" s="14"/>
      <c r="G50" s="14"/>
    </row>
    <row r="51" spans="1:7" x14ac:dyDescent="0.25">
      <c r="A51" s="25"/>
      <c r="B51" s="25"/>
      <c r="C51" s="37"/>
      <c r="D51" s="25"/>
      <c r="E51" s="25"/>
      <c r="F51" s="14"/>
      <c r="G51" s="14"/>
    </row>
    <row r="52" spans="1:7" x14ac:dyDescent="0.25">
      <c r="A52" s="25"/>
      <c r="B52" s="25"/>
      <c r="C52" s="37"/>
      <c r="D52" s="25"/>
      <c r="E52" s="25"/>
      <c r="F52" s="25"/>
      <c r="G52" s="25"/>
    </row>
    <row r="53" spans="1:7" x14ac:dyDescent="0.25">
      <c r="A53" s="25"/>
      <c r="B53" s="25"/>
      <c r="C53" s="37"/>
      <c r="D53" s="25"/>
      <c r="E53" s="25"/>
      <c r="F53" s="25"/>
      <c r="G53" s="25"/>
    </row>
    <row r="54" spans="1:7" x14ac:dyDescent="0.25">
      <c r="A54" s="25"/>
      <c r="B54" s="25"/>
      <c r="C54" s="37"/>
      <c r="D54" s="25"/>
      <c r="E54" s="25"/>
      <c r="F54" s="25"/>
      <c r="G54" s="25"/>
    </row>
    <row r="55" spans="1:7" x14ac:dyDescent="0.25">
      <c r="A55" s="25"/>
      <c r="B55" s="25"/>
      <c r="C55" s="37"/>
      <c r="D55" s="25"/>
      <c r="E55" s="25"/>
      <c r="F55" s="25"/>
      <c r="G55" s="25"/>
    </row>
    <row r="56" spans="1:7" x14ac:dyDescent="0.25">
      <c r="A56" s="25"/>
      <c r="B56" s="25"/>
      <c r="C56" s="37"/>
      <c r="D56" s="25"/>
      <c r="E56" s="25"/>
      <c r="F56" s="25"/>
      <c r="G56" s="25"/>
    </row>
    <row r="57" spans="1:7" x14ac:dyDescent="0.25">
      <c r="A57" s="25"/>
      <c r="B57" s="25"/>
      <c r="C57" s="37"/>
      <c r="D57" s="25"/>
      <c r="E57" s="25"/>
      <c r="F57" s="25"/>
      <c r="G57" s="25"/>
    </row>
    <row r="58" spans="1:7" x14ac:dyDescent="0.25">
      <c r="A58" s="25"/>
      <c r="B58" s="25"/>
      <c r="C58" s="37"/>
      <c r="D58" s="25"/>
      <c r="E58" s="25"/>
      <c r="F58" s="25"/>
      <c r="G58" s="25"/>
    </row>
    <row r="59" spans="1:7" x14ac:dyDescent="0.25">
      <c r="A59" s="25"/>
      <c r="B59" s="25"/>
      <c r="C59" s="37"/>
      <c r="D59" s="25"/>
      <c r="E59" s="25"/>
      <c r="F59" s="25"/>
      <c r="G59" s="25"/>
    </row>
    <row r="60" spans="1:7" x14ac:dyDescent="0.25">
      <c r="A60" s="25"/>
      <c r="B60" s="25"/>
      <c r="C60" s="37"/>
      <c r="D60" s="25"/>
      <c r="E60" s="25"/>
      <c r="F60" s="25"/>
      <c r="G60" s="25"/>
    </row>
    <row r="61" spans="1:7" x14ac:dyDescent="0.25">
      <c r="A61" s="25"/>
      <c r="B61" s="25"/>
      <c r="C61" s="37"/>
      <c r="D61" s="25"/>
      <c r="E61" s="25"/>
      <c r="F61" s="25"/>
      <c r="G61" s="25"/>
    </row>
    <row r="62" spans="1:7" x14ac:dyDescent="0.25">
      <c r="A62" s="25"/>
      <c r="B62" s="25"/>
      <c r="C62" s="37"/>
      <c r="D62" s="25"/>
      <c r="E62" s="25"/>
      <c r="F62" s="25"/>
      <c r="G62" s="25"/>
    </row>
    <row r="63" spans="1:7" x14ac:dyDescent="0.25">
      <c r="A63" s="25"/>
      <c r="B63" s="25"/>
      <c r="C63" s="37"/>
      <c r="D63" s="25"/>
      <c r="E63" s="25"/>
      <c r="F63" s="25"/>
      <c r="G63" s="25"/>
    </row>
    <row r="64" spans="1:7" x14ac:dyDescent="0.25">
      <c r="A64" s="25"/>
      <c r="B64" s="25"/>
      <c r="C64" s="37"/>
      <c r="D64" s="25"/>
      <c r="E64" s="25"/>
      <c r="F64" s="25"/>
      <c r="G64" s="25"/>
    </row>
    <row r="65" spans="1:7" x14ac:dyDescent="0.25">
      <c r="A65" s="25"/>
      <c r="B65" s="25"/>
      <c r="C65" s="37"/>
      <c r="D65" s="25"/>
      <c r="E65" s="25"/>
      <c r="F65" s="25"/>
      <c r="G65" s="25"/>
    </row>
    <row r="66" spans="1:7" x14ac:dyDescent="0.25">
      <c r="A66" s="25"/>
      <c r="B66" s="25"/>
      <c r="C66" s="37"/>
      <c r="D66" s="25"/>
      <c r="E66" s="25"/>
      <c r="F66" s="25"/>
      <c r="G66" s="25"/>
    </row>
    <row r="67" spans="1:7" x14ac:dyDescent="0.25">
      <c r="A67" s="25"/>
      <c r="B67" s="25"/>
      <c r="C67" s="37"/>
      <c r="D67" s="25"/>
      <c r="E67" s="25"/>
      <c r="F67" s="25"/>
      <c r="G67" s="25"/>
    </row>
    <row r="68" spans="1:7" x14ac:dyDescent="0.25">
      <c r="A68" s="25"/>
      <c r="B68" s="25"/>
      <c r="C68" s="37"/>
      <c r="D68" s="25"/>
      <c r="E68" s="25"/>
      <c r="F68" s="25"/>
      <c r="G68" s="25"/>
    </row>
    <row r="69" spans="1:7" x14ac:dyDescent="0.25">
      <c r="A69" s="25"/>
      <c r="B69" s="25"/>
      <c r="C69" s="37"/>
      <c r="D69" s="25"/>
      <c r="E69" s="25"/>
      <c r="F69" s="25"/>
      <c r="G69" s="25"/>
    </row>
    <row r="70" spans="1:7" x14ac:dyDescent="0.25">
      <c r="A70" s="25"/>
      <c r="B70" s="25"/>
      <c r="C70" s="37"/>
      <c r="D70" s="25"/>
      <c r="E70" s="25"/>
      <c r="F70" s="25"/>
      <c r="G70" s="25"/>
    </row>
    <row r="71" spans="1:7" x14ac:dyDescent="0.25">
      <c r="A71" s="25"/>
      <c r="B71" s="25"/>
      <c r="C71" s="37"/>
      <c r="D71" s="25"/>
      <c r="E71" s="25"/>
      <c r="F71" s="25"/>
      <c r="G71" s="25"/>
    </row>
    <row r="72" spans="1:7" x14ac:dyDescent="0.25">
      <c r="A72" s="25"/>
      <c r="B72" s="25"/>
      <c r="C72" s="37"/>
      <c r="D72" s="25"/>
      <c r="E72" s="25"/>
      <c r="F72" s="25"/>
      <c r="G72" s="25"/>
    </row>
    <row r="73" spans="1:7" x14ac:dyDescent="0.25">
      <c r="A73" s="25"/>
      <c r="B73" s="25"/>
      <c r="C73" s="37"/>
      <c r="D73" s="25"/>
      <c r="E73" s="25"/>
      <c r="F73" s="25"/>
      <c r="G73" s="25"/>
    </row>
    <row r="74" spans="1:7" x14ac:dyDescent="0.25">
      <c r="A74" s="25"/>
      <c r="B74" s="25"/>
      <c r="C74" s="37"/>
      <c r="D74" s="25"/>
      <c r="E74" s="25"/>
      <c r="F74" s="25"/>
      <c r="G74" s="25"/>
    </row>
    <row r="75" spans="1:7" x14ac:dyDescent="0.25">
      <c r="A75" s="25"/>
      <c r="B75" s="25"/>
      <c r="C75" s="37"/>
      <c r="D75" s="25"/>
      <c r="E75" s="25"/>
      <c r="F75" s="25"/>
      <c r="G75" s="25"/>
    </row>
    <row r="76" spans="1:7" x14ac:dyDescent="0.25">
      <c r="A76" s="25"/>
      <c r="B76" s="25"/>
      <c r="C76" s="37"/>
      <c r="D76" s="25"/>
      <c r="E76" s="25"/>
      <c r="F76" s="25"/>
      <c r="G76" s="25"/>
    </row>
    <row r="77" spans="1:7" x14ac:dyDescent="0.25">
      <c r="A77" s="25"/>
      <c r="B77" s="25"/>
      <c r="C77" s="37"/>
      <c r="D77" s="25"/>
      <c r="E77" s="25"/>
      <c r="F77" s="25"/>
      <c r="G77" s="25"/>
    </row>
    <row r="78" spans="1:7" x14ac:dyDescent="0.25">
      <c r="A78" s="25"/>
      <c r="B78" s="25"/>
      <c r="C78" s="37"/>
      <c r="D78" s="25"/>
      <c r="E78" s="25"/>
      <c r="F78" s="25"/>
      <c r="G78" s="25"/>
    </row>
    <row r="79" spans="1:7" x14ac:dyDescent="0.25">
      <c r="A79" s="25"/>
      <c r="B79" s="25"/>
      <c r="C79" s="37"/>
      <c r="D79" s="25"/>
      <c r="E79" s="25"/>
      <c r="F79" s="25"/>
      <c r="G79" s="25"/>
    </row>
    <row r="80" spans="1:7" x14ac:dyDescent="0.25">
      <c r="A80" s="25"/>
      <c r="B80" s="25"/>
      <c r="C80" s="37"/>
      <c r="D80" s="25"/>
      <c r="E80" s="25"/>
      <c r="F80" s="25"/>
      <c r="G80" s="25"/>
    </row>
    <row r="81" spans="1:7" x14ac:dyDescent="0.25">
      <c r="A81" s="25"/>
      <c r="B81" s="25"/>
      <c r="C81" s="37"/>
      <c r="D81" s="25"/>
      <c r="E81" s="25"/>
      <c r="F81" s="25"/>
      <c r="G81" s="25"/>
    </row>
    <row r="82" spans="1:7" x14ac:dyDescent="0.25">
      <c r="A82" s="25"/>
      <c r="B82" s="25"/>
      <c r="C82" s="37"/>
      <c r="D82" s="25"/>
      <c r="E82" s="25"/>
      <c r="F82" s="25"/>
      <c r="G82" s="25"/>
    </row>
    <row r="83" spans="1:7" x14ac:dyDescent="0.25">
      <c r="A83" s="25"/>
      <c r="B83" s="25"/>
      <c r="C83" s="37"/>
      <c r="D83" s="25"/>
      <c r="E83" s="25"/>
      <c r="F83" s="25"/>
      <c r="G83" s="25"/>
    </row>
    <row r="84" spans="1:7" x14ac:dyDescent="0.25">
      <c r="A84" s="25"/>
      <c r="B84" s="25"/>
      <c r="C84" s="37"/>
      <c r="D84" s="25"/>
      <c r="E84" s="25"/>
      <c r="F84" s="25"/>
      <c r="G84" s="25"/>
    </row>
    <row r="85" spans="1:7" x14ac:dyDescent="0.25">
      <c r="A85" s="25"/>
      <c r="B85" s="25"/>
      <c r="C85" s="37"/>
      <c r="D85" s="25"/>
      <c r="E85" s="25"/>
      <c r="F85" s="25"/>
      <c r="G85" s="25"/>
    </row>
    <row r="86" spans="1:7" x14ac:dyDescent="0.25">
      <c r="A86" s="25"/>
      <c r="B86" s="25"/>
      <c r="C86" s="37"/>
      <c r="D86" s="25"/>
      <c r="E86" s="25"/>
      <c r="F86" s="25"/>
      <c r="G86" s="25"/>
    </row>
    <row r="87" spans="1:7" x14ac:dyDescent="0.25">
      <c r="A87" s="25"/>
      <c r="B87" s="25"/>
      <c r="C87" s="37"/>
      <c r="D87" s="25"/>
      <c r="E87" s="25"/>
      <c r="F87" s="25"/>
      <c r="G87" s="25"/>
    </row>
    <row r="88" spans="1:7" x14ac:dyDescent="0.25">
      <c r="A88" s="25"/>
      <c r="B88" s="25"/>
      <c r="C88" s="37"/>
      <c r="D88" s="25"/>
      <c r="E88" s="25"/>
      <c r="F88" s="25"/>
      <c r="G88" s="25"/>
    </row>
    <row r="89" spans="1:7" x14ac:dyDescent="0.25">
      <c r="A89" s="25"/>
      <c r="B89" s="25"/>
      <c r="C89" s="37"/>
      <c r="D89" s="25"/>
      <c r="E89" s="25"/>
      <c r="F89" s="25"/>
      <c r="G89" s="25"/>
    </row>
    <row r="90" spans="1:7" x14ac:dyDescent="0.25">
      <c r="A90" s="25"/>
      <c r="B90" s="25"/>
      <c r="C90" s="37"/>
      <c r="D90" s="25"/>
      <c r="E90" s="25"/>
      <c r="F90" s="25"/>
      <c r="G90" s="25"/>
    </row>
    <row r="91" spans="1:7" x14ac:dyDescent="0.25">
      <c r="A91" s="25"/>
      <c r="B91" s="25"/>
      <c r="C91" s="37"/>
      <c r="D91" s="25"/>
      <c r="E91" s="25"/>
      <c r="F91" s="25"/>
      <c r="G91" s="25"/>
    </row>
    <row r="92" spans="1:7" x14ac:dyDescent="0.25">
      <c r="A92" s="25"/>
      <c r="B92" s="25"/>
      <c r="C92" s="37"/>
      <c r="D92" s="25"/>
      <c r="E92" s="25"/>
      <c r="F92" s="25"/>
      <c r="G92" s="25"/>
    </row>
    <row r="93" spans="1:7" x14ac:dyDescent="0.25">
      <c r="A93" s="25"/>
      <c r="B93" s="25"/>
      <c r="C93" s="37"/>
      <c r="D93" s="25"/>
      <c r="E93" s="25"/>
      <c r="F93" s="25"/>
      <c r="G93" s="25"/>
    </row>
    <row r="94" spans="1:7" x14ac:dyDescent="0.25">
      <c r="A94" s="25"/>
      <c r="B94" s="25"/>
      <c r="C94" s="37"/>
      <c r="D94" s="25"/>
      <c r="E94" s="25"/>
      <c r="F94" s="25"/>
      <c r="G94" s="25"/>
    </row>
    <row r="95" spans="1:7" x14ac:dyDescent="0.25">
      <c r="A95" s="25"/>
      <c r="B95" s="25"/>
      <c r="C95" s="37"/>
      <c r="D95" s="25"/>
      <c r="E95" s="25"/>
      <c r="F95" s="25"/>
      <c r="G95" s="25"/>
    </row>
    <row r="96" spans="1:7" x14ac:dyDescent="0.25">
      <c r="A96" s="25"/>
      <c r="B96" s="25"/>
      <c r="C96" s="37"/>
      <c r="D96" s="25"/>
      <c r="E96" s="25"/>
      <c r="F96" s="25"/>
      <c r="G96" s="25"/>
    </row>
    <row r="97" spans="1:7" x14ac:dyDescent="0.25">
      <c r="A97" s="25"/>
      <c r="B97" s="25"/>
      <c r="C97" s="37"/>
      <c r="D97" s="25"/>
      <c r="E97" s="25"/>
      <c r="F97" s="25"/>
      <c r="G97" s="25"/>
    </row>
    <row r="98" spans="1:7" x14ac:dyDescent="0.25">
      <c r="A98" s="25"/>
      <c r="B98" s="25"/>
      <c r="C98" s="37"/>
      <c r="D98" s="25"/>
      <c r="E98" s="25"/>
      <c r="F98" s="25"/>
      <c r="G98" s="25"/>
    </row>
    <row r="99" spans="1:7" x14ac:dyDescent="0.25">
      <c r="A99" s="25"/>
      <c r="B99" s="25"/>
      <c r="C99" s="37"/>
      <c r="D99" s="25"/>
      <c r="E99" s="25"/>
      <c r="F99" s="25"/>
      <c r="G99" s="25"/>
    </row>
    <row r="100" spans="1:7" x14ac:dyDescent="0.25">
      <c r="A100" s="25"/>
      <c r="B100" s="25"/>
      <c r="C100" s="37"/>
      <c r="D100" s="25"/>
      <c r="E100" s="25"/>
      <c r="F100" s="25"/>
      <c r="G100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2375-5C40-41C4-B0F5-C4AB40674A28}">
  <dimension ref="A1:G100"/>
  <sheetViews>
    <sheetView topLeftCell="A76" zoomScale="70" zoomScaleNormal="70" workbookViewId="0">
      <selection activeCell="L36" sqref="L36"/>
    </sheetView>
  </sheetViews>
  <sheetFormatPr defaultRowHeight="15.75" x14ac:dyDescent="0.25"/>
  <cols>
    <col min="1" max="1" width="18" customWidth="1"/>
    <col min="2" max="2" width="89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57" t="s">
        <v>1949</v>
      </c>
      <c r="B2" s="52" t="s">
        <v>1951</v>
      </c>
      <c r="C2" s="13"/>
      <c r="D2" s="13"/>
      <c r="E2" s="13"/>
      <c r="F2" s="14"/>
      <c r="G2" s="14"/>
    </row>
    <row r="3" spans="1:7" x14ac:dyDescent="0.25">
      <c r="A3" s="57" t="s">
        <v>2832</v>
      </c>
      <c r="B3" s="52" t="s">
        <v>2833</v>
      </c>
      <c r="C3" s="13"/>
      <c r="D3" s="13"/>
      <c r="E3" s="13"/>
      <c r="F3" s="14"/>
      <c r="G3" s="14"/>
    </row>
    <row r="4" spans="1:7" x14ac:dyDescent="0.25">
      <c r="A4" s="57" t="s">
        <v>2834</v>
      </c>
      <c r="B4" s="52" t="s">
        <v>2835</v>
      </c>
      <c r="C4" s="13"/>
      <c r="D4" s="13"/>
      <c r="E4" s="13"/>
      <c r="F4" s="14"/>
      <c r="G4" s="14"/>
    </row>
    <row r="5" spans="1:7" x14ac:dyDescent="0.25">
      <c r="A5" s="57" t="s">
        <v>1843</v>
      </c>
      <c r="B5" s="52" t="s">
        <v>1845</v>
      </c>
      <c r="C5" s="13"/>
      <c r="D5" s="13"/>
      <c r="E5" s="13"/>
      <c r="F5" s="14"/>
      <c r="G5" s="14"/>
    </row>
    <row r="6" spans="1:7" x14ac:dyDescent="0.25">
      <c r="A6" s="57" t="s">
        <v>2836</v>
      </c>
      <c r="B6" s="52" t="s">
        <v>2837</v>
      </c>
      <c r="C6" s="13"/>
      <c r="D6" s="13"/>
      <c r="E6" s="13"/>
      <c r="F6" s="14"/>
      <c r="G6" s="14"/>
    </row>
    <row r="7" spans="1:7" x14ac:dyDescent="0.25">
      <c r="A7" s="58" t="s">
        <v>1840</v>
      </c>
      <c r="B7" s="53" t="s">
        <v>1842</v>
      </c>
      <c r="C7" s="13"/>
      <c r="D7" s="13"/>
      <c r="E7" s="13"/>
      <c r="F7" s="14"/>
      <c r="G7" s="14"/>
    </row>
    <row r="8" spans="1:7" x14ac:dyDescent="0.25">
      <c r="A8" s="58" t="s">
        <v>2838</v>
      </c>
      <c r="B8" s="53" t="s">
        <v>2839</v>
      </c>
      <c r="C8" s="13"/>
      <c r="D8" s="13"/>
      <c r="E8" s="13"/>
      <c r="F8" s="14"/>
      <c r="G8" s="14"/>
    </row>
    <row r="9" spans="1:7" x14ac:dyDescent="0.25">
      <c r="A9" s="58" t="s">
        <v>2840</v>
      </c>
      <c r="B9" s="53" t="s">
        <v>2841</v>
      </c>
      <c r="C9" s="13"/>
      <c r="D9" s="13"/>
      <c r="E9" s="13"/>
      <c r="F9" s="15"/>
      <c r="G9" s="15"/>
    </row>
    <row r="10" spans="1:7" x14ac:dyDescent="0.25">
      <c r="A10" s="58" t="s">
        <v>1923</v>
      </c>
      <c r="B10" s="53" t="s">
        <v>2842</v>
      </c>
      <c r="C10" s="13"/>
      <c r="D10" s="13"/>
      <c r="E10" s="13"/>
      <c r="F10" s="16"/>
      <c r="G10" s="16"/>
    </row>
    <row r="11" spans="1:7" x14ac:dyDescent="0.25">
      <c r="A11" s="58" t="s">
        <v>2843</v>
      </c>
      <c r="B11" s="53" t="s">
        <v>2844</v>
      </c>
      <c r="C11" s="13"/>
      <c r="D11" s="13"/>
      <c r="E11" s="13"/>
      <c r="F11" s="14"/>
      <c r="G11" s="14"/>
    </row>
    <row r="12" spans="1:7" x14ac:dyDescent="0.25">
      <c r="A12" s="58" t="s">
        <v>2845</v>
      </c>
      <c r="B12" s="53" t="s">
        <v>2846</v>
      </c>
      <c r="C12" s="13"/>
      <c r="D12" s="13"/>
      <c r="E12" s="13"/>
      <c r="F12" s="14"/>
      <c r="G12" s="14"/>
    </row>
    <row r="13" spans="1:7" x14ac:dyDescent="0.25">
      <c r="A13" s="58" t="s">
        <v>2847</v>
      </c>
      <c r="B13" s="53" t="s">
        <v>2848</v>
      </c>
      <c r="C13" s="13"/>
      <c r="D13" s="13"/>
      <c r="E13" s="13"/>
      <c r="F13" s="17"/>
      <c r="G13" s="17"/>
    </row>
    <row r="14" spans="1:7" x14ac:dyDescent="0.25">
      <c r="A14" s="58" t="s">
        <v>2849</v>
      </c>
      <c r="B14" s="53" t="s">
        <v>2850</v>
      </c>
      <c r="C14" s="13"/>
      <c r="D14" s="13"/>
      <c r="E14" s="13"/>
      <c r="F14" s="14"/>
      <c r="G14" s="14"/>
    </row>
    <row r="15" spans="1:7" x14ac:dyDescent="0.25">
      <c r="A15" s="58" t="s">
        <v>2851</v>
      </c>
      <c r="B15" s="53" t="s">
        <v>2852</v>
      </c>
      <c r="C15" s="13"/>
      <c r="D15" s="13"/>
      <c r="E15" s="13"/>
      <c r="F15" s="14"/>
      <c r="G15" s="14"/>
    </row>
    <row r="16" spans="1:7" x14ac:dyDescent="0.25">
      <c r="A16" s="58" t="s">
        <v>1779</v>
      </c>
      <c r="B16" s="53" t="s">
        <v>1781</v>
      </c>
      <c r="C16" s="13"/>
      <c r="D16" s="13"/>
      <c r="E16" s="13"/>
      <c r="F16" s="14"/>
      <c r="G16" s="14"/>
    </row>
    <row r="17" spans="1:7" x14ac:dyDescent="0.25">
      <c r="A17" s="57" t="s">
        <v>2853</v>
      </c>
      <c r="B17" s="52" t="s">
        <v>2854</v>
      </c>
      <c r="C17" s="13"/>
      <c r="D17" s="13"/>
      <c r="E17" s="13"/>
      <c r="F17" s="14"/>
      <c r="G17" s="14"/>
    </row>
    <row r="18" spans="1:7" x14ac:dyDescent="0.25">
      <c r="A18" s="57" t="s">
        <v>2855</v>
      </c>
      <c r="B18" s="52" t="s">
        <v>2856</v>
      </c>
      <c r="C18" s="13"/>
      <c r="D18" s="13"/>
      <c r="E18" s="13"/>
      <c r="F18" s="14"/>
      <c r="G18" s="14"/>
    </row>
    <row r="19" spans="1:7" x14ac:dyDescent="0.25">
      <c r="A19" s="57" t="s">
        <v>827</v>
      </c>
      <c r="B19" s="54" t="s">
        <v>2857</v>
      </c>
      <c r="C19" s="20"/>
      <c r="D19" s="18"/>
      <c r="E19" s="18"/>
      <c r="F19" s="14"/>
      <c r="G19" s="14"/>
    </row>
    <row r="20" spans="1:7" x14ac:dyDescent="0.25">
      <c r="A20" s="57" t="s">
        <v>2858</v>
      </c>
      <c r="B20" s="55" t="s">
        <v>2859</v>
      </c>
      <c r="C20" s="20"/>
      <c r="D20" s="18"/>
      <c r="E20" s="18"/>
      <c r="F20" s="14"/>
      <c r="G20" s="14"/>
    </row>
    <row r="21" spans="1:7" x14ac:dyDescent="0.25">
      <c r="A21" s="59" t="s">
        <v>2860</v>
      </c>
      <c r="B21" s="56" t="s">
        <v>2861</v>
      </c>
      <c r="C21" s="20"/>
      <c r="D21" s="18"/>
      <c r="E21" s="18"/>
      <c r="F21" s="14"/>
      <c r="G21" s="14"/>
    </row>
    <row r="22" spans="1:7" x14ac:dyDescent="0.25">
      <c r="A22" s="59" t="s">
        <v>2862</v>
      </c>
      <c r="B22" s="56" t="s">
        <v>2863</v>
      </c>
      <c r="C22" s="20"/>
      <c r="D22" s="18"/>
      <c r="E22" s="18"/>
      <c r="F22" s="14"/>
      <c r="G22" s="14"/>
    </row>
    <row r="23" spans="1:7" x14ac:dyDescent="0.25">
      <c r="A23" s="59" t="s">
        <v>2864</v>
      </c>
      <c r="B23" s="60" t="s">
        <v>2865</v>
      </c>
      <c r="C23" s="20"/>
      <c r="D23" s="18"/>
      <c r="E23" s="18"/>
      <c r="F23" s="14"/>
      <c r="G23" s="14"/>
    </row>
    <row r="24" spans="1:7" x14ac:dyDescent="0.25">
      <c r="A24" s="59" t="s">
        <v>2866</v>
      </c>
      <c r="B24" s="56" t="s">
        <v>2867</v>
      </c>
      <c r="C24" s="20"/>
      <c r="D24" s="18"/>
      <c r="E24" s="18"/>
      <c r="F24" s="14"/>
      <c r="G24" s="14"/>
    </row>
    <row r="25" spans="1:7" x14ac:dyDescent="0.25">
      <c r="A25" s="59" t="s">
        <v>2868</v>
      </c>
      <c r="B25" s="56" t="s">
        <v>2869</v>
      </c>
      <c r="C25" s="20"/>
      <c r="D25" s="18"/>
      <c r="E25" s="18"/>
      <c r="F25" s="14"/>
      <c r="G25" s="14"/>
    </row>
    <row r="26" spans="1:7" x14ac:dyDescent="0.25">
      <c r="A26" s="59" t="s">
        <v>1642</v>
      </c>
      <c r="B26" s="56" t="s">
        <v>2870</v>
      </c>
      <c r="C26" s="20"/>
      <c r="D26" s="18"/>
      <c r="E26" s="18"/>
      <c r="F26" s="14"/>
      <c r="G26" s="14"/>
    </row>
    <row r="27" spans="1:7" x14ac:dyDescent="0.25">
      <c r="A27" s="59" t="s">
        <v>1645</v>
      </c>
      <c r="B27" s="56" t="s">
        <v>2871</v>
      </c>
      <c r="C27" s="20"/>
      <c r="D27" s="18"/>
      <c r="E27" s="18"/>
      <c r="F27" s="14"/>
      <c r="G27" s="14"/>
    </row>
    <row r="28" spans="1:7" x14ac:dyDescent="0.25">
      <c r="A28" s="59" t="s">
        <v>1648</v>
      </c>
      <c r="B28" s="56" t="s">
        <v>2872</v>
      </c>
      <c r="C28" s="20"/>
      <c r="D28" s="18"/>
      <c r="E28" s="18"/>
      <c r="F28" s="14"/>
      <c r="G28" s="14"/>
    </row>
    <row r="29" spans="1:7" x14ac:dyDescent="0.25">
      <c r="A29" s="59" t="s">
        <v>2873</v>
      </c>
      <c r="B29" s="56" t="s">
        <v>2874</v>
      </c>
      <c r="C29" s="20"/>
      <c r="D29" s="18"/>
      <c r="E29" s="18"/>
      <c r="F29" s="14"/>
      <c r="G29" s="14"/>
    </row>
    <row r="30" spans="1:7" x14ac:dyDescent="0.25">
      <c r="A30" s="59" t="s">
        <v>1779</v>
      </c>
      <c r="B30" s="56" t="s">
        <v>1781</v>
      </c>
      <c r="C30" s="20"/>
      <c r="D30" s="18"/>
      <c r="E30" s="18"/>
      <c r="F30" s="14"/>
      <c r="G30" s="14"/>
    </row>
    <row r="31" spans="1:7" x14ac:dyDescent="0.25">
      <c r="A31" s="59" t="s">
        <v>2853</v>
      </c>
      <c r="B31" s="56" t="s">
        <v>2854</v>
      </c>
      <c r="C31" s="20"/>
      <c r="D31" s="18"/>
      <c r="E31" s="18"/>
      <c r="F31" s="14"/>
      <c r="G31" s="14"/>
    </row>
    <row r="32" spans="1:7" x14ac:dyDescent="0.25">
      <c r="A32" s="59" t="s">
        <v>2855</v>
      </c>
      <c r="B32" s="56" t="s">
        <v>2856</v>
      </c>
      <c r="C32" s="20"/>
      <c r="D32" s="18"/>
      <c r="E32" s="18"/>
      <c r="F32" s="14"/>
      <c r="G32" s="14"/>
    </row>
    <row r="33" spans="1:7" x14ac:dyDescent="0.25">
      <c r="A33" s="59" t="s">
        <v>1846</v>
      </c>
      <c r="B33" s="56" t="s">
        <v>1848</v>
      </c>
      <c r="C33" s="20"/>
      <c r="D33" s="18"/>
      <c r="E33" s="18"/>
      <c r="F33" s="14"/>
      <c r="G33" s="14"/>
    </row>
    <row r="34" spans="1:7" x14ac:dyDescent="0.25">
      <c r="A34" s="59" t="s">
        <v>2875</v>
      </c>
      <c r="B34" s="56" t="s">
        <v>2876</v>
      </c>
      <c r="C34" s="20"/>
      <c r="D34" s="18"/>
      <c r="E34" s="18"/>
      <c r="F34" s="14"/>
      <c r="G34" s="14"/>
    </row>
    <row r="35" spans="1:7" x14ac:dyDescent="0.25">
      <c r="A35" s="59" t="s">
        <v>2877</v>
      </c>
      <c r="B35" s="56" t="s">
        <v>2878</v>
      </c>
      <c r="C35" s="20"/>
      <c r="D35" s="18"/>
      <c r="E35" s="18"/>
      <c r="F35" s="14"/>
      <c r="G35" s="14"/>
    </row>
    <row r="36" spans="1:7" x14ac:dyDescent="0.25">
      <c r="A36" s="59" t="s">
        <v>1849</v>
      </c>
      <c r="B36" s="52" t="s">
        <v>2879</v>
      </c>
      <c r="C36" s="20"/>
      <c r="D36" s="18"/>
      <c r="E36" s="18"/>
      <c r="F36" s="14"/>
      <c r="G36" s="14"/>
    </row>
    <row r="37" spans="1:7" x14ac:dyDescent="0.25">
      <c r="A37" s="59" t="s">
        <v>1633</v>
      </c>
      <c r="B37" s="52" t="s">
        <v>2880</v>
      </c>
      <c r="C37" s="20"/>
      <c r="D37" s="18"/>
      <c r="E37" s="18"/>
      <c r="F37" s="14"/>
      <c r="G37" s="14"/>
    </row>
    <row r="38" spans="1:7" x14ac:dyDescent="0.25">
      <c r="A38" s="59" t="s">
        <v>2881</v>
      </c>
      <c r="B38" s="52" t="s">
        <v>2882</v>
      </c>
      <c r="C38" s="20"/>
      <c r="D38" s="18"/>
      <c r="E38" s="18"/>
      <c r="F38" s="14"/>
      <c r="G38" s="14"/>
    </row>
    <row r="39" spans="1:7" x14ac:dyDescent="0.25">
      <c r="A39" s="59" t="s">
        <v>2883</v>
      </c>
      <c r="B39" s="52" t="s">
        <v>2884</v>
      </c>
      <c r="C39" s="20"/>
      <c r="D39" s="18"/>
      <c r="E39" s="18"/>
      <c r="F39" s="14"/>
      <c r="G39" s="14"/>
    </row>
    <row r="40" spans="1:7" x14ac:dyDescent="0.25">
      <c r="A40" s="59" t="s">
        <v>1604</v>
      </c>
      <c r="B40" s="52" t="s">
        <v>2885</v>
      </c>
      <c r="C40" s="20"/>
      <c r="D40" s="18"/>
      <c r="E40" s="18"/>
      <c r="F40" s="14"/>
      <c r="G40" s="14"/>
    </row>
    <row r="41" spans="1:7" x14ac:dyDescent="0.25">
      <c r="A41" s="59" t="s">
        <v>1622</v>
      </c>
      <c r="B41" s="53" t="s">
        <v>1624</v>
      </c>
      <c r="C41" s="20"/>
      <c r="D41" s="18"/>
      <c r="E41" s="18"/>
      <c r="F41" s="14"/>
      <c r="G41" s="14"/>
    </row>
    <row r="42" spans="1:7" x14ac:dyDescent="0.25">
      <c r="A42" s="59" t="s">
        <v>2886</v>
      </c>
      <c r="B42" s="52" t="s">
        <v>2887</v>
      </c>
      <c r="C42" s="20"/>
      <c r="D42" s="18"/>
      <c r="E42" s="18"/>
      <c r="F42" s="14"/>
      <c r="G42" s="14"/>
    </row>
    <row r="43" spans="1:7" x14ac:dyDescent="0.25">
      <c r="A43" s="57" t="s">
        <v>2888</v>
      </c>
      <c r="B43" s="52" t="s">
        <v>2889</v>
      </c>
      <c r="C43" s="20"/>
      <c r="D43" s="18"/>
      <c r="E43" s="18"/>
      <c r="F43" s="14"/>
      <c r="G43" s="14"/>
    </row>
    <row r="44" spans="1:7" x14ac:dyDescent="0.25">
      <c r="A44" s="61" t="s">
        <v>2890</v>
      </c>
      <c r="B44" s="62" t="s">
        <v>2404</v>
      </c>
      <c r="C44" s="20"/>
      <c r="D44" s="18"/>
      <c r="E44" s="18"/>
      <c r="F44" s="14"/>
      <c r="G44" s="14"/>
    </row>
    <row r="45" spans="1:7" x14ac:dyDescent="0.25">
      <c r="A45" s="61" t="s">
        <v>1802</v>
      </c>
      <c r="B45" s="62" t="s">
        <v>1804</v>
      </c>
      <c r="C45" s="20"/>
      <c r="D45" s="18"/>
      <c r="E45" s="18"/>
      <c r="F45" s="14"/>
      <c r="G45" s="14"/>
    </row>
    <row r="46" spans="1:7" x14ac:dyDescent="0.25">
      <c r="A46" s="61" t="s">
        <v>1805</v>
      </c>
      <c r="B46" s="62" t="s">
        <v>1807</v>
      </c>
      <c r="C46" s="20"/>
      <c r="D46" s="18"/>
      <c r="E46" s="18"/>
      <c r="F46" s="14"/>
      <c r="G46" s="14"/>
    </row>
    <row r="47" spans="1:7" x14ac:dyDescent="0.25">
      <c r="A47" s="61" t="s">
        <v>1808</v>
      </c>
      <c r="B47" s="62" t="s">
        <v>1810</v>
      </c>
      <c r="C47" s="20"/>
      <c r="D47" s="18"/>
      <c r="E47" s="18"/>
      <c r="F47" s="14"/>
      <c r="G47" s="14"/>
    </row>
    <row r="48" spans="1:7" x14ac:dyDescent="0.25">
      <c r="A48" s="61" t="s">
        <v>1811</v>
      </c>
      <c r="B48" s="62" t="s">
        <v>1813</v>
      </c>
      <c r="C48" s="20"/>
      <c r="D48" s="18"/>
      <c r="E48" s="18"/>
      <c r="F48" s="14"/>
      <c r="G48" s="14"/>
    </row>
    <row r="49" spans="1:7" x14ac:dyDescent="0.25">
      <c r="A49" s="61" t="s">
        <v>1814</v>
      </c>
      <c r="B49" s="62" t="s">
        <v>1816</v>
      </c>
      <c r="C49" s="20"/>
      <c r="D49" s="18"/>
      <c r="E49" s="18"/>
      <c r="F49" s="14"/>
      <c r="G49" s="14"/>
    </row>
    <row r="50" spans="1:7" x14ac:dyDescent="0.25">
      <c r="A50" s="61" t="s">
        <v>2891</v>
      </c>
      <c r="B50" s="62" t="s">
        <v>2892</v>
      </c>
      <c r="C50" s="20"/>
      <c r="D50" s="18"/>
      <c r="E50" s="18"/>
      <c r="F50" s="14"/>
      <c r="G50" s="14"/>
    </row>
    <row r="51" spans="1:7" x14ac:dyDescent="0.25">
      <c r="A51" s="61" t="s">
        <v>2893</v>
      </c>
      <c r="B51" s="62" t="s">
        <v>2894</v>
      </c>
      <c r="C51" s="20"/>
      <c r="D51" s="18"/>
      <c r="E51" s="18"/>
      <c r="F51" s="14"/>
      <c r="G51" s="14"/>
    </row>
    <row r="52" spans="1:7" x14ac:dyDescent="0.25">
      <c r="A52" s="61" t="s">
        <v>2895</v>
      </c>
      <c r="B52" s="62" t="s">
        <v>2896</v>
      </c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3FAD-BF25-4434-BE01-0518BAC22432}">
  <dimension ref="A1:G100"/>
  <sheetViews>
    <sheetView topLeftCell="A16" zoomScale="70" zoomScaleNormal="70" workbookViewId="0">
      <selection activeCell="J36" sqref="J36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35" t="s">
        <v>128</v>
      </c>
      <c r="B2" s="35" t="s">
        <v>2897</v>
      </c>
      <c r="C2" s="33"/>
      <c r="D2" s="33"/>
      <c r="E2" s="33"/>
      <c r="F2" s="14"/>
      <c r="G2" s="14"/>
    </row>
    <row r="3" spans="1:7" x14ac:dyDescent="0.25">
      <c r="A3" s="12"/>
      <c r="B3" s="12"/>
      <c r="C3" s="13"/>
      <c r="D3" s="13"/>
      <c r="E3" s="13"/>
      <c r="F3" s="14"/>
      <c r="G3" s="14"/>
    </row>
    <row r="4" spans="1:7" x14ac:dyDescent="0.25">
      <c r="A4" s="12"/>
      <c r="B4" s="12"/>
      <c r="C4" s="13"/>
      <c r="D4" s="13"/>
      <c r="E4" s="13"/>
      <c r="F4" s="14"/>
      <c r="G4" s="14"/>
    </row>
    <row r="5" spans="1:7" x14ac:dyDescent="0.25">
      <c r="A5" s="12"/>
      <c r="B5" s="12"/>
      <c r="C5" s="13"/>
      <c r="D5" s="13"/>
      <c r="E5" s="13"/>
      <c r="F5" s="14"/>
      <c r="G5" s="14"/>
    </row>
    <row r="6" spans="1:7" x14ac:dyDescent="0.25">
      <c r="A6" s="12"/>
      <c r="B6" s="12"/>
      <c r="C6" s="13"/>
      <c r="D6" s="13"/>
      <c r="E6" s="13"/>
      <c r="F6" s="14"/>
      <c r="G6" s="14"/>
    </row>
    <row r="7" spans="1:7" x14ac:dyDescent="0.25">
      <c r="A7" s="26"/>
      <c r="B7" s="26"/>
      <c r="C7" s="13"/>
      <c r="D7" s="13"/>
      <c r="E7" s="13"/>
      <c r="F7" s="14"/>
      <c r="G7" s="14"/>
    </row>
    <row r="8" spans="1:7" x14ac:dyDescent="0.25">
      <c r="A8" s="26"/>
      <c r="B8" s="26"/>
      <c r="C8" s="13"/>
      <c r="D8" s="13"/>
      <c r="E8" s="13"/>
      <c r="F8" s="14"/>
      <c r="G8" s="14"/>
    </row>
    <row r="9" spans="1:7" x14ac:dyDescent="0.25">
      <c r="A9" s="26"/>
      <c r="B9" s="26"/>
      <c r="C9" s="13"/>
      <c r="D9" s="13"/>
      <c r="E9" s="13"/>
      <c r="F9" s="15"/>
      <c r="G9" s="15"/>
    </row>
    <row r="10" spans="1:7" x14ac:dyDescent="0.25">
      <c r="A10" s="26"/>
      <c r="B10" s="26"/>
      <c r="C10" s="13"/>
      <c r="D10" s="13"/>
      <c r="E10" s="13"/>
      <c r="F10" s="16"/>
      <c r="G10" s="16"/>
    </row>
    <row r="11" spans="1:7" x14ac:dyDescent="0.25">
      <c r="A11" s="26"/>
      <c r="B11" s="26"/>
      <c r="C11" s="13"/>
      <c r="D11" s="13"/>
      <c r="E11" s="13"/>
      <c r="F11" s="14"/>
      <c r="G11" s="14"/>
    </row>
    <row r="12" spans="1:7" x14ac:dyDescent="0.25">
      <c r="A12" s="26"/>
      <c r="B12" s="26"/>
      <c r="C12" s="13"/>
      <c r="D12" s="13"/>
      <c r="E12" s="13"/>
      <c r="F12" s="14"/>
      <c r="G12" s="14"/>
    </row>
    <row r="13" spans="1:7" x14ac:dyDescent="0.25">
      <c r="A13" s="26"/>
      <c r="B13" s="26"/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C5D-1AF8-4FCB-AC2F-730243A3CA80}">
  <dimension ref="A1:G100"/>
  <sheetViews>
    <sheetView zoomScale="70" zoomScaleNormal="70" workbookViewId="0">
      <selection activeCell="J26" sqref="J26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/>
      <c r="B2" s="12"/>
      <c r="C2" s="13"/>
      <c r="D2" s="13"/>
      <c r="E2" s="13"/>
      <c r="F2" s="14"/>
      <c r="G2" s="14"/>
    </row>
    <row r="3" spans="1:7" x14ac:dyDescent="0.25">
      <c r="A3" s="12"/>
      <c r="B3" s="12"/>
      <c r="C3" s="13"/>
      <c r="D3" s="13"/>
      <c r="E3" s="13"/>
      <c r="F3" s="14"/>
      <c r="G3" s="14"/>
    </row>
    <row r="4" spans="1:7" x14ac:dyDescent="0.25">
      <c r="A4" s="12"/>
      <c r="B4" s="12"/>
      <c r="C4" s="13"/>
      <c r="D4" s="13"/>
      <c r="E4" s="13"/>
      <c r="F4" s="14"/>
      <c r="G4" s="14"/>
    </row>
    <row r="5" spans="1:7" x14ac:dyDescent="0.25">
      <c r="A5" s="12"/>
      <c r="B5" s="12"/>
      <c r="C5" s="13"/>
      <c r="D5" s="13"/>
      <c r="E5" s="13"/>
      <c r="F5" s="14"/>
      <c r="G5" s="14"/>
    </row>
    <row r="6" spans="1:7" x14ac:dyDescent="0.25">
      <c r="A6" s="12"/>
      <c r="B6" s="12"/>
      <c r="C6" s="13"/>
      <c r="D6" s="13"/>
      <c r="E6" s="13"/>
      <c r="F6" s="14"/>
      <c r="G6" s="14"/>
    </row>
    <row r="7" spans="1:7" x14ac:dyDescent="0.25">
      <c r="A7" s="26"/>
      <c r="B7" s="26"/>
      <c r="C7" s="13"/>
      <c r="D7" s="13"/>
      <c r="E7" s="13"/>
      <c r="F7" s="14"/>
      <c r="G7" s="14"/>
    </row>
    <row r="8" spans="1:7" x14ac:dyDescent="0.25">
      <c r="A8" s="26"/>
      <c r="B8" s="26"/>
      <c r="C8" s="13"/>
      <c r="D8" s="13"/>
      <c r="E8" s="13"/>
      <c r="F8" s="14"/>
      <c r="G8" s="14"/>
    </row>
    <row r="9" spans="1:7" x14ac:dyDescent="0.25">
      <c r="A9" s="26"/>
      <c r="B9" s="26"/>
      <c r="C9" s="13"/>
      <c r="D9" s="13"/>
      <c r="E9" s="13"/>
      <c r="F9" s="15"/>
      <c r="G9" s="15"/>
    </row>
    <row r="10" spans="1:7" x14ac:dyDescent="0.25">
      <c r="A10" s="26"/>
      <c r="B10" s="26"/>
      <c r="C10" s="13"/>
      <c r="D10" s="13"/>
      <c r="E10" s="13"/>
      <c r="F10" s="16"/>
      <c r="G10" s="16"/>
    </row>
    <row r="11" spans="1:7" x14ac:dyDescent="0.25">
      <c r="A11" s="26"/>
      <c r="B11" s="26"/>
      <c r="C11" s="13"/>
      <c r="D11" s="13"/>
      <c r="E11" s="13"/>
      <c r="F11" s="14"/>
      <c r="G11" s="14"/>
    </row>
    <row r="12" spans="1:7" x14ac:dyDescent="0.25">
      <c r="A12" s="26"/>
      <c r="B12" s="26"/>
      <c r="C12" s="13"/>
      <c r="D12" s="13"/>
      <c r="E12" s="13"/>
      <c r="F12" s="14"/>
      <c r="G12" s="14"/>
    </row>
    <row r="13" spans="1:7" x14ac:dyDescent="0.25">
      <c r="A13" s="26"/>
      <c r="B13" s="26"/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34E-2566-467B-A1CF-2EC3394E1CB3}">
  <dimension ref="A1:F670"/>
  <sheetViews>
    <sheetView workbookViewId="0">
      <selection activeCell="C2" sqref="C2"/>
    </sheetView>
  </sheetViews>
  <sheetFormatPr defaultRowHeight="15.75" x14ac:dyDescent="0.25"/>
  <cols>
    <col min="1" max="1" width="13" bestFit="1" customWidth="1"/>
    <col min="2" max="2" width="12.375" bestFit="1" customWidth="1"/>
    <col min="3" max="3" width="68.625" customWidth="1"/>
    <col min="6" max="6" width="25.875" bestFit="1" customWidth="1"/>
  </cols>
  <sheetData>
    <row r="1" spans="1:6" x14ac:dyDescent="0.25">
      <c r="A1" t="s">
        <v>51</v>
      </c>
      <c r="B1" t="s">
        <v>52</v>
      </c>
      <c r="C1" t="s">
        <v>3</v>
      </c>
      <c r="D1" t="s">
        <v>53</v>
      </c>
      <c r="E1" t="s">
        <v>0</v>
      </c>
      <c r="F1" t="s">
        <v>54</v>
      </c>
    </row>
    <row r="2" spans="1:6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>
        <v>7</v>
      </c>
    </row>
    <row r="3" spans="1:6" x14ac:dyDescent="0.25">
      <c r="A3" t="s">
        <v>60</v>
      </c>
      <c r="B3" t="s">
        <v>61</v>
      </c>
      <c r="C3" t="s">
        <v>62</v>
      </c>
      <c r="D3" t="s">
        <v>58</v>
      </c>
      <c r="E3" t="s">
        <v>63</v>
      </c>
      <c r="F3">
        <v>68</v>
      </c>
    </row>
    <row r="4" spans="1:6" x14ac:dyDescent="0.25">
      <c r="A4" t="s">
        <v>64</v>
      </c>
      <c r="B4" t="s">
        <v>65</v>
      </c>
      <c r="C4" t="s">
        <v>66</v>
      </c>
      <c r="D4" t="s">
        <v>58</v>
      </c>
      <c r="E4" t="s">
        <v>67</v>
      </c>
      <c r="F4">
        <v>0</v>
      </c>
    </row>
    <row r="5" spans="1:6" x14ac:dyDescent="0.25">
      <c r="A5" t="s">
        <v>68</v>
      </c>
      <c r="B5" t="s">
        <v>69</v>
      </c>
      <c r="C5" t="s">
        <v>70</v>
      </c>
      <c r="D5" t="s">
        <v>58</v>
      </c>
      <c r="E5" t="s">
        <v>67</v>
      </c>
      <c r="F5">
        <v>0</v>
      </c>
    </row>
    <row r="6" spans="1:6" x14ac:dyDescent="0.25">
      <c r="A6" t="s">
        <v>71</v>
      </c>
      <c r="B6" t="s">
        <v>72</v>
      </c>
      <c r="C6" t="s">
        <v>73</v>
      </c>
      <c r="D6" t="s">
        <v>58</v>
      </c>
      <c r="E6" t="s">
        <v>67</v>
      </c>
      <c r="F6">
        <v>10</v>
      </c>
    </row>
    <row r="7" spans="1:6" x14ac:dyDescent="0.25">
      <c r="A7" t="s">
        <v>74</v>
      </c>
      <c r="B7" t="s">
        <v>75</v>
      </c>
      <c r="C7" t="s">
        <v>76</v>
      </c>
      <c r="D7" t="s">
        <v>58</v>
      </c>
      <c r="E7" t="s">
        <v>63</v>
      </c>
      <c r="F7">
        <v>7</v>
      </c>
    </row>
    <row r="8" spans="1:6" x14ac:dyDescent="0.25">
      <c r="A8" t="s">
        <v>77</v>
      </c>
      <c r="B8" t="s">
        <v>78</v>
      </c>
      <c r="C8" t="s">
        <v>79</v>
      </c>
      <c r="D8" t="s">
        <v>58</v>
      </c>
      <c r="E8" t="s">
        <v>63</v>
      </c>
      <c r="F8">
        <v>70</v>
      </c>
    </row>
    <row r="9" spans="1:6" x14ac:dyDescent="0.25">
      <c r="A9" t="s">
        <v>5</v>
      </c>
      <c r="B9" t="s">
        <v>80</v>
      </c>
      <c r="C9" t="s">
        <v>6</v>
      </c>
      <c r="D9" t="s">
        <v>58</v>
      </c>
      <c r="E9" t="s">
        <v>1</v>
      </c>
      <c r="F9">
        <v>40</v>
      </c>
    </row>
    <row r="10" spans="1:6" x14ac:dyDescent="0.25">
      <c r="A10" t="s">
        <v>7</v>
      </c>
      <c r="B10" t="s">
        <v>81</v>
      </c>
      <c r="C10" t="s">
        <v>8</v>
      </c>
      <c r="D10" t="s">
        <v>58</v>
      </c>
      <c r="E10" t="s">
        <v>1</v>
      </c>
      <c r="F10">
        <v>2</v>
      </c>
    </row>
    <row r="11" spans="1:6" x14ac:dyDescent="0.25">
      <c r="A11" t="s">
        <v>9</v>
      </c>
      <c r="B11" t="s">
        <v>82</v>
      </c>
      <c r="C11" t="s">
        <v>10</v>
      </c>
      <c r="D11" t="s">
        <v>58</v>
      </c>
      <c r="E11" t="s">
        <v>1</v>
      </c>
      <c r="F11">
        <v>5</v>
      </c>
    </row>
    <row r="12" spans="1:6" x14ac:dyDescent="0.25">
      <c r="A12" t="s">
        <v>11</v>
      </c>
      <c r="B12" t="s">
        <v>80</v>
      </c>
      <c r="C12" t="s">
        <v>6</v>
      </c>
      <c r="D12" t="s">
        <v>58</v>
      </c>
      <c r="E12" t="s">
        <v>1</v>
      </c>
      <c r="F12">
        <v>38</v>
      </c>
    </row>
    <row r="13" spans="1:6" x14ac:dyDescent="0.25">
      <c r="A13" t="s">
        <v>12</v>
      </c>
      <c r="B13" t="s">
        <v>83</v>
      </c>
      <c r="C13" t="s">
        <v>13</v>
      </c>
      <c r="D13" t="s">
        <v>58</v>
      </c>
      <c r="E13" t="s">
        <v>1</v>
      </c>
      <c r="F13">
        <v>5</v>
      </c>
    </row>
    <row r="14" spans="1:6" x14ac:dyDescent="0.25">
      <c r="A14" t="s">
        <v>84</v>
      </c>
      <c r="B14" t="s">
        <v>85</v>
      </c>
      <c r="C14" t="s">
        <v>86</v>
      </c>
      <c r="D14" t="s">
        <v>58</v>
      </c>
      <c r="E14" t="s">
        <v>67</v>
      </c>
      <c r="F14">
        <v>0</v>
      </c>
    </row>
    <row r="15" spans="1:6" x14ac:dyDescent="0.25">
      <c r="A15" t="s">
        <v>87</v>
      </c>
      <c r="B15" t="s">
        <v>88</v>
      </c>
      <c r="C15" t="s">
        <v>89</v>
      </c>
      <c r="D15" t="s">
        <v>58</v>
      </c>
      <c r="E15" t="s">
        <v>67</v>
      </c>
      <c r="F15">
        <v>2</v>
      </c>
    </row>
    <row r="16" spans="1:6" x14ac:dyDescent="0.25">
      <c r="A16" t="s">
        <v>90</v>
      </c>
      <c r="B16" t="s">
        <v>91</v>
      </c>
      <c r="C16" t="s">
        <v>92</v>
      </c>
      <c r="D16" t="s">
        <v>58</v>
      </c>
      <c r="E16" t="s">
        <v>63</v>
      </c>
      <c r="F16">
        <v>4</v>
      </c>
    </row>
    <row r="17" spans="1:6" x14ac:dyDescent="0.25">
      <c r="A17" t="s">
        <v>93</v>
      </c>
      <c r="B17" t="s">
        <v>94</v>
      </c>
      <c r="C17" t="s">
        <v>95</v>
      </c>
      <c r="D17" t="s">
        <v>58</v>
      </c>
      <c r="E17" t="s">
        <v>63</v>
      </c>
      <c r="F17">
        <v>8</v>
      </c>
    </row>
    <row r="18" spans="1:6" x14ac:dyDescent="0.25">
      <c r="A18" t="s">
        <v>96</v>
      </c>
      <c r="B18" t="s">
        <v>97</v>
      </c>
      <c r="C18" t="s">
        <v>98</v>
      </c>
      <c r="D18" t="s">
        <v>58</v>
      </c>
      <c r="E18" t="s">
        <v>63</v>
      </c>
      <c r="F18">
        <v>36</v>
      </c>
    </row>
    <row r="19" spans="1:6" x14ac:dyDescent="0.25">
      <c r="A19" t="s">
        <v>99</v>
      </c>
      <c r="B19" t="s">
        <v>100</v>
      </c>
      <c r="C19" t="s">
        <v>101</v>
      </c>
      <c r="D19" t="s">
        <v>58</v>
      </c>
      <c r="E19" t="s">
        <v>63</v>
      </c>
      <c r="F19">
        <v>19</v>
      </c>
    </row>
    <row r="20" spans="1:6" x14ac:dyDescent="0.25">
      <c r="A20" t="s">
        <v>102</v>
      </c>
      <c r="B20" t="s">
        <v>103</v>
      </c>
      <c r="C20" t="s">
        <v>104</v>
      </c>
      <c r="D20" t="s">
        <v>58</v>
      </c>
      <c r="E20" t="s">
        <v>63</v>
      </c>
      <c r="F20">
        <v>14</v>
      </c>
    </row>
    <row r="21" spans="1:6" x14ac:dyDescent="0.25">
      <c r="A21" t="s">
        <v>105</v>
      </c>
      <c r="B21" t="s">
        <v>106</v>
      </c>
      <c r="C21" t="s">
        <v>107</v>
      </c>
      <c r="D21" t="s">
        <v>58</v>
      </c>
      <c r="E21" t="s">
        <v>63</v>
      </c>
      <c r="F21">
        <v>6</v>
      </c>
    </row>
    <row r="22" spans="1:6" x14ac:dyDescent="0.25">
      <c r="A22" t="s">
        <v>108</v>
      </c>
      <c r="B22" t="s">
        <v>109</v>
      </c>
      <c r="C22" t="s">
        <v>110</v>
      </c>
      <c r="D22" t="s">
        <v>58</v>
      </c>
      <c r="E22" t="s">
        <v>63</v>
      </c>
      <c r="F22">
        <v>8</v>
      </c>
    </row>
    <row r="23" spans="1:6" x14ac:dyDescent="0.25">
      <c r="A23" t="s">
        <v>111</v>
      </c>
      <c r="B23" t="s">
        <v>112</v>
      </c>
      <c r="C23" t="s">
        <v>113</v>
      </c>
      <c r="D23" t="s">
        <v>58</v>
      </c>
      <c r="E23" t="s">
        <v>63</v>
      </c>
      <c r="F23">
        <v>2</v>
      </c>
    </row>
    <row r="24" spans="1:6" x14ac:dyDescent="0.25">
      <c r="A24" t="s">
        <v>114</v>
      </c>
      <c r="B24" t="s">
        <v>115</v>
      </c>
      <c r="C24" t="s">
        <v>116</v>
      </c>
      <c r="D24" t="s">
        <v>58</v>
      </c>
      <c r="E24" t="s">
        <v>117</v>
      </c>
      <c r="F24">
        <v>10</v>
      </c>
    </row>
    <row r="25" spans="1:6" x14ac:dyDescent="0.25">
      <c r="A25" t="s">
        <v>118</v>
      </c>
      <c r="B25" t="s">
        <v>119</v>
      </c>
      <c r="C25" t="s">
        <v>120</v>
      </c>
      <c r="D25" t="s">
        <v>58</v>
      </c>
      <c r="E25" t="s">
        <v>117</v>
      </c>
      <c r="F25">
        <v>10</v>
      </c>
    </row>
    <row r="26" spans="1:6" x14ac:dyDescent="0.25">
      <c r="A26" t="s">
        <v>121</v>
      </c>
      <c r="B26" t="s">
        <v>122</v>
      </c>
      <c r="C26" t="s">
        <v>123</v>
      </c>
      <c r="D26" t="s">
        <v>58</v>
      </c>
      <c r="E26" t="s">
        <v>124</v>
      </c>
      <c r="F26">
        <v>1</v>
      </c>
    </row>
    <row r="27" spans="1:6" x14ac:dyDescent="0.25">
      <c r="A27" t="s">
        <v>125</v>
      </c>
      <c r="B27" t="s">
        <v>126</v>
      </c>
      <c r="C27" t="s">
        <v>127</v>
      </c>
      <c r="D27" t="s">
        <v>58</v>
      </c>
      <c r="E27" t="s">
        <v>124</v>
      </c>
      <c r="F27">
        <v>2</v>
      </c>
    </row>
    <row r="28" spans="1:6" x14ac:dyDescent="0.25">
      <c r="A28" t="s">
        <v>128</v>
      </c>
      <c r="B28" t="s">
        <v>129</v>
      </c>
      <c r="C28" t="s">
        <v>130</v>
      </c>
      <c r="D28" t="s">
        <v>58</v>
      </c>
      <c r="E28" t="s">
        <v>131</v>
      </c>
      <c r="F28">
        <v>27</v>
      </c>
    </row>
    <row r="29" spans="1:6" x14ac:dyDescent="0.25">
      <c r="A29" t="s">
        <v>132</v>
      </c>
      <c r="B29" t="s">
        <v>133</v>
      </c>
      <c r="C29" t="s">
        <v>134</v>
      </c>
      <c r="D29" t="s">
        <v>58</v>
      </c>
      <c r="E29" t="s">
        <v>131</v>
      </c>
      <c r="F29">
        <v>2</v>
      </c>
    </row>
    <row r="30" spans="1:6" x14ac:dyDescent="0.25">
      <c r="A30" t="s">
        <v>135</v>
      </c>
      <c r="B30" t="s">
        <v>136</v>
      </c>
      <c r="C30" t="s">
        <v>137</v>
      </c>
      <c r="D30" t="s">
        <v>58</v>
      </c>
      <c r="E30" t="s">
        <v>124</v>
      </c>
      <c r="F30">
        <v>4</v>
      </c>
    </row>
    <row r="31" spans="1:6" x14ac:dyDescent="0.25">
      <c r="A31" t="s">
        <v>138</v>
      </c>
      <c r="B31" t="s">
        <v>139</v>
      </c>
      <c r="C31" t="s">
        <v>140</v>
      </c>
      <c r="D31" t="s">
        <v>58</v>
      </c>
      <c r="E31" t="s">
        <v>59</v>
      </c>
      <c r="F31">
        <v>997</v>
      </c>
    </row>
    <row r="32" spans="1:6" x14ac:dyDescent="0.25">
      <c r="A32" t="s">
        <v>141</v>
      </c>
      <c r="B32" t="s">
        <v>142</v>
      </c>
      <c r="C32" t="s">
        <v>143</v>
      </c>
      <c r="D32" t="s">
        <v>58</v>
      </c>
      <c r="E32" t="s">
        <v>124</v>
      </c>
      <c r="F32">
        <v>2</v>
      </c>
    </row>
    <row r="33" spans="1:6" x14ac:dyDescent="0.25">
      <c r="A33" t="s">
        <v>144</v>
      </c>
      <c r="B33" t="s">
        <v>145</v>
      </c>
      <c r="C33" t="s">
        <v>146</v>
      </c>
      <c r="D33" t="s">
        <v>58</v>
      </c>
      <c r="E33" t="s">
        <v>124</v>
      </c>
      <c r="F33">
        <v>14</v>
      </c>
    </row>
    <row r="34" spans="1:6" x14ac:dyDescent="0.25">
      <c r="A34" t="s">
        <v>147</v>
      </c>
      <c r="B34" t="s">
        <v>148</v>
      </c>
      <c r="C34" t="s">
        <v>149</v>
      </c>
      <c r="D34" t="s">
        <v>58</v>
      </c>
      <c r="E34" t="s">
        <v>150</v>
      </c>
      <c r="F34">
        <v>37</v>
      </c>
    </row>
    <row r="35" spans="1:6" x14ac:dyDescent="0.25">
      <c r="A35" t="s">
        <v>151</v>
      </c>
      <c r="B35" t="s">
        <v>152</v>
      </c>
      <c r="C35" t="s">
        <v>153</v>
      </c>
      <c r="D35" t="s">
        <v>58</v>
      </c>
      <c r="E35" t="s">
        <v>150</v>
      </c>
      <c r="F35">
        <v>104</v>
      </c>
    </row>
    <row r="36" spans="1:6" x14ac:dyDescent="0.25">
      <c r="A36" t="s">
        <v>154</v>
      </c>
      <c r="B36" t="s">
        <v>155</v>
      </c>
      <c r="C36" t="s">
        <v>156</v>
      </c>
      <c r="D36" t="s">
        <v>58</v>
      </c>
      <c r="E36" t="s">
        <v>59</v>
      </c>
      <c r="F36">
        <v>112</v>
      </c>
    </row>
    <row r="37" spans="1:6" x14ac:dyDescent="0.25">
      <c r="A37" t="s">
        <v>157</v>
      </c>
      <c r="B37" t="s">
        <v>158</v>
      </c>
      <c r="C37" t="s">
        <v>159</v>
      </c>
      <c r="D37" t="s">
        <v>58</v>
      </c>
      <c r="E37" t="s">
        <v>160</v>
      </c>
      <c r="F37">
        <v>26</v>
      </c>
    </row>
    <row r="38" spans="1:6" x14ac:dyDescent="0.25">
      <c r="A38" t="s">
        <v>161</v>
      </c>
      <c r="B38" t="s">
        <v>162</v>
      </c>
      <c r="C38" t="s">
        <v>163</v>
      </c>
      <c r="D38" t="s">
        <v>58</v>
      </c>
      <c r="E38" t="s">
        <v>59</v>
      </c>
      <c r="F38">
        <v>705</v>
      </c>
    </row>
    <row r="39" spans="1:6" x14ac:dyDescent="0.25">
      <c r="A39" t="s">
        <v>164</v>
      </c>
      <c r="B39" t="s">
        <v>165</v>
      </c>
      <c r="C39" t="s">
        <v>166</v>
      </c>
      <c r="D39" t="s">
        <v>58</v>
      </c>
      <c r="E39" t="s">
        <v>167</v>
      </c>
      <c r="F39">
        <v>37</v>
      </c>
    </row>
    <row r="40" spans="1:6" x14ac:dyDescent="0.25">
      <c r="A40" t="s">
        <v>168</v>
      </c>
      <c r="B40" t="s">
        <v>169</v>
      </c>
      <c r="C40" t="s">
        <v>170</v>
      </c>
      <c r="D40" t="s">
        <v>58</v>
      </c>
      <c r="E40" t="s">
        <v>150</v>
      </c>
      <c r="F40">
        <v>34</v>
      </c>
    </row>
    <row r="41" spans="1:6" x14ac:dyDescent="0.25">
      <c r="A41" t="s">
        <v>171</v>
      </c>
      <c r="B41" t="s">
        <v>172</v>
      </c>
      <c r="C41" t="s">
        <v>173</v>
      </c>
      <c r="D41" t="s">
        <v>58</v>
      </c>
      <c r="E41" t="s">
        <v>59</v>
      </c>
      <c r="F41">
        <v>43</v>
      </c>
    </row>
    <row r="42" spans="1:6" x14ac:dyDescent="0.25">
      <c r="A42" t="s">
        <v>174</v>
      </c>
      <c r="B42" t="s">
        <v>175</v>
      </c>
      <c r="C42" t="s">
        <v>176</v>
      </c>
      <c r="D42" t="s">
        <v>58</v>
      </c>
      <c r="E42" t="s">
        <v>167</v>
      </c>
      <c r="F42">
        <v>219</v>
      </c>
    </row>
    <row r="43" spans="1:6" x14ac:dyDescent="0.25">
      <c r="A43" t="s">
        <v>177</v>
      </c>
      <c r="B43" t="s">
        <v>178</v>
      </c>
      <c r="C43" t="s">
        <v>179</v>
      </c>
      <c r="D43" t="s">
        <v>58</v>
      </c>
      <c r="E43" t="s">
        <v>59</v>
      </c>
      <c r="F43">
        <v>19</v>
      </c>
    </row>
    <row r="44" spans="1:6" x14ac:dyDescent="0.25">
      <c r="A44" t="s">
        <v>180</v>
      </c>
      <c r="B44" t="s">
        <v>181</v>
      </c>
      <c r="C44" t="s">
        <v>182</v>
      </c>
      <c r="D44" t="s">
        <v>58</v>
      </c>
      <c r="E44" t="s">
        <v>183</v>
      </c>
      <c r="F44">
        <v>35</v>
      </c>
    </row>
    <row r="45" spans="1:6" x14ac:dyDescent="0.25">
      <c r="A45" t="s">
        <v>184</v>
      </c>
      <c r="B45" t="s">
        <v>185</v>
      </c>
      <c r="C45" t="s">
        <v>186</v>
      </c>
      <c r="D45" t="s">
        <v>58</v>
      </c>
      <c r="E45" t="s">
        <v>187</v>
      </c>
      <c r="F45">
        <v>283.74</v>
      </c>
    </row>
    <row r="46" spans="1:6" x14ac:dyDescent="0.25">
      <c r="A46" t="s">
        <v>188</v>
      </c>
      <c r="B46" t="s">
        <v>189</v>
      </c>
      <c r="C46" t="s">
        <v>190</v>
      </c>
      <c r="D46" t="s">
        <v>58</v>
      </c>
      <c r="E46" t="s">
        <v>150</v>
      </c>
      <c r="F46">
        <v>102</v>
      </c>
    </row>
    <row r="47" spans="1:6" x14ac:dyDescent="0.25">
      <c r="A47" t="s">
        <v>191</v>
      </c>
      <c r="B47" t="s">
        <v>192</v>
      </c>
      <c r="C47" t="s">
        <v>193</v>
      </c>
      <c r="D47" t="s">
        <v>58</v>
      </c>
      <c r="E47" t="s">
        <v>150</v>
      </c>
      <c r="F47">
        <v>21</v>
      </c>
    </row>
    <row r="48" spans="1:6" x14ac:dyDescent="0.25">
      <c r="A48" t="s">
        <v>194</v>
      </c>
      <c r="B48" t="s">
        <v>195</v>
      </c>
      <c r="C48" t="s">
        <v>196</v>
      </c>
      <c r="D48" t="s">
        <v>58</v>
      </c>
      <c r="E48" t="s">
        <v>150</v>
      </c>
      <c r="F48">
        <v>14</v>
      </c>
    </row>
    <row r="49" spans="1:6" x14ac:dyDescent="0.25">
      <c r="A49" t="s">
        <v>197</v>
      </c>
      <c r="B49" t="s">
        <v>198</v>
      </c>
      <c r="C49" t="s">
        <v>199</v>
      </c>
      <c r="D49" t="s">
        <v>58</v>
      </c>
      <c r="E49" t="s">
        <v>167</v>
      </c>
      <c r="F49">
        <v>1</v>
      </c>
    </row>
    <row r="50" spans="1:6" x14ac:dyDescent="0.25">
      <c r="A50" t="s">
        <v>200</v>
      </c>
      <c r="B50" t="s">
        <v>201</v>
      </c>
      <c r="C50" t="s">
        <v>202</v>
      </c>
      <c r="D50" t="s">
        <v>58</v>
      </c>
      <c r="E50" t="s">
        <v>203</v>
      </c>
      <c r="F50">
        <v>29</v>
      </c>
    </row>
    <row r="51" spans="1:6" x14ac:dyDescent="0.25">
      <c r="A51" t="s">
        <v>204</v>
      </c>
      <c r="B51" t="s">
        <v>205</v>
      </c>
      <c r="C51" t="s">
        <v>206</v>
      </c>
      <c r="D51" t="s">
        <v>58</v>
      </c>
      <c r="E51" t="s">
        <v>203</v>
      </c>
      <c r="F51">
        <v>37</v>
      </c>
    </row>
    <row r="52" spans="1:6" x14ac:dyDescent="0.25">
      <c r="A52" t="s">
        <v>207</v>
      </c>
      <c r="B52" t="s">
        <v>208</v>
      </c>
      <c r="C52" t="s">
        <v>209</v>
      </c>
      <c r="D52" t="s">
        <v>58</v>
      </c>
      <c r="E52" t="s">
        <v>187</v>
      </c>
      <c r="F52">
        <v>2</v>
      </c>
    </row>
    <row r="53" spans="1:6" x14ac:dyDescent="0.25">
      <c r="A53" t="s">
        <v>210</v>
      </c>
      <c r="B53" t="s">
        <v>211</v>
      </c>
      <c r="C53" t="s">
        <v>212</v>
      </c>
      <c r="D53" t="s">
        <v>58</v>
      </c>
      <c r="E53" t="s">
        <v>150</v>
      </c>
      <c r="F53">
        <v>224</v>
      </c>
    </row>
    <row r="54" spans="1:6" x14ac:dyDescent="0.25">
      <c r="A54" t="s">
        <v>213</v>
      </c>
      <c r="B54" t="s">
        <v>214</v>
      </c>
      <c r="C54" t="s">
        <v>215</v>
      </c>
      <c r="D54" t="s">
        <v>58</v>
      </c>
      <c r="E54" t="s">
        <v>216</v>
      </c>
      <c r="F54">
        <v>7</v>
      </c>
    </row>
    <row r="55" spans="1:6" x14ac:dyDescent="0.25">
      <c r="A55" t="s">
        <v>217</v>
      </c>
      <c r="B55" t="s">
        <v>214</v>
      </c>
      <c r="C55" t="s">
        <v>218</v>
      </c>
      <c r="D55" t="s">
        <v>58</v>
      </c>
      <c r="E55" t="s">
        <v>216</v>
      </c>
      <c r="F55">
        <v>17</v>
      </c>
    </row>
    <row r="56" spans="1:6" x14ac:dyDescent="0.25">
      <c r="A56" t="s">
        <v>219</v>
      </c>
      <c r="B56" t="s">
        <v>220</v>
      </c>
      <c r="C56" t="s">
        <v>221</v>
      </c>
      <c r="D56" t="s">
        <v>58</v>
      </c>
      <c r="E56" t="s">
        <v>150</v>
      </c>
      <c r="F56">
        <v>13</v>
      </c>
    </row>
    <row r="57" spans="1:6" x14ac:dyDescent="0.25">
      <c r="A57" t="s">
        <v>222</v>
      </c>
      <c r="B57" t="s">
        <v>223</v>
      </c>
      <c r="C57" t="s">
        <v>224</v>
      </c>
      <c r="D57" t="s">
        <v>58</v>
      </c>
      <c r="E57" t="s">
        <v>225</v>
      </c>
      <c r="F57">
        <v>2</v>
      </c>
    </row>
    <row r="58" spans="1:6" x14ac:dyDescent="0.25">
      <c r="A58" t="s">
        <v>226</v>
      </c>
      <c r="B58" t="s">
        <v>227</v>
      </c>
      <c r="C58" t="s">
        <v>228</v>
      </c>
      <c r="D58" t="s">
        <v>58</v>
      </c>
      <c r="E58" t="s">
        <v>225</v>
      </c>
      <c r="F58">
        <v>2</v>
      </c>
    </row>
    <row r="59" spans="1:6" x14ac:dyDescent="0.25">
      <c r="A59" t="s">
        <v>229</v>
      </c>
      <c r="B59" t="s">
        <v>230</v>
      </c>
      <c r="C59" t="s">
        <v>231</v>
      </c>
      <c r="D59" t="s">
        <v>58</v>
      </c>
      <c r="E59" t="s">
        <v>225</v>
      </c>
      <c r="F59">
        <v>1</v>
      </c>
    </row>
    <row r="60" spans="1:6" x14ac:dyDescent="0.25">
      <c r="A60" t="s">
        <v>232</v>
      </c>
      <c r="B60" t="s">
        <v>233</v>
      </c>
      <c r="C60" t="s">
        <v>234</v>
      </c>
      <c r="D60" t="s">
        <v>58</v>
      </c>
      <c r="E60" t="s">
        <v>225</v>
      </c>
      <c r="F60">
        <v>1</v>
      </c>
    </row>
    <row r="61" spans="1:6" x14ac:dyDescent="0.25">
      <c r="A61" t="s">
        <v>235</v>
      </c>
      <c r="B61" t="s">
        <v>236</v>
      </c>
      <c r="C61" t="s">
        <v>237</v>
      </c>
      <c r="D61" t="s">
        <v>58</v>
      </c>
      <c r="E61" t="s">
        <v>225</v>
      </c>
      <c r="F61">
        <v>4</v>
      </c>
    </row>
    <row r="62" spans="1:6" x14ac:dyDescent="0.25">
      <c r="A62" t="s">
        <v>238</v>
      </c>
      <c r="B62" t="s">
        <v>239</v>
      </c>
      <c r="C62" t="s">
        <v>240</v>
      </c>
      <c r="D62" t="s">
        <v>58</v>
      </c>
      <c r="E62" t="s">
        <v>216</v>
      </c>
      <c r="F62">
        <v>10</v>
      </c>
    </row>
    <row r="63" spans="1:6" x14ac:dyDescent="0.25">
      <c r="A63" t="s">
        <v>241</v>
      </c>
      <c r="B63" t="s">
        <v>239</v>
      </c>
      <c r="C63" t="s">
        <v>242</v>
      </c>
      <c r="D63" t="s">
        <v>58</v>
      </c>
      <c r="E63" t="s">
        <v>216</v>
      </c>
      <c r="F63">
        <v>17</v>
      </c>
    </row>
    <row r="64" spans="1:6" x14ac:dyDescent="0.25">
      <c r="A64" t="s">
        <v>243</v>
      </c>
      <c r="B64" t="s">
        <v>244</v>
      </c>
      <c r="C64" t="s">
        <v>245</v>
      </c>
      <c r="D64" t="s">
        <v>58</v>
      </c>
      <c r="E64" t="s">
        <v>183</v>
      </c>
      <c r="F64">
        <v>47</v>
      </c>
    </row>
    <row r="65" spans="1:6" x14ac:dyDescent="0.25">
      <c r="A65" t="s">
        <v>246</v>
      </c>
      <c r="B65" t="s">
        <v>247</v>
      </c>
      <c r="C65" t="s">
        <v>248</v>
      </c>
      <c r="D65" t="s">
        <v>58</v>
      </c>
      <c r="E65" t="s">
        <v>59</v>
      </c>
      <c r="F65">
        <v>121</v>
      </c>
    </row>
    <row r="66" spans="1:6" x14ac:dyDescent="0.25">
      <c r="A66" t="s">
        <v>249</v>
      </c>
      <c r="B66" t="s">
        <v>250</v>
      </c>
      <c r="C66" t="s">
        <v>251</v>
      </c>
      <c r="D66" t="s">
        <v>58</v>
      </c>
      <c r="E66" t="s">
        <v>160</v>
      </c>
      <c r="F66">
        <v>2</v>
      </c>
    </row>
    <row r="67" spans="1:6" x14ac:dyDescent="0.25">
      <c r="A67" t="s">
        <v>252</v>
      </c>
      <c r="B67" t="s">
        <v>250</v>
      </c>
      <c r="C67" t="s">
        <v>253</v>
      </c>
      <c r="D67" t="s">
        <v>58</v>
      </c>
      <c r="E67" t="s">
        <v>160</v>
      </c>
      <c r="F67">
        <v>2</v>
      </c>
    </row>
    <row r="68" spans="1:6" x14ac:dyDescent="0.25">
      <c r="A68" t="s">
        <v>254</v>
      </c>
      <c r="B68" t="s">
        <v>255</v>
      </c>
      <c r="C68" t="s">
        <v>256</v>
      </c>
      <c r="D68" t="s">
        <v>58</v>
      </c>
      <c r="E68" t="s">
        <v>160</v>
      </c>
      <c r="F68">
        <v>5</v>
      </c>
    </row>
    <row r="69" spans="1:6" x14ac:dyDescent="0.25">
      <c r="A69" t="s">
        <v>257</v>
      </c>
      <c r="B69" t="s">
        <v>255</v>
      </c>
      <c r="C69" t="s">
        <v>258</v>
      </c>
      <c r="D69" t="s">
        <v>58</v>
      </c>
      <c r="E69" t="s">
        <v>160</v>
      </c>
      <c r="F69">
        <v>2</v>
      </c>
    </row>
    <row r="70" spans="1:6" x14ac:dyDescent="0.25">
      <c r="A70" t="s">
        <v>259</v>
      </c>
      <c r="B70" t="s">
        <v>260</v>
      </c>
      <c r="C70" t="s">
        <v>261</v>
      </c>
      <c r="D70" t="s">
        <v>58</v>
      </c>
      <c r="E70" t="s">
        <v>67</v>
      </c>
      <c r="F70">
        <v>59</v>
      </c>
    </row>
    <row r="71" spans="1:6" x14ac:dyDescent="0.25">
      <c r="A71" t="s">
        <v>262</v>
      </c>
      <c r="B71" t="s">
        <v>263</v>
      </c>
      <c r="C71" t="s">
        <v>264</v>
      </c>
      <c r="D71" t="s">
        <v>58</v>
      </c>
      <c r="E71" t="s">
        <v>67</v>
      </c>
      <c r="F71">
        <v>33</v>
      </c>
    </row>
    <row r="72" spans="1:6" x14ac:dyDescent="0.25">
      <c r="A72" t="s">
        <v>265</v>
      </c>
      <c r="B72" t="s">
        <v>266</v>
      </c>
      <c r="C72" t="s">
        <v>267</v>
      </c>
      <c r="D72" t="s">
        <v>58</v>
      </c>
      <c r="E72" t="s">
        <v>167</v>
      </c>
      <c r="F72">
        <v>135</v>
      </c>
    </row>
    <row r="73" spans="1:6" x14ac:dyDescent="0.25">
      <c r="A73" t="s">
        <v>268</v>
      </c>
      <c r="B73" t="s">
        <v>269</v>
      </c>
      <c r="C73" t="s">
        <v>270</v>
      </c>
      <c r="D73" t="s">
        <v>58</v>
      </c>
      <c r="E73" t="s">
        <v>167</v>
      </c>
      <c r="F73">
        <v>37</v>
      </c>
    </row>
    <row r="74" spans="1:6" x14ac:dyDescent="0.25">
      <c r="A74" t="s">
        <v>271</v>
      </c>
      <c r="B74" t="s">
        <v>272</v>
      </c>
      <c r="C74" t="s">
        <v>273</v>
      </c>
      <c r="D74" t="s">
        <v>58</v>
      </c>
      <c r="E74" t="s">
        <v>167</v>
      </c>
      <c r="F74">
        <v>98</v>
      </c>
    </row>
    <row r="75" spans="1:6" x14ac:dyDescent="0.25">
      <c r="A75" t="s">
        <v>274</v>
      </c>
      <c r="B75" t="s">
        <v>275</v>
      </c>
      <c r="C75" t="s">
        <v>276</v>
      </c>
      <c r="D75" t="s">
        <v>58</v>
      </c>
      <c r="E75" t="s">
        <v>167</v>
      </c>
      <c r="F75">
        <v>8</v>
      </c>
    </row>
    <row r="76" spans="1:6" x14ac:dyDescent="0.25">
      <c r="A76" t="s">
        <v>277</v>
      </c>
      <c r="B76" t="s">
        <v>278</v>
      </c>
      <c r="C76" t="s">
        <v>279</v>
      </c>
      <c r="D76" t="s">
        <v>58</v>
      </c>
      <c r="E76" t="s">
        <v>167</v>
      </c>
      <c r="F76">
        <v>45</v>
      </c>
    </row>
    <row r="77" spans="1:6" x14ac:dyDescent="0.25">
      <c r="A77" t="s">
        <v>280</v>
      </c>
      <c r="B77" t="s">
        <v>281</v>
      </c>
      <c r="C77" t="s">
        <v>282</v>
      </c>
      <c r="D77" t="s">
        <v>58</v>
      </c>
      <c r="E77" t="s">
        <v>167</v>
      </c>
      <c r="F77">
        <v>49</v>
      </c>
    </row>
    <row r="78" spans="1:6" x14ac:dyDescent="0.25">
      <c r="A78" t="s">
        <v>283</v>
      </c>
      <c r="B78" t="s">
        <v>284</v>
      </c>
      <c r="C78" t="s">
        <v>285</v>
      </c>
      <c r="D78" t="s">
        <v>58</v>
      </c>
      <c r="E78" t="s">
        <v>167</v>
      </c>
      <c r="F78">
        <v>176</v>
      </c>
    </row>
    <row r="79" spans="1:6" x14ac:dyDescent="0.25">
      <c r="A79" t="s">
        <v>286</v>
      </c>
      <c r="B79" t="s">
        <v>287</v>
      </c>
      <c r="C79" t="s">
        <v>288</v>
      </c>
      <c r="D79" t="s">
        <v>58</v>
      </c>
      <c r="E79" t="s">
        <v>167</v>
      </c>
      <c r="F79">
        <v>29</v>
      </c>
    </row>
    <row r="80" spans="1:6" x14ac:dyDescent="0.25">
      <c r="A80" t="s">
        <v>289</v>
      </c>
      <c r="B80" t="s">
        <v>290</v>
      </c>
      <c r="C80" t="s">
        <v>291</v>
      </c>
      <c r="D80" t="s">
        <v>58</v>
      </c>
      <c r="E80" t="s">
        <v>160</v>
      </c>
      <c r="F80">
        <v>17</v>
      </c>
    </row>
    <row r="81" spans="1:6" x14ac:dyDescent="0.25">
      <c r="A81" t="s">
        <v>292</v>
      </c>
      <c r="B81" t="s">
        <v>293</v>
      </c>
      <c r="C81" t="s">
        <v>294</v>
      </c>
      <c r="D81" t="s">
        <v>58</v>
      </c>
      <c r="E81" t="s">
        <v>167</v>
      </c>
      <c r="F81">
        <v>49</v>
      </c>
    </row>
    <row r="82" spans="1:6" x14ac:dyDescent="0.25">
      <c r="A82" t="s">
        <v>295</v>
      </c>
      <c r="B82" t="s">
        <v>296</v>
      </c>
      <c r="C82" t="s">
        <v>297</v>
      </c>
      <c r="D82" t="s">
        <v>58</v>
      </c>
      <c r="E82" t="s">
        <v>167</v>
      </c>
      <c r="F82">
        <v>69</v>
      </c>
    </row>
    <row r="83" spans="1:6" x14ac:dyDescent="0.25">
      <c r="A83" t="s">
        <v>298</v>
      </c>
      <c r="B83" t="s">
        <v>299</v>
      </c>
      <c r="C83" t="s">
        <v>300</v>
      </c>
      <c r="D83" t="s">
        <v>58</v>
      </c>
      <c r="E83" t="s">
        <v>167</v>
      </c>
      <c r="F83">
        <v>35</v>
      </c>
    </row>
    <row r="84" spans="1:6" x14ac:dyDescent="0.25">
      <c r="A84" t="s">
        <v>301</v>
      </c>
      <c r="B84" t="s">
        <v>302</v>
      </c>
      <c r="C84" t="s">
        <v>303</v>
      </c>
      <c r="D84" t="s">
        <v>58</v>
      </c>
      <c r="E84" t="s">
        <v>304</v>
      </c>
      <c r="F84">
        <v>8</v>
      </c>
    </row>
    <row r="85" spans="1:6" x14ac:dyDescent="0.25">
      <c r="A85" t="s">
        <v>305</v>
      </c>
      <c r="B85" t="s">
        <v>306</v>
      </c>
      <c r="C85" t="s">
        <v>307</v>
      </c>
      <c r="D85" t="s">
        <v>58</v>
      </c>
      <c r="E85" t="s">
        <v>225</v>
      </c>
      <c r="F85">
        <v>1</v>
      </c>
    </row>
    <row r="86" spans="1:6" x14ac:dyDescent="0.25">
      <c r="A86" t="s">
        <v>308</v>
      </c>
      <c r="B86" t="s">
        <v>309</v>
      </c>
      <c r="C86" t="s">
        <v>310</v>
      </c>
      <c r="D86" t="s">
        <v>58</v>
      </c>
      <c r="E86" t="s">
        <v>187</v>
      </c>
      <c r="F86">
        <v>18</v>
      </c>
    </row>
    <row r="87" spans="1:6" x14ac:dyDescent="0.25">
      <c r="A87" t="s">
        <v>311</v>
      </c>
      <c r="B87" t="s">
        <v>309</v>
      </c>
      <c r="C87" t="s">
        <v>312</v>
      </c>
      <c r="D87" t="s">
        <v>58</v>
      </c>
      <c r="E87" t="s">
        <v>187</v>
      </c>
      <c r="F87">
        <v>10</v>
      </c>
    </row>
    <row r="88" spans="1:6" x14ac:dyDescent="0.25">
      <c r="A88" t="s">
        <v>313</v>
      </c>
      <c r="B88" t="s">
        <v>314</v>
      </c>
      <c r="C88" t="s">
        <v>315</v>
      </c>
      <c r="D88" t="s">
        <v>58</v>
      </c>
      <c r="E88" t="s">
        <v>187</v>
      </c>
      <c r="F88">
        <v>6</v>
      </c>
    </row>
    <row r="89" spans="1:6" x14ac:dyDescent="0.25">
      <c r="A89" t="s">
        <v>316</v>
      </c>
      <c r="B89" t="s">
        <v>317</v>
      </c>
      <c r="C89" t="s">
        <v>318</v>
      </c>
      <c r="D89" t="s">
        <v>58</v>
      </c>
      <c r="E89" t="s">
        <v>187</v>
      </c>
      <c r="F89">
        <v>193</v>
      </c>
    </row>
    <row r="90" spans="1:6" x14ac:dyDescent="0.25">
      <c r="A90" t="s">
        <v>319</v>
      </c>
      <c r="B90" t="s">
        <v>317</v>
      </c>
      <c r="C90" t="s">
        <v>318</v>
      </c>
      <c r="D90" t="s">
        <v>58</v>
      </c>
      <c r="E90" t="s">
        <v>187</v>
      </c>
      <c r="F90">
        <v>10</v>
      </c>
    </row>
    <row r="91" spans="1:6" x14ac:dyDescent="0.25">
      <c r="A91" t="s">
        <v>320</v>
      </c>
      <c r="B91" t="s">
        <v>321</v>
      </c>
      <c r="C91" t="s">
        <v>312</v>
      </c>
      <c r="D91" t="s">
        <v>58</v>
      </c>
      <c r="E91" t="s">
        <v>187</v>
      </c>
      <c r="F91">
        <v>1</v>
      </c>
    </row>
    <row r="92" spans="1:6" x14ac:dyDescent="0.25">
      <c r="A92" t="s">
        <v>322</v>
      </c>
      <c r="B92" t="s">
        <v>323</v>
      </c>
      <c r="C92" t="s">
        <v>324</v>
      </c>
      <c r="D92" t="s">
        <v>58</v>
      </c>
      <c r="E92" t="s">
        <v>167</v>
      </c>
      <c r="F92">
        <v>278</v>
      </c>
    </row>
    <row r="93" spans="1:6" x14ac:dyDescent="0.25">
      <c r="A93" t="s">
        <v>325</v>
      </c>
      <c r="B93" t="s">
        <v>326</v>
      </c>
      <c r="C93" t="s">
        <v>327</v>
      </c>
      <c r="D93" t="s">
        <v>58</v>
      </c>
      <c r="E93" t="s">
        <v>67</v>
      </c>
      <c r="F93">
        <v>21</v>
      </c>
    </row>
    <row r="94" spans="1:6" x14ac:dyDescent="0.25">
      <c r="A94" t="s">
        <v>328</v>
      </c>
      <c r="B94" t="s">
        <v>329</v>
      </c>
      <c r="C94" t="s">
        <v>330</v>
      </c>
      <c r="D94" t="s">
        <v>58</v>
      </c>
      <c r="E94" t="s">
        <v>67</v>
      </c>
      <c r="F94">
        <v>0</v>
      </c>
    </row>
    <row r="95" spans="1:6" x14ac:dyDescent="0.25">
      <c r="A95" t="s">
        <v>331</v>
      </c>
      <c r="B95" t="s">
        <v>332</v>
      </c>
      <c r="C95" t="s">
        <v>333</v>
      </c>
      <c r="D95" t="s">
        <v>58</v>
      </c>
      <c r="E95" t="s">
        <v>334</v>
      </c>
      <c r="F95">
        <v>3</v>
      </c>
    </row>
    <row r="96" spans="1:6" x14ac:dyDescent="0.25">
      <c r="A96" t="s">
        <v>335</v>
      </c>
      <c r="B96" t="s">
        <v>336</v>
      </c>
      <c r="C96" t="s">
        <v>337</v>
      </c>
      <c r="D96" t="s">
        <v>58</v>
      </c>
      <c r="E96" t="s">
        <v>160</v>
      </c>
      <c r="F96">
        <v>3</v>
      </c>
    </row>
    <row r="97" spans="1:6" x14ac:dyDescent="0.25">
      <c r="A97" t="s">
        <v>338</v>
      </c>
      <c r="B97" t="s">
        <v>339</v>
      </c>
      <c r="C97" t="s">
        <v>340</v>
      </c>
      <c r="D97" t="s">
        <v>58</v>
      </c>
      <c r="E97" t="s">
        <v>160</v>
      </c>
      <c r="F97">
        <v>3</v>
      </c>
    </row>
    <row r="98" spans="1:6" x14ac:dyDescent="0.25">
      <c r="A98" t="s">
        <v>341</v>
      </c>
      <c r="B98" t="s">
        <v>342</v>
      </c>
      <c r="C98" t="s">
        <v>343</v>
      </c>
      <c r="D98" t="s">
        <v>58</v>
      </c>
      <c r="E98" t="s">
        <v>334</v>
      </c>
      <c r="F98">
        <v>3</v>
      </c>
    </row>
    <row r="99" spans="1:6" x14ac:dyDescent="0.25">
      <c r="A99" t="s">
        <v>344</v>
      </c>
      <c r="B99" t="s">
        <v>345</v>
      </c>
      <c r="C99" t="s">
        <v>346</v>
      </c>
      <c r="D99" t="s">
        <v>58</v>
      </c>
      <c r="E99" t="s">
        <v>150</v>
      </c>
      <c r="F99">
        <v>5</v>
      </c>
    </row>
    <row r="100" spans="1:6" x14ac:dyDescent="0.25">
      <c r="A100" t="s">
        <v>347</v>
      </c>
      <c r="B100" t="s">
        <v>348</v>
      </c>
      <c r="C100" t="s">
        <v>349</v>
      </c>
      <c r="D100" t="s">
        <v>58</v>
      </c>
      <c r="E100" t="s">
        <v>150</v>
      </c>
      <c r="F100">
        <v>71</v>
      </c>
    </row>
    <row r="101" spans="1:6" x14ac:dyDescent="0.25">
      <c r="A101" t="s">
        <v>350</v>
      </c>
      <c r="B101" t="s">
        <v>351</v>
      </c>
      <c r="C101" t="s">
        <v>352</v>
      </c>
      <c r="D101" t="s">
        <v>58</v>
      </c>
      <c r="E101" t="s">
        <v>150</v>
      </c>
      <c r="F101">
        <v>33</v>
      </c>
    </row>
    <row r="102" spans="1:6" x14ac:dyDescent="0.25">
      <c r="A102" t="s">
        <v>353</v>
      </c>
      <c r="B102" t="s">
        <v>354</v>
      </c>
      <c r="C102" t="s">
        <v>355</v>
      </c>
      <c r="D102" t="s">
        <v>58</v>
      </c>
      <c r="E102" t="s">
        <v>334</v>
      </c>
      <c r="F102">
        <v>6</v>
      </c>
    </row>
    <row r="103" spans="1:6" x14ac:dyDescent="0.25">
      <c r="A103" t="s">
        <v>356</v>
      </c>
      <c r="B103" t="s">
        <v>357</v>
      </c>
      <c r="C103" t="s">
        <v>358</v>
      </c>
      <c r="D103" t="s">
        <v>58</v>
      </c>
      <c r="E103" t="s">
        <v>67</v>
      </c>
      <c r="F103">
        <v>45</v>
      </c>
    </row>
    <row r="104" spans="1:6" x14ac:dyDescent="0.25">
      <c r="A104" t="s">
        <v>359</v>
      </c>
      <c r="B104" t="s">
        <v>360</v>
      </c>
      <c r="C104" t="s">
        <v>361</v>
      </c>
      <c r="D104" t="s">
        <v>58</v>
      </c>
      <c r="E104" t="s">
        <v>67</v>
      </c>
      <c r="F104">
        <v>10</v>
      </c>
    </row>
    <row r="105" spans="1:6" x14ac:dyDescent="0.25">
      <c r="A105" t="s">
        <v>362</v>
      </c>
      <c r="B105" t="s">
        <v>363</v>
      </c>
      <c r="C105" t="s">
        <v>364</v>
      </c>
      <c r="D105" t="s">
        <v>58</v>
      </c>
      <c r="E105" t="s">
        <v>67</v>
      </c>
      <c r="F105">
        <v>70</v>
      </c>
    </row>
    <row r="106" spans="1:6" x14ac:dyDescent="0.25">
      <c r="A106" t="s">
        <v>14</v>
      </c>
      <c r="B106" t="s">
        <v>365</v>
      </c>
      <c r="C106" t="s">
        <v>15</v>
      </c>
      <c r="D106" t="s">
        <v>58</v>
      </c>
      <c r="E106" t="s">
        <v>1</v>
      </c>
      <c r="F106">
        <v>1</v>
      </c>
    </row>
    <row r="107" spans="1:6" x14ac:dyDescent="0.25">
      <c r="A107" t="s">
        <v>16</v>
      </c>
      <c r="B107" t="s">
        <v>366</v>
      </c>
      <c r="C107" t="s">
        <v>17</v>
      </c>
      <c r="D107" t="s">
        <v>58</v>
      </c>
      <c r="E107" t="s">
        <v>1</v>
      </c>
      <c r="F107">
        <v>90</v>
      </c>
    </row>
    <row r="108" spans="1:6" x14ac:dyDescent="0.25">
      <c r="A108" t="s">
        <v>18</v>
      </c>
      <c r="B108" t="s">
        <v>367</v>
      </c>
      <c r="C108" t="s">
        <v>19</v>
      </c>
      <c r="D108" t="s">
        <v>58</v>
      </c>
      <c r="E108" t="s">
        <v>1</v>
      </c>
      <c r="F108">
        <v>83.9</v>
      </c>
    </row>
    <row r="109" spans="1:6" x14ac:dyDescent="0.25">
      <c r="A109" t="s">
        <v>20</v>
      </c>
      <c r="B109" t="s">
        <v>368</v>
      </c>
      <c r="C109" t="s">
        <v>21</v>
      </c>
      <c r="D109" t="s">
        <v>58</v>
      </c>
      <c r="E109" t="s">
        <v>1</v>
      </c>
      <c r="F109">
        <v>91</v>
      </c>
    </row>
    <row r="110" spans="1:6" x14ac:dyDescent="0.25">
      <c r="A110" t="s">
        <v>369</v>
      </c>
      <c r="B110" t="s">
        <v>370</v>
      </c>
      <c r="C110" t="s">
        <v>371</v>
      </c>
      <c r="D110" t="s">
        <v>58</v>
      </c>
      <c r="E110" t="s">
        <v>334</v>
      </c>
      <c r="F110">
        <v>4</v>
      </c>
    </row>
    <row r="111" spans="1:6" x14ac:dyDescent="0.25">
      <c r="A111" t="s">
        <v>372</v>
      </c>
      <c r="B111" t="s">
        <v>373</v>
      </c>
      <c r="C111" t="s">
        <v>374</v>
      </c>
      <c r="D111" t="s">
        <v>58</v>
      </c>
      <c r="E111" t="s">
        <v>375</v>
      </c>
      <c r="F111">
        <v>462</v>
      </c>
    </row>
    <row r="112" spans="1:6" x14ac:dyDescent="0.25">
      <c r="A112" t="s">
        <v>376</v>
      </c>
      <c r="B112" t="s">
        <v>377</v>
      </c>
      <c r="C112" t="s">
        <v>378</v>
      </c>
      <c r="D112" t="s">
        <v>58</v>
      </c>
      <c r="E112" t="s">
        <v>375</v>
      </c>
      <c r="F112">
        <v>22</v>
      </c>
    </row>
    <row r="113" spans="1:6" x14ac:dyDescent="0.25">
      <c r="A113" t="s">
        <v>379</v>
      </c>
      <c r="B113" t="s">
        <v>380</v>
      </c>
      <c r="C113" t="s">
        <v>381</v>
      </c>
      <c r="D113" t="s">
        <v>58</v>
      </c>
      <c r="E113" t="s">
        <v>334</v>
      </c>
      <c r="F113">
        <v>2</v>
      </c>
    </row>
    <row r="114" spans="1:6" x14ac:dyDescent="0.25">
      <c r="A114" t="s">
        <v>382</v>
      </c>
      <c r="B114" t="s">
        <v>383</v>
      </c>
      <c r="C114" t="s">
        <v>384</v>
      </c>
      <c r="D114" t="s">
        <v>58</v>
      </c>
      <c r="E114" t="s">
        <v>67</v>
      </c>
      <c r="F114">
        <v>33</v>
      </c>
    </row>
    <row r="115" spans="1:6" x14ac:dyDescent="0.25">
      <c r="A115" t="s">
        <v>385</v>
      </c>
      <c r="B115" t="s">
        <v>386</v>
      </c>
      <c r="C115" t="s">
        <v>387</v>
      </c>
      <c r="D115" t="s">
        <v>58</v>
      </c>
      <c r="E115" t="s">
        <v>67</v>
      </c>
      <c r="F115">
        <v>41</v>
      </c>
    </row>
    <row r="116" spans="1:6" x14ac:dyDescent="0.25">
      <c r="A116" t="s">
        <v>388</v>
      </c>
      <c r="B116" t="s">
        <v>389</v>
      </c>
      <c r="C116" t="s">
        <v>390</v>
      </c>
      <c r="D116" t="s">
        <v>58</v>
      </c>
      <c r="E116" t="s">
        <v>150</v>
      </c>
      <c r="F116">
        <v>2</v>
      </c>
    </row>
    <row r="117" spans="1:6" x14ac:dyDescent="0.25">
      <c r="A117" t="s">
        <v>391</v>
      </c>
      <c r="B117" t="s">
        <v>392</v>
      </c>
      <c r="C117" t="s">
        <v>393</v>
      </c>
      <c r="D117" t="s">
        <v>58</v>
      </c>
      <c r="E117" t="s">
        <v>59</v>
      </c>
      <c r="F117">
        <v>135</v>
      </c>
    </row>
    <row r="118" spans="1:6" x14ac:dyDescent="0.25">
      <c r="A118" t="s">
        <v>394</v>
      </c>
      <c r="B118" t="s">
        <v>395</v>
      </c>
      <c r="C118" t="s">
        <v>396</v>
      </c>
      <c r="D118" t="s">
        <v>58</v>
      </c>
      <c r="E118" t="s">
        <v>59</v>
      </c>
      <c r="F118">
        <v>39</v>
      </c>
    </row>
    <row r="119" spans="1:6" x14ac:dyDescent="0.25">
      <c r="A119" t="s">
        <v>397</v>
      </c>
      <c r="B119" t="s">
        <v>398</v>
      </c>
      <c r="C119" t="s">
        <v>399</v>
      </c>
      <c r="D119" t="s">
        <v>58</v>
      </c>
      <c r="E119" t="s">
        <v>150</v>
      </c>
      <c r="F119">
        <v>26</v>
      </c>
    </row>
    <row r="120" spans="1:6" x14ac:dyDescent="0.25">
      <c r="A120" t="s">
        <v>400</v>
      </c>
      <c r="B120" t="s">
        <v>401</v>
      </c>
      <c r="C120" t="s">
        <v>402</v>
      </c>
      <c r="D120" t="s">
        <v>58</v>
      </c>
      <c r="E120" t="s">
        <v>63</v>
      </c>
      <c r="F120">
        <v>4</v>
      </c>
    </row>
    <row r="121" spans="1:6" x14ac:dyDescent="0.25">
      <c r="A121" t="s">
        <v>403</v>
      </c>
      <c r="B121" t="s">
        <v>404</v>
      </c>
      <c r="C121" t="s">
        <v>405</v>
      </c>
      <c r="D121" t="s">
        <v>58</v>
      </c>
      <c r="E121" t="s">
        <v>63</v>
      </c>
      <c r="F121">
        <v>4</v>
      </c>
    </row>
    <row r="122" spans="1:6" x14ac:dyDescent="0.25">
      <c r="A122" t="s">
        <v>406</v>
      </c>
      <c r="B122" t="s">
        <v>407</v>
      </c>
      <c r="C122" t="s">
        <v>408</v>
      </c>
      <c r="D122" t="s">
        <v>58</v>
      </c>
      <c r="E122" t="s">
        <v>63</v>
      </c>
      <c r="F122">
        <v>4</v>
      </c>
    </row>
    <row r="123" spans="1:6" x14ac:dyDescent="0.25">
      <c r="A123" t="s">
        <v>409</v>
      </c>
      <c r="B123" t="s">
        <v>410</v>
      </c>
      <c r="C123" t="s">
        <v>411</v>
      </c>
      <c r="D123" t="s">
        <v>58</v>
      </c>
      <c r="E123" t="s">
        <v>63</v>
      </c>
      <c r="F123">
        <v>3</v>
      </c>
    </row>
    <row r="124" spans="1:6" x14ac:dyDescent="0.25">
      <c r="A124" t="s">
        <v>412</v>
      </c>
      <c r="B124" t="s">
        <v>413</v>
      </c>
      <c r="C124" t="s">
        <v>107</v>
      </c>
      <c r="D124" t="s">
        <v>58</v>
      </c>
      <c r="E124" t="s">
        <v>63</v>
      </c>
      <c r="F124">
        <v>5</v>
      </c>
    </row>
    <row r="125" spans="1:6" x14ac:dyDescent="0.25">
      <c r="A125" t="s">
        <v>414</v>
      </c>
      <c r="B125" t="s">
        <v>415</v>
      </c>
      <c r="C125" t="s">
        <v>416</v>
      </c>
      <c r="D125" t="s">
        <v>58</v>
      </c>
      <c r="E125" t="s">
        <v>160</v>
      </c>
      <c r="F125">
        <v>5</v>
      </c>
    </row>
    <row r="126" spans="1:6" x14ac:dyDescent="0.25">
      <c r="A126" t="s">
        <v>417</v>
      </c>
      <c r="B126" t="s">
        <v>418</v>
      </c>
      <c r="C126" t="s">
        <v>419</v>
      </c>
      <c r="D126" t="s">
        <v>58</v>
      </c>
      <c r="E126" t="s">
        <v>160</v>
      </c>
      <c r="F126">
        <v>5</v>
      </c>
    </row>
    <row r="127" spans="1:6" x14ac:dyDescent="0.25">
      <c r="A127" t="s">
        <v>420</v>
      </c>
      <c r="B127" t="s">
        <v>421</v>
      </c>
      <c r="C127" t="s">
        <v>422</v>
      </c>
      <c r="D127" t="s">
        <v>58</v>
      </c>
      <c r="E127" t="s">
        <v>160</v>
      </c>
      <c r="F127">
        <v>17</v>
      </c>
    </row>
    <row r="128" spans="1:6" x14ac:dyDescent="0.25">
      <c r="A128" t="s">
        <v>423</v>
      </c>
      <c r="B128" t="s">
        <v>424</v>
      </c>
      <c r="C128" t="s">
        <v>425</v>
      </c>
      <c r="D128" t="s">
        <v>58</v>
      </c>
      <c r="E128" t="s">
        <v>167</v>
      </c>
      <c r="F128">
        <v>39</v>
      </c>
    </row>
    <row r="129" spans="1:6" x14ac:dyDescent="0.25">
      <c r="A129" t="s">
        <v>426</v>
      </c>
      <c r="B129" t="s">
        <v>427</v>
      </c>
      <c r="C129" t="s">
        <v>428</v>
      </c>
      <c r="D129" t="s">
        <v>58</v>
      </c>
      <c r="E129" t="s">
        <v>67</v>
      </c>
      <c r="F129">
        <v>64</v>
      </c>
    </row>
    <row r="130" spans="1:6" x14ac:dyDescent="0.25">
      <c r="A130" t="s">
        <v>22</v>
      </c>
      <c r="B130" t="s">
        <v>429</v>
      </c>
      <c r="C130" t="s">
        <v>23</v>
      </c>
      <c r="D130" t="s">
        <v>58</v>
      </c>
      <c r="E130" t="s">
        <v>1</v>
      </c>
      <c r="F130">
        <v>1</v>
      </c>
    </row>
    <row r="131" spans="1:6" x14ac:dyDescent="0.25">
      <c r="A131" t="s">
        <v>24</v>
      </c>
      <c r="B131" t="s">
        <v>430</v>
      </c>
      <c r="C131" t="s">
        <v>25</v>
      </c>
      <c r="D131" t="s">
        <v>58</v>
      </c>
      <c r="E131" t="s">
        <v>1</v>
      </c>
      <c r="F131">
        <v>90</v>
      </c>
    </row>
    <row r="132" spans="1:6" x14ac:dyDescent="0.25">
      <c r="A132" t="s">
        <v>26</v>
      </c>
      <c r="B132" t="s">
        <v>431</v>
      </c>
      <c r="C132" t="s">
        <v>27</v>
      </c>
      <c r="D132" t="s">
        <v>58</v>
      </c>
      <c r="E132" t="s">
        <v>1</v>
      </c>
      <c r="F132">
        <v>45</v>
      </c>
    </row>
    <row r="133" spans="1:6" x14ac:dyDescent="0.25">
      <c r="A133" t="s">
        <v>432</v>
      </c>
      <c r="B133" t="s">
        <v>433</v>
      </c>
      <c r="C133" t="s">
        <v>434</v>
      </c>
      <c r="D133" t="s">
        <v>58</v>
      </c>
      <c r="E133" t="s">
        <v>63</v>
      </c>
      <c r="F133">
        <v>4</v>
      </c>
    </row>
    <row r="134" spans="1:6" x14ac:dyDescent="0.25">
      <c r="A134" t="s">
        <v>435</v>
      </c>
      <c r="B134" t="s">
        <v>436</v>
      </c>
      <c r="C134" t="s">
        <v>437</v>
      </c>
      <c r="D134" t="s">
        <v>58</v>
      </c>
      <c r="E134" t="s">
        <v>63</v>
      </c>
      <c r="F134">
        <v>15</v>
      </c>
    </row>
    <row r="135" spans="1:6" x14ac:dyDescent="0.25">
      <c r="A135" t="s">
        <v>438</v>
      </c>
      <c r="B135" t="s">
        <v>436</v>
      </c>
      <c r="C135" t="s">
        <v>437</v>
      </c>
      <c r="D135" t="s">
        <v>58</v>
      </c>
      <c r="E135" t="s">
        <v>63</v>
      </c>
      <c r="F135">
        <v>18</v>
      </c>
    </row>
    <row r="136" spans="1:6" x14ac:dyDescent="0.25">
      <c r="A136" t="s">
        <v>439</v>
      </c>
      <c r="B136" t="s">
        <v>440</v>
      </c>
      <c r="C136" t="s">
        <v>441</v>
      </c>
      <c r="D136" t="s">
        <v>58</v>
      </c>
      <c r="E136" t="s">
        <v>63</v>
      </c>
      <c r="F136">
        <v>8</v>
      </c>
    </row>
    <row r="137" spans="1:6" x14ac:dyDescent="0.25">
      <c r="A137" t="s">
        <v>442</v>
      </c>
      <c r="B137" t="s">
        <v>443</v>
      </c>
      <c r="C137" t="s">
        <v>444</v>
      </c>
      <c r="D137" t="s">
        <v>58</v>
      </c>
      <c r="E137" t="s">
        <v>63</v>
      </c>
      <c r="F137">
        <v>8</v>
      </c>
    </row>
    <row r="138" spans="1:6" x14ac:dyDescent="0.25">
      <c r="A138" t="s">
        <v>445</v>
      </c>
      <c r="B138" t="s">
        <v>446</v>
      </c>
      <c r="C138" t="s">
        <v>447</v>
      </c>
      <c r="D138" t="s">
        <v>58</v>
      </c>
      <c r="E138" t="s">
        <v>63</v>
      </c>
      <c r="F138">
        <v>8</v>
      </c>
    </row>
    <row r="139" spans="1:6" x14ac:dyDescent="0.25">
      <c r="A139" t="s">
        <v>448</v>
      </c>
      <c r="B139" t="s">
        <v>449</v>
      </c>
      <c r="C139" t="s">
        <v>450</v>
      </c>
      <c r="D139" t="s">
        <v>58</v>
      </c>
      <c r="E139" t="s">
        <v>63</v>
      </c>
      <c r="F139">
        <v>8</v>
      </c>
    </row>
    <row r="140" spans="1:6" x14ac:dyDescent="0.25">
      <c r="A140" t="s">
        <v>451</v>
      </c>
      <c r="B140" t="s">
        <v>452</v>
      </c>
      <c r="C140" t="s">
        <v>453</v>
      </c>
      <c r="D140" t="s">
        <v>58</v>
      </c>
      <c r="E140" t="s">
        <v>375</v>
      </c>
      <c r="F140">
        <v>567</v>
      </c>
    </row>
    <row r="141" spans="1:6" x14ac:dyDescent="0.25">
      <c r="A141" t="s">
        <v>454</v>
      </c>
      <c r="B141" t="s">
        <v>455</v>
      </c>
      <c r="C141" t="s">
        <v>456</v>
      </c>
      <c r="D141" t="s">
        <v>58</v>
      </c>
      <c r="E141" t="s">
        <v>150</v>
      </c>
      <c r="F141">
        <v>39</v>
      </c>
    </row>
    <row r="142" spans="1:6" x14ac:dyDescent="0.25">
      <c r="A142" t="s">
        <v>457</v>
      </c>
      <c r="B142" t="s">
        <v>458</v>
      </c>
      <c r="C142" t="s">
        <v>459</v>
      </c>
      <c r="D142" t="s">
        <v>58</v>
      </c>
      <c r="E142" t="s">
        <v>67</v>
      </c>
      <c r="F142">
        <v>25</v>
      </c>
    </row>
    <row r="143" spans="1:6" x14ac:dyDescent="0.25">
      <c r="A143" t="s">
        <v>460</v>
      </c>
      <c r="B143" t="s">
        <v>461</v>
      </c>
      <c r="C143" t="s">
        <v>462</v>
      </c>
      <c r="D143" t="s">
        <v>58</v>
      </c>
      <c r="E143" t="s">
        <v>63</v>
      </c>
      <c r="F143">
        <v>1</v>
      </c>
    </row>
    <row r="144" spans="1:6" x14ac:dyDescent="0.25">
      <c r="A144" t="s">
        <v>463</v>
      </c>
      <c r="B144" t="s">
        <v>464</v>
      </c>
      <c r="C144" t="s">
        <v>465</v>
      </c>
      <c r="D144" t="s">
        <v>58</v>
      </c>
      <c r="E144" t="s">
        <v>63</v>
      </c>
      <c r="F144">
        <v>3</v>
      </c>
    </row>
    <row r="145" spans="1:6" x14ac:dyDescent="0.25">
      <c r="A145" t="s">
        <v>466</v>
      </c>
      <c r="B145" t="s">
        <v>467</v>
      </c>
      <c r="C145" t="s">
        <v>468</v>
      </c>
      <c r="D145" t="s">
        <v>58</v>
      </c>
      <c r="E145" t="s">
        <v>150</v>
      </c>
      <c r="F145">
        <v>43</v>
      </c>
    </row>
    <row r="146" spans="1:6" x14ac:dyDescent="0.25">
      <c r="A146" t="s">
        <v>469</v>
      </c>
      <c r="B146" t="s">
        <v>470</v>
      </c>
      <c r="C146" t="s">
        <v>471</v>
      </c>
      <c r="D146" t="s">
        <v>58</v>
      </c>
      <c r="E146" t="s">
        <v>150</v>
      </c>
      <c r="F146">
        <v>12</v>
      </c>
    </row>
    <row r="147" spans="1:6" x14ac:dyDescent="0.25">
      <c r="A147" t="s">
        <v>472</v>
      </c>
      <c r="B147" t="s">
        <v>473</v>
      </c>
      <c r="C147" t="s">
        <v>474</v>
      </c>
      <c r="D147" t="s">
        <v>58</v>
      </c>
      <c r="E147" t="s">
        <v>150</v>
      </c>
      <c r="F147">
        <v>124</v>
      </c>
    </row>
    <row r="148" spans="1:6" x14ac:dyDescent="0.25">
      <c r="A148" t="s">
        <v>475</v>
      </c>
      <c r="B148" t="s">
        <v>476</v>
      </c>
      <c r="C148" t="s">
        <v>477</v>
      </c>
      <c r="D148" t="s">
        <v>58</v>
      </c>
      <c r="E148" t="s">
        <v>150</v>
      </c>
      <c r="F148">
        <v>31</v>
      </c>
    </row>
    <row r="149" spans="1:6" x14ac:dyDescent="0.25">
      <c r="A149" t="s">
        <v>478</v>
      </c>
      <c r="B149" t="s">
        <v>479</v>
      </c>
      <c r="C149" t="s">
        <v>480</v>
      </c>
      <c r="D149" t="s">
        <v>58</v>
      </c>
      <c r="E149" t="s">
        <v>150</v>
      </c>
      <c r="F149">
        <v>242</v>
      </c>
    </row>
    <row r="150" spans="1:6" x14ac:dyDescent="0.25">
      <c r="A150" t="s">
        <v>481</v>
      </c>
      <c r="B150" t="s">
        <v>482</v>
      </c>
      <c r="C150" t="s">
        <v>483</v>
      </c>
      <c r="D150" t="s">
        <v>58</v>
      </c>
      <c r="E150" t="s">
        <v>150</v>
      </c>
      <c r="F150">
        <v>58</v>
      </c>
    </row>
    <row r="151" spans="1:6" x14ac:dyDescent="0.25">
      <c r="A151" t="s">
        <v>484</v>
      </c>
      <c r="B151" t="s">
        <v>485</v>
      </c>
      <c r="C151" t="s">
        <v>486</v>
      </c>
      <c r="D151" t="s">
        <v>58</v>
      </c>
      <c r="E151" t="s">
        <v>187</v>
      </c>
      <c r="F151">
        <v>39</v>
      </c>
    </row>
    <row r="152" spans="1:6" x14ac:dyDescent="0.25">
      <c r="A152" t="s">
        <v>487</v>
      </c>
      <c r="B152" t="s">
        <v>488</v>
      </c>
      <c r="C152" t="s">
        <v>489</v>
      </c>
      <c r="D152" t="s">
        <v>58</v>
      </c>
      <c r="E152" t="s">
        <v>187</v>
      </c>
      <c r="F152">
        <v>39</v>
      </c>
    </row>
    <row r="153" spans="1:6" x14ac:dyDescent="0.25">
      <c r="A153" t="s">
        <v>490</v>
      </c>
      <c r="B153" t="s">
        <v>491</v>
      </c>
      <c r="C153" t="s">
        <v>492</v>
      </c>
      <c r="D153" t="s">
        <v>58</v>
      </c>
      <c r="E153" t="s">
        <v>150</v>
      </c>
      <c r="F153">
        <v>79</v>
      </c>
    </row>
    <row r="154" spans="1:6" x14ac:dyDescent="0.25">
      <c r="A154" t="s">
        <v>493</v>
      </c>
      <c r="B154" t="s">
        <v>494</v>
      </c>
      <c r="C154" t="s">
        <v>495</v>
      </c>
      <c r="D154" t="s">
        <v>58</v>
      </c>
      <c r="E154" t="s">
        <v>63</v>
      </c>
      <c r="F154">
        <v>1</v>
      </c>
    </row>
    <row r="155" spans="1:6" x14ac:dyDescent="0.25">
      <c r="A155" t="s">
        <v>496</v>
      </c>
      <c r="B155" t="s">
        <v>494</v>
      </c>
      <c r="C155" t="s">
        <v>495</v>
      </c>
      <c r="D155" t="s">
        <v>58</v>
      </c>
      <c r="E155" t="s">
        <v>63</v>
      </c>
      <c r="F155">
        <v>2</v>
      </c>
    </row>
    <row r="156" spans="1:6" x14ac:dyDescent="0.25">
      <c r="A156" t="s">
        <v>497</v>
      </c>
      <c r="B156" t="s">
        <v>498</v>
      </c>
      <c r="C156" t="s">
        <v>499</v>
      </c>
      <c r="D156" t="s">
        <v>58</v>
      </c>
      <c r="E156" t="s">
        <v>167</v>
      </c>
      <c r="F156">
        <v>50</v>
      </c>
    </row>
    <row r="157" spans="1:6" x14ac:dyDescent="0.25">
      <c r="A157" t="s">
        <v>500</v>
      </c>
      <c r="B157" t="s">
        <v>501</v>
      </c>
      <c r="C157" t="s">
        <v>502</v>
      </c>
      <c r="D157" t="s">
        <v>58</v>
      </c>
      <c r="E157" t="s">
        <v>150</v>
      </c>
      <c r="F157">
        <v>18</v>
      </c>
    </row>
    <row r="158" spans="1:6" x14ac:dyDescent="0.25">
      <c r="A158" t="s">
        <v>503</v>
      </c>
      <c r="B158" t="s">
        <v>504</v>
      </c>
      <c r="C158" t="s">
        <v>505</v>
      </c>
      <c r="D158" t="s">
        <v>58</v>
      </c>
      <c r="E158" t="s">
        <v>63</v>
      </c>
      <c r="F158">
        <v>7</v>
      </c>
    </row>
    <row r="159" spans="1:6" x14ac:dyDescent="0.25">
      <c r="A159" t="s">
        <v>506</v>
      </c>
      <c r="B159" t="s">
        <v>507</v>
      </c>
      <c r="C159" t="s">
        <v>508</v>
      </c>
      <c r="D159" t="s">
        <v>58</v>
      </c>
      <c r="E159" t="s">
        <v>63</v>
      </c>
      <c r="F159">
        <v>6</v>
      </c>
    </row>
    <row r="160" spans="1:6" x14ac:dyDescent="0.25">
      <c r="A160" t="s">
        <v>509</v>
      </c>
      <c r="B160" t="s">
        <v>510</v>
      </c>
      <c r="C160" t="s">
        <v>511</v>
      </c>
      <c r="D160" t="s">
        <v>58</v>
      </c>
      <c r="E160" t="s">
        <v>63</v>
      </c>
      <c r="F160">
        <v>3</v>
      </c>
    </row>
    <row r="161" spans="1:6" x14ac:dyDescent="0.25">
      <c r="A161" t="s">
        <v>512</v>
      </c>
      <c r="B161" t="s">
        <v>513</v>
      </c>
      <c r="C161" t="s">
        <v>514</v>
      </c>
      <c r="D161" t="s">
        <v>58</v>
      </c>
      <c r="E161" t="s">
        <v>63</v>
      </c>
      <c r="F161">
        <v>4</v>
      </c>
    </row>
    <row r="162" spans="1:6" x14ac:dyDescent="0.25">
      <c r="A162" t="s">
        <v>515</v>
      </c>
      <c r="B162" t="s">
        <v>516</v>
      </c>
      <c r="C162" t="s">
        <v>517</v>
      </c>
      <c r="D162" t="s">
        <v>58</v>
      </c>
      <c r="E162" t="s">
        <v>63</v>
      </c>
      <c r="F162">
        <v>37</v>
      </c>
    </row>
    <row r="163" spans="1:6" x14ac:dyDescent="0.25">
      <c r="A163" t="s">
        <v>518</v>
      </c>
      <c r="B163" t="s">
        <v>519</v>
      </c>
      <c r="C163" t="s">
        <v>520</v>
      </c>
      <c r="D163" t="s">
        <v>58</v>
      </c>
      <c r="E163" t="s">
        <v>63</v>
      </c>
      <c r="F163">
        <v>29</v>
      </c>
    </row>
    <row r="164" spans="1:6" x14ac:dyDescent="0.25">
      <c r="A164" t="s">
        <v>521</v>
      </c>
      <c r="B164" t="s">
        <v>522</v>
      </c>
      <c r="C164" t="s">
        <v>523</v>
      </c>
      <c r="D164" t="s">
        <v>58</v>
      </c>
      <c r="E164" t="s">
        <v>63</v>
      </c>
      <c r="F164">
        <v>31</v>
      </c>
    </row>
    <row r="165" spans="1:6" x14ac:dyDescent="0.25">
      <c r="A165" t="s">
        <v>524</v>
      </c>
      <c r="B165" t="s">
        <v>525</v>
      </c>
      <c r="C165" t="s">
        <v>526</v>
      </c>
      <c r="D165" t="s">
        <v>58</v>
      </c>
      <c r="E165" t="s">
        <v>63</v>
      </c>
      <c r="F165">
        <v>25</v>
      </c>
    </row>
    <row r="166" spans="1:6" x14ac:dyDescent="0.25">
      <c r="A166" t="s">
        <v>527</v>
      </c>
      <c r="B166" t="s">
        <v>528</v>
      </c>
      <c r="C166" t="s">
        <v>529</v>
      </c>
      <c r="D166" t="s">
        <v>58</v>
      </c>
      <c r="E166" t="s">
        <v>63</v>
      </c>
      <c r="F166">
        <v>30</v>
      </c>
    </row>
    <row r="167" spans="1:6" x14ac:dyDescent="0.25">
      <c r="A167" t="s">
        <v>530</v>
      </c>
      <c r="B167" t="s">
        <v>531</v>
      </c>
      <c r="C167" t="s">
        <v>532</v>
      </c>
      <c r="D167" t="s">
        <v>58</v>
      </c>
      <c r="E167" t="s">
        <v>63</v>
      </c>
      <c r="F167">
        <v>62</v>
      </c>
    </row>
    <row r="168" spans="1:6" x14ac:dyDescent="0.25">
      <c r="A168" t="s">
        <v>533</v>
      </c>
      <c r="B168" t="s">
        <v>534</v>
      </c>
      <c r="C168" t="s">
        <v>535</v>
      </c>
      <c r="D168" t="s">
        <v>58</v>
      </c>
      <c r="E168" t="s">
        <v>63</v>
      </c>
      <c r="F168">
        <v>31</v>
      </c>
    </row>
    <row r="169" spans="1:6" x14ac:dyDescent="0.25">
      <c r="A169" t="s">
        <v>536</v>
      </c>
      <c r="B169" t="s">
        <v>537</v>
      </c>
      <c r="C169" t="s">
        <v>538</v>
      </c>
      <c r="D169" t="s">
        <v>58</v>
      </c>
      <c r="E169" t="s">
        <v>334</v>
      </c>
      <c r="F169">
        <v>3</v>
      </c>
    </row>
    <row r="170" spans="1:6" x14ac:dyDescent="0.25">
      <c r="A170" t="s">
        <v>539</v>
      </c>
      <c r="B170" t="s">
        <v>540</v>
      </c>
      <c r="C170" t="s">
        <v>541</v>
      </c>
      <c r="D170" t="s">
        <v>58</v>
      </c>
      <c r="E170" t="s">
        <v>63</v>
      </c>
      <c r="F170">
        <v>27</v>
      </c>
    </row>
    <row r="171" spans="1:6" x14ac:dyDescent="0.25">
      <c r="A171" t="s">
        <v>542</v>
      </c>
      <c r="B171" t="s">
        <v>543</v>
      </c>
      <c r="C171" t="s">
        <v>544</v>
      </c>
      <c r="D171" t="s">
        <v>58</v>
      </c>
      <c r="E171" t="s">
        <v>150</v>
      </c>
      <c r="F171">
        <v>27</v>
      </c>
    </row>
    <row r="172" spans="1:6" x14ac:dyDescent="0.25">
      <c r="A172" t="s">
        <v>545</v>
      </c>
      <c r="B172" t="s">
        <v>546</v>
      </c>
      <c r="C172" t="s">
        <v>547</v>
      </c>
      <c r="D172" t="s">
        <v>58</v>
      </c>
      <c r="E172" t="s">
        <v>150</v>
      </c>
      <c r="F172">
        <v>10</v>
      </c>
    </row>
    <row r="173" spans="1:6" x14ac:dyDescent="0.25">
      <c r="A173" t="s">
        <v>548</v>
      </c>
      <c r="B173" t="s">
        <v>549</v>
      </c>
      <c r="C173" t="s">
        <v>550</v>
      </c>
      <c r="D173" t="s">
        <v>58</v>
      </c>
      <c r="E173" t="s">
        <v>67</v>
      </c>
      <c r="F173">
        <v>84</v>
      </c>
    </row>
    <row r="174" spans="1:6" x14ac:dyDescent="0.25">
      <c r="A174" t="s">
        <v>551</v>
      </c>
      <c r="B174" t="s">
        <v>552</v>
      </c>
      <c r="C174" t="s">
        <v>553</v>
      </c>
      <c r="D174" t="s">
        <v>58</v>
      </c>
      <c r="E174" t="s">
        <v>67</v>
      </c>
      <c r="F174">
        <v>43</v>
      </c>
    </row>
    <row r="175" spans="1:6" x14ac:dyDescent="0.25">
      <c r="A175" t="s">
        <v>554</v>
      </c>
      <c r="B175" t="s">
        <v>555</v>
      </c>
      <c r="C175" t="s">
        <v>556</v>
      </c>
      <c r="D175" t="s">
        <v>58</v>
      </c>
      <c r="E175" t="s">
        <v>63</v>
      </c>
      <c r="F175">
        <v>7</v>
      </c>
    </row>
    <row r="176" spans="1:6" x14ac:dyDescent="0.25">
      <c r="A176" t="s">
        <v>557</v>
      </c>
      <c r="B176" t="s">
        <v>558</v>
      </c>
      <c r="C176" t="s">
        <v>559</v>
      </c>
      <c r="D176" t="s">
        <v>58</v>
      </c>
      <c r="E176" t="s">
        <v>63</v>
      </c>
      <c r="F176">
        <v>59</v>
      </c>
    </row>
    <row r="177" spans="1:6" x14ac:dyDescent="0.25">
      <c r="A177" t="s">
        <v>560</v>
      </c>
      <c r="B177" t="s">
        <v>561</v>
      </c>
      <c r="C177" t="s">
        <v>562</v>
      </c>
      <c r="D177" t="s">
        <v>58</v>
      </c>
      <c r="E177" t="s">
        <v>124</v>
      </c>
      <c r="F177">
        <v>3</v>
      </c>
    </row>
    <row r="178" spans="1:6" x14ac:dyDescent="0.25">
      <c r="A178" t="s">
        <v>563</v>
      </c>
      <c r="B178" t="s">
        <v>564</v>
      </c>
      <c r="C178" t="s">
        <v>565</v>
      </c>
      <c r="D178" t="s">
        <v>58</v>
      </c>
      <c r="E178" t="s">
        <v>150</v>
      </c>
      <c r="F178">
        <v>14</v>
      </c>
    </row>
    <row r="179" spans="1:6" x14ac:dyDescent="0.25">
      <c r="A179" t="s">
        <v>566</v>
      </c>
      <c r="B179" t="s">
        <v>567</v>
      </c>
      <c r="C179" t="s">
        <v>568</v>
      </c>
      <c r="D179" t="s">
        <v>58</v>
      </c>
      <c r="E179" t="s">
        <v>150</v>
      </c>
      <c r="F179">
        <v>4</v>
      </c>
    </row>
    <row r="180" spans="1:6" x14ac:dyDescent="0.25">
      <c r="A180" t="s">
        <v>569</v>
      </c>
      <c r="B180" t="s">
        <v>570</v>
      </c>
      <c r="C180" t="s">
        <v>571</v>
      </c>
      <c r="D180" t="s">
        <v>58</v>
      </c>
      <c r="E180" t="s">
        <v>150</v>
      </c>
      <c r="F180">
        <v>7</v>
      </c>
    </row>
    <row r="181" spans="1:6" x14ac:dyDescent="0.25">
      <c r="A181" t="s">
        <v>572</v>
      </c>
      <c r="B181" t="s">
        <v>573</v>
      </c>
      <c r="C181" t="s">
        <v>574</v>
      </c>
      <c r="D181" t="s">
        <v>58</v>
      </c>
      <c r="E181" t="s">
        <v>150</v>
      </c>
      <c r="F181">
        <v>10</v>
      </c>
    </row>
    <row r="182" spans="1:6" x14ac:dyDescent="0.25">
      <c r="A182" t="s">
        <v>575</v>
      </c>
      <c r="B182" t="s">
        <v>576</v>
      </c>
      <c r="C182" t="s">
        <v>577</v>
      </c>
      <c r="D182" t="s">
        <v>58</v>
      </c>
      <c r="E182" t="s">
        <v>63</v>
      </c>
      <c r="F182">
        <v>4</v>
      </c>
    </row>
    <row r="183" spans="1:6" x14ac:dyDescent="0.25">
      <c r="A183" t="s">
        <v>578</v>
      </c>
      <c r="B183" t="s">
        <v>579</v>
      </c>
      <c r="C183" t="s">
        <v>580</v>
      </c>
      <c r="D183" t="s">
        <v>58</v>
      </c>
      <c r="E183" t="s">
        <v>63</v>
      </c>
      <c r="F183">
        <v>214</v>
      </c>
    </row>
    <row r="184" spans="1:6" x14ac:dyDescent="0.25">
      <c r="A184" t="s">
        <v>581</v>
      </c>
      <c r="B184" t="s">
        <v>582</v>
      </c>
      <c r="C184" t="s">
        <v>583</v>
      </c>
      <c r="D184" t="s">
        <v>58</v>
      </c>
      <c r="E184" t="s">
        <v>59</v>
      </c>
      <c r="F184">
        <v>5</v>
      </c>
    </row>
    <row r="185" spans="1:6" x14ac:dyDescent="0.25">
      <c r="A185" t="s">
        <v>584</v>
      </c>
      <c r="B185" t="s">
        <v>585</v>
      </c>
      <c r="C185" t="s">
        <v>586</v>
      </c>
      <c r="D185" t="s">
        <v>58</v>
      </c>
      <c r="E185" t="s">
        <v>63</v>
      </c>
      <c r="F185">
        <v>19</v>
      </c>
    </row>
    <row r="186" spans="1:6" x14ac:dyDescent="0.25">
      <c r="A186" t="s">
        <v>587</v>
      </c>
      <c r="B186" t="s">
        <v>588</v>
      </c>
      <c r="C186" t="s">
        <v>589</v>
      </c>
      <c r="D186" t="s">
        <v>58</v>
      </c>
      <c r="E186" t="s">
        <v>63</v>
      </c>
      <c r="F186">
        <v>55</v>
      </c>
    </row>
    <row r="187" spans="1:6" x14ac:dyDescent="0.25">
      <c r="A187" t="s">
        <v>590</v>
      </c>
      <c r="B187" t="s">
        <v>591</v>
      </c>
      <c r="C187" t="s">
        <v>592</v>
      </c>
      <c r="D187" t="s">
        <v>58</v>
      </c>
      <c r="E187" t="s">
        <v>63</v>
      </c>
      <c r="F187">
        <v>17</v>
      </c>
    </row>
    <row r="188" spans="1:6" x14ac:dyDescent="0.25">
      <c r="A188" t="s">
        <v>593</v>
      </c>
      <c r="B188" t="s">
        <v>594</v>
      </c>
      <c r="C188" t="s">
        <v>595</v>
      </c>
      <c r="D188" t="s">
        <v>58</v>
      </c>
      <c r="E188" t="s">
        <v>150</v>
      </c>
      <c r="F188">
        <v>41</v>
      </c>
    </row>
    <row r="189" spans="1:6" x14ac:dyDescent="0.25">
      <c r="A189" t="s">
        <v>596</v>
      </c>
      <c r="B189" t="s">
        <v>597</v>
      </c>
      <c r="C189" t="s">
        <v>598</v>
      </c>
      <c r="D189" t="s">
        <v>58</v>
      </c>
      <c r="E189" t="s">
        <v>63</v>
      </c>
      <c r="F189">
        <v>15</v>
      </c>
    </row>
    <row r="190" spans="1:6" x14ac:dyDescent="0.25">
      <c r="A190" t="s">
        <v>599</v>
      </c>
      <c r="B190" t="s">
        <v>600</v>
      </c>
      <c r="C190" t="s">
        <v>601</v>
      </c>
      <c r="D190" t="s">
        <v>58</v>
      </c>
      <c r="E190" t="s">
        <v>375</v>
      </c>
      <c r="F190">
        <v>105</v>
      </c>
    </row>
    <row r="191" spans="1:6" x14ac:dyDescent="0.25">
      <c r="A191" t="s">
        <v>602</v>
      </c>
      <c r="B191" t="s">
        <v>603</v>
      </c>
      <c r="C191" t="s">
        <v>604</v>
      </c>
      <c r="D191" t="s">
        <v>58</v>
      </c>
      <c r="E191" t="s">
        <v>375</v>
      </c>
      <c r="F191">
        <v>9</v>
      </c>
    </row>
    <row r="192" spans="1:6" x14ac:dyDescent="0.25">
      <c r="A192" t="s">
        <v>605</v>
      </c>
      <c r="B192" t="s">
        <v>606</v>
      </c>
      <c r="C192" t="s">
        <v>607</v>
      </c>
      <c r="D192" t="s">
        <v>58</v>
      </c>
      <c r="E192" t="s">
        <v>375</v>
      </c>
      <c r="F192">
        <v>315</v>
      </c>
    </row>
    <row r="193" spans="1:6" x14ac:dyDescent="0.25">
      <c r="A193" t="s">
        <v>608</v>
      </c>
      <c r="B193" t="s">
        <v>609</v>
      </c>
      <c r="C193" t="s">
        <v>610</v>
      </c>
      <c r="D193" t="s">
        <v>58</v>
      </c>
      <c r="E193" t="s">
        <v>375</v>
      </c>
      <c r="F193">
        <v>51</v>
      </c>
    </row>
    <row r="194" spans="1:6" x14ac:dyDescent="0.25">
      <c r="A194" t="s">
        <v>611</v>
      </c>
      <c r="B194" t="s">
        <v>612</v>
      </c>
      <c r="C194" t="s">
        <v>613</v>
      </c>
      <c r="D194" t="s">
        <v>58</v>
      </c>
      <c r="E194" t="s">
        <v>375</v>
      </c>
      <c r="F194">
        <v>26</v>
      </c>
    </row>
    <row r="195" spans="1:6" x14ac:dyDescent="0.25">
      <c r="A195" t="s">
        <v>614</v>
      </c>
      <c r="B195" t="s">
        <v>615</v>
      </c>
      <c r="C195" t="s">
        <v>616</v>
      </c>
      <c r="D195" t="s">
        <v>58</v>
      </c>
      <c r="E195" t="s">
        <v>375</v>
      </c>
      <c r="F195">
        <v>3</v>
      </c>
    </row>
    <row r="196" spans="1:6" x14ac:dyDescent="0.25">
      <c r="A196" t="s">
        <v>617</v>
      </c>
      <c r="B196" t="s">
        <v>618</v>
      </c>
      <c r="C196" t="s">
        <v>619</v>
      </c>
      <c r="D196" t="s">
        <v>58</v>
      </c>
      <c r="E196" t="s">
        <v>63</v>
      </c>
      <c r="F196">
        <v>7</v>
      </c>
    </row>
    <row r="197" spans="1:6" x14ac:dyDescent="0.25">
      <c r="A197" t="s">
        <v>620</v>
      </c>
      <c r="B197" t="s">
        <v>621</v>
      </c>
      <c r="C197" t="s">
        <v>622</v>
      </c>
      <c r="D197" t="s">
        <v>58</v>
      </c>
      <c r="E197" t="s">
        <v>117</v>
      </c>
      <c r="F197">
        <v>50</v>
      </c>
    </row>
    <row r="198" spans="1:6" x14ac:dyDescent="0.25">
      <c r="A198" t="s">
        <v>623</v>
      </c>
      <c r="B198" t="s">
        <v>624</v>
      </c>
      <c r="C198" t="s">
        <v>625</v>
      </c>
      <c r="D198" t="s">
        <v>58</v>
      </c>
      <c r="E198" t="s">
        <v>63</v>
      </c>
      <c r="F198">
        <v>68</v>
      </c>
    </row>
    <row r="199" spans="1:6" x14ac:dyDescent="0.25">
      <c r="A199" t="s">
        <v>626</v>
      </c>
      <c r="B199" t="s">
        <v>627</v>
      </c>
      <c r="C199" t="s">
        <v>628</v>
      </c>
      <c r="D199" t="s">
        <v>58</v>
      </c>
      <c r="E199" t="s">
        <v>63</v>
      </c>
      <c r="F199">
        <v>16</v>
      </c>
    </row>
    <row r="200" spans="1:6" x14ac:dyDescent="0.25">
      <c r="A200" t="s">
        <v>629</v>
      </c>
      <c r="B200" t="s">
        <v>630</v>
      </c>
      <c r="C200" t="s">
        <v>631</v>
      </c>
      <c r="D200" t="s">
        <v>58</v>
      </c>
      <c r="E200" t="s">
        <v>63</v>
      </c>
      <c r="F200">
        <v>1</v>
      </c>
    </row>
    <row r="201" spans="1:6" x14ac:dyDescent="0.25">
      <c r="A201" t="s">
        <v>632</v>
      </c>
      <c r="B201" t="s">
        <v>633</v>
      </c>
      <c r="C201" t="s">
        <v>634</v>
      </c>
      <c r="D201" t="s">
        <v>58</v>
      </c>
      <c r="E201" t="s">
        <v>63</v>
      </c>
      <c r="F201">
        <v>7</v>
      </c>
    </row>
    <row r="202" spans="1:6" x14ac:dyDescent="0.25">
      <c r="A202" t="s">
        <v>635</v>
      </c>
      <c r="B202" t="s">
        <v>636</v>
      </c>
      <c r="C202" t="s">
        <v>637</v>
      </c>
      <c r="D202" t="s">
        <v>58</v>
      </c>
      <c r="E202" t="s">
        <v>63</v>
      </c>
      <c r="F202">
        <v>8</v>
      </c>
    </row>
    <row r="203" spans="1:6" x14ac:dyDescent="0.25">
      <c r="A203" t="s">
        <v>638</v>
      </c>
      <c r="B203" t="s">
        <v>639</v>
      </c>
      <c r="C203" t="s">
        <v>640</v>
      </c>
      <c r="D203" t="s">
        <v>58</v>
      </c>
      <c r="E203" t="s">
        <v>216</v>
      </c>
      <c r="F203">
        <v>16</v>
      </c>
    </row>
    <row r="204" spans="1:6" x14ac:dyDescent="0.25">
      <c r="A204" t="s">
        <v>641</v>
      </c>
      <c r="B204" t="s">
        <v>642</v>
      </c>
      <c r="C204" t="s">
        <v>643</v>
      </c>
      <c r="D204" t="s">
        <v>58</v>
      </c>
      <c r="E204" t="s">
        <v>63</v>
      </c>
      <c r="F204">
        <v>2</v>
      </c>
    </row>
    <row r="205" spans="1:6" x14ac:dyDescent="0.25">
      <c r="A205" t="s">
        <v>644</v>
      </c>
      <c r="B205" t="s">
        <v>645</v>
      </c>
      <c r="C205" t="s">
        <v>646</v>
      </c>
      <c r="D205" t="s">
        <v>58</v>
      </c>
      <c r="E205" t="s">
        <v>117</v>
      </c>
      <c r="F205">
        <v>10</v>
      </c>
    </row>
    <row r="206" spans="1:6" x14ac:dyDescent="0.25">
      <c r="A206" t="s">
        <v>647</v>
      </c>
      <c r="B206" t="s">
        <v>648</v>
      </c>
      <c r="C206" t="s">
        <v>649</v>
      </c>
      <c r="D206" t="s">
        <v>58</v>
      </c>
      <c r="E206" t="s">
        <v>117</v>
      </c>
      <c r="F206">
        <v>49</v>
      </c>
    </row>
    <row r="207" spans="1:6" x14ac:dyDescent="0.25">
      <c r="A207" t="s">
        <v>650</v>
      </c>
      <c r="B207" t="s">
        <v>651</v>
      </c>
      <c r="C207" t="s">
        <v>652</v>
      </c>
      <c r="D207" t="s">
        <v>58</v>
      </c>
      <c r="E207" t="s">
        <v>63</v>
      </c>
      <c r="F207">
        <v>87</v>
      </c>
    </row>
    <row r="208" spans="1:6" x14ac:dyDescent="0.25">
      <c r="A208" t="s">
        <v>653</v>
      </c>
      <c r="B208" t="s">
        <v>654</v>
      </c>
      <c r="C208" t="s">
        <v>655</v>
      </c>
      <c r="D208" t="s">
        <v>58</v>
      </c>
      <c r="E208" t="s">
        <v>63</v>
      </c>
      <c r="F208">
        <v>13</v>
      </c>
    </row>
    <row r="209" spans="1:6" x14ac:dyDescent="0.25">
      <c r="A209" t="s">
        <v>656</v>
      </c>
      <c r="B209" t="s">
        <v>657</v>
      </c>
      <c r="C209" t="s">
        <v>658</v>
      </c>
      <c r="D209" t="s">
        <v>58</v>
      </c>
      <c r="E209" t="s">
        <v>63</v>
      </c>
      <c r="F209">
        <v>12</v>
      </c>
    </row>
    <row r="210" spans="1:6" x14ac:dyDescent="0.25">
      <c r="A210" t="s">
        <v>659</v>
      </c>
      <c r="B210" t="s">
        <v>660</v>
      </c>
      <c r="C210" t="s">
        <v>661</v>
      </c>
      <c r="D210" t="s">
        <v>58</v>
      </c>
      <c r="E210" t="s">
        <v>63</v>
      </c>
      <c r="F210">
        <v>11</v>
      </c>
    </row>
    <row r="211" spans="1:6" x14ac:dyDescent="0.25">
      <c r="A211" t="s">
        <v>662</v>
      </c>
      <c r="B211" t="s">
        <v>663</v>
      </c>
      <c r="C211" t="s">
        <v>664</v>
      </c>
      <c r="D211" t="s">
        <v>58</v>
      </c>
      <c r="E211" t="s">
        <v>63</v>
      </c>
      <c r="F211">
        <v>8</v>
      </c>
    </row>
    <row r="212" spans="1:6" x14ac:dyDescent="0.25">
      <c r="A212" t="s">
        <v>665</v>
      </c>
      <c r="B212" t="s">
        <v>666</v>
      </c>
      <c r="C212" t="s">
        <v>667</v>
      </c>
      <c r="D212" t="s">
        <v>58</v>
      </c>
      <c r="E212" t="s">
        <v>63</v>
      </c>
      <c r="F212">
        <v>14</v>
      </c>
    </row>
    <row r="213" spans="1:6" x14ac:dyDescent="0.25">
      <c r="A213" t="s">
        <v>668</v>
      </c>
      <c r="B213" t="s">
        <v>669</v>
      </c>
      <c r="C213" t="s">
        <v>670</v>
      </c>
      <c r="D213" t="s">
        <v>58</v>
      </c>
      <c r="E213" t="s">
        <v>63</v>
      </c>
      <c r="F213">
        <v>53</v>
      </c>
    </row>
    <row r="214" spans="1:6" x14ac:dyDescent="0.25">
      <c r="A214" t="s">
        <v>671</v>
      </c>
      <c r="B214" t="s">
        <v>672</v>
      </c>
      <c r="C214" t="s">
        <v>673</v>
      </c>
      <c r="D214" t="s">
        <v>58</v>
      </c>
      <c r="E214" t="s">
        <v>187</v>
      </c>
      <c r="F214">
        <v>106</v>
      </c>
    </row>
    <row r="215" spans="1:6" x14ac:dyDescent="0.25">
      <c r="A215" t="s">
        <v>674</v>
      </c>
      <c r="B215" t="s">
        <v>675</v>
      </c>
      <c r="C215" t="s">
        <v>676</v>
      </c>
      <c r="D215" t="s">
        <v>58</v>
      </c>
      <c r="E215" t="s">
        <v>187</v>
      </c>
      <c r="F215">
        <v>158</v>
      </c>
    </row>
    <row r="216" spans="1:6" x14ac:dyDescent="0.25">
      <c r="A216" t="s">
        <v>677</v>
      </c>
      <c r="B216" t="s">
        <v>678</v>
      </c>
      <c r="C216" t="s">
        <v>679</v>
      </c>
      <c r="D216" t="s">
        <v>58</v>
      </c>
      <c r="E216" t="s">
        <v>63</v>
      </c>
      <c r="F216">
        <v>73</v>
      </c>
    </row>
    <row r="217" spans="1:6" x14ac:dyDescent="0.25">
      <c r="A217" t="s">
        <v>28</v>
      </c>
      <c r="B217" t="s">
        <v>680</v>
      </c>
      <c r="C217" t="s">
        <v>29</v>
      </c>
      <c r="D217" t="s">
        <v>58</v>
      </c>
      <c r="E217" t="s">
        <v>1</v>
      </c>
      <c r="F217">
        <v>269</v>
      </c>
    </row>
    <row r="218" spans="1:6" x14ac:dyDescent="0.25">
      <c r="A218" t="s">
        <v>681</v>
      </c>
      <c r="B218" t="s">
        <v>680</v>
      </c>
      <c r="C218" t="s">
        <v>29</v>
      </c>
      <c r="D218" t="s">
        <v>58</v>
      </c>
      <c r="E218" t="s">
        <v>67</v>
      </c>
      <c r="F218">
        <v>7</v>
      </c>
    </row>
    <row r="219" spans="1:6" x14ac:dyDescent="0.25">
      <c r="A219" t="s">
        <v>30</v>
      </c>
      <c r="B219" t="s">
        <v>682</v>
      </c>
      <c r="C219" t="s">
        <v>31</v>
      </c>
      <c r="D219" t="s">
        <v>58</v>
      </c>
      <c r="E219" t="s">
        <v>1</v>
      </c>
      <c r="F219">
        <v>232</v>
      </c>
    </row>
    <row r="220" spans="1:6" x14ac:dyDescent="0.25">
      <c r="A220" t="s">
        <v>32</v>
      </c>
      <c r="B220" t="s">
        <v>683</v>
      </c>
      <c r="C220" t="s">
        <v>33</v>
      </c>
      <c r="D220" t="s">
        <v>58</v>
      </c>
      <c r="E220" t="s">
        <v>1</v>
      </c>
      <c r="F220">
        <v>63</v>
      </c>
    </row>
    <row r="221" spans="1:6" x14ac:dyDescent="0.25">
      <c r="A221" t="s">
        <v>34</v>
      </c>
      <c r="B221" t="s">
        <v>684</v>
      </c>
      <c r="C221" t="s">
        <v>35</v>
      </c>
      <c r="D221" t="s">
        <v>58</v>
      </c>
      <c r="E221" t="s">
        <v>1</v>
      </c>
      <c r="F221">
        <v>29</v>
      </c>
    </row>
    <row r="222" spans="1:6" x14ac:dyDescent="0.25">
      <c r="A222" t="s">
        <v>36</v>
      </c>
      <c r="B222" t="s">
        <v>685</v>
      </c>
      <c r="C222" t="s">
        <v>37</v>
      </c>
      <c r="D222" t="s">
        <v>58</v>
      </c>
      <c r="E222" t="s">
        <v>1</v>
      </c>
      <c r="F222">
        <v>34</v>
      </c>
    </row>
    <row r="223" spans="1:6" x14ac:dyDescent="0.25">
      <c r="A223" t="s">
        <v>38</v>
      </c>
      <c r="B223" t="s">
        <v>686</v>
      </c>
      <c r="C223" t="s">
        <v>39</v>
      </c>
      <c r="D223" t="s">
        <v>58</v>
      </c>
      <c r="E223" t="s">
        <v>1</v>
      </c>
      <c r="F223">
        <v>6</v>
      </c>
    </row>
    <row r="224" spans="1:6" x14ac:dyDescent="0.25">
      <c r="A224" t="s">
        <v>40</v>
      </c>
      <c r="B224" t="s">
        <v>687</v>
      </c>
      <c r="C224" t="s">
        <v>41</v>
      </c>
      <c r="D224" t="s">
        <v>58</v>
      </c>
      <c r="E224" t="s">
        <v>1</v>
      </c>
      <c r="F224">
        <v>2</v>
      </c>
    </row>
    <row r="225" spans="1:6" x14ac:dyDescent="0.25">
      <c r="A225" t="s">
        <v>42</v>
      </c>
      <c r="B225" t="s">
        <v>688</v>
      </c>
      <c r="C225" t="s">
        <v>43</v>
      </c>
      <c r="D225" t="s">
        <v>58</v>
      </c>
      <c r="E225" t="s">
        <v>1</v>
      </c>
      <c r="F225">
        <v>50</v>
      </c>
    </row>
    <row r="226" spans="1:6" x14ac:dyDescent="0.25">
      <c r="A226" t="s">
        <v>689</v>
      </c>
      <c r="B226" t="s">
        <v>690</v>
      </c>
      <c r="C226" t="s">
        <v>691</v>
      </c>
      <c r="D226" t="s">
        <v>58</v>
      </c>
      <c r="E226" t="s">
        <v>150</v>
      </c>
      <c r="F226">
        <v>34</v>
      </c>
    </row>
    <row r="227" spans="1:6" x14ac:dyDescent="0.25">
      <c r="A227" t="s">
        <v>692</v>
      </c>
      <c r="B227" t="s">
        <v>693</v>
      </c>
      <c r="C227" t="s">
        <v>694</v>
      </c>
      <c r="D227" t="s">
        <v>58</v>
      </c>
      <c r="E227" t="s">
        <v>150</v>
      </c>
      <c r="F227">
        <v>11</v>
      </c>
    </row>
    <row r="228" spans="1:6" x14ac:dyDescent="0.25">
      <c r="A228" t="s">
        <v>44</v>
      </c>
      <c r="B228" t="s">
        <v>695</v>
      </c>
      <c r="C228" t="s">
        <v>45</v>
      </c>
      <c r="D228" t="s">
        <v>58</v>
      </c>
      <c r="E228" t="s">
        <v>1</v>
      </c>
      <c r="F228">
        <v>266</v>
      </c>
    </row>
    <row r="229" spans="1:6" x14ac:dyDescent="0.25">
      <c r="A229" t="s">
        <v>696</v>
      </c>
      <c r="B229" t="s">
        <v>697</v>
      </c>
      <c r="C229" t="s">
        <v>45</v>
      </c>
      <c r="D229" t="s">
        <v>58</v>
      </c>
      <c r="E229" t="s">
        <v>67</v>
      </c>
      <c r="F229">
        <v>3</v>
      </c>
    </row>
    <row r="230" spans="1:6" x14ac:dyDescent="0.25">
      <c r="A230" t="s">
        <v>698</v>
      </c>
      <c r="B230" t="s">
        <v>699</v>
      </c>
      <c r="C230" t="s">
        <v>700</v>
      </c>
      <c r="D230" t="s">
        <v>58</v>
      </c>
      <c r="E230" t="s">
        <v>63</v>
      </c>
      <c r="F230">
        <v>8</v>
      </c>
    </row>
    <row r="231" spans="1:6" x14ac:dyDescent="0.25">
      <c r="A231" t="s">
        <v>701</v>
      </c>
      <c r="B231" t="s">
        <v>702</v>
      </c>
      <c r="C231" t="s">
        <v>703</v>
      </c>
      <c r="D231" t="s">
        <v>58</v>
      </c>
      <c r="E231" t="s">
        <v>63</v>
      </c>
      <c r="F231">
        <v>4</v>
      </c>
    </row>
    <row r="232" spans="1:6" x14ac:dyDescent="0.25">
      <c r="A232" t="s">
        <v>704</v>
      </c>
      <c r="B232" t="s">
        <v>705</v>
      </c>
      <c r="C232" t="s">
        <v>706</v>
      </c>
      <c r="D232" t="s">
        <v>58</v>
      </c>
      <c r="E232" t="s">
        <v>63</v>
      </c>
      <c r="F232">
        <v>2</v>
      </c>
    </row>
    <row r="233" spans="1:6" x14ac:dyDescent="0.25">
      <c r="A233" t="s">
        <v>707</v>
      </c>
      <c r="B233" t="s">
        <v>708</v>
      </c>
      <c r="C233" t="s">
        <v>709</v>
      </c>
      <c r="D233" t="s">
        <v>58</v>
      </c>
      <c r="E233" t="s">
        <v>160</v>
      </c>
      <c r="F233">
        <v>1</v>
      </c>
    </row>
    <row r="234" spans="1:6" x14ac:dyDescent="0.25">
      <c r="A234" t="s">
        <v>710</v>
      </c>
      <c r="B234" t="s">
        <v>711</v>
      </c>
      <c r="C234" t="s">
        <v>712</v>
      </c>
      <c r="D234" t="s">
        <v>58</v>
      </c>
      <c r="E234" t="s">
        <v>160</v>
      </c>
      <c r="F234">
        <v>1</v>
      </c>
    </row>
    <row r="235" spans="1:6" x14ac:dyDescent="0.25">
      <c r="A235" t="s">
        <v>713</v>
      </c>
      <c r="B235" t="s">
        <v>714</v>
      </c>
      <c r="C235" t="s">
        <v>715</v>
      </c>
      <c r="D235" t="s">
        <v>58</v>
      </c>
      <c r="E235" t="s">
        <v>187</v>
      </c>
      <c r="F235">
        <v>61</v>
      </c>
    </row>
    <row r="236" spans="1:6" x14ac:dyDescent="0.25">
      <c r="A236" t="s">
        <v>716</v>
      </c>
      <c r="B236" t="s">
        <v>717</v>
      </c>
      <c r="C236" t="s">
        <v>718</v>
      </c>
      <c r="D236" t="s">
        <v>58</v>
      </c>
      <c r="E236" t="s">
        <v>63</v>
      </c>
      <c r="F236">
        <v>74</v>
      </c>
    </row>
    <row r="237" spans="1:6" x14ac:dyDescent="0.25">
      <c r="A237" t="s">
        <v>719</v>
      </c>
      <c r="B237" t="s">
        <v>720</v>
      </c>
      <c r="C237" t="s">
        <v>721</v>
      </c>
      <c r="D237" t="s">
        <v>58</v>
      </c>
      <c r="E237" t="s">
        <v>63</v>
      </c>
      <c r="F237">
        <v>77</v>
      </c>
    </row>
    <row r="238" spans="1:6" x14ac:dyDescent="0.25">
      <c r="A238" t="s">
        <v>722</v>
      </c>
      <c r="B238" t="s">
        <v>723</v>
      </c>
      <c r="C238" t="s">
        <v>724</v>
      </c>
      <c r="D238" t="s">
        <v>58</v>
      </c>
      <c r="E238" t="s">
        <v>63</v>
      </c>
      <c r="F238">
        <v>73</v>
      </c>
    </row>
    <row r="239" spans="1:6" x14ac:dyDescent="0.25">
      <c r="A239" t="s">
        <v>725</v>
      </c>
      <c r="B239" t="s">
        <v>726</v>
      </c>
      <c r="C239" t="s">
        <v>727</v>
      </c>
      <c r="D239" t="s">
        <v>58</v>
      </c>
      <c r="E239" t="s">
        <v>63</v>
      </c>
      <c r="F239">
        <v>77</v>
      </c>
    </row>
    <row r="240" spans="1:6" x14ac:dyDescent="0.25">
      <c r="A240" t="s">
        <v>728</v>
      </c>
      <c r="B240" t="s">
        <v>729</v>
      </c>
      <c r="C240" t="s">
        <v>730</v>
      </c>
      <c r="D240" t="s">
        <v>58</v>
      </c>
      <c r="E240" t="s">
        <v>375</v>
      </c>
      <c r="F240">
        <v>138</v>
      </c>
    </row>
    <row r="241" spans="1:6" x14ac:dyDescent="0.25">
      <c r="A241" t="s">
        <v>731</v>
      </c>
      <c r="B241" t="s">
        <v>732</v>
      </c>
      <c r="C241" t="s">
        <v>733</v>
      </c>
      <c r="D241" t="s">
        <v>58</v>
      </c>
      <c r="E241" t="s">
        <v>63</v>
      </c>
      <c r="F241">
        <v>72</v>
      </c>
    </row>
    <row r="242" spans="1:6" x14ac:dyDescent="0.25">
      <c r="A242" t="s">
        <v>734</v>
      </c>
      <c r="B242" t="s">
        <v>735</v>
      </c>
      <c r="C242" t="s">
        <v>736</v>
      </c>
      <c r="D242" t="s">
        <v>58</v>
      </c>
      <c r="E242" t="s">
        <v>63</v>
      </c>
      <c r="F242">
        <v>62</v>
      </c>
    </row>
    <row r="243" spans="1:6" x14ac:dyDescent="0.25">
      <c r="A243" t="s">
        <v>737</v>
      </c>
      <c r="B243" t="s">
        <v>738</v>
      </c>
      <c r="C243" t="s">
        <v>739</v>
      </c>
      <c r="D243" t="s">
        <v>58</v>
      </c>
      <c r="E243" t="s">
        <v>63</v>
      </c>
      <c r="F243">
        <v>65</v>
      </c>
    </row>
    <row r="244" spans="1:6" x14ac:dyDescent="0.25">
      <c r="A244" t="s">
        <v>46</v>
      </c>
      <c r="B244" t="s">
        <v>740</v>
      </c>
      <c r="C244" t="s">
        <v>47</v>
      </c>
      <c r="D244" t="s">
        <v>58</v>
      </c>
      <c r="E244" t="s">
        <v>1</v>
      </c>
      <c r="F244">
        <v>79.7</v>
      </c>
    </row>
    <row r="245" spans="1:6" x14ac:dyDescent="0.25">
      <c r="A245" t="s">
        <v>48</v>
      </c>
      <c r="B245" t="s">
        <v>741</v>
      </c>
      <c r="C245" t="s">
        <v>49</v>
      </c>
      <c r="D245" t="s">
        <v>58</v>
      </c>
      <c r="E245" t="s">
        <v>1</v>
      </c>
      <c r="F245">
        <v>76.7</v>
      </c>
    </row>
    <row r="246" spans="1:6" x14ac:dyDescent="0.25">
      <c r="A246" t="s">
        <v>742</v>
      </c>
      <c r="B246" t="s">
        <v>743</v>
      </c>
      <c r="C246" t="s">
        <v>744</v>
      </c>
      <c r="D246" t="s">
        <v>58</v>
      </c>
      <c r="E246" t="s">
        <v>63</v>
      </c>
      <c r="F246">
        <v>66</v>
      </c>
    </row>
    <row r="247" spans="1:6" x14ac:dyDescent="0.25">
      <c r="A247" t="s">
        <v>745</v>
      </c>
      <c r="B247" t="s">
        <v>746</v>
      </c>
      <c r="C247" t="s">
        <v>747</v>
      </c>
      <c r="D247" t="s">
        <v>58</v>
      </c>
      <c r="E247" t="s">
        <v>63</v>
      </c>
      <c r="F247">
        <v>66</v>
      </c>
    </row>
    <row r="248" spans="1:6" x14ac:dyDescent="0.25">
      <c r="A248" t="s">
        <v>748</v>
      </c>
      <c r="B248" t="s">
        <v>749</v>
      </c>
      <c r="C248" t="s">
        <v>750</v>
      </c>
      <c r="D248" t="s">
        <v>58</v>
      </c>
      <c r="E248" t="s">
        <v>167</v>
      </c>
      <c r="F248">
        <v>35</v>
      </c>
    </row>
    <row r="249" spans="1:6" x14ac:dyDescent="0.25">
      <c r="A249" t="s">
        <v>751</v>
      </c>
      <c r="B249" t="s">
        <v>752</v>
      </c>
      <c r="C249" t="s">
        <v>753</v>
      </c>
      <c r="D249" t="s">
        <v>58</v>
      </c>
      <c r="E249" t="s">
        <v>167</v>
      </c>
      <c r="F249">
        <v>15</v>
      </c>
    </row>
    <row r="250" spans="1:6" x14ac:dyDescent="0.25">
      <c r="A250" t="s">
        <v>754</v>
      </c>
      <c r="B250" t="s">
        <v>755</v>
      </c>
      <c r="C250" t="s">
        <v>756</v>
      </c>
      <c r="D250" t="s">
        <v>58</v>
      </c>
      <c r="E250" t="s">
        <v>167</v>
      </c>
      <c r="F250">
        <v>2</v>
      </c>
    </row>
    <row r="251" spans="1:6" x14ac:dyDescent="0.25">
      <c r="A251" t="s">
        <v>757</v>
      </c>
      <c r="B251" t="s">
        <v>758</v>
      </c>
      <c r="C251" t="s">
        <v>759</v>
      </c>
      <c r="D251" t="s">
        <v>58</v>
      </c>
      <c r="E251" t="s">
        <v>167</v>
      </c>
      <c r="F251">
        <v>59</v>
      </c>
    </row>
    <row r="252" spans="1:6" x14ac:dyDescent="0.25">
      <c r="A252" t="s">
        <v>760</v>
      </c>
      <c r="B252" t="s">
        <v>761</v>
      </c>
      <c r="C252" t="s">
        <v>762</v>
      </c>
      <c r="D252" t="s">
        <v>58</v>
      </c>
      <c r="E252" t="s">
        <v>59</v>
      </c>
      <c r="F252">
        <v>5</v>
      </c>
    </row>
    <row r="253" spans="1:6" x14ac:dyDescent="0.25">
      <c r="A253" t="s">
        <v>763</v>
      </c>
      <c r="B253" t="s">
        <v>764</v>
      </c>
      <c r="C253" t="s">
        <v>765</v>
      </c>
      <c r="D253" t="s">
        <v>58</v>
      </c>
      <c r="E253" t="s">
        <v>203</v>
      </c>
      <c r="F253">
        <v>46</v>
      </c>
    </row>
    <row r="254" spans="1:6" x14ac:dyDescent="0.25">
      <c r="A254" t="s">
        <v>766</v>
      </c>
      <c r="B254" t="s">
        <v>767</v>
      </c>
      <c r="C254" t="s">
        <v>768</v>
      </c>
      <c r="D254" t="s">
        <v>58</v>
      </c>
      <c r="E254" t="s">
        <v>59</v>
      </c>
      <c r="F254">
        <v>286</v>
      </c>
    </row>
    <row r="255" spans="1:6" x14ac:dyDescent="0.25">
      <c r="A255" t="s">
        <v>769</v>
      </c>
      <c r="B255" t="s">
        <v>767</v>
      </c>
      <c r="C255" t="s">
        <v>768</v>
      </c>
      <c r="D255" t="s">
        <v>58</v>
      </c>
      <c r="E255" t="s">
        <v>59</v>
      </c>
      <c r="F255">
        <v>10</v>
      </c>
    </row>
    <row r="256" spans="1:6" x14ac:dyDescent="0.25">
      <c r="A256" t="s">
        <v>770</v>
      </c>
      <c r="B256" t="s">
        <v>771</v>
      </c>
      <c r="C256" t="s">
        <v>772</v>
      </c>
      <c r="D256" t="s">
        <v>58</v>
      </c>
      <c r="E256" t="s">
        <v>203</v>
      </c>
      <c r="F256">
        <v>68</v>
      </c>
    </row>
    <row r="257" spans="1:6" x14ac:dyDescent="0.25">
      <c r="A257" t="s">
        <v>773</v>
      </c>
      <c r="B257" t="s">
        <v>774</v>
      </c>
      <c r="C257" t="s">
        <v>775</v>
      </c>
      <c r="D257" t="s">
        <v>58</v>
      </c>
      <c r="E257" t="s">
        <v>59</v>
      </c>
      <c r="F257">
        <v>42</v>
      </c>
    </row>
    <row r="258" spans="1:6" x14ac:dyDescent="0.25">
      <c r="A258" t="s">
        <v>776</v>
      </c>
      <c r="B258" t="s">
        <v>777</v>
      </c>
      <c r="C258" t="s">
        <v>778</v>
      </c>
      <c r="D258" t="s">
        <v>58</v>
      </c>
      <c r="E258" t="s">
        <v>187</v>
      </c>
      <c r="F258">
        <v>24</v>
      </c>
    </row>
    <row r="259" spans="1:6" x14ac:dyDescent="0.25">
      <c r="A259" t="s">
        <v>779</v>
      </c>
      <c r="B259" t="s">
        <v>777</v>
      </c>
      <c r="C259" t="s">
        <v>778</v>
      </c>
      <c r="D259" t="s">
        <v>58</v>
      </c>
      <c r="E259" t="s">
        <v>187</v>
      </c>
      <c r="F259">
        <v>177</v>
      </c>
    </row>
    <row r="260" spans="1:6" x14ac:dyDescent="0.25">
      <c r="A260" t="s">
        <v>780</v>
      </c>
      <c r="B260" t="s">
        <v>777</v>
      </c>
      <c r="C260" t="s">
        <v>778</v>
      </c>
      <c r="D260" t="s">
        <v>58</v>
      </c>
      <c r="E260" t="s">
        <v>187</v>
      </c>
      <c r="F260">
        <v>20</v>
      </c>
    </row>
    <row r="261" spans="1:6" x14ac:dyDescent="0.25">
      <c r="A261" t="s">
        <v>781</v>
      </c>
      <c r="B261" t="s">
        <v>782</v>
      </c>
      <c r="C261" t="s">
        <v>783</v>
      </c>
      <c r="D261" t="s">
        <v>58</v>
      </c>
      <c r="E261" t="s">
        <v>59</v>
      </c>
      <c r="F261">
        <v>47</v>
      </c>
    </row>
    <row r="262" spans="1:6" x14ac:dyDescent="0.25">
      <c r="A262" t="s">
        <v>784</v>
      </c>
      <c r="B262" t="s">
        <v>785</v>
      </c>
      <c r="C262" t="s">
        <v>786</v>
      </c>
      <c r="D262" t="s">
        <v>58</v>
      </c>
      <c r="E262" t="s">
        <v>187</v>
      </c>
      <c r="F262">
        <v>25</v>
      </c>
    </row>
    <row r="263" spans="1:6" x14ac:dyDescent="0.25">
      <c r="A263" t="s">
        <v>787</v>
      </c>
      <c r="B263" t="s">
        <v>788</v>
      </c>
      <c r="C263" t="s">
        <v>789</v>
      </c>
      <c r="D263" t="s">
        <v>58</v>
      </c>
      <c r="E263" t="s">
        <v>187</v>
      </c>
      <c r="F263">
        <v>165</v>
      </c>
    </row>
    <row r="264" spans="1:6" x14ac:dyDescent="0.25">
      <c r="A264" t="s">
        <v>790</v>
      </c>
      <c r="B264" t="s">
        <v>788</v>
      </c>
      <c r="C264" t="s">
        <v>789</v>
      </c>
      <c r="D264" t="s">
        <v>58</v>
      </c>
      <c r="E264" t="s">
        <v>187</v>
      </c>
      <c r="F264">
        <v>20</v>
      </c>
    </row>
    <row r="265" spans="1:6" x14ac:dyDescent="0.25">
      <c r="A265" t="s">
        <v>791</v>
      </c>
      <c r="B265" t="s">
        <v>792</v>
      </c>
      <c r="C265" t="s">
        <v>793</v>
      </c>
      <c r="D265" t="s">
        <v>58</v>
      </c>
      <c r="E265" t="s">
        <v>167</v>
      </c>
      <c r="F265">
        <v>88</v>
      </c>
    </row>
    <row r="266" spans="1:6" x14ac:dyDescent="0.25">
      <c r="A266" t="s">
        <v>794</v>
      </c>
      <c r="B266" t="s">
        <v>795</v>
      </c>
      <c r="C266" t="s">
        <v>796</v>
      </c>
      <c r="D266" t="s">
        <v>58</v>
      </c>
      <c r="E266" t="s">
        <v>59</v>
      </c>
      <c r="F266">
        <v>130</v>
      </c>
    </row>
    <row r="267" spans="1:6" x14ac:dyDescent="0.25">
      <c r="A267" t="s">
        <v>797</v>
      </c>
      <c r="B267" t="s">
        <v>798</v>
      </c>
      <c r="C267" t="s">
        <v>799</v>
      </c>
      <c r="D267" t="s">
        <v>58</v>
      </c>
      <c r="E267" t="s">
        <v>59</v>
      </c>
      <c r="F267">
        <v>47</v>
      </c>
    </row>
    <row r="268" spans="1:6" x14ac:dyDescent="0.25">
      <c r="A268" t="s">
        <v>800</v>
      </c>
      <c r="B268" t="s">
        <v>801</v>
      </c>
      <c r="C268" t="s">
        <v>802</v>
      </c>
      <c r="D268" t="s">
        <v>58</v>
      </c>
      <c r="E268" t="s">
        <v>167</v>
      </c>
      <c r="F268">
        <v>5</v>
      </c>
    </row>
    <row r="269" spans="1:6" x14ac:dyDescent="0.25">
      <c r="A269" t="s">
        <v>803</v>
      </c>
      <c r="B269" t="s">
        <v>804</v>
      </c>
      <c r="C269" t="s">
        <v>805</v>
      </c>
      <c r="D269" t="s">
        <v>58</v>
      </c>
      <c r="E269" t="s">
        <v>59</v>
      </c>
      <c r="F269">
        <v>15</v>
      </c>
    </row>
    <row r="270" spans="1:6" x14ac:dyDescent="0.25">
      <c r="A270" t="s">
        <v>806</v>
      </c>
      <c r="B270" t="s">
        <v>807</v>
      </c>
      <c r="C270" t="s">
        <v>808</v>
      </c>
      <c r="D270" t="s">
        <v>58</v>
      </c>
      <c r="E270" t="s">
        <v>59</v>
      </c>
      <c r="F270">
        <v>131</v>
      </c>
    </row>
    <row r="271" spans="1:6" x14ac:dyDescent="0.25">
      <c r="A271" t="s">
        <v>809</v>
      </c>
      <c r="B271" t="s">
        <v>810</v>
      </c>
      <c r="C271" t="s">
        <v>811</v>
      </c>
      <c r="D271" t="s">
        <v>58</v>
      </c>
      <c r="E271" t="s">
        <v>59</v>
      </c>
      <c r="F271">
        <v>818</v>
      </c>
    </row>
    <row r="272" spans="1:6" x14ac:dyDescent="0.25">
      <c r="A272" t="s">
        <v>812</v>
      </c>
      <c r="B272" t="s">
        <v>813</v>
      </c>
      <c r="C272" t="s">
        <v>814</v>
      </c>
      <c r="D272" t="s">
        <v>58</v>
      </c>
      <c r="E272" t="s">
        <v>59</v>
      </c>
      <c r="F272">
        <v>277</v>
      </c>
    </row>
    <row r="273" spans="1:6" x14ac:dyDescent="0.25">
      <c r="A273" t="s">
        <v>815</v>
      </c>
      <c r="B273" t="s">
        <v>816</v>
      </c>
      <c r="C273" t="s">
        <v>817</v>
      </c>
      <c r="D273" t="s">
        <v>58</v>
      </c>
      <c r="E273" t="s">
        <v>187</v>
      </c>
      <c r="F273">
        <v>76</v>
      </c>
    </row>
    <row r="274" spans="1:6" x14ac:dyDescent="0.25">
      <c r="A274" t="s">
        <v>818</v>
      </c>
      <c r="B274" t="s">
        <v>819</v>
      </c>
      <c r="C274" t="s">
        <v>820</v>
      </c>
      <c r="D274" t="s">
        <v>58</v>
      </c>
      <c r="E274" t="s">
        <v>187</v>
      </c>
      <c r="F274">
        <v>44</v>
      </c>
    </row>
    <row r="275" spans="1:6" x14ac:dyDescent="0.25">
      <c r="A275" t="s">
        <v>821</v>
      </c>
      <c r="B275" t="s">
        <v>822</v>
      </c>
      <c r="C275" t="s">
        <v>823</v>
      </c>
      <c r="D275" t="s">
        <v>58</v>
      </c>
      <c r="E275" t="s">
        <v>59</v>
      </c>
      <c r="F275">
        <v>53</v>
      </c>
    </row>
    <row r="276" spans="1:6" x14ac:dyDescent="0.25">
      <c r="A276" t="s">
        <v>824</v>
      </c>
      <c r="B276" t="s">
        <v>825</v>
      </c>
      <c r="C276" t="s">
        <v>826</v>
      </c>
      <c r="D276" t="s">
        <v>58</v>
      </c>
      <c r="E276" t="s">
        <v>187</v>
      </c>
      <c r="F276">
        <v>91</v>
      </c>
    </row>
    <row r="277" spans="1:6" x14ac:dyDescent="0.25">
      <c r="A277" t="s">
        <v>827</v>
      </c>
      <c r="B277" t="s">
        <v>828</v>
      </c>
      <c r="C277" t="s">
        <v>829</v>
      </c>
      <c r="D277" t="s">
        <v>58</v>
      </c>
      <c r="E277" t="s">
        <v>225</v>
      </c>
      <c r="F277">
        <v>13</v>
      </c>
    </row>
    <row r="278" spans="1:6" x14ac:dyDescent="0.25">
      <c r="A278" t="s">
        <v>830</v>
      </c>
      <c r="B278" t="s">
        <v>831</v>
      </c>
      <c r="C278" t="s">
        <v>832</v>
      </c>
      <c r="D278" t="s">
        <v>58</v>
      </c>
      <c r="E278" t="s">
        <v>203</v>
      </c>
      <c r="F278">
        <v>4</v>
      </c>
    </row>
    <row r="279" spans="1:6" x14ac:dyDescent="0.25">
      <c r="A279" t="s">
        <v>833</v>
      </c>
      <c r="B279" t="s">
        <v>834</v>
      </c>
      <c r="C279" t="s">
        <v>835</v>
      </c>
      <c r="D279" t="s">
        <v>58</v>
      </c>
      <c r="E279" t="s">
        <v>203</v>
      </c>
      <c r="F279">
        <v>64</v>
      </c>
    </row>
    <row r="280" spans="1:6" x14ac:dyDescent="0.25">
      <c r="A280" t="s">
        <v>836</v>
      </c>
      <c r="B280" t="s">
        <v>837</v>
      </c>
      <c r="C280" t="s">
        <v>838</v>
      </c>
      <c r="D280" t="s">
        <v>58</v>
      </c>
      <c r="E280" t="s">
        <v>167</v>
      </c>
      <c r="F280">
        <v>362</v>
      </c>
    </row>
    <row r="281" spans="1:6" x14ac:dyDescent="0.25">
      <c r="A281" t="s">
        <v>839</v>
      </c>
      <c r="B281" t="s">
        <v>840</v>
      </c>
      <c r="C281" t="s">
        <v>841</v>
      </c>
      <c r="D281" t="s">
        <v>58</v>
      </c>
      <c r="E281" t="s">
        <v>167</v>
      </c>
      <c r="F281">
        <v>74</v>
      </c>
    </row>
    <row r="282" spans="1:6" x14ac:dyDescent="0.25">
      <c r="A282" t="s">
        <v>842</v>
      </c>
      <c r="B282" t="s">
        <v>843</v>
      </c>
      <c r="C282" t="s">
        <v>844</v>
      </c>
      <c r="D282" t="s">
        <v>58</v>
      </c>
      <c r="E282" t="s">
        <v>160</v>
      </c>
      <c r="F282">
        <v>29</v>
      </c>
    </row>
    <row r="283" spans="1:6" x14ac:dyDescent="0.25">
      <c r="A283" t="s">
        <v>845</v>
      </c>
      <c r="B283" t="s">
        <v>846</v>
      </c>
      <c r="C283" t="s">
        <v>847</v>
      </c>
      <c r="D283" t="s">
        <v>58</v>
      </c>
      <c r="E283" t="s">
        <v>150</v>
      </c>
      <c r="F283">
        <v>300</v>
      </c>
    </row>
    <row r="284" spans="1:6" x14ac:dyDescent="0.25">
      <c r="A284" t="s">
        <v>848</v>
      </c>
      <c r="B284" t="s">
        <v>849</v>
      </c>
      <c r="C284" t="s">
        <v>850</v>
      </c>
      <c r="D284" t="s">
        <v>58</v>
      </c>
      <c r="E284" t="s">
        <v>150</v>
      </c>
      <c r="F284">
        <v>111</v>
      </c>
    </row>
    <row r="285" spans="1:6" x14ac:dyDescent="0.25">
      <c r="A285" t="s">
        <v>851</v>
      </c>
      <c r="B285" t="s">
        <v>852</v>
      </c>
      <c r="C285" t="s">
        <v>853</v>
      </c>
      <c r="D285" t="s">
        <v>58</v>
      </c>
      <c r="E285" t="s">
        <v>167</v>
      </c>
      <c r="F285">
        <v>62</v>
      </c>
    </row>
    <row r="286" spans="1:6" x14ac:dyDescent="0.25">
      <c r="A286" t="s">
        <v>854</v>
      </c>
      <c r="B286" t="s">
        <v>855</v>
      </c>
      <c r="C286" t="s">
        <v>856</v>
      </c>
      <c r="D286" t="s">
        <v>58</v>
      </c>
      <c r="E286" t="s">
        <v>150</v>
      </c>
      <c r="F286">
        <v>202</v>
      </c>
    </row>
    <row r="287" spans="1:6" x14ac:dyDescent="0.25">
      <c r="A287" t="s">
        <v>857</v>
      </c>
      <c r="B287" t="s">
        <v>858</v>
      </c>
      <c r="C287" t="s">
        <v>859</v>
      </c>
      <c r="D287" t="s">
        <v>58</v>
      </c>
      <c r="E287" t="s">
        <v>150</v>
      </c>
      <c r="F287">
        <v>24</v>
      </c>
    </row>
    <row r="288" spans="1:6" x14ac:dyDescent="0.25">
      <c r="A288" t="s">
        <v>860</v>
      </c>
      <c r="B288" t="s">
        <v>861</v>
      </c>
      <c r="C288" t="s">
        <v>862</v>
      </c>
      <c r="D288" t="s">
        <v>58</v>
      </c>
      <c r="E288" t="s">
        <v>150</v>
      </c>
      <c r="F288">
        <v>106</v>
      </c>
    </row>
    <row r="289" spans="1:6" x14ac:dyDescent="0.25">
      <c r="A289" t="s">
        <v>863</v>
      </c>
      <c r="B289" t="s">
        <v>864</v>
      </c>
      <c r="C289" t="s">
        <v>865</v>
      </c>
      <c r="D289" t="s">
        <v>58</v>
      </c>
      <c r="E289" t="s">
        <v>150</v>
      </c>
      <c r="F289">
        <v>12</v>
      </c>
    </row>
    <row r="290" spans="1:6" x14ac:dyDescent="0.25">
      <c r="A290" t="s">
        <v>866</v>
      </c>
      <c r="B290" t="s">
        <v>867</v>
      </c>
      <c r="C290" t="s">
        <v>868</v>
      </c>
      <c r="D290" t="s">
        <v>58</v>
      </c>
      <c r="E290" t="s">
        <v>150</v>
      </c>
      <c r="F290">
        <v>135</v>
      </c>
    </row>
    <row r="291" spans="1:6" x14ac:dyDescent="0.25">
      <c r="A291" t="s">
        <v>869</v>
      </c>
      <c r="B291" t="s">
        <v>870</v>
      </c>
      <c r="C291" t="s">
        <v>871</v>
      </c>
      <c r="D291" t="s">
        <v>58</v>
      </c>
      <c r="E291" t="s">
        <v>59</v>
      </c>
      <c r="F291">
        <v>250</v>
      </c>
    </row>
    <row r="292" spans="1:6" x14ac:dyDescent="0.25">
      <c r="A292" t="s">
        <v>872</v>
      </c>
      <c r="B292" t="s">
        <v>873</v>
      </c>
      <c r="C292" t="s">
        <v>874</v>
      </c>
      <c r="D292" t="s">
        <v>58</v>
      </c>
      <c r="E292" t="s">
        <v>150</v>
      </c>
      <c r="F292">
        <v>137</v>
      </c>
    </row>
    <row r="293" spans="1:6" x14ac:dyDescent="0.25">
      <c r="A293" t="s">
        <v>875</v>
      </c>
      <c r="B293" t="s">
        <v>876</v>
      </c>
      <c r="C293" t="s">
        <v>877</v>
      </c>
      <c r="D293" t="s">
        <v>58</v>
      </c>
      <c r="E293" t="s">
        <v>150</v>
      </c>
      <c r="F293">
        <v>71</v>
      </c>
    </row>
    <row r="294" spans="1:6" x14ac:dyDescent="0.25">
      <c r="A294" t="s">
        <v>878</v>
      </c>
      <c r="B294" t="s">
        <v>879</v>
      </c>
      <c r="C294" t="s">
        <v>880</v>
      </c>
      <c r="D294" t="s">
        <v>58</v>
      </c>
      <c r="E294" t="s">
        <v>150</v>
      </c>
      <c r="F294">
        <v>94</v>
      </c>
    </row>
    <row r="295" spans="1:6" x14ac:dyDescent="0.25">
      <c r="A295" t="s">
        <v>881</v>
      </c>
      <c r="B295" t="s">
        <v>882</v>
      </c>
      <c r="C295" t="s">
        <v>883</v>
      </c>
      <c r="D295" t="s">
        <v>58</v>
      </c>
      <c r="E295" t="s">
        <v>150</v>
      </c>
      <c r="F295">
        <v>74</v>
      </c>
    </row>
    <row r="296" spans="1:6" x14ac:dyDescent="0.25">
      <c r="A296" t="s">
        <v>884</v>
      </c>
      <c r="B296" t="s">
        <v>885</v>
      </c>
      <c r="C296" t="s">
        <v>886</v>
      </c>
      <c r="D296" t="s">
        <v>58</v>
      </c>
      <c r="E296" t="s">
        <v>59</v>
      </c>
      <c r="F296">
        <v>15</v>
      </c>
    </row>
    <row r="297" spans="1:6" x14ac:dyDescent="0.25">
      <c r="A297" t="s">
        <v>887</v>
      </c>
      <c r="B297" t="s">
        <v>888</v>
      </c>
      <c r="C297" t="s">
        <v>889</v>
      </c>
      <c r="D297" t="s">
        <v>58</v>
      </c>
      <c r="E297" t="s">
        <v>167</v>
      </c>
      <c r="F297">
        <v>252</v>
      </c>
    </row>
    <row r="298" spans="1:6" x14ac:dyDescent="0.25">
      <c r="A298" t="s">
        <v>890</v>
      </c>
      <c r="B298" t="s">
        <v>891</v>
      </c>
      <c r="C298" t="s">
        <v>892</v>
      </c>
      <c r="D298" t="s">
        <v>58</v>
      </c>
      <c r="E298" t="s">
        <v>167</v>
      </c>
      <c r="F298">
        <v>553</v>
      </c>
    </row>
    <row r="299" spans="1:6" x14ac:dyDescent="0.25">
      <c r="A299" t="s">
        <v>893</v>
      </c>
      <c r="B299" t="s">
        <v>894</v>
      </c>
      <c r="C299" t="s">
        <v>895</v>
      </c>
      <c r="D299" t="s">
        <v>58</v>
      </c>
      <c r="E299" t="s">
        <v>167</v>
      </c>
      <c r="F299">
        <v>312</v>
      </c>
    </row>
    <row r="300" spans="1:6" x14ac:dyDescent="0.25">
      <c r="A300" t="s">
        <v>896</v>
      </c>
      <c r="B300" t="s">
        <v>897</v>
      </c>
      <c r="C300" t="s">
        <v>898</v>
      </c>
      <c r="D300" t="s">
        <v>58</v>
      </c>
      <c r="E300" t="s">
        <v>160</v>
      </c>
      <c r="F300">
        <v>55</v>
      </c>
    </row>
    <row r="301" spans="1:6" x14ac:dyDescent="0.25">
      <c r="A301" t="s">
        <v>899</v>
      </c>
      <c r="B301" t="s">
        <v>897</v>
      </c>
      <c r="C301" t="s">
        <v>900</v>
      </c>
      <c r="D301" t="s">
        <v>58</v>
      </c>
      <c r="E301" t="s">
        <v>160</v>
      </c>
      <c r="F301">
        <v>6</v>
      </c>
    </row>
    <row r="302" spans="1:6" x14ac:dyDescent="0.25">
      <c r="A302" t="s">
        <v>901</v>
      </c>
      <c r="B302" t="s">
        <v>902</v>
      </c>
      <c r="C302" t="s">
        <v>903</v>
      </c>
      <c r="D302" t="s">
        <v>58</v>
      </c>
      <c r="E302" t="s">
        <v>160</v>
      </c>
      <c r="F302">
        <v>83</v>
      </c>
    </row>
    <row r="303" spans="1:6" x14ac:dyDescent="0.25">
      <c r="A303" t="s">
        <v>904</v>
      </c>
      <c r="B303" t="s">
        <v>902</v>
      </c>
      <c r="C303" t="s">
        <v>903</v>
      </c>
      <c r="D303" t="s">
        <v>58</v>
      </c>
      <c r="E303" t="s">
        <v>160</v>
      </c>
      <c r="F303">
        <v>6</v>
      </c>
    </row>
    <row r="304" spans="1:6" x14ac:dyDescent="0.25">
      <c r="A304" t="s">
        <v>905</v>
      </c>
      <c r="B304" t="s">
        <v>906</v>
      </c>
      <c r="C304" t="s">
        <v>907</v>
      </c>
      <c r="D304" t="s">
        <v>58</v>
      </c>
      <c r="E304" t="s">
        <v>160</v>
      </c>
      <c r="F304">
        <v>73</v>
      </c>
    </row>
    <row r="305" spans="1:6" x14ac:dyDescent="0.25">
      <c r="A305" t="s">
        <v>908</v>
      </c>
      <c r="B305" t="s">
        <v>909</v>
      </c>
      <c r="C305" t="s">
        <v>910</v>
      </c>
      <c r="D305" t="s">
        <v>58</v>
      </c>
      <c r="E305" t="s">
        <v>160</v>
      </c>
      <c r="F305">
        <v>74</v>
      </c>
    </row>
    <row r="306" spans="1:6" x14ac:dyDescent="0.25">
      <c r="A306" t="s">
        <v>911</v>
      </c>
      <c r="B306" t="s">
        <v>909</v>
      </c>
      <c r="C306" t="s">
        <v>910</v>
      </c>
      <c r="D306" t="s">
        <v>58</v>
      </c>
      <c r="E306" t="s">
        <v>160</v>
      </c>
      <c r="F306">
        <v>23</v>
      </c>
    </row>
    <row r="307" spans="1:6" x14ac:dyDescent="0.25">
      <c r="A307" t="s">
        <v>912</v>
      </c>
      <c r="B307" t="s">
        <v>913</v>
      </c>
      <c r="C307" t="s">
        <v>914</v>
      </c>
      <c r="D307" t="s">
        <v>58</v>
      </c>
      <c r="E307" t="s">
        <v>150</v>
      </c>
      <c r="F307">
        <v>21</v>
      </c>
    </row>
    <row r="308" spans="1:6" x14ac:dyDescent="0.25">
      <c r="A308" t="s">
        <v>915</v>
      </c>
      <c r="B308" t="s">
        <v>916</v>
      </c>
      <c r="C308" t="s">
        <v>917</v>
      </c>
      <c r="D308" t="s">
        <v>58</v>
      </c>
      <c r="E308" t="s">
        <v>150</v>
      </c>
      <c r="F308">
        <v>1</v>
      </c>
    </row>
    <row r="309" spans="1:6" x14ac:dyDescent="0.25">
      <c r="A309" t="s">
        <v>918</v>
      </c>
      <c r="B309" t="s">
        <v>919</v>
      </c>
      <c r="C309" t="s">
        <v>920</v>
      </c>
      <c r="D309" t="s">
        <v>58</v>
      </c>
      <c r="E309" t="s">
        <v>150</v>
      </c>
      <c r="F309">
        <v>263</v>
      </c>
    </row>
    <row r="310" spans="1:6" x14ac:dyDescent="0.25">
      <c r="A310" t="s">
        <v>921</v>
      </c>
      <c r="B310" t="s">
        <v>922</v>
      </c>
      <c r="C310" t="s">
        <v>923</v>
      </c>
      <c r="D310" t="s">
        <v>58</v>
      </c>
      <c r="E310" t="s">
        <v>150</v>
      </c>
      <c r="F310">
        <v>154</v>
      </c>
    </row>
    <row r="311" spans="1:6" x14ac:dyDescent="0.25">
      <c r="A311" t="s">
        <v>924</v>
      </c>
      <c r="B311" t="s">
        <v>925</v>
      </c>
      <c r="C311" t="s">
        <v>926</v>
      </c>
      <c r="D311" t="s">
        <v>58</v>
      </c>
      <c r="E311" t="s">
        <v>150</v>
      </c>
      <c r="F311">
        <v>25</v>
      </c>
    </row>
    <row r="312" spans="1:6" x14ac:dyDescent="0.25">
      <c r="A312" t="s">
        <v>927</v>
      </c>
      <c r="B312" t="s">
        <v>928</v>
      </c>
      <c r="C312" t="s">
        <v>929</v>
      </c>
      <c r="D312" t="s">
        <v>58</v>
      </c>
      <c r="E312" t="s">
        <v>150</v>
      </c>
      <c r="F312">
        <v>70</v>
      </c>
    </row>
    <row r="313" spans="1:6" x14ac:dyDescent="0.25">
      <c r="A313" t="s">
        <v>930</v>
      </c>
      <c r="B313" t="s">
        <v>931</v>
      </c>
      <c r="C313" t="s">
        <v>932</v>
      </c>
      <c r="D313" t="s">
        <v>58</v>
      </c>
      <c r="E313" t="s">
        <v>150</v>
      </c>
      <c r="F313">
        <v>10</v>
      </c>
    </row>
    <row r="314" spans="1:6" x14ac:dyDescent="0.25">
      <c r="A314" t="s">
        <v>933</v>
      </c>
      <c r="B314" t="s">
        <v>934</v>
      </c>
      <c r="C314" t="s">
        <v>935</v>
      </c>
      <c r="D314" t="s">
        <v>58</v>
      </c>
      <c r="E314" t="s">
        <v>59</v>
      </c>
      <c r="F314">
        <v>78</v>
      </c>
    </row>
    <row r="315" spans="1:6" x14ac:dyDescent="0.25">
      <c r="A315" t="s">
        <v>936</v>
      </c>
      <c r="B315" t="s">
        <v>937</v>
      </c>
      <c r="C315" t="s">
        <v>938</v>
      </c>
      <c r="D315" t="s">
        <v>58</v>
      </c>
      <c r="E315" t="s">
        <v>59</v>
      </c>
      <c r="F315">
        <v>109</v>
      </c>
    </row>
    <row r="316" spans="1:6" x14ac:dyDescent="0.25">
      <c r="A316" t="s">
        <v>939</v>
      </c>
      <c r="B316" t="s">
        <v>940</v>
      </c>
      <c r="C316" t="s">
        <v>941</v>
      </c>
      <c r="D316" t="s">
        <v>58</v>
      </c>
      <c r="E316" t="s">
        <v>304</v>
      </c>
      <c r="F316">
        <v>76</v>
      </c>
    </row>
    <row r="317" spans="1:6" x14ac:dyDescent="0.25">
      <c r="A317" t="s">
        <v>942</v>
      </c>
      <c r="B317" t="s">
        <v>943</v>
      </c>
      <c r="C317" t="s">
        <v>944</v>
      </c>
      <c r="D317" t="s">
        <v>58</v>
      </c>
      <c r="E317" t="s">
        <v>167</v>
      </c>
      <c r="F317">
        <v>504</v>
      </c>
    </row>
    <row r="318" spans="1:6" x14ac:dyDescent="0.25">
      <c r="A318" t="s">
        <v>945</v>
      </c>
      <c r="B318" t="s">
        <v>946</v>
      </c>
      <c r="C318" t="s">
        <v>947</v>
      </c>
      <c r="D318" t="s">
        <v>58</v>
      </c>
      <c r="E318" t="s">
        <v>167</v>
      </c>
      <c r="F318">
        <v>332</v>
      </c>
    </row>
    <row r="319" spans="1:6" x14ac:dyDescent="0.25">
      <c r="A319" t="s">
        <v>948</v>
      </c>
      <c r="B319" t="s">
        <v>949</v>
      </c>
      <c r="C319" t="s">
        <v>950</v>
      </c>
      <c r="D319" t="s">
        <v>58</v>
      </c>
      <c r="E319" t="s">
        <v>167</v>
      </c>
      <c r="F319">
        <v>236</v>
      </c>
    </row>
    <row r="320" spans="1:6" x14ac:dyDescent="0.25">
      <c r="A320" t="s">
        <v>951</v>
      </c>
      <c r="B320" t="s">
        <v>952</v>
      </c>
      <c r="C320" t="s">
        <v>953</v>
      </c>
      <c r="D320" t="s">
        <v>58</v>
      </c>
      <c r="E320" t="s">
        <v>167</v>
      </c>
      <c r="F320">
        <v>1</v>
      </c>
    </row>
    <row r="321" spans="1:6" x14ac:dyDescent="0.25">
      <c r="A321" t="s">
        <v>954</v>
      </c>
      <c r="B321" t="s">
        <v>955</v>
      </c>
      <c r="C321" t="s">
        <v>956</v>
      </c>
      <c r="D321" t="s">
        <v>58</v>
      </c>
      <c r="E321" t="s">
        <v>160</v>
      </c>
      <c r="F321">
        <v>18</v>
      </c>
    </row>
    <row r="322" spans="1:6" x14ac:dyDescent="0.25">
      <c r="A322" t="s">
        <v>957</v>
      </c>
      <c r="B322" t="s">
        <v>958</v>
      </c>
      <c r="C322" t="s">
        <v>959</v>
      </c>
      <c r="D322" t="s">
        <v>58</v>
      </c>
      <c r="E322" t="s">
        <v>203</v>
      </c>
      <c r="F322">
        <v>24</v>
      </c>
    </row>
    <row r="323" spans="1:6" x14ac:dyDescent="0.25">
      <c r="A323" t="s">
        <v>960</v>
      </c>
      <c r="B323" t="s">
        <v>961</v>
      </c>
      <c r="C323" t="s">
        <v>962</v>
      </c>
      <c r="D323" t="s">
        <v>58</v>
      </c>
      <c r="E323" t="s">
        <v>203</v>
      </c>
      <c r="F323">
        <v>24</v>
      </c>
    </row>
    <row r="324" spans="1:6" x14ac:dyDescent="0.25">
      <c r="A324" t="s">
        <v>963</v>
      </c>
      <c r="B324" t="s">
        <v>964</v>
      </c>
      <c r="C324" t="s">
        <v>965</v>
      </c>
      <c r="D324" t="s">
        <v>58</v>
      </c>
      <c r="E324" t="s">
        <v>203</v>
      </c>
      <c r="F324">
        <v>25</v>
      </c>
    </row>
    <row r="325" spans="1:6" x14ac:dyDescent="0.25">
      <c r="A325" t="s">
        <v>966</v>
      </c>
      <c r="B325" t="s">
        <v>967</v>
      </c>
      <c r="C325" t="s">
        <v>968</v>
      </c>
      <c r="D325" t="s">
        <v>58</v>
      </c>
      <c r="E325" t="s">
        <v>203</v>
      </c>
      <c r="F325">
        <v>25</v>
      </c>
    </row>
    <row r="326" spans="1:6" x14ac:dyDescent="0.25">
      <c r="A326" t="s">
        <v>969</v>
      </c>
      <c r="B326" t="s">
        <v>970</v>
      </c>
      <c r="C326" t="s">
        <v>971</v>
      </c>
      <c r="D326" t="s">
        <v>58</v>
      </c>
      <c r="E326" t="s">
        <v>203</v>
      </c>
      <c r="F326">
        <v>25</v>
      </c>
    </row>
    <row r="327" spans="1:6" x14ac:dyDescent="0.25">
      <c r="A327" t="s">
        <v>972</v>
      </c>
      <c r="B327" t="s">
        <v>973</v>
      </c>
      <c r="C327" t="s">
        <v>974</v>
      </c>
      <c r="D327" t="s">
        <v>58</v>
      </c>
      <c r="E327" t="s">
        <v>304</v>
      </c>
      <c r="F327">
        <v>81</v>
      </c>
    </row>
    <row r="328" spans="1:6" x14ac:dyDescent="0.25">
      <c r="A328" t="s">
        <v>975</v>
      </c>
      <c r="B328" t="s">
        <v>976</v>
      </c>
      <c r="C328" t="s">
        <v>977</v>
      </c>
      <c r="D328" t="s">
        <v>58</v>
      </c>
      <c r="E328" t="s">
        <v>375</v>
      </c>
      <c r="F328">
        <v>1642</v>
      </c>
    </row>
    <row r="329" spans="1:6" x14ac:dyDescent="0.25">
      <c r="A329" t="s">
        <v>978</v>
      </c>
      <c r="B329" t="s">
        <v>979</v>
      </c>
      <c r="C329" t="s">
        <v>980</v>
      </c>
      <c r="D329" t="s">
        <v>58</v>
      </c>
      <c r="E329" t="s">
        <v>304</v>
      </c>
      <c r="F329">
        <v>86</v>
      </c>
    </row>
    <row r="330" spans="1:6" x14ac:dyDescent="0.25">
      <c r="A330" t="s">
        <v>981</v>
      </c>
      <c r="B330" t="s">
        <v>982</v>
      </c>
      <c r="C330" t="s">
        <v>983</v>
      </c>
      <c r="D330" t="s">
        <v>58</v>
      </c>
      <c r="E330" t="s">
        <v>150</v>
      </c>
      <c r="F330">
        <v>32</v>
      </c>
    </row>
    <row r="331" spans="1:6" x14ac:dyDescent="0.25">
      <c r="A331" t="s">
        <v>984</v>
      </c>
      <c r="B331" t="s">
        <v>985</v>
      </c>
      <c r="C331" t="s">
        <v>986</v>
      </c>
      <c r="D331" t="s">
        <v>58</v>
      </c>
      <c r="E331" t="s">
        <v>150</v>
      </c>
      <c r="F331">
        <v>86</v>
      </c>
    </row>
    <row r="332" spans="1:6" x14ac:dyDescent="0.25">
      <c r="A332" t="s">
        <v>987</v>
      </c>
      <c r="B332" t="s">
        <v>988</v>
      </c>
      <c r="C332" t="s">
        <v>989</v>
      </c>
      <c r="D332" t="s">
        <v>58</v>
      </c>
      <c r="E332" t="s">
        <v>203</v>
      </c>
      <c r="F332">
        <v>493</v>
      </c>
    </row>
    <row r="333" spans="1:6" x14ac:dyDescent="0.25">
      <c r="A333" t="s">
        <v>990</v>
      </c>
      <c r="B333" t="s">
        <v>991</v>
      </c>
      <c r="C333" t="s">
        <v>992</v>
      </c>
      <c r="D333" t="s">
        <v>58</v>
      </c>
      <c r="E333" t="s">
        <v>203</v>
      </c>
      <c r="F333">
        <v>493</v>
      </c>
    </row>
    <row r="334" spans="1:6" x14ac:dyDescent="0.25">
      <c r="A334" t="s">
        <v>993</v>
      </c>
      <c r="B334" t="s">
        <v>994</v>
      </c>
      <c r="C334" t="s">
        <v>995</v>
      </c>
      <c r="D334" t="s">
        <v>58</v>
      </c>
      <c r="E334" t="s">
        <v>203</v>
      </c>
      <c r="F334">
        <v>15</v>
      </c>
    </row>
    <row r="335" spans="1:6" x14ac:dyDescent="0.25">
      <c r="A335" t="s">
        <v>996</v>
      </c>
      <c r="B335" t="s">
        <v>997</v>
      </c>
      <c r="C335" t="s">
        <v>998</v>
      </c>
      <c r="D335" t="s">
        <v>58</v>
      </c>
      <c r="E335" t="s">
        <v>59</v>
      </c>
      <c r="F335">
        <v>1</v>
      </c>
    </row>
    <row r="336" spans="1:6" x14ac:dyDescent="0.25">
      <c r="A336" t="s">
        <v>999</v>
      </c>
      <c r="B336" t="s">
        <v>1000</v>
      </c>
      <c r="C336" t="s">
        <v>1001</v>
      </c>
      <c r="D336" t="s">
        <v>58</v>
      </c>
      <c r="E336" t="s">
        <v>167</v>
      </c>
      <c r="F336">
        <v>594</v>
      </c>
    </row>
    <row r="337" spans="1:6" x14ac:dyDescent="0.25">
      <c r="A337" t="s">
        <v>1002</v>
      </c>
      <c r="B337" t="s">
        <v>1003</v>
      </c>
      <c r="C337" t="s">
        <v>1004</v>
      </c>
      <c r="D337" t="s">
        <v>58</v>
      </c>
      <c r="E337" t="s">
        <v>160</v>
      </c>
      <c r="F337">
        <v>149</v>
      </c>
    </row>
    <row r="338" spans="1:6" x14ac:dyDescent="0.25">
      <c r="A338" t="s">
        <v>1005</v>
      </c>
      <c r="B338" t="s">
        <v>1006</v>
      </c>
      <c r="C338" t="s">
        <v>1007</v>
      </c>
      <c r="D338" t="s">
        <v>58</v>
      </c>
      <c r="E338" t="s">
        <v>150</v>
      </c>
      <c r="F338">
        <v>105</v>
      </c>
    </row>
    <row r="339" spans="1:6" x14ac:dyDescent="0.25">
      <c r="A339" t="s">
        <v>1008</v>
      </c>
      <c r="B339" t="s">
        <v>1009</v>
      </c>
      <c r="C339" t="s">
        <v>1010</v>
      </c>
      <c r="D339" t="s">
        <v>58</v>
      </c>
      <c r="E339" t="s">
        <v>150</v>
      </c>
      <c r="F339">
        <v>545</v>
      </c>
    </row>
    <row r="340" spans="1:6" x14ac:dyDescent="0.25">
      <c r="A340" t="s">
        <v>1011</v>
      </c>
      <c r="B340" t="s">
        <v>1012</v>
      </c>
      <c r="C340" t="s">
        <v>1013</v>
      </c>
      <c r="D340" t="s">
        <v>58</v>
      </c>
      <c r="E340" t="s">
        <v>167</v>
      </c>
      <c r="F340">
        <v>985</v>
      </c>
    </row>
    <row r="341" spans="1:6" x14ac:dyDescent="0.25">
      <c r="A341" t="s">
        <v>1014</v>
      </c>
      <c r="B341" t="s">
        <v>1015</v>
      </c>
      <c r="C341" t="s">
        <v>1016</v>
      </c>
      <c r="D341" t="s">
        <v>58</v>
      </c>
      <c r="E341" t="s">
        <v>203</v>
      </c>
      <c r="F341">
        <v>698</v>
      </c>
    </row>
    <row r="342" spans="1:6" x14ac:dyDescent="0.25">
      <c r="A342" t="s">
        <v>1017</v>
      </c>
      <c r="B342" t="s">
        <v>1018</v>
      </c>
      <c r="C342" t="s">
        <v>1019</v>
      </c>
      <c r="D342" t="s">
        <v>58</v>
      </c>
      <c r="E342" t="s">
        <v>203</v>
      </c>
      <c r="F342">
        <v>641</v>
      </c>
    </row>
    <row r="343" spans="1:6" x14ac:dyDescent="0.25">
      <c r="A343" t="s">
        <v>1020</v>
      </c>
      <c r="B343" t="s">
        <v>1021</v>
      </c>
      <c r="C343" t="s">
        <v>1022</v>
      </c>
      <c r="D343" t="s">
        <v>58</v>
      </c>
      <c r="E343" t="s">
        <v>150</v>
      </c>
      <c r="F343">
        <v>120</v>
      </c>
    </row>
    <row r="344" spans="1:6" x14ac:dyDescent="0.25">
      <c r="A344" t="s">
        <v>1023</v>
      </c>
      <c r="B344" t="s">
        <v>1024</v>
      </c>
      <c r="C344" t="s">
        <v>1025</v>
      </c>
      <c r="D344" t="s">
        <v>58</v>
      </c>
      <c r="E344" t="s">
        <v>167</v>
      </c>
      <c r="F344">
        <v>31</v>
      </c>
    </row>
    <row r="345" spans="1:6" x14ac:dyDescent="0.25">
      <c r="A345" t="s">
        <v>1026</v>
      </c>
      <c r="B345" t="s">
        <v>1027</v>
      </c>
      <c r="C345" t="s">
        <v>1028</v>
      </c>
      <c r="D345" t="s">
        <v>58</v>
      </c>
      <c r="E345" t="s">
        <v>167</v>
      </c>
      <c r="F345">
        <v>48</v>
      </c>
    </row>
    <row r="346" spans="1:6" x14ac:dyDescent="0.25">
      <c r="A346" t="s">
        <v>1029</v>
      </c>
      <c r="B346" t="s">
        <v>1030</v>
      </c>
      <c r="C346" t="s">
        <v>1031</v>
      </c>
      <c r="D346" t="s">
        <v>58</v>
      </c>
      <c r="E346" t="s">
        <v>167</v>
      </c>
      <c r="F346">
        <v>10</v>
      </c>
    </row>
    <row r="347" spans="1:6" x14ac:dyDescent="0.25">
      <c r="A347" t="s">
        <v>1032</v>
      </c>
      <c r="B347" t="s">
        <v>1033</v>
      </c>
      <c r="C347" t="s">
        <v>1034</v>
      </c>
      <c r="D347" t="s">
        <v>58</v>
      </c>
      <c r="E347" t="s">
        <v>167</v>
      </c>
      <c r="F347">
        <v>12</v>
      </c>
    </row>
    <row r="348" spans="1:6" x14ac:dyDescent="0.25">
      <c r="A348" t="s">
        <v>1035</v>
      </c>
      <c r="B348" t="s">
        <v>1036</v>
      </c>
      <c r="C348" t="s">
        <v>1037</v>
      </c>
      <c r="D348" t="s">
        <v>58</v>
      </c>
      <c r="E348" t="s">
        <v>187</v>
      </c>
      <c r="F348">
        <v>208.74</v>
      </c>
    </row>
    <row r="349" spans="1:6" x14ac:dyDescent="0.25">
      <c r="A349" t="s">
        <v>1038</v>
      </c>
      <c r="B349" t="s">
        <v>1039</v>
      </c>
      <c r="C349" t="s">
        <v>1040</v>
      </c>
      <c r="D349" t="s">
        <v>58</v>
      </c>
      <c r="E349" t="s">
        <v>160</v>
      </c>
      <c r="F349">
        <v>75</v>
      </c>
    </row>
    <row r="350" spans="1:6" x14ac:dyDescent="0.25">
      <c r="A350" t="s">
        <v>1041</v>
      </c>
      <c r="B350" t="s">
        <v>1042</v>
      </c>
      <c r="C350" t="s">
        <v>1043</v>
      </c>
      <c r="D350" t="s">
        <v>58</v>
      </c>
      <c r="E350" t="s">
        <v>160</v>
      </c>
      <c r="F350">
        <v>20</v>
      </c>
    </row>
    <row r="351" spans="1:6" x14ac:dyDescent="0.25">
      <c r="A351" t="s">
        <v>1044</v>
      </c>
      <c r="B351" t="s">
        <v>1042</v>
      </c>
      <c r="C351" t="s">
        <v>1043</v>
      </c>
      <c r="D351" t="s">
        <v>58</v>
      </c>
      <c r="E351" t="s">
        <v>160</v>
      </c>
      <c r="F351">
        <v>113</v>
      </c>
    </row>
    <row r="352" spans="1:6" x14ac:dyDescent="0.25">
      <c r="A352" t="s">
        <v>1045</v>
      </c>
      <c r="B352" t="s">
        <v>1046</v>
      </c>
      <c r="C352" t="s">
        <v>1047</v>
      </c>
      <c r="D352" t="s">
        <v>58</v>
      </c>
      <c r="E352" t="s">
        <v>160</v>
      </c>
      <c r="F352">
        <v>14</v>
      </c>
    </row>
    <row r="353" spans="1:6" x14ac:dyDescent="0.25">
      <c r="A353" t="s">
        <v>1048</v>
      </c>
      <c r="B353" t="s">
        <v>1049</v>
      </c>
      <c r="C353" t="s">
        <v>1050</v>
      </c>
      <c r="D353" t="s">
        <v>58</v>
      </c>
      <c r="E353" t="s">
        <v>160</v>
      </c>
      <c r="F353">
        <v>2</v>
      </c>
    </row>
    <row r="354" spans="1:6" x14ac:dyDescent="0.25">
      <c r="A354" t="s">
        <v>1051</v>
      </c>
      <c r="B354" t="s">
        <v>1052</v>
      </c>
      <c r="C354" t="s">
        <v>1053</v>
      </c>
      <c r="D354" t="s">
        <v>58</v>
      </c>
      <c r="E354" t="s">
        <v>167</v>
      </c>
      <c r="F354">
        <v>4</v>
      </c>
    </row>
    <row r="355" spans="1:6" x14ac:dyDescent="0.25">
      <c r="A355" t="s">
        <v>1054</v>
      </c>
      <c r="B355" t="s">
        <v>1055</v>
      </c>
      <c r="C355" t="s">
        <v>1056</v>
      </c>
      <c r="D355" t="s">
        <v>58</v>
      </c>
      <c r="E355" t="s">
        <v>167</v>
      </c>
      <c r="F355">
        <v>98</v>
      </c>
    </row>
    <row r="356" spans="1:6" x14ac:dyDescent="0.25">
      <c r="A356" t="s">
        <v>1057</v>
      </c>
      <c r="B356" t="s">
        <v>1058</v>
      </c>
      <c r="C356" t="s">
        <v>1059</v>
      </c>
      <c r="D356" t="s">
        <v>58</v>
      </c>
      <c r="E356" t="s">
        <v>167</v>
      </c>
      <c r="F356">
        <v>114</v>
      </c>
    </row>
    <row r="357" spans="1:6" x14ac:dyDescent="0.25">
      <c r="A357" t="s">
        <v>1060</v>
      </c>
      <c r="B357" t="s">
        <v>1061</v>
      </c>
      <c r="C357" t="s">
        <v>1062</v>
      </c>
      <c r="D357" t="s">
        <v>58</v>
      </c>
      <c r="E357" t="s">
        <v>167</v>
      </c>
      <c r="F357">
        <v>132</v>
      </c>
    </row>
    <row r="358" spans="1:6" x14ac:dyDescent="0.25">
      <c r="A358" t="s">
        <v>1063</v>
      </c>
      <c r="B358" t="s">
        <v>1064</v>
      </c>
      <c r="C358" t="s">
        <v>1065</v>
      </c>
      <c r="D358" t="s">
        <v>58</v>
      </c>
      <c r="E358" t="s">
        <v>167</v>
      </c>
      <c r="F358">
        <v>9</v>
      </c>
    </row>
    <row r="359" spans="1:6" x14ac:dyDescent="0.25">
      <c r="A359" t="s">
        <v>1066</v>
      </c>
      <c r="B359" t="s">
        <v>1067</v>
      </c>
      <c r="C359" t="s">
        <v>1068</v>
      </c>
      <c r="D359" t="s">
        <v>58</v>
      </c>
      <c r="E359" t="s">
        <v>375</v>
      </c>
      <c r="F359">
        <v>1451</v>
      </c>
    </row>
    <row r="360" spans="1:6" x14ac:dyDescent="0.25">
      <c r="A360" t="s">
        <v>1069</v>
      </c>
      <c r="B360" t="s">
        <v>1070</v>
      </c>
      <c r="C360" t="s">
        <v>1071</v>
      </c>
      <c r="D360" t="s">
        <v>58</v>
      </c>
      <c r="E360" t="s">
        <v>375</v>
      </c>
      <c r="F360">
        <v>1028</v>
      </c>
    </row>
    <row r="361" spans="1:6" x14ac:dyDescent="0.25">
      <c r="A361" t="s">
        <v>1072</v>
      </c>
      <c r="B361" t="s">
        <v>1073</v>
      </c>
      <c r="C361" t="s">
        <v>1074</v>
      </c>
      <c r="D361" t="s">
        <v>58</v>
      </c>
      <c r="E361" t="s">
        <v>1075</v>
      </c>
      <c r="F361">
        <v>18</v>
      </c>
    </row>
    <row r="362" spans="1:6" x14ac:dyDescent="0.25">
      <c r="A362" t="s">
        <v>1076</v>
      </c>
      <c r="B362" t="s">
        <v>1077</v>
      </c>
      <c r="C362" t="s">
        <v>1078</v>
      </c>
      <c r="D362" t="s">
        <v>58</v>
      </c>
      <c r="E362" t="s">
        <v>1075</v>
      </c>
      <c r="F362">
        <v>19</v>
      </c>
    </row>
    <row r="363" spans="1:6" x14ac:dyDescent="0.25">
      <c r="A363" t="s">
        <v>1079</v>
      </c>
      <c r="B363" t="s">
        <v>1080</v>
      </c>
      <c r="C363" t="s">
        <v>1081</v>
      </c>
      <c r="D363" t="s">
        <v>58</v>
      </c>
      <c r="E363" t="s">
        <v>1075</v>
      </c>
      <c r="F363">
        <v>8</v>
      </c>
    </row>
    <row r="364" spans="1:6" x14ac:dyDescent="0.25">
      <c r="A364" t="s">
        <v>1082</v>
      </c>
      <c r="B364" t="s">
        <v>1083</v>
      </c>
      <c r="C364" t="s">
        <v>1084</v>
      </c>
      <c r="D364" t="s">
        <v>58</v>
      </c>
      <c r="E364" t="s">
        <v>167</v>
      </c>
      <c r="F364">
        <v>1</v>
      </c>
    </row>
    <row r="365" spans="1:6" x14ac:dyDescent="0.25">
      <c r="A365" t="s">
        <v>1085</v>
      </c>
      <c r="B365" t="s">
        <v>1086</v>
      </c>
      <c r="C365" t="s">
        <v>1087</v>
      </c>
      <c r="D365" t="s">
        <v>58</v>
      </c>
      <c r="E365" t="s">
        <v>375</v>
      </c>
      <c r="F365">
        <v>1</v>
      </c>
    </row>
    <row r="366" spans="1:6" x14ac:dyDescent="0.25">
      <c r="A366" t="s">
        <v>1088</v>
      </c>
      <c r="B366" t="s">
        <v>1089</v>
      </c>
      <c r="C366" t="s">
        <v>1090</v>
      </c>
      <c r="D366" t="s">
        <v>58</v>
      </c>
      <c r="E366" t="s">
        <v>1075</v>
      </c>
      <c r="F366">
        <v>1</v>
      </c>
    </row>
    <row r="367" spans="1:6" x14ac:dyDescent="0.25">
      <c r="A367" t="s">
        <v>1091</v>
      </c>
      <c r="B367" t="s">
        <v>1092</v>
      </c>
      <c r="C367" t="s">
        <v>1093</v>
      </c>
      <c r="D367" t="s">
        <v>58</v>
      </c>
      <c r="E367" t="s">
        <v>1075</v>
      </c>
      <c r="F367">
        <v>26</v>
      </c>
    </row>
    <row r="368" spans="1:6" x14ac:dyDescent="0.25">
      <c r="A368" t="s">
        <v>1094</v>
      </c>
      <c r="B368" t="s">
        <v>1095</v>
      </c>
      <c r="C368" t="s">
        <v>1096</v>
      </c>
      <c r="D368" t="s">
        <v>58</v>
      </c>
      <c r="E368" t="s">
        <v>59</v>
      </c>
      <c r="F368">
        <v>113</v>
      </c>
    </row>
    <row r="369" spans="1:6" x14ac:dyDescent="0.25">
      <c r="A369" t="s">
        <v>1097</v>
      </c>
      <c r="B369" t="s">
        <v>1098</v>
      </c>
      <c r="C369" t="s">
        <v>1099</v>
      </c>
      <c r="D369" t="s">
        <v>58</v>
      </c>
      <c r="E369" t="s">
        <v>59</v>
      </c>
      <c r="F369">
        <v>9</v>
      </c>
    </row>
    <row r="370" spans="1:6" x14ac:dyDescent="0.25">
      <c r="A370" t="s">
        <v>1100</v>
      </c>
      <c r="B370" t="s">
        <v>1101</v>
      </c>
      <c r="C370" t="s">
        <v>1102</v>
      </c>
      <c r="D370" t="s">
        <v>58</v>
      </c>
      <c r="E370" t="s">
        <v>59</v>
      </c>
      <c r="F370">
        <v>15</v>
      </c>
    </row>
    <row r="371" spans="1:6" x14ac:dyDescent="0.25">
      <c r="A371" t="s">
        <v>1103</v>
      </c>
      <c r="B371" t="s">
        <v>1104</v>
      </c>
      <c r="C371" t="s">
        <v>1105</v>
      </c>
      <c r="D371" t="s">
        <v>58</v>
      </c>
      <c r="E371" t="s">
        <v>150</v>
      </c>
      <c r="F371">
        <v>7</v>
      </c>
    </row>
    <row r="372" spans="1:6" x14ac:dyDescent="0.25">
      <c r="A372" t="s">
        <v>1106</v>
      </c>
      <c r="B372" t="s">
        <v>1107</v>
      </c>
      <c r="C372" t="s">
        <v>1108</v>
      </c>
      <c r="D372" t="s">
        <v>58</v>
      </c>
      <c r="E372" t="s">
        <v>203</v>
      </c>
      <c r="F372">
        <v>3</v>
      </c>
    </row>
    <row r="373" spans="1:6" x14ac:dyDescent="0.25">
      <c r="A373" t="s">
        <v>1109</v>
      </c>
      <c r="B373" t="s">
        <v>1110</v>
      </c>
      <c r="C373" t="s">
        <v>1111</v>
      </c>
      <c r="D373" t="s">
        <v>58</v>
      </c>
      <c r="E373" t="s">
        <v>203</v>
      </c>
      <c r="F373">
        <v>3</v>
      </c>
    </row>
    <row r="374" spans="1:6" x14ac:dyDescent="0.25">
      <c r="A374" t="s">
        <v>1112</v>
      </c>
      <c r="B374" t="s">
        <v>1113</v>
      </c>
      <c r="C374" t="s">
        <v>1114</v>
      </c>
      <c r="D374" t="s">
        <v>58</v>
      </c>
      <c r="E374" t="s">
        <v>160</v>
      </c>
      <c r="F374">
        <v>2</v>
      </c>
    </row>
    <row r="375" spans="1:6" x14ac:dyDescent="0.25">
      <c r="A375" t="s">
        <v>1115</v>
      </c>
      <c r="B375" t="s">
        <v>1116</v>
      </c>
      <c r="C375" t="s">
        <v>1117</v>
      </c>
      <c r="D375" t="s">
        <v>58</v>
      </c>
      <c r="E375" t="s">
        <v>160</v>
      </c>
      <c r="F375">
        <v>43</v>
      </c>
    </row>
    <row r="376" spans="1:6" x14ac:dyDescent="0.25">
      <c r="A376" t="s">
        <v>1118</v>
      </c>
      <c r="B376" t="s">
        <v>1119</v>
      </c>
      <c r="C376" t="s">
        <v>1120</v>
      </c>
      <c r="D376" t="s">
        <v>58</v>
      </c>
      <c r="E376" t="s">
        <v>203</v>
      </c>
      <c r="F376">
        <v>116</v>
      </c>
    </row>
    <row r="377" spans="1:6" x14ac:dyDescent="0.25">
      <c r="A377" t="s">
        <v>1121</v>
      </c>
      <c r="B377" t="s">
        <v>1122</v>
      </c>
      <c r="C377" t="s">
        <v>1123</v>
      </c>
      <c r="D377" t="s">
        <v>58</v>
      </c>
      <c r="E377" t="s">
        <v>203</v>
      </c>
      <c r="F377">
        <v>91</v>
      </c>
    </row>
    <row r="378" spans="1:6" x14ac:dyDescent="0.25">
      <c r="A378" t="s">
        <v>1124</v>
      </c>
      <c r="B378" t="s">
        <v>1125</v>
      </c>
      <c r="C378" t="s">
        <v>1126</v>
      </c>
      <c r="D378" t="s">
        <v>58</v>
      </c>
      <c r="E378" t="s">
        <v>150</v>
      </c>
      <c r="F378">
        <v>12</v>
      </c>
    </row>
    <row r="379" spans="1:6" x14ac:dyDescent="0.25">
      <c r="A379" t="s">
        <v>1127</v>
      </c>
      <c r="B379" t="s">
        <v>1128</v>
      </c>
      <c r="C379" t="s">
        <v>1129</v>
      </c>
      <c r="D379" t="s">
        <v>58</v>
      </c>
      <c r="E379" t="s">
        <v>150</v>
      </c>
      <c r="F379">
        <v>34</v>
      </c>
    </row>
    <row r="380" spans="1:6" x14ac:dyDescent="0.25">
      <c r="A380" t="s">
        <v>1130</v>
      </c>
      <c r="B380" t="s">
        <v>1131</v>
      </c>
      <c r="C380" t="s">
        <v>1132</v>
      </c>
      <c r="D380" t="s">
        <v>58</v>
      </c>
      <c r="E380" t="s">
        <v>150</v>
      </c>
      <c r="F380">
        <v>23</v>
      </c>
    </row>
    <row r="381" spans="1:6" x14ac:dyDescent="0.25">
      <c r="A381" t="s">
        <v>1133</v>
      </c>
      <c r="B381" t="s">
        <v>1134</v>
      </c>
      <c r="C381" t="s">
        <v>1135</v>
      </c>
      <c r="D381" t="s">
        <v>58</v>
      </c>
      <c r="E381" t="s">
        <v>160</v>
      </c>
      <c r="F381">
        <v>26</v>
      </c>
    </row>
    <row r="382" spans="1:6" x14ac:dyDescent="0.25">
      <c r="A382" t="s">
        <v>1136</v>
      </c>
      <c r="B382" t="s">
        <v>1137</v>
      </c>
      <c r="C382" t="s">
        <v>1138</v>
      </c>
      <c r="D382" t="s">
        <v>58</v>
      </c>
      <c r="E382" t="s">
        <v>67</v>
      </c>
      <c r="F382">
        <v>50</v>
      </c>
    </row>
    <row r="383" spans="1:6" x14ac:dyDescent="0.25">
      <c r="A383" t="s">
        <v>1139</v>
      </c>
      <c r="B383" t="s">
        <v>1140</v>
      </c>
      <c r="C383" t="s">
        <v>1141</v>
      </c>
      <c r="D383" t="s">
        <v>58</v>
      </c>
      <c r="E383" t="s">
        <v>67</v>
      </c>
      <c r="F383">
        <v>50</v>
      </c>
    </row>
    <row r="384" spans="1:6" x14ac:dyDescent="0.25">
      <c r="A384" t="s">
        <v>1142</v>
      </c>
      <c r="B384" t="s">
        <v>1143</v>
      </c>
      <c r="C384" t="s">
        <v>1144</v>
      </c>
      <c r="D384" t="s">
        <v>58</v>
      </c>
      <c r="E384" t="s">
        <v>67</v>
      </c>
      <c r="F384">
        <v>37</v>
      </c>
    </row>
    <row r="385" spans="1:6" x14ac:dyDescent="0.25">
      <c r="A385" t="s">
        <v>1145</v>
      </c>
      <c r="B385" t="s">
        <v>1146</v>
      </c>
      <c r="C385" t="s">
        <v>1147</v>
      </c>
      <c r="D385" t="s">
        <v>58</v>
      </c>
      <c r="E385" t="s">
        <v>67</v>
      </c>
      <c r="F385">
        <v>10</v>
      </c>
    </row>
    <row r="386" spans="1:6" x14ac:dyDescent="0.25">
      <c r="A386" t="s">
        <v>1148</v>
      </c>
      <c r="B386" t="s">
        <v>1149</v>
      </c>
      <c r="C386" t="s">
        <v>1150</v>
      </c>
      <c r="D386" t="s">
        <v>58</v>
      </c>
      <c r="E386" t="s">
        <v>150</v>
      </c>
      <c r="F386">
        <v>603</v>
      </c>
    </row>
    <row r="387" spans="1:6" x14ac:dyDescent="0.25">
      <c r="A387" t="s">
        <v>1151</v>
      </c>
      <c r="B387" t="s">
        <v>1152</v>
      </c>
      <c r="C387" t="s">
        <v>1153</v>
      </c>
      <c r="D387" t="s">
        <v>58</v>
      </c>
      <c r="E387" t="s">
        <v>150</v>
      </c>
      <c r="F387">
        <v>91</v>
      </c>
    </row>
    <row r="388" spans="1:6" x14ac:dyDescent="0.25">
      <c r="A388" t="s">
        <v>1154</v>
      </c>
      <c r="B388" t="s">
        <v>1155</v>
      </c>
      <c r="C388" t="s">
        <v>1156</v>
      </c>
      <c r="D388" t="s">
        <v>58</v>
      </c>
      <c r="E388" t="s">
        <v>150</v>
      </c>
      <c r="F388">
        <v>58</v>
      </c>
    </row>
    <row r="389" spans="1:6" x14ac:dyDescent="0.25">
      <c r="A389" t="s">
        <v>1157</v>
      </c>
      <c r="B389" t="s">
        <v>1158</v>
      </c>
      <c r="C389" t="s">
        <v>1159</v>
      </c>
      <c r="D389" t="s">
        <v>58</v>
      </c>
      <c r="E389" t="s">
        <v>150</v>
      </c>
      <c r="F389">
        <v>122</v>
      </c>
    </row>
    <row r="390" spans="1:6" x14ac:dyDescent="0.25">
      <c r="A390" t="s">
        <v>1160</v>
      </c>
      <c r="B390" t="s">
        <v>1161</v>
      </c>
      <c r="C390" t="s">
        <v>1162</v>
      </c>
      <c r="D390" t="s">
        <v>58</v>
      </c>
      <c r="E390" t="s">
        <v>167</v>
      </c>
      <c r="F390">
        <v>1</v>
      </c>
    </row>
    <row r="391" spans="1:6" x14ac:dyDescent="0.25">
      <c r="A391" t="s">
        <v>1163</v>
      </c>
      <c r="B391" t="s">
        <v>1164</v>
      </c>
      <c r="C391" t="s">
        <v>1165</v>
      </c>
      <c r="D391" t="s">
        <v>58</v>
      </c>
      <c r="E391" t="s">
        <v>150</v>
      </c>
      <c r="F391">
        <v>185</v>
      </c>
    </row>
    <row r="392" spans="1:6" x14ac:dyDescent="0.25">
      <c r="A392" t="s">
        <v>1166</v>
      </c>
      <c r="B392" t="s">
        <v>1167</v>
      </c>
      <c r="C392" t="s">
        <v>1168</v>
      </c>
      <c r="D392" t="s">
        <v>58</v>
      </c>
      <c r="E392" t="s">
        <v>160</v>
      </c>
      <c r="F392">
        <v>10</v>
      </c>
    </row>
    <row r="393" spans="1:6" x14ac:dyDescent="0.25">
      <c r="A393" t="s">
        <v>1169</v>
      </c>
      <c r="B393" t="s">
        <v>1170</v>
      </c>
      <c r="C393" t="s">
        <v>1171</v>
      </c>
      <c r="D393" t="s">
        <v>58</v>
      </c>
      <c r="E393" t="s">
        <v>150</v>
      </c>
      <c r="F393">
        <v>97</v>
      </c>
    </row>
    <row r="394" spans="1:6" x14ac:dyDescent="0.25">
      <c r="A394" t="s">
        <v>1172</v>
      </c>
      <c r="B394" t="s">
        <v>1173</v>
      </c>
      <c r="C394" t="s">
        <v>1174</v>
      </c>
      <c r="D394" t="s">
        <v>58</v>
      </c>
      <c r="E394" t="s">
        <v>187</v>
      </c>
      <c r="F394">
        <v>120.74</v>
      </c>
    </row>
    <row r="395" spans="1:6" x14ac:dyDescent="0.25">
      <c r="A395" t="s">
        <v>1175</v>
      </c>
      <c r="B395" t="s">
        <v>1173</v>
      </c>
      <c r="C395" t="s">
        <v>1174</v>
      </c>
      <c r="D395" t="s">
        <v>58</v>
      </c>
      <c r="E395" t="s">
        <v>187</v>
      </c>
      <c r="F395">
        <v>158</v>
      </c>
    </row>
    <row r="396" spans="1:6" x14ac:dyDescent="0.25">
      <c r="A396" t="s">
        <v>1176</v>
      </c>
      <c r="B396" t="s">
        <v>1177</v>
      </c>
      <c r="C396" t="s">
        <v>1178</v>
      </c>
      <c r="D396" t="s">
        <v>58</v>
      </c>
      <c r="E396" t="s">
        <v>150</v>
      </c>
      <c r="F396">
        <v>47</v>
      </c>
    </row>
    <row r="397" spans="1:6" x14ac:dyDescent="0.25">
      <c r="A397" t="s">
        <v>1179</v>
      </c>
      <c r="B397" t="s">
        <v>1180</v>
      </c>
      <c r="C397" t="s">
        <v>1181</v>
      </c>
      <c r="D397" t="s">
        <v>58</v>
      </c>
      <c r="E397" t="s">
        <v>150</v>
      </c>
      <c r="F397">
        <v>64</v>
      </c>
    </row>
    <row r="398" spans="1:6" x14ac:dyDescent="0.25">
      <c r="A398" t="s">
        <v>1182</v>
      </c>
      <c r="B398" t="s">
        <v>1183</v>
      </c>
      <c r="C398" t="s">
        <v>1184</v>
      </c>
      <c r="D398" t="s">
        <v>58</v>
      </c>
      <c r="E398" t="s">
        <v>160</v>
      </c>
      <c r="F398">
        <v>5</v>
      </c>
    </row>
    <row r="399" spans="1:6" x14ac:dyDescent="0.25">
      <c r="A399" t="s">
        <v>1185</v>
      </c>
      <c r="B399" t="s">
        <v>1186</v>
      </c>
      <c r="C399" t="s">
        <v>1187</v>
      </c>
      <c r="D399" t="s">
        <v>58</v>
      </c>
      <c r="E399" t="s">
        <v>150</v>
      </c>
      <c r="F399">
        <v>6</v>
      </c>
    </row>
    <row r="400" spans="1:6" x14ac:dyDescent="0.25">
      <c r="A400" t="s">
        <v>1188</v>
      </c>
      <c r="B400" t="s">
        <v>1189</v>
      </c>
      <c r="C400" t="s">
        <v>1190</v>
      </c>
      <c r="D400" t="s">
        <v>58</v>
      </c>
      <c r="E400" t="s">
        <v>150</v>
      </c>
      <c r="F400">
        <v>6</v>
      </c>
    </row>
    <row r="401" spans="1:6" x14ac:dyDescent="0.25">
      <c r="A401" t="s">
        <v>1191</v>
      </c>
      <c r="B401" t="s">
        <v>1192</v>
      </c>
      <c r="C401" t="s">
        <v>1193</v>
      </c>
      <c r="D401" t="s">
        <v>58</v>
      </c>
      <c r="E401" t="s">
        <v>150</v>
      </c>
      <c r="F401">
        <v>4</v>
      </c>
    </row>
    <row r="402" spans="1:6" x14ac:dyDescent="0.25">
      <c r="A402" t="s">
        <v>1194</v>
      </c>
      <c r="B402" t="s">
        <v>1195</v>
      </c>
      <c r="C402" t="s">
        <v>1196</v>
      </c>
      <c r="D402" t="s">
        <v>58</v>
      </c>
      <c r="E402" t="s">
        <v>150</v>
      </c>
      <c r="F402">
        <v>11</v>
      </c>
    </row>
    <row r="403" spans="1:6" x14ac:dyDescent="0.25">
      <c r="A403" t="s">
        <v>1197</v>
      </c>
      <c r="B403" t="s">
        <v>1198</v>
      </c>
      <c r="C403" t="s">
        <v>1199</v>
      </c>
      <c r="D403" t="s">
        <v>58</v>
      </c>
      <c r="E403" t="s">
        <v>150</v>
      </c>
      <c r="F403">
        <v>13</v>
      </c>
    </row>
    <row r="404" spans="1:6" x14ac:dyDescent="0.25">
      <c r="A404" t="s">
        <v>1200</v>
      </c>
      <c r="B404" t="s">
        <v>1201</v>
      </c>
      <c r="C404" t="s">
        <v>1202</v>
      </c>
      <c r="D404" t="s">
        <v>58</v>
      </c>
      <c r="E404" t="s">
        <v>150</v>
      </c>
      <c r="F404">
        <v>4</v>
      </c>
    </row>
    <row r="405" spans="1:6" x14ac:dyDescent="0.25">
      <c r="A405" t="s">
        <v>1203</v>
      </c>
      <c r="B405" t="s">
        <v>1204</v>
      </c>
      <c r="C405" t="s">
        <v>1205</v>
      </c>
      <c r="D405" t="s">
        <v>58</v>
      </c>
      <c r="E405" t="s">
        <v>150</v>
      </c>
      <c r="F405">
        <v>9</v>
      </c>
    </row>
    <row r="406" spans="1:6" x14ac:dyDescent="0.25">
      <c r="A406" t="s">
        <v>1206</v>
      </c>
      <c r="B406" t="s">
        <v>1207</v>
      </c>
      <c r="C406" t="s">
        <v>1208</v>
      </c>
      <c r="D406" t="s">
        <v>58</v>
      </c>
      <c r="E406" t="s">
        <v>150</v>
      </c>
      <c r="F406">
        <v>378</v>
      </c>
    </row>
    <row r="407" spans="1:6" x14ac:dyDescent="0.25">
      <c r="A407" t="s">
        <v>1209</v>
      </c>
      <c r="B407" t="s">
        <v>1210</v>
      </c>
      <c r="C407" t="s">
        <v>1211</v>
      </c>
      <c r="D407" t="s">
        <v>58</v>
      </c>
      <c r="E407" t="s">
        <v>150</v>
      </c>
      <c r="F407">
        <v>109</v>
      </c>
    </row>
    <row r="408" spans="1:6" x14ac:dyDescent="0.25">
      <c r="A408" t="s">
        <v>1212</v>
      </c>
      <c r="B408" t="s">
        <v>1213</v>
      </c>
      <c r="C408" t="s">
        <v>1214</v>
      </c>
      <c r="D408" t="s">
        <v>58</v>
      </c>
      <c r="E408" t="s">
        <v>150</v>
      </c>
      <c r="F408">
        <v>10</v>
      </c>
    </row>
    <row r="409" spans="1:6" x14ac:dyDescent="0.25">
      <c r="A409" t="s">
        <v>1215</v>
      </c>
      <c r="B409" t="s">
        <v>1216</v>
      </c>
      <c r="C409" t="s">
        <v>1217</v>
      </c>
      <c r="D409" t="s">
        <v>58</v>
      </c>
      <c r="E409" t="s">
        <v>150</v>
      </c>
      <c r="F409">
        <v>21</v>
      </c>
    </row>
    <row r="410" spans="1:6" x14ac:dyDescent="0.25">
      <c r="A410" t="s">
        <v>1218</v>
      </c>
      <c r="B410" t="s">
        <v>1219</v>
      </c>
      <c r="C410" t="s">
        <v>1220</v>
      </c>
      <c r="D410" t="s">
        <v>58</v>
      </c>
      <c r="E410" t="s">
        <v>150</v>
      </c>
      <c r="F410">
        <v>139</v>
      </c>
    </row>
    <row r="411" spans="1:6" x14ac:dyDescent="0.25">
      <c r="A411" t="s">
        <v>1221</v>
      </c>
      <c r="B411" t="s">
        <v>1222</v>
      </c>
      <c r="C411" t="s">
        <v>1223</v>
      </c>
      <c r="D411" t="s">
        <v>58</v>
      </c>
      <c r="E411" t="s">
        <v>150</v>
      </c>
      <c r="F411">
        <v>57</v>
      </c>
    </row>
    <row r="412" spans="1:6" x14ac:dyDescent="0.25">
      <c r="A412" t="s">
        <v>1224</v>
      </c>
      <c r="B412" t="s">
        <v>1225</v>
      </c>
      <c r="C412" t="s">
        <v>1226</v>
      </c>
      <c r="D412" t="s">
        <v>58</v>
      </c>
      <c r="E412" t="s">
        <v>150</v>
      </c>
      <c r="F412">
        <v>83</v>
      </c>
    </row>
    <row r="413" spans="1:6" x14ac:dyDescent="0.25">
      <c r="A413" t="s">
        <v>1227</v>
      </c>
      <c r="B413" t="s">
        <v>1228</v>
      </c>
      <c r="C413" t="s">
        <v>1229</v>
      </c>
      <c r="D413" t="s">
        <v>58</v>
      </c>
      <c r="E413" t="s">
        <v>167</v>
      </c>
      <c r="F413">
        <v>98</v>
      </c>
    </row>
    <row r="414" spans="1:6" x14ac:dyDescent="0.25">
      <c r="A414" t="s">
        <v>1230</v>
      </c>
      <c r="B414" t="s">
        <v>1231</v>
      </c>
      <c r="C414" t="s">
        <v>1232</v>
      </c>
      <c r="D414" t="s">
        <v>58</v>
      </c>
      <c r="E414" t="s">
        <v>167</v>
      </c>
      <c r="F414">
        <v>38</v>
      </c>
    </row>
    <row r="415" spans="1:6" x14ac:dyDescent="0.25">
      <c r="A415" t="s">
        <v>1233</v>
      </c>
      <c r="B415" t="s">
        <v>1234</v>
      </c>
      <c r="C415" t="s">
        <v>1235</v>
      </c>
      <c r="D415" t="s">
        <v>58</v>
      </c>
      <c r="E415" t="s">
        <v>167</v>
      </c>
      <c r="F415">
        <v>50</v>
      </c>
    </row>
    <row r="416" spans="1:6" x14ac:dyDescent="0.25">
      <c r="A416" t="s">
        <v>1236</v>
      </c>
      <c r="B416" t="s">
        <v>1237</v>
      </c>
      <c r="C416" t="s">
        <v>1238</v>
      </c>
      <c r="D416" t="s">
        <v>58</v>
      </c>
      <c r="E416" t="s">
        <v>167</v>
      </c>
      <c r="F416">
        <v>68</v>
      </c>
    </row>
    <row r="417" spans="1:6" x14ac:dyDescent="0.25">
      <c r="A417" t="s">
        <v>1239</v>
      </c>
      <c r="B417" t="s">
        <v>1240</v>
      </c>
      <c r="C417" t="s">
        <v>1241</v>
      </c>
      <c r="D417" t="s">
        <v>58</v>
      </c>
      <c r="E417" t="s">
        <v>167</v>
      </c>
      <c r="F417">
        <v>137</v>
      </c>
    </row>
    <row r="418" spans="1:6" x14ac:dyDescent="0.25">
      <c r="A418" t="s">
        <v>1242</v>
      </c>
      <c r="B418" t="s">
        <v>1243</v>
      </c>
      <c r="C418" t="s">
        <v>1244</v>
      </c>
      <c r="D418" t="s">
        <v>58</v>
      </c>
      <c r="E418" t="s">
        <v>167</v>
      </c>
      <c r="F418">
        <v>231</v>
      </c>
    </row>
    <row r="419" spans="1:6" x14ac:dyDescent="0.25">
      <c r="A419" t="s">
        <v>1245</v>
      </c>
      <c r="B419" t="s">
        <v>1246</v>
      </c>
      <c r="C419" t="s">
        <v>1247</v>
      </c>
      <c r="D419" t="s">
        <v>58</v>
      </c>
      <c r="E419" t="s">
        <v>167</v>
      </c>
      <c r="F419">
        <v>64</v>
      </c>
    </row>
    <row r="420" spans="1:6" x14ac:dyDescent="0.25">
      <c r="A420" t="s">
        <v>1248</v>
      </c>
      <c r="B420" t="s">
        <v>1249</v>
      </c>
      <c r="C420" t="s">
        <v>1250</v>
      </c>
      <c r="D420" t="s">
        <v>58</v>
      </c>
      <c r="E420" t="s">
        <v>63</v>
      </c>
      <c r="F420">
        <v>14</v>
      </c>
    </row>
    <row r="421" spans="1:6" x14ac:dyDescent="0.25">
      <c r="A421" t="s">
        <v>1251</v>
      </c>
      <c r="B421" t="s">
        <v>1252</v>
      </c>
      <c r="C421" t="s">
        <v>1253</v>
      </c>
      <c r="D421" t="s">
        <v>58</v>
      </c>
      <c r="E421" t="s">
        <v>63</v>
      </c>
      <c r="F421">
        <v>48</v>
      </c>
    </row>
    <row r="422" spans="1:6" x14ac:dyDescent="0.25">
      <c r="A422" t="s">
        <v>1254</v>
      </c>
      <c r="B422" t="s">
        <v>1255</v>
      </c>
      <c r="C422" t="s">
        <v>1256</v>
      </c>
      <c r="D422" t="s">
        <v>58</v>
      </c>
      <c r="E422" t="s">
        <v>216</v>
      </c>
      <c r="F422">
        <v>6</v>
      </c>
    </row>
    <row r="423" spans="1:6" x14ac:dyDescent="0.25">
      <c r="A423" t="s">
        <v>1257</v>
      </c>
      <c r="B423" t="s">
        <v>1258</v>
      </c>
      <c r="C423" t="s">
        <v>1259</v>
      </c>
      <c r="D423" t="s">
        <v>58</v>
      </c>
      <c r="E423" t="s">
        <v>187</v>
      </c>
      <c r="F423">
        <v>113</v>
      </c>
    </row>
    <row r="424" spans="1:6" x14ac:dyDescent="0.25">
      <c r="A424" t="s">
        <v>1260</v>
      </c>
      <c r="B424" t="s">
        <v>1258</v>
      </c>
      <c r="C424" t="s">
        <v>1259</v>
      </c>
      <c r="D424" t="s">
        <v>58</v>
      </c>
      <c r="E424" t="s">
        <v>187</v>
      </c>
      <c r="F424">
        <v>2</v>
      </c>
    </row>
    <row r="425" spans="1:6" x14ac:dyDescent="0.25">
      <c r="A425" t="s">
        <v>1261</v>
      </c>
      <c r="B425" t="s">
        <v>1262</v>
      </c>
      <c r="C425" t="s">
        <v>1263</v>
      </c>
      <c r="D425" t="s">
        <v>58</v>
      </c>
      <c r="E425" t="s">
        <v>150</v>
      </c>
      <c r="F425">
        <v>89</v>
      </c>
    </row>
    <row r="426" spans="1:6" x14ac:dyDescent="0.25">
      <c r="A426" t="s">
        <v>1264</v>
      </c>
      <c r="B426" t="s">
        <v>1265</v>
      </c>
      <c r="C426" t="s">
        <v>1266</v>
      </c>
      <c r="D426" t="s">
        <v>58</v>
      </c>
      <c r="E426" t="s">
        <v>150</v>
      </c>
      <c r="F426">
        <v>65</v>
      </c>
    </row>
    <row r="427" spans="1:6" x14ac:dyDescent="0.25">
      <c r="A427" t="s">
        <v>1267</v>
      </c>
      <c r="B427" t="s">
        <v>1268</v>
      </c>
      <c r="C427" t="s">
        <v>1269</v>
      </c>
      <c r="D427" t="s">
        <v>58</v>
      </c>
      <c r="E427" t="s">
        <v>167</v>
      </c>
      <c r="F427">
        <v>103</v>
      </c>
    </row>
    <row r="428" spans="1:6" x14ac:dyDescent="0.25">
      <c r="A428" t="s">
        <v>1270</v>
      </c>
      <c r="B428" t="s">
        <v>1271</v>
      </c>
      <c r="C428" t="s">
        <v>1272</v>
      </c>
      <c r="D428" t="s">
        <v>58</v>
      </c>
      <c r="E428" t="s">
        <v>167</v>
      </c>
      <c r="F428">
        <v>87</v>
      </c>
    </row>
    <row r="429" spans="1:6" x14ac:dyDescent="0.25">
      <c r="A429" t="s">
        <v>1273</v>
      </c>
      <c r="B429" t="s">
        <v>1274</v>
      </c>
      <c r="C429" t="s">
        <v>1275</v>
      </c>
      <c r="D429" t="s">
        <v>58</v>
      </c>
      <c r="E429" t="s">
        <v>167</v>
      </c>
      <c r="F429">
        <v>248</v>
      </c>
    </row>
    <row r="430" spans="1:6" x14ac:dyDescent="0.25">
      <c r="A430" t="s">
        <v>1276</v>
      </c>
      <c r="B430" t="s">
        <v>1277</v>
      </c>
      <c r="C430" t="s">
        <v>1278</v>
      </c>
      <c r="D430" t="s">
        <v>58</v>
      </c>
      <c r="E430" t="s">
        <v>167</v>
      </c>
      <c r="F430">
        <v>9</v>
      </c>
    </row>
    <row r="431" spans="1:6" x14ac:dyDescent="0.25">
      <c r="A431" t="s">
        <v>1279</v>
      </c>
      <c r="B431" t="s">
        <v>1280</v>
      </c>
      <c r="C431" t="s">
        <v>1281</v>
      </c>
      <c r="D431" t="s">
        <v>58</v>
      </c>
      <c r="E431" t="s">
        <v>167</v>
      </c>
      <c r="F431">
        <v>142</v>
      </c>
    </row>
    <row r="432" spans="1:6" x14ac:dyDescent="0.25">
      <c r="A432" t="s">
        <v>1282</v>
      </c>
      <c r="B432" t="s">
        <v>1283</v>
      </c>
      <c r="C432" t="s">
        <v>1284</v>
      </c>
      <c r="D432" t="s">
        <v>58</v>
      </c>
      <c r="E432" t="s">
        <v>167</v>
      </c>
      <c r="F432">
        <v>62</v>
      </c>
    </row>
    <row r="433" spans="1:6" x14ac:dyDescent="0.25">
      <c r="A433" t="s">
        <v>1285</v>
      </c>
      <c r="B433" t="s">
        <v>1286</v>
      </c>
      <c r="C433" t="s">
        <v>1287</v>
      </c>
      <c r="D433" t="s">
        <v>58</v>
      </c>
      <c r="E433" t="s">
        <v>67</v>
      </c>
      <c r="F433">
        <v>0</v>
      </c>
    </row>
    <row r="434" spans="1:6" x14ac:dyDescent="0.25">
      <c r="A434" t="s">
        <v>1288</v>
      </c>
      <c r="B434" t="s">
        <v>1289</v>
      </c>
      <c r="C434" t="s">
        <v>1290</v>
      </c>
      <c r="D434" t="s">
        <v>58</v>
      </c>
      <c r="E434" t="s">
        <v>167</v>
      </c>
      <c r="F434">
        <v>1</v>
      </c>
    </row>
    <row r="435" spans="1:6" x14ac:dyDescent="0.25">
      <c r="A435" t="s">
        <v>1291</v>
      </c>
      <c r="B435" t="s">
        <v>1292</v>
      </c>
      <c r="C435" t="s">
        <v>1293</v>
      </c>
      <c r="D435" t="s">
        <v>58</v>
      </c>
      <c r="E435" t="s">
        <v>167</v>
      </c>
      <c r="F435">
        <v>33</v>
      </c>
    </row>
    <row r="436" spans="1:6" x14ac:dyDescent="0.25">
      <c r="A436" t="s">
        <v>1294</v>
      </c>
      <c r="B436" t="s">
        <v>1295</v>
      </c>
      <c r="C436" t="s">
        <v>1296</v>
      </c>
      <c r="D436" t="s">
        <v>58</v>
      </c>
      <c r="E436" t="s">
        <v>167</v>
      </c>
      <c r="F436">
        <v>52</v>
      </c>
    </row>
    <row r="437" spans="1:6" x14ac:dyDescent="0.25">
      <c r="A437" t="s">
        <v>1297</v>
      </c>
      <c r="B437" t="s">
        <v>1298</v>
      </c>
      <c r="C437" t="s">
        <v>1299</v>
      </c>
      <c r="D437" t="s">
        <v>58</v>
      </c>
      <c r="E437" t="s">
        <v>167</v>
      </c>
      <c r="F437">
        <v>23</v>
      </c>
    </row>
    <row r="438" spans="1:6" x14ac:dyDescent="0.25">
      <c r="A438" t="s">
        <v>1300</v>
      </c>
      <c r="B438" t="s">
        <v>1301</v>
      </c>
      <c r="C438" t="s">
        <v>1302</v>
      </c>
      <c r="D438" t="s">
        <v>58</v>
      </c>
      <c r="E438" t="s">
        <v>160</v>
      </c>
      <c r="F438">
        <v>17</v>
      </c>
    </row>
    <row r="439" spans="1:6" x14ac:dyDescent="0.25">
      <c r="A439" t="s">
        <v>1303</v>
      </c>
      <c r="B439" t="s">
        <v>1304</v>
      </c>
      <c r="C439" t="s">
        <v>1305</v>
      </c>
      <c r="D439" t="s">
        <v>58</v>
      </c>
      <c r="E439" t="s">
        <v>160</v>
      </c>
      <c r="F439">
        <v>7</v>
      </c>
    </row>
    <row r="440" spans="1:6" x14ac:dyDescent="0.25">
      <c r="A440" t="s">
        <v>1306</v>
      </c>
      <c r="B440" t="s">
        <v>1307</v>
      </c>
      <c r="C440" t="s">
        <v>1308</v>
      </c>
      <c r="D440" t="s">
        <v>58</v>
      </c>
      <c r="E440" t="s">
        <v>160</v>
      </c>
      <c r="F440">
        <v>64</v>
      </c>
    </row>
    <row r="441" spans="1:6" x14ac:dyDescent="0.25">
      <c r="A441" t="s">
        <v>1309</v>
      </c>
      <c r="B441" t="s">
        <v>1310</v>
      </c>
      <c r="C441" t="s">
        <v>1311</v>
      </c>
      <c r="D441" t="s">
        <v>58</v>
      </c>
      <c r="E441" t="s">
        <v>160</v>
      </c>
      <c r="F441">
        <v>16</v>
      </c>
    </row>
    <row r="442" spans="1:6" x14ac:dyDescent="0.25">
      <c r="A442" t="s">
        <v>1312</v>
      </c>
      <c r="B442" t="s">
        <v>1313</v>
      </c>
      <c r="C442" t="s">
        <v>1314</v>
      </c>
      <c r="D442" t="s">
        <v>58</v>
      </c>
      <c r="E442" t="s">
        <v>160</v>
      </c>
      <c r="F442">
        <v>28</v>
      </c>
    </row>
    <row r="443" spans="1:6" x14ac:dyDescent="0.25">
      <c r="A443" t="s">
        <v>1315</v>
      </c>
      <c r="B443" t="s">
        <v>1316</v>
      </c>
      <c r="C443" t="s">
        <v>1317</v>
      </c>
      <c r="D443" t="s">
        <v>58</v>
      </c>
      <c r="E443" t="s">
        <v>304</v>
      </c>
      <c r="F443">
        <v>13</v>
      </c>
    </row>
    <row r="444" spans="1:6" x14ac:dyDescent="0.25">
      <c r="A444" t="s">
        <v>1318</v>
      </c>
      <c r="B444" t="s">
        <v>1319</v>
      </c>
      <c r="C444" t="s">
        <v>1320</v>
      </c>
      <c r="D444" t="s">
        <v>58</v>
      </c>
      <c r="E444" t="s">
        <v>167</v>
      </c>
      <c r="F444">
        <v>270</v>
      </c>
    </row>
    <row r="445" spans="1:6" x14ac:dyDescent="0.25">
      <c r="A445" t="s">
        <v>1321</v>
      </c>
      <c r="B445" t="s">
        <v>1322</v>
      </c>
      <c r="C445" t="s">
        <v>1323</v>
      </c>
      <c r="D445" t="s">
        <v>58</v>
      </c>
      <c r="E445" t="s">
        <v>167</v>
      </c>
      <c r="F445">
        <v>18</v>
      </c>
    </row>
    <row r="446" spans="1:6" x14ac:dyDescent="0.25">
      <c r="A446" t="s">
        <v>1324</v>
      </c>
      <c r="B446" t="s">
        <v>1325</v>
      </c>
      <c r="C446" t="s">
        <v>1326</v>
      </c>
      <c r="D446" t="s">
        <v>58</v>
      </c>
      <c r="E446" t="s">
        <v>59</v>
      </c>
      <c r="F446">
        <v>103</v>
      </c>
    </row>
    <row r="447" spans="1:6" x14ac:dyDescent="0.25">
      <c r="A447" t="s">
        <v>1327</v>
      </c>
      <c r="B447" t="s">
        <v>1325</v>
      </c>
      <c r="C447" t="s">
        <v>1326</v>
      </c>
      <c r="D447" t="s">
        <v>58</v>
      </c>
      <c r="E447" t="s">
        <v>59</v>
      </c>
      <c r="F447">
        <v>273</v>
      </c>
    </row>
    <row r="448" spans="1:6" x14ac:dyDescent="0.25">
      <c r="A448" t="s">
        <v>1328</v>
      </c>
      <c r="B448" t="s">
        <v>1329</v>
      </c>
      <c r="C448" t="s">
        <v>1330</v>
      </c>
      <c r="D448" t="s">
        <v>58</v>
      </c>
      <c r="E448" t="s">
        <v>59</v>
      </c>
      <c r="F448">
        <v>105</v>
      </c>
    </row>
    <row r="449" spans="1:6" x14ac:dyDescent="0.25">
      <c r="A449" t="s">
        <v>1331</v>
      </c>
      <c r="B449" t="s">
        <v>1332</v>
      </c>
      <c r="C449" t="s">
        <v>1333</v>
      </c>
      <c r="D449" t="s">
        <v>58</v>
      </c>
      <c r="E449" t="s">
        <v>160</v>
      </c>
      <c r="F449">
        <v>11.6668</v>
      </c>
    </row>
    <row r="450" spans="1:6" x14ac:dyDescent="0.25">
      <c r="A450" t="s">
        <v>1334</v>
      </c>
      <c r="B450" t="s">
        <v>1335</v>
      </c>
      <c r="C450" t="s">
        <v>1336</v>
      </c>
      <c r="D450" t="s">
        <v>58</v>
      </c>
      <c r="E450" t="s">
        <v>304</v>
      </c>
      <c r="F450">
        <v>24</v>
      </c>
    </row>
    <row r="451" spans="1:6" x14ac:dyDescent="0.25">
      <c r="A451" t="s">
        <v>1337</v>
      </c>
      <c r="B451" t="s">
        <v>1338</v>
      </c>
      <c r="C451" t="s">
        <v>1339</v>
      </c>
      <c r="D451" t="s">
        <v>58</v>
      </c>
      <c r="E451" t="s">
        <v>304</v>
      </c>
      <c r="F451">
        <v>14</v>
      </c>
    </row>
    <row r="452" spans="1:6" x14ac:dyDescent="0.25">
      <c r="A452" t="s">
        <v>1340</v>
      </c>
      <c r="B452" t="s">
        <v>1341</v>
      </c>
      <c r="C452" t="s">
        <v>1342</v>
      </c>
      <c r="D452" t="s">
        <v>58</v>
      </c>
      <c r="E452" t="s">
        <v>216</v>
      </c>
      <c r="F452">
        <v>1</v>
      </c>
    </row>
    <row r="453" spans="1:6" x14ac:dyDescent="0.25">
      <c r="A453" t="s">
        <v>1343</v>
      </c>
      <c r="B453" t="s">
        <v>1344</v>
      </c>
      <c r="C453" t="s">
        <v>1345</v>
      </c>
      <c r="D453" t="s">
        <v>58</v>
      </c>
      <c r="E453" t="s">
        <v>216</v>
      </c>
      <c r="F453">
        <v>4</v>
      </c>
    </row>
    <row r="454" spans="1:6" x14ac:dyDescent="0.25">
      <c r="A454" t="s">
        <v>1346</v>
      </c>
      <c r="B454" t="s">
        <v>1347</v>
      </c>
      <c r="C454" t="s">
        <v>1348</v>
      </c>
      <c r="D454" t="s">
        <v>58</v>
      </c>
      <c r="E454" t="s">
        <v>216</v>
      </c>
      <c r="F454">
        <v>45</v>
      </c>
    </row>
    <row r="455" spans="1:6" x14ac:dyDescent="0.25">
      <c r="A455" t="s">
        <v>1349</v>
      </c>
      <c r="B455" t="s">
        <v>1350</v>
      </c>
      <c r="C455" t="s">
        <v>1351</v>
      </c>
      <c r="D455" t="s">
        <v>58</v>
      </c>
      <c r="E455" t="s">
        <v>167</v>
      </c>
      <c r="F455">
        <v>94</v>
      </c>
    </row>
    <row r="456" spans="1:6" x14ac:dyDescent="0.25">
      <c r="A456" t="s">
        <v>1352</v>
      </c>
      <c r="B456" t="s">
        <v>1353</v>
      </c>
      <c r="C456" t="s">
        <v>1354</v>
      </c>
      <c r="D456" t="s">
        <v>58</v>
      </c>
      <c r="E456" t="s">
        <v>150</v>
      </c>
      <c r="F456">
        <v>125</v>
      </c>
    </row>
    <row r="457" spans="1:6" x14ac:dyDescent="0.25">
      <c r="A457" t="s">
        <v>1355</v>
      </c>
      <c r="B457" t="s">
        <v>1356</v>
      </c>
      <c r="C457" t="s">
        <v>1357</v>
      </c>
      <c r="D457" t="s">
        <v>58</v>
      </c>
      <c r="E457" t="s">
        <v>160</v>
      </c>
      <c r="F457">
        <v>11.6668</v>
      </c>
    </row>
    <row r="458" spans="1:6" x14ac:dyDescent="0.25">
      <c r="A458" t="s">
        <v>1358</v>
      </c>
      <c r="B458" t="s">
        <v>1359</v>
      </c>
      <c r="C458" t="s">
        <v>1360</v>
      </c>
      <c r="D458" t="s">
        <v>58</v>
      </c>
      <c r="E458" t="s">
        <v>160</v>
      </c>
      <c r="F458">
        <v>8.3338000000000001</v>
      </c>
    </row>
    <row r="459" spans="1:6" x14ac:dyDescent="0.25">
      <c r="A459" t="s">
        <v>1361</v>
      </c>
      <c r="B459" t="s">
        <v>1362</v>
      </c>
      <c r="C459" t="s">
        <v>1363</v>
      </c>
      <c r="D459" t="s">
        <v>58</v>
      </c>
      <c r="E459" t="s">
        <v>304</v>
      </c>
      <c r="F459">
        <v>8</v>
      </c>
    </row>
    <row r="460" spans="1:6" x14ac:dyDescent="0.25">
      <c r="A460" t="s">
        <v>1364</v>
      </c>
      <c r="B460" t="s">
        <v>1365</v>
      </c>
      <c r="C460" t="s">
        <v>1366</v>
      </c>
      <c r="D460" t="s">
        <v>58</v>
      </c>
      <c r="E460" t="s">
        <v>304</v>
      </c>
      <c r="F460">
        <v>20</v>
      </c>
    </row>
    <row r="461" spans="1:6" x14ac:dyDescent="0.25">
      <c r="A461" t="s">
        <v>1367</v>
      </c>
      <c r="B461" t="s">
        <v>1368</v>
      </c>
      <c r="C461" t="s">
        <v>1369</v>
      </c>
      <c r="D461" t="s">
        <v>58</v>
      </c>
      <c r="E461" t="s">
        <v>160</v>
      </c>
      <c r="F461">
        <v>3</v>
      </c>
    </row>
    <row r="462" spans="1:6" x14ac:dyDescent="0.25">
      <c r="A462" t="s">
        <v>1370</v>
      </c>
      <c r="B462" t="s">
        <v>1371</v>
      </c>
      <c r="C462" t="s">
        <v>1372</v>
      </c>
      <c r="D462" t="s">
        <v>58</v>
      </c>
      <c r="E462" t="s">
        <v>160</v>
      </c>
      <c r="F462">
        <v>15</v>
      </c>
    </row>
    <row r="463" spans="1:6" x14ac:dyDescent="0.25">
      <c r="A463" t="s">
        <v>1373</v>
      </c>
      <c r="B463" t="s">
        <v>1371</v>
      </c>
      <c r="C463" t="s">
        <v>1372</v>
      </c>
      <c r="D463" t="s">
        <v>58</v>
      </c>
      <c r="E463" t="s">
        <v>160</v>
      </c>
      <c r="F463">
        <v>6</v>
      </c>
    </row>
    <row r="464" spans="1:6" x14ac:dyDescent="0.25">
      <c r="A464" t="s">
        <v>1374</v>
      </c>
      <c r="B464" t="s">
        <v>1375</v>
      </c>
      <c r="C464" t="s">
        <v>1376</v>
      </c>
      <c r="D464" t="s">
        <v>58</v>
      </c>
      <c r="E464" t="s">
        <v>167</v>
      </c>
      <c r="F464">
        <v>3</v>
      </c>
    </row>
    <row r="465" spans="1:6" x14ac:dyDescent="0.25">
      <c r="A465" t="s">
        <v>1377</v>
      </c>
      <c r="B465" t="s">
        <v>1378</v>
      </c>
      <c r="C465" t="s">
        <v>1379</v>
      </c>
      <c r="D465" t="s">
        <v>58</v>
      </c>
      <c r="E465" t="s">
        <v>167</v>
      </c>
      <c r="F465">
        <v>5</v>
      </c>
    </row>
    <row r="466" spans="1:6" x14ac:dyDescent="0.25">
      <c r="A466" t="s">
        <v>1380</v>
      </c>
      <c r="B466" t="s">
        <v>1381</v>
      </c>
      <c r="C466" t="s">
        <v>1382</v>
      </c>
      <c r="D466" t="s">
        <v>58</v>
      </c>
      <c r="E466" t="s">
        <v>167</v>
      </c>
      <c r="F466">
        <v>33</v>
      </c>
    </row>
    <row r="467" spans="1:6" x14ac:dyDescent="0.25">
      <c r="A467" t="s">
        <v>1383</v>
      </c>
      <c r="B467" t="s">
        <v>1384</v>
      </c>
      <c r="C467" t="s">
        <v>1385</v>
      </c>
      <c r="D467" t="s">
        <v>58</v>
      </c>
      <c r="E467" t="s">
        <v>167</v>
      </c>
      <c r="F467">
        <v>2</v>
      </c>
    </row>
    <row r="468" spans="1:6" x14ac:dyDescent="0.25">
      <c r="A468" t="s">
        <v>1386</v>
      </c>
      <c r="B468" t="s">
        <v>1378</v>
      </c>
      <c r="C468" t="s">
        <v>1387</v>
      </c>
      <c r="D468" t="s">
        <v>58</v>
      </c>
      <c r="E468" t="s">
        <v>167</v>
      </c>
      <c r="F468">
        <v>32</v>
      </c>
    </row>
    <row r="469" spans="1:6" x14ac:dyDescent="0.25">
      <c r="A469" t="s">
        <v>1388</v>
      </c>
      <c r="B469" t="s">
        <v>1389</v>
      </c>
      <c r="C469" t="s">
        <v>1390</v>
      </c>
      <c r="D469" t="s">
        <v>58</v>
      </c>
      <c r="E469" t="s">
        <v>167</v>
      </c>
      <c r="F469">
        <v>2</v>
      </c>
    </row>
    <row r="470" spans="1:6" x14ac:dyDescent="0.25">
      <c r="A470" t="s">
        <v>1391</v>
      </c>
      <c r="B470" t="s">
        <v>1392</v>
      </c>
      <c r="C470" t="s">
        <v>1393</v>
      </c>
      <c r="D470" t="s">
        <v>58</v>
      </c>
      <c r="E470" t="s">
        <v>167</v>
      </c>
      <c r="F470">
        <v>21</v>
      </c>
    </row>
    <row r="471" spans="1:6" x14ac:dyDescent="0.25">
      <c r="A471" t="s">
        <v>1394</v>
      </c>
      <c r="B471" t="s">
        <v>1395</v>
      </c>
      <c r="C471" t="s">
        <v>1396</v>
      </c>
      <c r="D471" t="s">
        <v>58</v>
      </c>
      <c r="E471" t="s">
        <v>167</v>
      </c>
      <c r="F471">
        <v>22</v>
      </c>
    </row>
    <row r="472" spans="1:6" x14ac:dyDescent="0.25">
      <c r="A472" t="s">
        <v>1397</v>
      </c>
      <c r="B472" t="s">
        <v>1398</v>
      </c>
      <c r="C472" t="s">
        <v>1399</v>
      </c>
      <c r="D472" t="s">
        <v>58</v>
      </c>
      <c r="E472" t="s">
        <v>150</v>
      </c>
      <c r="F472">
        <v>91</v>
      </c>
    </row>
    <row r="473" spans="1:6" x14ac:dyDescent="0.25">
      <c r="A473" t="s">
        <v>1400</v>
      </c>
      <c r="B473" t="s">
        <v>1401</v>
      </c>
      <c r="C473" t="s">
        <v>1402</v>
      </c>
      <c r="D473" t="s">
        <v>58</v>
      </c>
      <c r="E473" t="s">
        <v>150</v>
      </c>
      <c r="F473">
        <v>777</v>
      </c>
    </row>
    <row r="474" spans="1:6" x14ac:dyDescent="0.25">
      <c r="A474" t="s">
        <v>1403</v>
      </c>
      <c r="B474" t="s">
        <v>1404</v>
      </c>
      <c r="C474" t="s">
        <v>1405</v>
      </c>
      <c r="D474" t="s">
        <v>58</v>
      </c>
      <c r="E474" t="s">
        <v>216</v>
      </c>
      <c r="F474">
        <v>36</v>
      </c>
    </row>
    <row r="475" spans="1:6" x14ac:dyDescent="0.25">
      <c r="A475" t="s">
        <v>1406</v>
      </c>
      <c r="B475" t="s">
        <v>1407</v>
      </c>
      <c r="C475" t="s">
        <v>1408</v>
      </c>
      <c r="D475" t="s">
        <v>58</v>
      </c>
      <c r="E475" t="s">
        <v>1075</v>
      </c>
      <c r="F475">
        <v>6</v>
      </c>
    </row>
    <row r="476" spans="1:6" x14ac:dyDescent="0.25">
      <c r="A476" t="s">
        <v>1409</v>
      </c>
      <c r="B476" t="s">
        <v>1410</v>
      </c>
      <c r="C476" t="s">
        <v>1411</v>
      </c>
      <c r="D476" t="s">
        <v>58</v>
      </c>
      <c r="E476" t="s">
        <v>1075</v>
      </c>
      <c r="F476">
        <v>10</v>
      </c>
    </row>
    <row r="477" spans="1:6" x14ac:dyDescent="0.25">
      <c r="A477" t="s">
        <v>1412</v>
      </c>
      <c r="B477" t="s">
        <v>1413</v>
      </c>
      <c r="C477" t="s">
        <v>1414</v>
      </c>
      <c r="D477" t="s">
        <v>58</v>
      </c>
      <c r="E477" t="s">
        <v>59</v>
      </c>
      <c r="F477">
        <v>253</v>
      </c>
    </row>
    <row r="478" spans="1:6" x14ac:dyDescent="0.25">
      <c r="A478" t="s">
        <v>1415</v>
      </c>
      <c r="B478" t="s">
        <v>1416</v>
      </c>
      <c r="C478" t="s">
        <v>1417</v>
      </c>
      <c r="D478" t="s">
        <v>58</v>
      </c>
      <c r="E478" t="s">
        <v>59</v>
      </c>
      <c r="F478">
        <v>48</v>
      </c>
    </row>
    <row r="479" spans="1:6" x14ac:dyDescent="0.25">
      <c r="A479" t="s">
        <v>1418</v>
      </c>
      <c r="B479" t="s">
        <v>1419</v>
      </c>
      <c r="C479" t="s">
        <v>1420</v>
      </c>
      <c r="D479" t="s">
        <v>58</v>
      </c>
      <c r="E479" t="s">
        <v>187</v>
      </c>
      <c r="F479">
        <v>142</v>
      </c>
    </row>
    <row r="480" spans="1:6" x14ac:dyDescent="0.25">
      <c r="A480" t="s">
        <v>1421</v>
      </c>
      <c r="B480" t="s">
        <v>1422</v>
      </c>
      <c r="C480" t="s">
        <v>1423</v>
      </c>
      <c r="D480" t="s">
        <v>58</v>
      </c>
      <c r="E480" t="s">
        <v>187</v>
      </c>
      <c r="F480">
        <v>151</v>
      </c>
    </row>
    <row r="481" spans="1:6" x14ac:dyDescent="0.25">
      <c r="A481" t="s">
        <v>1424</v>
      </c>
      <c r="B481" t="s">
        <v>1425</v>
      </c>
      <c r="C481" t="s">
        <v>1426</v>
      </c>
      <c r="D481" t="s">
        <v>58</v>
      </c>
      <c r="E481" t="s">
        <v>59</v>
      </c>
      <c r="F481">
        <v>8</v>
      </c>
    </row>
    <row r="482" spans="1:6" x14ac:dyDescent="0.25">
      <c r="A482" t="s">
        <v>1427</v>
      </c>
      <c r="B482" t="s">
        <v>1425</v>
      </c>
      <c r="C482" t="s">
        <v>1426</v>
      </c>
      <c r="D482" t="s">
        <v>58</v>
      </c>
      <c r="E482" t="s">
        <v>59</v>
      </c>
      <c r="F482">
        <v>230</v>
      </c>
    </row>
    <row r="483" spans="1:6" x14ac:dyDescent="0.25">
      <c r="A483" t="s">
        <v>1428</v>
      </c>
      <c r="B483" t="s">
        <v>1429</v>
      </c>
      <c r="C483" t="s">
        <v>1430</v>
      </c>
      <c r="D483" t="s">
        <v>58</v>
      </c>
      <c r="E483" t="s">
        <v>150</v>
      </c>
      <c r="F483">
        <v>185</v>
      </c>
    </row>
    <row r="484" spans="1:6" x14ac:dyDescent="0.25">
      <c r="A484" t="s">
        <v>1431</v>
      </c>
      <c r="B484" t="s">
        <v>1432</v>
      </c>
      <c r="C484" t="s">
        <v>1433</v>
      </c>
      <c r="D484" t="s">
        <v>58</v>
      </c>
      <c r="E484" t="s">
        <v>167</v>
      </c>
      <c r="F484">
        <v>208</v>
      </c>
    </row>
    <row r="485" spans="1:6" x14ac:dyDescent="0.25">
      <c r="A485" t="s">
        <v>1434</v>
      </c>
      <c r="B485" t="s">
        <v>1435</v>
      </c>
      <c r="C485" t="s">
        <v>1436</v>
      </c>
      <c r="D485" t="s">
        <v>58</v>
      </c>
      <c r="E485" t="s">
        <v>167</v>
      </c>
      <c r="F485">
        <v>201</v>
      </c>
    </row>
    <row r="486" spans="1:6" x14ac:dyDescent="0.25">
      <c r="A486" t="s">
        <v>1437</v>
      </c>
      <c r="B486" t="s">
        <v>1438</v>
      </c>
      <c r="C486" t="s">
        <v>1439</v>
      </c>
      <c r="D486" t="s">
        <v>58</v>
      </c>
      <c r="E486" t="s">
        <v>167</v>
      </c>
      <c r="F486">
        <v>202</v>
      </c>
    </row>
    <row r="487" spans="1:6" x14ac:dyDescent="0.25">
      <c r="A487" t="s">
        <v>1440</v>
      </c>
      <c r="B487" t="s">
        <v>1441</v>
      </c>
      <c r="C487" t="s">
        <v>1442</v>
      </c>
      <c r="D487" t="s">
        <v>58</v>
      </c>
      <c r="E487" t="s">
        <v>167</v>
      </c>
      <c r="F487">
        <v>56</v>
      </c>
    </row>
    <row r="488" spans="1:6" x14ac:dyDescent="0.25">
      <c r="A488" t="s">
        <v>1443</v>
      </c>
      <c r="B488" t="s">
        <v>1444</v>
      </c>
      <c r="C488" t="s">
        <v>1445</v>
      </c>
      <c r="D488" t="s">
        <v>58</v>
      </c>
      <c r="E488" t="s">
        <v>167</v>
      </c>
      <c r="F488">
        <v>40</v>
      </c>
    </row>
    <row r="489" spans="1:6" x14ac:dyDescent="0.25">
      <c r="A489" t="s">
        <v>1446</v>
      </c>
      <c r="B489" t="s">
        <v>1447</v>
      </c>
      <c r="C489" t="s">
        <v>1448</v>
      </c>
      <c r="D489" t="s">
        <v>58</v>
      </c>
      <c r="E489" t="s">
        <v>167</v>
      </c>
      <c r="F489">
        <v>35</v>
      </c>
    </row>
    <row r="490" spans="1:6" x14ac:dyDescent="0.25">
      <c r="A490" t="s">
        <v>1449</v>
      </c>
      <c r="B490" t="s">
        <v>1450</v>
      </c>
      <c r="C490" t="s">
        <v>1451</v>
      </c>
      <c r="D490" t="s">
        <v>58</v>
      </c>
      <c r="E490" t="s">
        <v>167</v>
      </c>
      <c r="F490">
        <v>37</v>
      </c>
    </row>
    <row r="491" spans="1:6" x14ac:dyDescent="0.25">
      <c r="A491" t="s">
        <v>1452</v>
      </c>
      <c r="B491" t="s">
        <v>1453</v>
      </c>
      <c r="C491" t="s">
        <v>1454</v>
      </c>
      <c r="D491" t="s">
        <v>58</v>
      </c>
      <c r="E491" t="s">
        <v>167</v>
      </c>
      <c r="F491">
        <v>9</v>
      </c>
    </row>
    <row r="492" spans="1:6" x14ac:dyDescent="0.25">
      <c r="A492" t="s">
        <v>1455</v>
      </c>
      <c r="B492" t="s">
        <v>1456</v>
      </c>
      <c r="C492" t="s">
        <v>1457</v>
      </c>
      <c r="D492" t="s">
        <v>58</v>
      </c>
      <c r="E492" t="s">
        <v>59</v>
      </c>
      <c r="F492">
        <v>103</v>
      </c>
    </row>
    <row r="493" spans="1:6" x14ac:dyDescent="0.25">
      <c r="A493" t="s">
        <v>1458</v>
      </c>
      <c r="B493" t="s">
        <v>1459</v>
      </c>
      <c r="C493" t="s">
        <v>1460</v>
      </c>
      <c r="D493" t="s">
        <v>58</v>
      </c>
      <c r="E493" t="s">
        <v>59</v>
      </c>
      <c r="F493">
        <v>17</v>
      </c>
    </row>
    <row r="494" spans="1:6" x14ac:dyDescent="0.25">
      <c r="A494" t="s">
        <v>1461</v>
      </c>
      <c r="B494" t="s">
        <v>1462</v>
      </c>
      <c r="C494" t="s">
        <v>1463</v>
      </c>
      <c r="D494" t="s">
        <v>58</v>
      </c>
      <c r="E494" t="s">
        <v>59</v>
      </c>
      <c r="F494">
        <v>127</v>
      </c>
    </row>
    <row r="495" spans="1:6" x14ac:dyDescent="0.25">
      <c r="A495" t="s">
        <v>1464</v>
      </c>
      <c r="B495" t="s">
        <v>1465</v>
      </c>
      <c r="C495" t="s">
        <v>1466</v>
      </c>
      <c r="D495" t="s">
        <v>58</v>
      </c>
      <c r="E495" t="s">
        <v>59</v>
      </c>
      <c r="F495">
        <v>253</v>
      </c>
    </row>
    <row r="496" spans="1:6" x14ac:dyDescent="0.25">
      <c r="A496" t="s">
        <v>1467</v>
      </c>
      <c r="B496" t="s">
        <v>1468</v>
      </c>
      <c r="C496" t="s">
        <v>1469</v>
      </c>
      <c r="D496" t="s">
        <v>58</v>
      </c>
      <c r="E496" t="s">
        <v>59</v>
      </c>
      <c r="F496">
        <v>444</v>
      </c>
    </row>
    <row r="497" spans="1:6" x14ac:dyDescent="0.25">
      <c r="A497" t="s">
        <v>1470</v>
      </c>
      <c r="B497" t="s">
        <v>1471</v>
      </c>
      <c r="C497" t="s">
        <v>1472</v>
      </c>
      <c r="D497" t="s">
        <v>58</v>
      </c>
      <c r="E497" t="s">
        <v>59</v>
      </c>
      <c r="F497">
        <v>278</v>
      </c>
    </row>
    <row r="498" spans="1:6" x14ac:dyDescent="0.25">
      <c r="A498" t="s">
        <v>1473</v>
      </c>
      <c r="B498" t="s">
        <v>1474</v>
      </c>
      <c r="C498" t="s">
        <v>1475</v>
      </c>
      <c r="D498" t="s">
        <v>58</v>
      </c>
      <c r="E498" t="s">
        <v>59</v>
      </c>
      <c r="F498">
        <v>62</v>
      </c>
    </row>
    <row r="499" spans="1:6" x14ac:dyDescent="0.25">
      <c r="A499" t="s">
        <v>1476</v>
      </c>
      <c r="B499" t="s">
        <v>1477</v>
      </c>
      <c r="C499" t="s">
        <v>1478</v>
      </c>
      <c r="D499" t="s">
        <v>58</v>
      </c>
      <c r="E499" t="s">
        <v>150</v>
      </c>
      <c r="F499">
        <v>150</v>
      </c>
    </row>
    <row r="500" spans="1:6" x14ac:dyDescent="0.25">
      <c r="A500" t="s">
        <v>1479</v>
      </c>
      <c r="B500" t="s">
        <v>1480</v>
      </c>
      <c r="C500" t="s">
        <v>1481</v>
      </c>
      <c r="D500" t="s">
        <v>58</v>
      </c>
      <c r="E500" t="s">
        <v>150</v>
      </c>
      <c r="F500">
        <v>187</v>
      </c>
    </row>
    <row r="501" spans="1:6" x14ac:dyDescent="0.25">
      <c r="A501" t="s">
        <v>1482</v>
      </c>
      <c r="B501" t="s">
        <v>1483</v>
      </c>
      <c r="C501" t="s">
        <v>1484</v>
      </c>
      <c r="D501" t="s">
        <v>58</v>
      </c>
      <c r="E501" t="s">
        <v>150</v>
      </c>
      <c r="F501">
        <v>298</v>
      </c>
    </row>
    <row r="502" spans="1:6" x14ac:dyDescent="0.25">
      <c r="A502" t="s">
        <v>1485</v>
      </c>
      <c r="B502" t="s">
        <v>1486</v>
      </c>
      <c r="C502" t="s">
        <v>1487</v>
      </c>
      <c r="D502" t="s">
        <v>58</v>
      </c>
      <c r="E502" t="s">
        <v>150</v>
      </c>
      <c r="F502">
        <v>94</v>
      </c>
    </row>
    <row r="503" spans="1:6" x14ac:dyDescent="0.25">
      <c r="A503" t="s">
        <v>1488</v>
      </c>
      <c r="B503" t="s">
        <v>1489</v>
      </c>
      <c r="C503" t="s">
        <v>1490</v>
      </c>
      <c r="D503" t="s">
        <v>58</v>
      </c>
      <c r="E503" t="s">
        <v>150</v>
      </c>
      <c r="F503">
        <v>13</v>
      </c>
    </row>
    <row r="504" spans="1:6" x14ac:dyDescent="0.25">
      <c r="A504" t="s">
        <v>1491</v>
      </c>
      <c r="B504" t="s">
        <v>1492</v>
      </c>
      <c r="C504" t="s">
        <v>1493</v>
      </c>
      <c r="D504" t="s">
        <v>58</v>
      </c>
      <c r="E504" t="s">
        <v>150</v>
      </c>
      <c r="F504">
        <v>22</v>
      </c>
    </row>
    <row r="505" spans="1:6" x14ac:dyDescent="0.25">
      <c r="A505" t="s">
        <v>1494</v>
      </c>
      <c r="B505" t="s">
        <v>1486</v>
      </c>
      <c r="C505" t="s">
        <v>1487</v>
      </c>
      <c r="D505" t="s">
        <v>58</v>
      </c>
      <c r="E505" t="s">
        <v>150</v>
      </c>
      <c r="F505">
        <v>1</v>
      </c>
    </row>
    <row r="506" spans="1:6" x14ac:dyDescent="0.25">
      <c r="A506" t="s">
        <v>1495</v>
      </c>
      <c r="B506" t="s">
        <v>1496</v>
      </c>
      <c r="C506" t="s">
        <v>1497</v>
      </c>
      <c r="D506" t="s">
        <v>58</v>
      </c>
      <c r="E506" t="s">
        <v>216</v>
      </c>
      <c r="F506">
        <v>12</v>
      </c>
    </row>
    <row r="507" spans="1:6" x14ac:dyDescent="0.25">
      <c r="A507" t="s">
        <v>1498</v>
      </c>
      <c r="B507" t="s">
        <v>1499</v>
      </c>
      <c r="C507" t="s">
        <v>1500</v>
      </c>
      <c r="D507" t="s">
        <v>58</v>
      </c>
      <c r="E507" t="s">
        <v>167</v>
      </c>
      <c r="F507">
        <v>23</v>
      </c>
    </row>
    <row r="508" spans="1:6" x14ac:dyDescent="0.25">
      <c r="A508" t="s">
        <v>1501</v>
      </c>
      <c r="B508" t="s">
        <v>1502</v>
      </c>
      <c r="C508" t="s">
        <v>1503</v>
      </c>
      <c r="D508" t="s">
        <v>58</v>
      </c>
      <c r="E508" t="s">
        <v>167</v>
      </c>
      <c r="F508">
        <v>109</v>
      </c>
    </row>
    <row r="509" spans="1:6" x14ac:dyDescent="0.25">
      <c r="A509" t="s">
        <v>1504</v>
      </c>
      <c r="B509" t="s">
        <v>1505</v>
      </c>
      <c r="C509" t="s">
        <v>1506</v>
      </c>
      <c r="D509" t="s">
        <v>58</v>
      </c>
      <c r="E509" t="s">
        <v>167</v>
      </c>
      <c r="F509">
        <v>6</v>
      </c>
    </row>
    <row r="510" spans="1:6" x14ac:dyDescent="0.25">
      <c r="A510" t="s">
        <v>1507</v>
      </c>
      <c r="B510" t="s">
        <v>1508</v>
      </c>
      <c r="C510" t="s">
        <v>1509</v>
      </c>
      <c r="D510" t="s">
        <v>58</v>
      </c>
      <c r="E510" t="s">
        <v>167</v>
      </c>
      <c r="F510">
        <v>31</v>
      </c>
    </row>
    <row r="511" spans="1:6" x14ac:dyDescent="0.25">
      <c r="A511" t="s">
        <v>1510</v>
      </c>
      <c r="B511" t="s">
        <v>1511</v>
      </c>
      <c r="C511" t="s">
        <v>1512</v>
      </c>
      <c r="D511" t="s">
        <v>58</v>
      </c>
      <c r="E511" t="s">
        <v>167</v>
      </c>
      <c r="F511">
        <v>38</v>
      </c>
    </row>
    <row r="512" spans="1:6" x14ac:dyDescent="0.25">
      <c r="A512" t="s">
        <v>1513</v>
      </c>
      <c r="B512" t="s">
        <v>1514</v>
      </c>
      <c r="C512" t="s">
        <v>1515</v>
      </c>
      <c r="D512" t="s">
        <v>58</v>
      </c>
      <c r="E512" t="s">
        <v>59</v>
      </c>
      <c r="F512">
        <v>79</v>
      </c>
    </row>
    <row r="513" spans="1:6" x14ac:dyDescent="0.25">
      <c r="A513" t="s">
        <v>1516</v>
      </c>
      <c r="B513" t="s">
        <v>1514</v>
      </c>
      <c r="C513" t="s">
        <v>1515</v>
      </c>
      <c r="D513" t="s">
        <v>58</v>
      </c>
      <c r="E513" t="s">
        <v>59</v>
      </c>
      <c r="F513">
        <v>291</v>
      </c>
    </row>
    <row r="514" spans="1:6" x14ac:dyDescent="0.25">
      <c r="A514" t="s">
        <v>1517</v>
      </c>
      <c r="B514" t="s">
        <v>1518</v>
      </c>
      <c r="C514" t="s">
        <v>1519</v>
      </c>
      <c r="D514" t="s">
        <v>58</v>
      </c>
      <c r="E514" t="s">
        <v>59</v>
      </c>
      <c r="F514">
        <v>146</v>
      </c>
    </row>
    <row r="515" spans="1:6" x14ac:dyDescent="0.25">
      <c r="A515" t="s">
        <v>1520</v>
      </c>
      <c r="B515" t="s">
        <v>1521</v>
      </c>
      <c r="C515" t="s">
        <v>1522</v>
      </c>
      <c r="D515" t="s">
        <v>58</v>
      </c>
      <c r="E515" t="s">
        <v>203</v>
      </c>
      <c r="F515">
        <v>236</v>
      </c>
    </row>
    <row r="516" spans="1:6" x14ac:dyDescent="0.25">
      <c r="A516" t="s">
        <v>1523</v>
      </c>
      <c r="B516" t="s">
        <v>1524</v>
      </c>
      <c r="C516" t="s">
        <v>1525</v>
      </c>
      <c r="D516" t="s">
        <v>58</v>
      </c>
      <c r="E516" t="s">
        <v>203</v>
      </c>
      <c r="F516">
        <v>234</v>
      </c>
    </row>
    <row r="517" spans="1:6" x14ac:dyDescent="0.25">
      <c r="A517" t="s">
        <v>1526</v>
      </c>
      <c r="B517" t="s">
        <v>1527</v>
      </c>
      <c r="C517" t="s">
        <v>1528</v>
      </c>
      <c r="D517" t="s">
        <v>58</v>
      </c>
      <c r="E517" t="s">
        <v>203</v>
      </c>
      <c r="F517">
        <v>236</v>
      </c>
    </row>
    <row r="518" spans="1:6" x14ac:dyDescent="0.25">
      <c r="A518" t="s">
        <v>1529</v>
      </c>
      <c r="B518" t="s">
        <v>1530</v>
      </c>
      <c r="C518" t="s">
        <v>1531</v>
      </c>
      <c r="D518" t="s">
        <v>58</v>
      </c>
      <c r="E518" t="s">
        <v>150</v>
      </c>
      <c r="F518">
        <v>249</v>
      </c>
    </row>
    <row r="519" spans="1:6" x14ac:dyDescent="0.25">
      <c r="A519" t="s">
        <v>1532</v>
      </c>
      <c r="B519" t="s">
        <v>1533</v>
      </c>
      <c r="C519" t="s">
        <v>1534</v>
      </c>
      <c r="D519" t="s">
        <v>58</v>
      </c>
      <c r="E519" t="s">
        <v>67</v>
      </c>
      <c r="F519">
        <v>47.333799999999997</v>
      </c>
    </row>
    <row r="520" spans="1:6" x14ac:dyDescent="0.25">
      <c r="A520" t="s">
        <v>1535</v>
      </c>
      <c r="B520" t="s">
        <v>1536</v>
      </c>
      <c r="C520" t="s">
        <v>1537</v>
      </c>
      <c r="D520" t="s">
        <v>58</v>
      </c>
      <c r="E520" t="s">
        <v>59</v>
      </c>
      <c r="F520">
        <v>125</v>
      </c>
    </row>
    <row r="521" spans="1:6" x14ac:dyDescent="0.25">
      <c r="A521" t="s">
        <v>1538</v>
      </c>
      <c r="B521" t="s">
        <v>1536</v>
      </c>
      <c r="C521" t="s">
        <v>1537</v>
      </c>
      <c r="D521" t="s">
        <v>58</v>
      </c>
      <c r="E521" t="s">
        <v>59</v>
      </c>
      <c r="F521">
        <v>6</v>
      </c>
    </row>
    <row r="522" spans="1:6" x14ac:dyDescent="0.25">
      <c r="A522" t="s">
        <v>1539</v>
      </c>
      <c r="B522" t="s">
        <v>1540</v>
      </c>
      <c r="C522" t="s">
        <v>1541</v>
      </c>
      <c r="D522" t="s">
        <v>58</v>
      </c>
      <c r="E522" t="s">
        <v>225</v>
      </c>
      <c r="F522">
        <v>35</v>
      </c>
    </row>
    <row r="523" spans="1:6" x14ac:dyDescent="0.25">
      <c r="A523" t="s">
        <v>1542</v>
      </c>
      <c r="B523" t="s">
        <v>1543</v>
      </c>
      <c r="C523" t="s">
        <v>1544</v>
      </c>
      <c r="D523" t="s">
        <v>58</v>
      </c>
      <c r="E523" t="s">
        <v>150</v>
      </c>
      <c r="F523">
        <v>38</v>
      </c>
    </row>
    <row r="524" spans="1:6" x14ac:dyDescent="0.25">
      <c r="A524" t="s">
        <v>1545</v>
      </c>
      <c r="B524" t="s">
        <v>1546</v>
      </c>
      <c r="C524" t="s">
        <v>1547</v>
      </c>
      <c r="D524" t="s">
        <v>58</v>
      </c>
      <c r="E524" t="s">
        <v>59</v>
      </c>
      <c r="F524">
        <v>6</v>
      </c>
    </row>
    <row r="525" spans="1:6" x14ac:dyDescent="0.25">
      <c r="A525" t="s">
        <v>1548</v>
      </c>
      <c r="B525" t="s">
        <v>1549</v>
      </c>
      <c r="C525" t="s">
        <v>1550</v>
      </c>
      <c r="D525" t="s">
        <v>58</v>
      </c>
      <c r="E525" t="s">
        <v>59</v>
      </c>
      <c r="F525">
        <v>6</v>
      </c>
    </row>
    <row r="526" spans="1:6" x14ac:dyDescent="0.25">
      <c r="A526" t="s">
        <v>1551</v>
      </c>
      <c r="B526" t="s">
        <v>1552</v>
      </c>
      <c r="C526" t="s">
        <v>1553</v>
      </c>
      <c r="D526" t="s">
        <v>58</v>
      </c>
      <c r="E526" t="s">
        <v>1554</v>
      </c>
      <c r="F526">
        <v>5</v>
      </c>
    </row>
    <row r="527" spans="1:6" x14ac:dyDescent="0.25">
      <c r="A527" t="s">
        <v>1555</v>
      </c>
      <c r="B527" t="s">
        <v>1556</v>
      </c>
      <c r="C527" t="s">
        <v>1557</v>
      </c>
      <c r="D527" t="s">
        <v>58</v>
      </c>
      <c r="E527" t="s">
        <v>59</v>
      </c>
      <c r="F527">
        <v>12</v>
      </c>
    </row>
    <row r="528" spans="1:6" x14ac:dyDescent="0.25">
      <c r="A528" t="s">
        <v>1558</v>
      </c>
      <c r="B528" t="s">
        <v>1559</v>
      </c>
      <c r="C528" t="s">
        <v>1560</v>
      </c>
      <c r="D528" t="s">
        <v>58</v>
      </c>
      <c r="E528" t="s">
        <v>160</v>
      </c>
      <c r="F528">
        <v>7</v>
      </c>
    </row>
    <row r="529" spans="1:6" x14ac:dyDescent="0.25">
      <c r="A529" t="s">
        <v>1561</v>
      </c>
      <c r="B529" t="s">
        <v>1562</v>
      </c>
      <c r="C529" t="s">
        <v>1563</v>
      </c>
      <c r="D529" t="s">
        <v>58</v>
      </c>
      <c r="E529" t="s">
        <v>167</v>
      </c>
      <c r="F529">
        <v>45</v>
      </c>
    </row>
    <row r="530" spans="1:6" x14ac:dyDescent="0.25">
      <c r="A530" t="s">
        <v>1564</v>
      </c>
      <c r="B530" t="s">
        <v>1565</v>
      </c>
      <c r="C530" t="s">
        <v>1566</v>
      </c>
      <c r="D530" t="s">
        <v>58</v>
      </c>
      <c r="E530" t="s">
        <v>59</v>
      </c>
      <c r="F530">
        <v>95</v>
      </c>
    </row>
    <row r="531" spans="1:6" x14ac:dyDescent="0.25">
      <c r="A531" t="s">
        <v>1567</v>
      </c>
      <c r="B531" t="s">
        <v>1568</v>
      </c>
      <c r="C531" t="s">
        <v>1569</v>
      </c>
      <c r="D531" t="s">
        <v>58</v>
      </c>
      <c r="E531" t="s">
        <v>59</v>
      </c>
      <c r="F531">
        <v>68</v>
      </c>
    </row>
    <row r="532" spans="1:6" x14ac:dyDescent="0.25">
      <c r="A532" t="s">
        <v>1570</v>
      </c>
      <c r="B532" t="s">
        <v>1571</v>
      </c>
      <c r="C532" t="s">
        <v>1572</v>
      </c>
      <c r="D532" t="s">
        <v>58</v>
      </c>
      <c r="E532" t="s">
        <v>59</v>
      </c>
      <c r="F532">
        <v>68</v>
      </c>
    </row>
    <row r="533" spans="1:6" x14ac:dyDescent="0.25">
      <c r="A533" t="s">
        <v>1573</v>
      </c>
      <c r="B533" t="s">
        <v>1574</v>
      </c>
      <c r="C533" t="s">
        <v>1572</v>
      </c>
      <c r="D533" t="s">
        <v>58</v>
      </c>
      <c r="E533" t="s">
        <v>59</v>
      </c>
      <c r="F533">
        <v>11</v>
      </c>
    </row>
    <row r="534" spans="1:6" x14ac:dyDescent="0.25">
      <c r="A534" t="s">
        <v>1575</v>
      </c>
      <c r="B534" t="s">
        <v>1576</v>
      </c>
      <c r="C534" t="s">
        <v>1577</v>
      </c>
      <c r="D534" t="s">
        <v>58</v>
      </c>
      <c r="E534" t="s">
        <v>59</v>
      </c>
      <c r="F534">
        <v>11</v>
      </c>
    </row>
    <row r="535" spans="1:6" x14ac:dyDescent="0.25">
      <c r="A535" t="s">
        <v>1578</v>
      </c>
      <c r="B535" t="s">
        <v>1579</v>
      </c>
      <c r="C535" t="s">
        <v>1580</v>
      </c>
      <c r="D535" t="s">
        <v>58</v>
      </c>
      <c r="E535" t="s">
        <v>59</v>
      </c>
      <c r="F535">
        <v>76</v>
      </c>
    </row>
    <row r="536" spans="1:6" x14ac:dyDescent="0.25">
      <c r="A536" t="s">
        <v>1581</v>
      </c>
      <c r="B536" t="s">
        <v>1582</v>
      </c>
      <c r="C536" t="s">
        <v>1583</v>
      </c>
      <c r="D536" t="s">
        <v>58</v>
      </c>
      <c r="E536" t="s">
        <v>59</v>
      </c>
      <c r="F536">
        <v>179</v>
      </c>
    </row>
    <row r="537" spans="1:6" x14ac:dyDescent="0.25">
      <c r="A537" t="s">
        <v>1584</v>
      </c>
      <c r="B537" t="s">
        <v>1585</v>
      </c>
      <c r="C537" t="s">
        <v>1586</v>
      </c>
      <c r="D537" t="s">
        <v>58</v>
      </c>
      <c r="E537" t="s">
        <v>59</v>
      </c>
      <c r="F537">
        <v>255</v>
      </c>
    </row>
    <row r="538" spans="1:6" x14ac:dyDescent="0.25">
      <c r="A538" t="s">
        <v>1587</v>
      </c>
      <c r="B538" t="s">
        <v>1588</v>
      </c>
      <c r="C538" t="s">
        <v>1589</v>
      </c>
      <c r="D538" t="s">
        <v>58</v>
      </c>
      <c r="E538" t="s">
        <v>160</v>
      </c>
      <c r="F538">
        <v>8</v>
      </c>
    </row>
    <row r="539" spans="1:6" x14ac:dyDescent="0.25">
      <c r="A539" t="s">
        <v>1590</v>
      </c>
      <c r="B539" t="s">
        <v>1591</v>
      </c>
      <c r="C539" t="s">
        <v>1592</v>
      </c>
      <c r="D539" t="s">
        <v>58</v>
      </c>
      <c r="E539" t="s">
        <v>160</v>
      </c>
      <c r="F539">
        <v>7</v>
      </c>
    </row>
    <row r="540" spans="1:6" x14ac:dyDescent="0.25">
      <c r="A540" t="s">
        <v>1593</v>
      </c>
      <c r="B540" t="s">
        <v>1594</v>
      </c>
      <c r="C540" t="s">
        <v>1595</v>
      </c>
      <c r="D540" t="s">
        <v>58</v>
      </c>
      <c r="E540" t="s">
        <v>160</v>
      </c>
      <c r="F540">
        <v>7</v>
      </c>
    </row>
    <row r="541" spans="1:6" x14ac:dyDescent="0.25">
      <c r="A541" t="s">
        <v>1596</v>
      </c>
      <c r="B541" t="s">
        <v>1597</v>
      </c>
      <c r="C541" t="s">
        <v>1598</v>
      </c>
      <c r="D541" t="s">
        <v>58</v>
      </c>
      <c r="E541" t="s">
        <v>59</v>
      </c>
      <c r="F541">
        <v>163</v>
      </c>
    </row>
    <row r="542" spans="1:6" x14ac:dyDescent="0.25">
      <c r="A542" t="s">
        <v>1599</v>
      </c>
      <c r="B542" t="s">
        <v>1600</v>
      </c>
      <c r="C542" t="s">
        <v>1598</v>
      </c>
      <c r="D542" t="s">
        <v>58</v>
      </c>
      <c r="E542" t="s">
        <v>59</v>
      </c>
      <c r="F542">
        <v>22</v>
      </c>
    </row>
    <row r="543" spans="1:6" x14ac:dyDescent="0.25">
      <c r="A543" t="s">
        <v>1601</v>
      </c>
      <c r="B543" t="s">
        <v>1602</v>
      </c>
      <c r="C543" t="s">
        <v>1603</v>
      </c>
      <c r="D543" t="s">
        <v>58</v>
      </c>
      <c r="E543" t="s">
        <v>59</v>
      </c>
      <c r="F543">
        <v>115</v>
      </c>
    </row>
    <row r="544" spans="1:6" x14ac:dyDescent="0.25">
      <c r="A544" t="s">
        <v>1604</v>
      </c>
      <c r="B544" t="s">
        <v>1605</v>
      </c>
      <c r="C544" t="s">
        <v>1606</v>
      </c>
      <c r="D544" t="s">
        <v>58</v>
      </c>
      <c r="E544" t="s">
        <v>160</v>
      </c>
      <c r="F544">
        <v>16</v>
      </c>
    </row>
    <row r="545" spans="1:6" x14ac:dyDescent="0.25">
      <c r="A545" t="s">
        <v>1607</v>
      </c>
      <c r="B545" t="s">
        <v>1608</v>
      </c>
      <c r="C545" t="s">
        <v>1609</v>
      </c>
      <c r="D545" t="s">
        <v>58</v>
      </c>
      <c r="E545" t="s">
        <v>59</v>
      </c>
      <c r="F545">
        <v>385</v>
      </c>
    </row>
    <row r="546" spans="1:6" x14ac:dyDescent="0.25">
      <c r="A546" t="s">
        <v>1610</v>
      </c>
      <c r="B546" t="s">
        <v>1611</v>
      </c>
      <c r="C546" t="s">
        <v>1612</v>
      </c>
      <c r="D546" t="s">
        <v>58</v>
      </c>
      <c r="E546" t="s">
        <v>167</v>
      </c>
      <c r="F546">
        <v>55</v>
      </c>
    </row>
    <row r="547" spans="1:6" x14ac:dyDescent="0.25">
      <c r="A547" t="s">
        <v>1613</v>
      </c>
      <c r="B547" t="s">
        <v>1614</v>
      </c>
      <c r="C547" t="s">
        <v>1615</v>
      </c>
      <c r="D547" t="s">
        <v>58</v>
      </c>
      <c r="E547" t="s">
        <v>160</v>
      </c>
      <c r="F547">
        <v>30</v>
      </c>
    </row>
    <row r="548" spans="1:6" x14ac:dyDescent="0.25">
      <c r="A548" t="s">
        <v>1616</v>
      </c>
      <c r="B548" t="s">
        <v>1617</v>
      </c>
      <c r="C548" t="s">
        <v>1618</v>
      </c>
      <c r="D548" t="s">
        <v>58</v>
      </c>
      <c r="E548" t="s">
        <v>160</v>
      </c>
      <c r="F548">
        <v>6</v>
      </c>
    </row>
    <row r="549" spans="1:6" x14ac:dyDescent="0.25">
      <c r="A549" t="s">
        <v>1619</v>
      </c>
      <c r="B549" t="s">
        <v>1620</v>
      </c>
      <c r="C549" t="s">
        <v>1621</v>
      </c>
      <c r="D549" t="s">
        <v>58</v>
      </c>
      <c r="E549" t="s">
        <v>59</v>
      </c>
      <c r="F549">
        <v>44</v>
      </c>
    </row>
    <row r="550" spans="1:6" x14ac:dyDescent="0.25">
      <c r="A550" t="s">
        <v>1622</v>
      </c>
      <c r="B550" t="s">
        <v>1623</v>
      </c>
      <c r="C550" t="s">
        <v>1624</v>
      </c>
      <c r="D550" t="s">
        <v>58</v>
      </c>
      <c r="E550" t="s">
        <v>160</v>
      </c>
      <c r="F550">
        <v>9</v>
      </c>
    </row>
    <row r="551" spans="1:6" x14ac:dyDescent="0.25">
      <c r="A551" t="s">
        <v>1625</v>
      </c>
      <c r="B551" t="s">
        <v>1626</v>
      </c>
      <c r="C551" t="s">
        <v>1627</v>
      </c>
      <c r="D551" t="s">
        <v>58</v>
      </c>
      <c r="E551" t="s">
        <v>59</v>
      </c>
      <c r="F551">
        <v>28</v>
      </c>
    </row>
    <row r="552" spans="1:6" x14ac:dyDescent="0.25">
      <c r="A552" t="s">
        <v>1628</v>
      </c>
      <c r="B552" t="s">
        <v>1629</v>
      </c>
      <c r="C552" t="s">
        <v>1630</v>
      </c>
      <c r="D552" t="s">
        <v>58</v>
      </c>
      <c r="E552" t="s">
        <v>59</v>
      </c>
      <c r="F552">
        <v>28</v>
      </c>
    </row>
    <row r="553" spans="1:6" x14ac:dyDescent="0.25">
      <c r="A553" t="s">
        <v>1631</v>
      </c>
      <c r="B553" t="s">
        <v>1632</v>
      </c>
      <c r="C553" t="s">
        <v>1630</v>
      </c>
      <c r="D553" t="s">
        <v>58</v>
      </c>
      <c r="E553" t="s">
        <v>59</v>
      </c>
      <c r="F553">
        <v>1</v>
      </c>
    </row>
    <row r="554" spans="1:6" x14ac:dyDescent="0.25">
      <c r="A554" t="s">
        <v>1633</v>
      </c>
      <c r="B554" t="s">
        <v>1634</v>
      </c>
      <c r="C554" t="s">
        <v>1635</v>
      </c>
      <c r="D554" t="s">
        <v>58</v>
      </c>
      <c r="E554" t="s">
        <v>160</v>
      </c>
      <c r="F554">
        <v>17</v>
      </c>
    </row>
    <row r="555" spans="1:6" x14ac:dyDescent="0.25">
      <c r="A555" t="s">
        <v>1636</v>
      </c>
      <c r="B555" t="s">
        <v>1637</v>
      </c>
      <c r="C555" t="s">
        <v>1638</v>
      </c>
      <c r="D555" t="s">
        <v>58</v>
      </c>
      <c r="E555" t="s">
        <v>59</v>
      </c>
      <c r="F555">
        <v>107</v>
      </c>
    </row>
    <row r="556" spans="1:6" x14ac:dyDescent="0.25">
      <c r="A556" t="s">
        <v>1639</v>
      </c>
      <c r="B556" t="s">
        <v>1640</v>
      </c>
      <c r="C556" t="s">
        <v>1641</v>
      </c>
      <c r="D556" t="s">
        <v>58</v>
      </c>
      <c r="E556" t="s">
        <v>59</v>
      </c>
      <c r="F556">
        <v>42</v>
      </c>
    </row>
    <row r="557" spans="1:6" x14ac:dyDescent="0.25">
      <c r="A557" t="s">
        <v>1642</v>
      </c>
      <c r="B557" t="s">
        <v>1643</v>
      </c>
      <c r="C557" t="s">
        <v>1644</v>
      </c>
      <c r="D557" t="s">
        <v>58</v>
      </c>
      <c r="E557" t="s">
        <v>160</v>
      </c>
      <c r="F557">
        <v>9</v>
      </c>
    </row>
    <row r="558" spans="1:6" x14ac:dyDescent="0.25">
      <c r="A558" t="s">
        <v>1645</v>
      </c>
      <c r="B558" t="s">
        <v>1646</v>
      </c>
      <c r="C558" t="s">
        <v>1647</v>
      </c>
      <c r="D558" t="s">
        <v>58</v>
      </c>
      <c r="E558" t="s">
        <v>160</v>
      </c>
      <c r="F558">
        <v>7</v>
      </c>
    </row>
    <row r="559" spans="1:6" x14ac:dyDescent="0.25">
      <c r="A559" t="s">
        <v>1648</v>
      </c>
      <c r="B559" t="s">
        <v>1649</v>
      </c>
      <c r="C559" t="s">
        <v>1650</v>
      </c>
      <c r="D559" t="s">
        <v>58</v>
      </c>
      <c r="E559" t="s">
        <v>160</v>
      </c>
      <c r="F559">
        <v>7</v>
      </c>
    </row>
    <row r="560" spans="1:6" x14ac:dyDescent="0.25">
      <c r="A560" t="s">
        <v>1651</v>
      </c>
      <c r="B560" t="s">
        <v>1652</v>
      </c>
      <c r="C560" t="s">
        <v>1653</v>
      </c>
      <c r="D560" t="s">
        <v>58</v>
      </c>
      <c r="E560" t="s">
        <v>59</v>
      </c>
      <c r="F560">
        <v>48</v>
      </c>
    </row>
    <row r="561" spans="1:6" x14ac:dyDescent="0.25">
      <c r="A561" t="s">
        <v>1654</v>
      </c>
      <c r="B561" t="s">
        <v>1655</v>
      </c>
      <c r="C561" t="s">
        <v>1656</v>
      </c>
      <c r="D561" t="s">
        <v>58</v>
      </c>
      <c r="E561" t="s">
        <v>59</v>
      </c>
      <c r="F561">
        <v>106</v>
      </c>
    </row>
    <row r="562" spans="1:6" x14ac:dyDescent="0.25">
      <c r="A562" t="s">
        <v>1657</v>
      </c>
      <c r="B562" t="s">
        <v>1658</v>
      </c>
      <c r="C562" t="s">
        <v>1659</v>
      </c>
      <c r="D562" t="s">
        <v>58</v>
      </c>
      <c r="E562" t="s">
        <v>59</v>
      </c>
      <c r="F562">
        <v>29</v>
      </c>
    </row>
    <row r="563" spans="1:6" x14ac:dyDescent="0.25">
      <c r="A563" t="s">
        <v>1660</v>
      </c>
      <c r="B563" t="s">
        <v>1661</v>
      </c>
      <c r="C563" t="s">
        <v>1662</v>
      </c>
      <c r="D563" t="s">
        <v>58</v>
      </c>
      <c r="E563" t="s">
        <v>59</v>
      </c>
      <c r="F563">
        <v>111</v>
      </c>
    </row>
    <row r="564" spans="1:6" x14ac:dyDescent="0.25">
      <c r="A564" t="s">
        <v>1663</v>
      </c>
      <c r="B564" t="s">
        <v>1664</v>
      </c>
      <c r="C564" t="s">
        <v>1665</v>
      </c>
      <c r="D564" t="s">
        <v>58</v>
      </c>
      <c r="E564" t="s">
        <v>160</v>
      </c>
      <c r="F564">
        <v>9.4184999999999999</v>
      </c>
    </row>
    <row r="565" spans="1:6" x14ac:dyDescent="0.25">
      <c r="A565" t="s">
        <v>1666</v>
      </c>
      <c r="B565" t="s">
        <v>1667</v>
      </c>
      <c r="C565" t="s">
        <v>1668</v>
      </c>
      <c r="D565" t="s">
        <v>58</v>
      </c>
      <c r="E565" t="s">
        <v>160</v>
      </c>
      <c r="F565">
        <v>32</v>
      </c>
    </row>
    <row r="566" spans="1:6" x14ac:dyDescent="0.25">
      <c r="A566" t="s">
        <v>1669</v>
      </c>
      <c r="B566" t="s">
        <v>1667</v>
      </c>
      <c r="C566" t="s">
        <v>1668</v>
      </c>
      <c r="D566" t="s">
        <v>58</v>
      </c>
      <c r="E566" t="s">
        <v>160</v>
      </c>
      <c r="F566">
        <v>10</v>
      </c>
    </row>
    <row r="567" spans="1:6" x14ac:dyDescent="0.25">
      <c r="A567" t="s">
        <v>1670</v>
      </c>
      <c r="B567" t="s">
        <v>1671</v>
      </c>
      <c r="C567" t="s">
        <v>1672</v>
      </c>
      <c r="D567" t="s">
        <v>58</v>
      </c>
      <c r="E567" t="s">
        <v>59</v>
      </c>
      <c r="F567">
        <v>49</v>
      </c>
    </row>
    <row r="568" spans="1:6" x14ac:dyDescent="0.25">
      <c r="A568" t="s">
        <v>1673</v>
      </c>
      <c r="B568" t="s">
        <v>1674</v>
      </c>
      <c r="C568" t="s">
        <v>1675</v>
      </c>
      <c r="D568" t="s">
        <v>58</v>
      </c>
      <c r="E568" t="s">
        <v>59</v>
      </c>
      <c r="F568">
        <v>105</v>
      </c>
    </row>
    <row r="569" spans="1:6" x14ac:dyDescent="0.25">
      <c r="A569" t="s">
        <v>1676</v>
      </c>
      <c r="B569" t="s">
        <v>1677</v>
      </c>
      <c r="C569" t="s">
        <v>1678</v>
      </c>
      <c r="D569" t="s">
        <v>58</v>
      </c>
      <c r="E569" t="s">
        <v>59</v>
      </c>
      <c r="F569">
        <v>246</v>
      </c>
    </row>
    <row r="570" spans="1:6" x14ac:dyDescent="0.25">
      <c r="A570" t="s">
        <v>1679</v>
      </c>
      <c r="B570" t="s">
        <v>1680</v>
      </c>
      <c r="C570" t="s">
        <v>1681</v>
      </c>
      <c r="D570" t="s">
        <v>58</v>
      </c>
      <c r="E570" t="s">
        <v>160</v>
      </c>
      <c r="F570">
        <v>8</v>
      </c>
    </row>
    <row r="571" spans="1:6" x14ac:dyDescent="0.25">
      <c r="A571" t="s">
        <v>1682</v>
      </c>
      <c r="B571" t="s">
        <v>1683</v>
      </c>
      <c r="C571" t="s">
        <v>1684</v>
      </c>
      <c r="D571" t="s">
        <v>58</v>
      </c>
      <c r="E571" t="s">
        <v>203</v>
      </c>
      <c r="F571">
        <v>28</v>
      </c>
    </row>
    <row r="572" spans="1:6" x14ac:dyDescent="0.25">
      <c r="A572" t="s">
        <v>1685</v>
      </c>
      <c r="B572" t="s">
        <v>1686</v>
      </c>
      <c r="C572" t="s">
        <v>1687</v>
      </c>
      <c r="D572" t="s">
        <v>58</v>
      </c>
      <c r="E572" t="s">
        <v>167</v>
      </c>
      <c r="F572">
        <v>42</v>
      </c>
    </row>
    <row r="573" spans="1:6" x14ac:dyDescent="0.25">
      <c r="A573" t="s">
        <v>1688</v>
      </c>
      <c r="B573" t="s">
        <v>1689</v>
      </c>
      <c r="C573" t="s">
        <v>1690</v>
      </c>
      <c r="D573" t="s">
        <v>58</v>
      </c>
      <c r="E573" t="s">
        <v>59</v>
      </c>
      <c r="F573">
        <v>103</v>
      </c>
    </row>
    <row r="574" spans="1:6" x14ac:dyDescent="0.25">
      <c r="A574" t="s">
        <v>1691</v>
      </c>
      <c r="B574" t="s">
        <v>1692</v>
      </c>
      <c r="C574" t="s">
        <v>1690</v>
      </c>
      <c r="D574" t="s">
        <v>58</v>
      </c>
      <c r="E574" t="s">
        <v>59</v>
      </c>
      <c r="F574">
        <v>2</v>
      </c>
    </row>
    <row r="575" spans="1:6" x14ac:dyDescent="0.25">
      <c r="A575" t="s">
        <v>1693</v>
      </c>
      <c r="B575" t="s">
        <v>1694</v>
      </c>
      <c r="C575" t="s">
        <v>1695</v>
      </c>
      <c r="D575" t="s">
        <v>58</v>
      </c>
      <c r="E575" t="s">
        <v>59</v>
      </c>
      <c r="F575">
        <v>103</v>
      </c>
    </row>
    <row r="576" spans="1:6" x14ac:dyDescent="0.25">
      <c r="A576" t="s">
        <v>1696</v>
      </c>
      <c r="B576" t="s">
        <v>1697</v>
      </c>
      <c r="C576" t="s">
        <v>1698</v>
      </c>
      <c r="D576" t="s">
        <v>58</v>
      </c>
      <c r="E576" t="s">
        <v>160</v>
      </c>
      <c r="F576">
        <v>17</v>
      </c>
    </row>
    <row r="577" spans="1:6" x14ac:dyDescent="0.25">
      <c r="A577" t="s">
        <v>1699</v>
      </c>
      <c r="B577" t="s">
        <v>1700</v>
      </c>
      <c r="C577" t="s">
        <v>1701</v>
      </c>
      <c r="D577" t="s">
        <v>58</v>
      </c>
      <c r="E577" t="s">
        <v>167</v>
      </c>
      <c r="F577">
        <v>30</v>
      </c>
    </row>
    <row r="578" spans="1:6" x14ac:dyDescent="0.25">
      <c r="A578" t="s">
        <v>1702</v>
      </c>
      <c r="B578" t="s">
        <v>1703</v>
      </c>
      <c r="C578" t="s">
        <v>1704</v>
      </c>
      <c r="D578" t="s">
        <v>58</v>
      </c>
      <c r="E578" t="s">
        <v>167</v>
      </c>
      <c r="F578">
        <v>61</v>
      </c>
    </row>
    <row r="579" spans="1:6" x14ac:dyDescent="0.25">
      <c r="A579" t="s">
        <v>1705</v>
      </c>
      <c r="B579" t="s">
        <v>1706</v>
      </c>
      <c r="C579" t="s">
        <v>1707</v>
      </c>
      <c r="D579" t="s">
        <v>58</v>
      </c>
      <c r="E579" t="s">
        <v>59</v>
      </c>
      <c r="F579">
        <v>382</v>
      </c>
    </row>
    <row r="580" spans="1:6" x14ac:dyDescent="0.25">
      <c r="A580" t="s">
        <v>1708</v>
      </c>
      <c r="B580" t="s">
        <v>1709</v>
      </c>
      <c r="C580" t="s">
        <v>1710</v>
      </c>
      <c r="D580" t="s">
        <v>58</v>
      </c>
      <c r="E580" t="s">
        <v>59</v>
      </c>
      <c r="F580">
        <v>1246</v>
      </c>
    </row>
    <row r="581" spans="1:6" x14ac:dyDescent="0.25">
      <c r="A581" t="s">
        <v>1711</v>
      </c>
      <c r="B581" t="s">
        <v>1712</v>
      </c>
      <c r="C581" t="s">
        <v>1713</v>
      </c>
      <c r="D581" t="s">
        <v>58</v>
      </c>
      <c r="E581" t="s">
        <v>59</v>
      </c>
      <c r="F581">
        <v>475</v>
      </c>
    </row>
    <row r="582" spans="1:6" x14ac:dyDescent="0.25">
      <c r="A582" t="s">
        <v>1714</v>
      </c>
      <c r="B582" t="s">
        <v>1715</v>
      </c>
      <c r="C582" t="s">
        <v>1716</v>
      </c>
      <c r="D582" t="s">
        <v>58</v>
      </c>
      <c r="E582" t="s">
        <v>59</v>
      </c>
      <c r="F582">
        <v>137</v>
      </c>
    </row>
    <row r="583" spans="1:6" x14ac:dyDescent="0.25">
      <c r="A583" t="s">
        <v>1717</v>
      </c>
      <c r="B583" t="s">
        <v>1718</v>
      </c>
      <c r="C583" t="s">
        <v>1719</v>
      </c>
      <c r="D583" t="s">
        <v>58</v>
      </c>
      <c r="E583" t="s">
        <v>167</v>
      </c>
      <c r="F583">
        <v>59</v>
      </c>
    </row>
    <row r="584" spans="1:6" x14ac:dyDescent="0.25">
      <c r="A584" t="s">
        <v>1720</v>
      </c>
      <c r="B584" t="s">
        <v>1721</v>
      </c>
      <c r="C584" t="s">
        <v>1722</v>
      </c>
      <c r="D584" t="s">
        <v>58</v>
      </c>
      <c r="E584" t="s">
        <v>167</v>
      </c>
      <c r="F584">
        <v>224</v>
      </c>
    </row>
    <row r="585" spans="1:6" x14ac:dyDescent="0.25">
      <c r="A585" t="s">
        <v>1723</v>
      </c>
      <c r="B585" t="s">
        <v>1724</v>
      </c>
      <c r="C585" t="s">
        <v>1725</v>
      </c>
      <c r="D585" t="s">
        <v>58</v>
      </c>
      <c r="E585" t="s">
        <v>59</v>
      </c>
      <c r="F585">
        <v>105</v>
      </c>
    </row>
    <row r="586" spans="1:6" x14ac:dyDescent="0.25">
      <c r="A586" t="s">
        <v>1726</v>
      </c>
      <c r="B586" t="s">
        <v>1727</v>
      </c>
      <c r="C586" t="s">
        <v>1728</v>
      </c>
      <c r="D586" t="s">
        <v>58</v>
      </c>
      <c r="E586" t="s">
        <v>59</v>
      </c>
      <c r="F586">
        <v>102</v>
      </c>
    </row>
    <row r="587" spans="1:6" x14ac:dyDescent="0.25">
      <c r="A587" t="s">
        <v>1729</v>
      </c>
      <c r="B587" t="s">
        <v>1730</v>
      </c>
      <c r="C587" t="s">
        <v>1728</v>
      </c>
      <c r="D587" t="s">
        <v>58</v>
      </c>
      <c r="E587" t="s">
        <v>59</v>
      </c>
      <c r="F587">
        <v>4</v>
      </c>
    </row>
    <row r="588" spans="1:6" x14ac:dyDescent="0.25">
      <c r="A588" t="s">
        <v>1731</v>
      </c>
      <c r="B588" t="s">
        <v>1732</v>
      </c>
      <c r="C588" t="s">
        <v>1733</v>
      </c>
      <c r="D588" t="s">
        <v>58</v>
      </c>
      <c r="E588" t="s">
        <v>59</v>
      </c>
      <c r="F588">
        <v>34</v>
      </c>
    </row>
    <row r="589" spans="1:6" x14ac:dyDescent="0.25">
      <c r="A589" t="s">
        <v>1734</v>
      </c>
      <c r="B589" t="s">
        <v>1735</v>
      </c>
      <c r="C589" t="s">
        <v>1736</v>
      </c>
      <c r="D589" t="s">
        <v>58</v>
      </c>
      <c r="E589" t="s">
        <v>59</v>
      </c>
      <c r="F589">
        <v>172</v>
      </c>
    </row>
    <row r="590" spans="1:6" x14ac:dyDescent="0.25">
      <c r="A590" t="s">
        <v>1737</v>
      </c>
      <c r="B590" t="s">
        <v>1738</v>
      </c>
      <c r="C590" t="s">
        <v>1739</v>
      </c>
      <c r="D590" t="s">
        <v>58</v>
      </c>
      <c r="E590" t="s">
        <v>59</v>
      </c>
      <c r="F590">
        <v>185</v>
      </c>
    </row>
    <row r="591" spans="1:6" x14ac:dyDescent="0.25">
      <c r="A591" t="s">
        <v>1740</v>
      </c>
      <c r="B591" t="s">
        <v>1741</v>
      </c>
      <c r="C591" t="s">
        <v>1742</v>
      </c>
      <c r="D591" t="s">
        <v>58</v>
      </c>
      <c r="E591" t="s">
        <v>203</v>
      </c>
      <c r="F591">
        <v>4</v>
      </c>
    </row>
    <row r="592" spans="1:6" x14ac:dyDescent="0.25">
      <c r="A592" t="s">
        <v>1743</v>
      </c>
      <c r="B592" t="s">
        <v>1744</v>
      </c>
      <c r="C592" t="s">
        <v>1745</v>
      </c>
      <c r="D592" t="s">
        <v>58</v>
      </c>
      <c r="E592" t="s">
        <v>59</v>
      </c>
      <c r="F592">
        <v>517</v>
      </c>
    </row>
    <row r="593" spans="1:6" x14ac:dyDescent="0.25">
      <c r="A593" t="s">
        <v>1746</v>
      </c>
      <c r="B593" t="s">
        <v>1747</v>
      </c>
      <c r="C593" t="s">
        <v>1748</v>
      </c>
      <c r="D593" t="s">
        <v>58</v>
      </c>
      <c r="E593" t="s">
        <v>167</v>
      </c>
      <c r="F593">
        <v>126</v>
      </c>
    </row>
    <row r="594" spans="1:6" x14ac:dyDescent="0.25">
      <c r="A594" t="s">
        <v>1749</v>
      </c>
      <c r="B594" t="s">
        <v>1750</v>
      </c>
      <c r="C594" t="s">
        <v>1751</v>
      </c>
      <c r="D594" t="s">
        <v>58</v>
      </c>
      <c r="E594" t="s">
        <v>375</v>
      </c>
      <c r="F594">
        <v>131</v>
      </c>
    </row>
    <row r="595" spans="1:6" x14ac:dyDescent="0.25">
      <c r="A595" t="s">
        <v>1752</v>
      </c>
      <c r="B595" t="s">
        <v>1753</v>
      </c>
      <c r="C595" t="s">
        <v>1754</v>
      </c>
      <c r="D595" t="s">
        <v>58</v>
      </c>
      <c r="E595" t="s">
        <v>187</v>
      </c>
      <c r="F595">
        <v>17</v>
      </c>
    </row>
    <row r="596" spans="1:6" x14ac:dyDescent="0.25">
      <c r="A596" t="s">
        <v>1755</v>
      </c>
      <c r="B596" t="s">
        <v>1756</v>
      </c>
      <c r="C596" t="s">
        <v>1757</v>
      </c>
      <c r="D596" t="s">
        <v>58</v>
      </c>
      <c r="E596" t="s">
        <v>187</v>
      </c>
      <c r="F596">
        <v>150</v>
      </c>
    </row>
    <row r="597" spans="1:6" x14ac:dyDescent="0.25">
      <c r="A597" t="s">
        <v>1758</v>
      </c>
      <c r="B597" t="s">
        <v>1759</v>
      </c>
      <c r="C597" t="s">
        <v>1760</v>
      </c>
      <c r="D597" t="s">
        <v>58</v>
      </c>
      <c r="E597" t="s">
        <v>375</v>
      </c>
      <c r="F597">
        <v>1512</v>
      </c>
    </row>
    <row r="598" spans="1:6" x14ac:dyDescent="0.25">
      <c r="A598" t="s">
        <v>1761</v>
      </c>
      <c r="B598" t="s">
        <v>1762</v>
      </c>
      <c r="C598" t="s">
        <v>1763</v>
      </c>
      <c r="D598" t="s">
        <v>58</v>
      </c>
      <c r="E598" t="s">
        <v>59</v>
      </c>
      <c r="F598">
        <v>122</v>
      </c>
    </row>
    <row r="599" spans="1:6" x14ac:dyDescent="0.25">
      <c r="A599" t="s">
        <v>1764</v>
      </c>
      <c r="B599" t="s">
        <v>1762</v>
      </c>
      <c r="C599" t="s">
        <v>1763</v>
      </c>
      <c r="D599" t="s">
        <v>58</v>
      </c>
      <c r="E599" t="s">
        <v>59</v>
      </c>
      <c r="F599">
        <v>2</v>
      </c>
    </row>
    <row r="600" spans="1:6" x14ac:dyDescent="0.25">
      <c r="A600" t="s">
        <v>1765</v>
      </c>
      <c r="B600" t="s">
        <v>1766</v>
      </c>
      <c r="C600" t="s">
        <v>1767</v>
      </c>
      <c r="D600" t="s">
        <v>58</v>
      </c>
      <c r="E600" t="s">
        <v>59</v>
      </c>
      <c r="F600">
        <v>1</v>
      </c>
    </row>
    <row r="601" spans="1:6" x14ac:dyDescent="0.25">
      <c r="A601" t="s">
        <v>1768</v>
      </c>
      <c r="B601" t="s">
        <v>1762</v>
      </c>
      <c r="C601" t="s">
        <v>1763</v>
      </c>
      <c r="D601" t="s">
        <v>58</v>
      </c>
      <c r="E601" t="s">
        <v>59</v>
      </c>
      <c r="F601">
        <v>9</v>
      </c>
    </row>
    <row r="602" spans="1:6" x14ac:dyDescent="0.25">
      <c r="A602" t="s">
        <v>1769</v>
      </c>
      <c r="B602" t="s">
        <v>1766</v>
      </c>
      <c r="C602" t="s">
        <v>1767</v>
      </c>
      <c r="D602" t="s">
        <v>58</v>
      </c>
      <c r="E602" t="s">
        <v>59</v>
      </c>
      <c r="F602">
        <v>249</v>
      </c>
    </row>
    <row r="603" spans="1:6" x14ac:dyDescent="0.25">
      <c r="A603" t="s">
        <v>1770</v>
      </c>
      <c r="B603" t="s">
        <v>1771</v>
      </c>
      <c r="C603" t="s">
        <v>1772</v>
      </c>
      <c r="D603" t="s">
        <v>58</v>
      </c>
      <c r="E603" t="s">
        <v>59</v>
      </c>
      <c r="F603">
        <v>467</v>
      </c>
    </row>
    <row r="604" spans="1:6" x14ac:dyDescent="0.25">
      <c r="A604" t="s">
        <v>1773</v>
      </c>
      <c r="B604" t="s">
        <v>1774</v>
      </c>
      <c r="C604" t="s">
        <v>1775</v>
      </c>
      <c r="D604" t="s">
        <v>58</v>
      </c>
      <c r="E604" t="s">
        <v>203</v>
      </c>
      <c r="F604">
        <v>37.418500000000002</v>
      </c>
    </row>
    <row r="605" spans="1:6" x14ac:dyDescent="0.25">
      <c r="A605" t="s">
        <v>1776</v>
      </c>
      <c r="B605" t="s">
        <v>1777</v>
      </c>
      <c r="C605" t="s">
        <v>1778</v>
      </c>
      <c r="D605" t="s">
        <v>58</v>
      </c>
      <c r="E605" t="s">
        <v>203</v>
      </c>
      <c r="F605">
        <v>37.418500000000002</v>
      </c>
    </row>
    <row r="606" spans="1:6" x14ac:dyDescent="0.25">
      <c r="A606" t="s">
        <v>1779</v>
      </c>
      <c r="B606" t="s">
        <v>1780</v>
      </c>
      <c r="C606" t="s">
        <v>1781</v>
      </c>
      <c r="D606" t="s">
        <v>58</v>
      </c>
      <c r="E606" t="s">
        <v>160</v>
      </c>
      <c r="F606">
        <v>22</v>
      </c>
    </row>
    <row r="607" spans="1:6" x14ac:dyDescent="0.25">
      <c r="A607" t="s">
        <v>1782</v>
      </c>
      <c r="B607" t="s">
        <v>1783</v>
      </c>
      <c r="C607" t="s">
        <v>1784</v>
      </c>
      <c r="D607" t="s">
        <v>58</v>
      </c>
      <c r="E607" t="s">
        <v>59</v>
      </c>
      <c r="F607">
        <v>442</v>
      </c>
    </row>
    <row r="608" spans="1:6" x14ac:dyDescent="0.25">
      <c r="A608" t="s">
        <v>1785</v>
      </c>
      <c r="B608" t="s">
        <v>1786</v>
      </c>
      <c r="C608" t="s">
        <v>1787</v>
      </c>
      <c r="D608" t="s">
        <v>58</v>
      </c>
      <c r="E608" t="s">
        <v>375</v>
      </c>
      <c r="F608">
        <v>12</v>
      </c>
    </row>
    <row r="609" spans="1:6" x14ac:dyDescent="0.25">
      <c r="A609" t="s">
        <v>1788</v>
      </c>
      <c r="B609" t="s">
        <v>1789</v>
      </c>
      <c r="C609" t="s">
        <v>1790</v>
      </c>
      <c r="D609" t="s">
        <v>58</v>
      </c>
      <c r="E609" t="s">
        <v>160</v>
      </c>
      <c r="F609">
        <v>283.46699999999998</v>
      </c>
    </row>
    <row r="610" spans="1:6" x14ac:dyDescent="0.25">
      <c r="A610" t="s">
        <v>1791</v>
      </c>
      <c r="B610" t="s">
        <v>1792</v>
      </c>
      <c r="C610" t="s">
        <v>1790</v>
      </c>
      <c r="D610" t="s">
        <v>58</v>
      </c>
      <c r="E610" t="s">
        <v>160</v>
      </c>
      <c r="F610">
        <v>3.7056</v>
      </c>
    </row>
    <row r="611" spans="1:6" x14ac:dyDescent="0.25">
      <c r="A611" t="s">
        <v>1793</v>
      </c>
      <c r="B611" t="s">
        <v>1794</v>
      </c>
      <c r="C611" t="s">
        <v>1795</v>
      </c>
      <c r="D611" t="s">
        <v>58</v>
      </c>
      <c r="E611" t="s">
        <v>160</v>
      </c>
      <c r="F611">
        <v>8</v>
      </c>
    </row>
    <row r="612" spans="1:6" x14ac:dyDescent="0.25">
      <c r="A612" t="s">
        <v>1796</v>
      </c>
      <c r="B612" t="s">
        <v>1797</v>
      </c>
      <c r="C612" t="s">
        <v>1798</v>
      </c>
      <c r="D612" t="s">
        <v>58</v>
      </c>
      <c r="E612" t="s">
        <v>59</v>
      </c>
      <c r="F612">
        <v>29</v>
      </c>
    </row>
    <row r="613" spans="1:6" x14ac:dyDescent="0.25">
      <c r="A613" t="s">
        <v>1799</v>
      </c>
      <c r="B613" t="s">
        <v>1800</v>
      </c>
      <c r="C613" t="s">
        <v>1801</v>
      </c>
      <c r="D613" t="s">
        <v>58</v>
      </c>
      <c r="E613" t="s">
        <v>59</v>
      </c>
      <c r="F613">
        <v>404</v>
      </c>
    </row>
    <row r="614" spans="1:6" x14ac:dyDescent="0.25">
      <c r="A614" t="s">
        <v>1802</v>
      </c>
      <c r="B614" t="s">
        <v>1803</v>
      </c>
      <c r="C614" t="s">
        <v>1804</v>
      </c>
      <c r="D614" t="s">
        <v>58</v>
      </c>
      <c r="E614" t="s">
        <v>160</v>
      </c>
      <c r="F614">
        <v>7</v>
      </c>
    </row>
    <row r="615" spans="1:6" x14ac:dyDescent="0.25">
      <c r="A615" t="s">
        <v>1805</v>
      </c>
      <c r="B615" t="s">
        <v>1806</v>
      </c>
      <c r="C615" t="s">
        <v>1807</v>
      </c>
      <c r="D615" t="s">
        <v>58</v>
      </c>
      <c r="E615" t="s">
        <v>160</v>
      </c>
      <c r="F615">
        <v>84</v>
      </c>
    </row>
    <row r="616" spans="1:6" x14ac:dyDescent="0.25">
      <c r="A616" t="s">
        <v>1808</v>
      </c>
      <c r="B616" t="s">
        <v>1809</v>
      </c>
      <c r="C616" t="s">
        <v>1810</v>
      </c>
      <c r="D616" t="s">
        <v>58</v>
      </c>
      <c r="E616" t="s">
        <v>160</v>
      </c>
      <c r="F616">
        <v>5</v>
      </c>
    </row>
    <row r="617" spans="1:6" x14ac:dyDescent="0.25">
      <c r="A617" t="s">
        <v>1811</v>
      </c>
      <c r="B617" t="s">
        <v>1812</v>
      </c>
      <c r="C617" t="s">
        <v>1813</v>
      </c>
      <c r="D617" t="s">
        <v>58</v>
      </c>
      <c r="E617" t="s">
        <v>160</v>
      </c>
      <c r="F617">
        <v>5</v>
      </c>
    </row>
    <row r="618" spans="1:6" x14ac:dyDescent="0.25">
      <c r="A618" t="s">
        <v>1814</v>
      </c>
      <c r="B618" t="s">
        <v>1815</v>
      </c>
      <c r="C618" t="s">
        <v>1816</v>
      </c>
      <c r="D618" t="s">
        <v>58</v>
      </c>
      <c r="E618" t="s">
        <v>160</v>
      </c>
      <c r="F618">
        <v>3</v>
      </c>
    </row>
    <row r="619" spans="1:6" x14ac:dyDescent="0.25">
      <c r="A619" t="s">
        <v>1817</v>
      </c>
      <c r="B619" t="s">
        <v>1818</v>
      </c>
      <c r="C619" t="s">
        <v>1819</v>
      </c>
      <c r="D619" t="s">
        <v>58</v>
      </c>
      <c r="E619" t="s">
        <v>167</v>
      </c>
      <c r="F619">
        <v>19</v>
      </c>
    </row>
    <row r="620" spans="1:6" x14ac:dyDescent="0.25">
      <c r="A620" t="s">
        <v>1820</v>
      </c>
      <c r="B620" t="s">
        <v>1821</v>
      </c>
      <c r="C620" t="s">
        <v>1822</v>
      </c>
      <c r="D620" t="s">
        <v>58</v>
      </c>
      <c r="E620" t="s">
        <v>375</v>
      </c>
      <c r="F620">
        <v>123</v>
      </c>
    </row>
    <row r="621" spans="1:6" x14ac:dyDescent="0.25">
      <c r="A621" t="s">
        <v>1823</v>
      </c>
      <c r="B621" t="s">
        <v>1824</v>
      </c>
      <c r="C621" t="s">
        <v>1825</v>
      </c>
      <c r="D621" t="s">
        <v>58</v>
      </c>
      <c r="E621" t="s">
        <v>59</v>
      </c>
      <c r="F621">
        <v>379</v>
      </c>
    </row>
    <row r="622" spans="1:6" x14ac:dyDescent="0.25">
      <c r="A622" t="s">
        <v>1826</v>
      </c>
      <c r="B622" t="s">
        <v>1827</v>
      </c>
      <c r="C622" t="s">
        <v>1828</v>
      </c>
      <c r="D622" t="s">
        <v>58</v>
      </c>
      <c r="E622" t="s">
        <v>59</v>
      </c>
      <c r="F622">
        <v>379</v>
      </c>
    </row>
    <row r="623" spans="1:6" x14ac:dyDescent="0.25">
      <c r="A623" t="s">
        <v>1829</v>
      </c>
      <c r="B623" t="s">
        <v>1830</v>
      </c>
      <c r="C623" t="s">
        <v>1828</v>
      </c>
      <c r="D623" t="s">
        <v>58</v>
      </c>
      <c r="E623" t="s">
        <v>59</v>
      </c>
      <c r="F623">
        <v>4</v>
      </c>
    </row>
    <row r="624" spans="1:6" x14ac:dyDescent="0.25">
      <c r="A624" t="s">
        <v>1831</v>
      </c>
      <c r="B624" t="s">
        <v>1832</v>
      </c>
      <c r="C624" t="s">
        <v>1833</v>
      </c>
      <c r="D624" t="s">
        <v>58</v>
      </c>
      <c r="E624" t="s">
        <v>203</v>
      </c>
      <c r="F624">
        <v>18</v>
      </c>
    </row>
    <row r="625" spans="1:6" x14ac:dyDescent="0.25">
      <c r="A625" t="s">
        <v>1834</v>
      </c>
      <c r="B625" t="s">
        <v>1835</v>
      </c>
      <c r="C625" t="s">
        <v>1836</v>
      </c>
      <c r="D625" t="s">
        <v>58</v>
      </c>
      <c r="E625" t="s">
        <v>203</v>
      </c>
      <c r="F625">
        <v>8</v>
      </c>
    </row>
    <row r="626" spans="1:6" x14ac:dyDescent="0.25">
      <c r="A626" t="s">
        <v>1837</v>
      </c>
      <c r="B626" t="s">
        <v>1838</v>
      </c>
      <c r="C626" t="s">
        <v>1839</v>
      </c>
      <c r="D626" t="s">
        <v>58</v>
      </c>
      <c r="E626" t="s">
        <v>167</v>
      </c>
      <c r="F626">
        <v>906</v>
      </c>
    </row>
    <row r="627" spans="1:6" x14ac:dyDescent="0.25">
      <c r="A627" t="s">
        <v>1840</v>
      </c>
      <c r="B627" t="s">
        <v>1841</v>
      </c>
      <c r="C627" t="s">
        <v>1842</v>
      </c>
      <c r="D627" t="s">
        <v>58</v>
      </c>
      <c r="E627" t="s">
        <v>160</v>
      </c>
      <c r="F627">
        <v>19</v>
      </c>
    </row>
    <row r="628" spans="1:6" x14ac:dyDescent="0.25">
      <c r="A628" t="s">
        <v>1843</v>
      </c>
      <c r="B628" t="s">
        <v>1844</v>
      </c>
      <c r="C628" t="s">
        <v>1845</v>
      </c>
      <c r="D628" t="s">
        <v>58</v>
      </c>
      <c r="E628" t="s">
        <v>160</v>
      </c>
      <c r="F628">
        <v>17</v>
      </c>
    </row>
    <row r="629" spans="1:6" x14ac:dyDescent="0.25">
      <c r="A629" t="s">
        <v>1846</v>
      </c>
      <c r="B629" t="s">
        <v>1847</v>
      </c>
      <c r="C629" t="s">
        <v>1848</v>
      </c>
      <c r="D629" t="s">
        <v>58</v>
      </c>
      <c r="E629" t="s">
        <v>160</v>
      </c>
      <c r="F629">
        <v>5</v>
      </c>
    </row>
    <row r="630" spans="1:6" x14ac:dyDescent="0.25">
      <c r="A630" t="s">
        <v>1849</v>
      </c>
      <c r="B630" t="s">
        <v>1850</v>
      </c>
      <c r="C630" t="s">
        <v>1851</v>
      </c>
      <c r="D630" t="s">
        <v>58</v>
      </c>
      <c r="E630" t="s">
        <v>225</v>
      </c>
      <c r="F630">
        <v>2</v>
      </c>
    </row>
    <row r="631" spans="1:6" x14ac:dyDescent="0.25">
      <c r="A631" t="s">
        <v>1852</v>
      </c>
      <c r="B631" t="s">
        <v>1853</v>
      </c>
      <c r="C631" t="s">
        <v>1854</v>
      </c>
      <c r="D631" t="s">
        <v>58</v>
      </c>
      <c r="E631" t="s">
        <v>160</v>
      </c>
      <c r="F631">
        <v>4</v>
      </c>
    </row>
    <row r="632" spans="1:6" x14ac:dyDescent="0.25">
      <c r="A632" t="s">
        <v>1855</v>
      </c>
      <c r="B632" t="s">
        <v>1856</v>
      </c>
      <c r="C632" t="s">
        <v>1857</v>
      </c>
      <c r="D632" t="s">
        <v>58</v>
      </c>
      <c r="E632" t="s">
        <v>160</v>
      </c>
      <c r="F632">
        <v>10.26</v>
      </c>
    </row>
    <row r="633" spans="1:6" x14ac:dyDescent="0.25">
      <c r="A633" t="s">
        <v>1858</v>
      </c>
      <c r="B633" t="s">
        <v>1859</v>
      </c>
      <c r="C633" t="s">
        <v>1860</v>
      </c>
      <c r="D633" t="s">
        <v>58</v>
      </c>
      <c r="E633" t="s">
        <v>160</v>
      </c>
      <c r="F633">
        <v>4</v>
      </c>
    </row>
    <row r="634" spans="1:6" x14ac:dyDescent="0.25">
      <c r="A634" t="s">
        <v>1861</v>
      </c>
      <c r="B634" t="s">
        <v>1862</v>
      </c>
      <c r="C634" t="s">
        <v>1863</v>
      </c>
      <c r="D634" t="s">
        <v>58</v>
      </c>
      <c r="E634" t="s">
        <v>59</v>
      </c>
      <c r="F634">
        <v>317</v>
      </c>
    </row>
    <row r="635" spans="1:6" x14ac:dyDescent="0.25">
      <c r="A635" t="s">
        <v>1864</v>
      </c>
      <c r="B635" t="s">
        <v>1865</v>
      </c>
      <c r="C635" t="s">
        <v>1866</v>
      </c>
      <c r="D635" t="s">
        <v>58</v>
      </c>
      <c r="E635" t="s">
        <v>59</v>
      </c>
      <c r="F635">
        <v>6</v>
      </c>
    </row>
    <row r="636" spans="1:6" x14ac:dyDescent="0.25">
      <c r="A636" t="s">
        <v>1867</v>
      </c>
      <c r="B636" t="s">
        <v>1868</v>
      </c>
      <c r="C636" t="s">
        <v>1869</v>
      </c>
      <c r="D636" t="s">
        <v>58</v>
      </c>
      <c r="E636" t="s">
        <v>167</v>
      </c>
      <c r="F636">
        <v>53</v>
      </c>
    </row>
    <row r="637" spans="1:6" x14ac:dyDescent="0.25">
      <c r="A637" t="s">
        <v>1870</v>
      </c>
      <c r="B637" t="s">
        <v>1871</v>
      </c>
      <c r="C637" t="s">
        <v>1872</v>
      </c>
      <c r="D637" t="s">
        <v>58</v>
      </c>
      <c r="E637" t="s">
        <v>167</v>
      </c>
      <c r="F637">
        <v>7</v>
      </c>
    </row>
    <row r="638" spans="1:6" x14ac:dyDescent="0.25">
      <c r="A638" t="s">
        <v>1873</v>
      </c>
      <c r="B638" t="s">
        <v>1874</v>
      </c>
      <c r="C638" t="s">
        <v>1875</v>
      </c>
      <c r="D638" t="s">
        <v>58</v>
      </c>
      <c r="E638" t="s">
        <v>160</v>
      </c>
      <c r="F638">
        <v>17</v>
      </c>
    </row>
    <row r="639" spans="1:6" x14ac:dyDescent="0.25">
      <c r="A639" t="s">
        <v>1876</v>
      </c>
      <c r="B639" t="s">
        <v>1877</v>
      </c>
      <c r="C639" t="s">
        <v>1878</v>
      </c>
      <c r="D639" t="s">
        <v>58</v>
      </c>
      <c r="E639" t="s">
        <v>160</v>
      </c>
      <c r="F639">
        <v>3</v>
      </c>
    </row>
    <row r="640" spans="1:6" x14ac:dyDescent="0.25">
      <c r="A640" t="s">
        <v>1879</v>
      </c>
      <c r="B640" t="s">
        <v>1880</v>
      </c>
      <c r="C640" t="s">
        <v>1881</v>
      </c>
      <c r="D640" t="s">
        <v>58</v>
      </c>
      <c r="E640" t="s">
        <v>59</v>
      </c>
      <c r="F640">
        <v>13</v>
      </c>
    </row>
    <row r="641" spans="1:6" x14ac:dyDescent="0.25">
      <c r="A641" t="s">
        <v>1882</v>
      </c>
      <c r="B641" t="s">
        <v>1883</v>
      </c>
      <c r="C641" t="s">
        <v>1884</v>
      </c>
      <c r="D641" t="s">
        <v>58</v>
      </c>
      <c r="E641" t="s">
        <v>59</v>
      </c>
      <c r="F641">
        <v>435</v>
      </c>
    </row>
    <row r="642" spans="1:6" x14ac:dyDescent="0.25">
      <c r="A642" t="s">
        <v>1885</v>
      </c>
      <c r="B642" t="s">
        <v>1886</v>
      </c>
      <c r="C642" t="s">
        <v>1887</v>
      </c>
      <c r="D642" t="s">
        <v>58</v>
      </c>
      <c r="E642" t="s">
        <v>225</v>
      </c>
      <c r="F642">
        <v>5</v>
      </c>
    </row>
    <row r="643" spans="1:6" x14ac:dyDescent="0.25">
      <c r="A643" t="s">
        <v>1888</v>
      </c>
      <c r="B643" t="s">
        <v>1889</v>
      </c>
      <c r="C643" t="s">
        <v>1890</v>
      </c>
      <c r="D643" t="s">
        <v>58</v>
      </c>
      <c r="E643" t="s">
        <v>160</v>
      </c>
      <c r="F643">
        <v>13.588200000000001</v>
      </c>
    </row>
    <row r="644" spans="1:6" x14ac:dyDescent="0.25">
      <c r="A644" t="s">
        <v>1891</v>
      </c>
      <c r="B644" t="s">
        <v>1892</v>
      </c>
      <c r="C644" t="s">
        <v>1893</v>
      </c>
      <c r="D644" t="s">
        <v>58</v>
      </c>
      <c r="E644" t="s">
        <v>160</v>
      </c>
      <c r="F644">
        <v>16</v>
      </c>
    </row>
    <row r="645" spans="1:6" x14ac:dyDescent="0.25">
      <c r="A645" t="s">
        <v>1894</v>
      </c>
      <c r="B645" t="s">
        <v>1895</v>
      </c>
      <c r="C645" t="s">
        <v>1896</v>
      </c>
      <c r="D645" t="s">
        <v>58</v>
      </c>
      <c r="E645" t="s">
        <v>160</v>
      </c>
      <c r="F645">
        <v>38</v>
      </c>
    </row>
    <row r="646" spans="1:6" x14ac:dyDescent="0.25">
      <c r="A646" t="s">
        <v>1897</v>
      </c>
      <c r="B646" t="s">
        <v>1895</v>
      </c>
      <c r="C646" t="s">
        <v>1896</v>
      </c>
      <c r="D646" t="s">
        <v>58</v>
      </c>
      <c r="E646" t="s">
        <v>160</v>
      </c>
      <c r="F646">
        <v>6</v>
      </c>
    </row>
    <row r="647" spans="1:6" x14ac:dyDescent="0.25">
      <c r="A647" t="s">
        <v>1898</v>
      </c>
      <c r="B647" t="s">
        <v>1899</v>
      </c>
      <c r="C647" t="s">
        <v>1900</v>
      </c>
      <c r="D647" t="s">
        <v>58</v>
      </c>
      <c r="E647" t="s">
        <v>160</v>
      </c>
      <c r="F647">
        <v>25</v>
      </c>
    </row>
    <row r="648" spans="1:6" x14ac:dyDescent="0.25">
      <c r="A648" t="s">
        <v>1901</v>
      </c>
      <c r="B648" t="s">
        <v>1902</v>
      </c>
      <c r="C648" t="s">
        <v>1903</v>
      </c>
      <c r="D648" t="s">
        <v>58</v>
      </c>
      <c r="E648" t="s">
        <v>160</v>
      </c>
      <c r="F648">
        <v>25</v>
      </c>
    </row>
    <row r="649" spans="1:6" x14ac:dyDescent="0.25">
      <c r="A649" t="s">
        <v>1904</v>
      </c>
      <c r="B649" t="s">
        <v>1905</v>
      </c>
      <c r="C649" t="s">
        <v>1906</v>
      </c>
      <c r="D649" t="s">
        <v>58</v>
      </c>
      <c r="E649" t="s">
        <v>160</v>
      </c>
      <c r="F649">
        <v>17</v>
      </c>
    </row>
    <row r="650" spans="1:6" x14ac:dyDescent="0.25">
      <c r="A650" t="s">
        <v>1907</v>
      </c>
      <c r="B650" t="s">
        <v>1908</v>
      </c>
      <c r="C650" t="s">
        <v>1909</v>
      </c>
      <c r="D650" t="s">
        <v>58</v>
      </c>
      <c r="E650" t="s">
        <v>160</v>
      </c>
      <c r="F650">
        <v>8</v>
      </c>
    </row>
    <row r="651" spans="1:6" x14ac:dyDescent="0.25">
      <c r="A651" t="s">
        <v>1910</v>
      </c>
      <c r="B651" t="s">
        <v>1911</v>
      </c>
      <c r="C651" t="s">
        <v>1912</v>
      </c>
      <c r="D651" t="s">
        <v>58</v>
      </c>
      <c r="E651" t="s">
        <v>160</v>
      </c>
      <c r="F651">
        <v>1</v>
      </c>
    </row>
    <row r="652" spans="1:6" x14ac:dyDescent="0.25">
      <c r="A652" t="s">
        <v>1913</v>
      </c>
      <c r="B652" t="s">
        <v>1914</v>
      </c>
      <c r="C652" t="s">
        <v>1915</v>
      </c>
      <c r="D652" t="s">
        <v>58</v>
      </c>
      <c r="E652" t="s">
        <v>160</v>
      </c>
      <c r="F652">
        <v>102</v>
      </c>
    </row>
    <row r="653" spans="1:6" x14ac:dyDescent="0.25">
      <c r="A653" t="s">
        <v>1916</v>
      </c>
      <c r="B653" t="s">
        <v>1914</v>
      </c>
      <c r="C653" t="s">
        <v>1915</v>
      </c>
      <c r="D653" t="s">
        <v>58</v>
      </c>
      <c r="E653" t="s">
        <v>160</v>
      </c>
      <c r="F653">
        <v>2</v>
      </c>
    </row>
    <row r="654" spans="1:6" x14ac:dyDescent="0.25">
      <c r="A654" t="s">
        <v>1917</v>
      </c>
      <c r="B654" t="s">
        <v>1918</v>
      </c>
      <c r="C654" t="s">
        <v>1919</v>
      </c>
      <c r="D654" t="s">
        <v>58</v>
      </c>
      <c r="E654" t="s">
        <v>59</v>
      </c>
      <c r="F654">
        <v>370</v>
      </c>
    </row>
    <row r="655" spans="1:6" x14ac:dyDescent="0.25">
      <c r="A655" t="s">
        <v>1920</v>
      </c>
      <c r="B655" t="s">
        <v>1921</v>
      </c>
      <c r="C655" t="s">
        <v>1922</v>
      </c>
      <c r="D655" t="s">
        <v>58</v>
      </c>
      <c r="E655" t="s">
        <v>59</v>
      </c>
      <c r="F655">
        <v>211</v>
      </c>
    </row>
    <row r="656" spans="1:6" x14ac:dyDescent="0.25">
      <c r="A656" t="s">
        <v>1923</v>
      </c>
      <c r="B656" t="s">
        <v>1924</v>
      </c>
      <c r="C656" t="s">
        <v>1925</v>
      </c>
      <c r="D656" t="s">
        <v>58</v>
      </c>
      <c r="E656" t="s">
        <v>160</v>
      </c>
      <c r="F656">
        <v>19</v>
      </c>
    </row>
    <row r="657" spans="1:6" x14ac:dyDescent="0.25">
      <c r="A657" t="s">
        <v>1926</v>
      </c>
      <c r="B657" t="s">
        <v>1927</v>
      </c>
      <c r="C657" t="s">
        <v>1928</v>
      </c>
      <c r="D657" t="s">
        <v>58</v>
      </c>
      <c r="E657" t="s">
        <v>160</v>
      </c>
      <c r="F657">
        <v>26</v>
      </c>
    </row>
    <row r="658" spans="1:6" x14ac:dyDescent="0.25">
      <c r="A658" t="s">
        <v>1929</v>
      </c>
      <c r="B658" t="s">
        <v>1930</v>
      </c>
      <c r="C658" t="s">
        <v>1931</v>
      </c>
      <c r="D658" t="s">
        <v>58</v>
      </c>
      <c r="E658" t="s">
        <v>160</v>
      </c>
      <c r="F658">
        <v>797</v>
      </c>
    </row>
    <row r="659" spans="1:6" x14ac:dyDescent="0.25">
      <c r="A659" t="s">
        <v>1932</v>
      </c>
      <c r="B659" t="s">
        <v>1933</v>
      </c>
      <c r="C659" t="s">
        <v>1934</v>
      </c>
      <c r="D659" t="s">
        <v>58</v>
      </c>
      <c r="E659" t="s">
        <v>160</v>
      </c>
      <c r="F659">
        <v>1196</v>
      </c>
    </row>
    <row r="660" spans="1:6" x14ac:dyDescent="0.25">
      <c r="A660" t="s">
        <v>1935</v>
      </c>
      <c r="B660" t="s">
        <v>1936</v>
      </c>
      <c r="C660" t="s">
        <v>1937</v>
      </c>
      <c r="D660" t="s">
        <v>58</v>
      </c>
      <c r="E660" t="s">
        <v>160</v>
      </c>
      <c r="F660">
        <v>10</v>
      </c>
    </row>
    <row r="661" spans="1:6" x14ac:dyDescent="0.25">
      <c r="A661" t="s">
        <v>1938</v>
      </c>
      <c r="B661" t="s">
        <v>1939</v>
      </c>
      <c r="C661" t="s">
        <v>1940</v>
      </c>
      <c r="D661" t="s">
        <v>58</v>
      </c>
      <c r="E661" t="s">
        <v>160</v>
      </c>
      <c r="F661">
        <v>10</v>
      </c>
    </row>
    <row r="662" spans="1:6" x14ac:dyDescent="0.25">
      <c r="A662" t="s">
        <v>1941</v>
      </c>
      <c r="B662" t="s">
        <v>1936</v>
      </c>
      <c r="C662" t="s">
        <v>1937</v>
      </c>
      <c r="D662" t="s">
        <v>58</v>
      </c>
      <c r="E662" t="s">
        <v>160</v>
      </c>
      <c r="F662">
        <v>139</v>
      </c>
    </row>
    <row r="663" spans="1:6" x14ac:dyDescent="0.25">
      <c r="A663" t="s">
        <v>1942</v>
      </c>
      <c r="B663" t="s">
        <v>1939</v>
      </c>
      <c r="C663" t="s">
        <v>1940</v>
      </c>
      <c r="D663" t="s">
        <v>58</v>
      </c>
      <c r="E663" t="s">
        <v>160</v>
      </c>
      <c r="F663">
        <v>23</v>
      </c>
    </row>
    <row r="664" spans="1:6" x14ac:dyDescent="0.25">
      <c r="A664" t="s">
        <v>1943</v>
      </c>
      <c r="B664" t="s">
        <v>1944</v>
      </c>
      <c r="C664" t="s">
        <v>1945</v>
      </c>
      <c r="D664" t="s">
        <v>58</v>
      </c>
      <c r="E664" t="s">
        <v>160</v>
      </c>
      <c r="F664">
        <v>306</v>
      </c>
    </row>
    <row r="665" spans="1:6" x14ac:dyDescent="0.25">
      <c r="A665" t="s">
        <v>1946</v>
      </c>
      <c r="B665" t="s">
        <v>1947</v>
      </c>
      <c r="C665" t="s">
        <v>1948</v>
      </c>
      <c r="D665" t="s">
        <v>58</v>
      </c>
      <c r="E665" t="s">
        <v>59</v>
      </c>
      <c r="F665">
        <v>11</v>
      </c>
    </row>
    <row r="666" spans="1:6" x14ac:dyDescent="0.25">
      <c r="A666" t="s">
        <v>1949</v>
      </c>
      <c r="B666" t="s">
        <v>1950</v>
      </c>
      <c r="C666" t="s">
        <v>1951</v>
      </c>
      <c r="D666" t="s">
        <v>58</v>
      </c>
      <c r="E666" t="s">
        <v>160</v>
      </c>
      <c r="F666">
        <v>206</v>
      </c>
    </row>
    <row r="667" spans="1:6" x14ac:dyDescent="0.25">
      <c r="A667" t="s">
        <v>1952</v>
      </c>
      <c r="B667" t="s">
        <v>1950</v>
      </c>
      <c r="C667" t="s">
        <v>1951</v>
      </c>
      <c r="D667" t="s">
        <v>58</v>
      </c>
      <c r="E667" t="s">
        <v>160</v>
      </c>
      <c r="F667">
        <v>1</v>
      </c>
    </row>
    <row r="668" spans="1:6" x14ac:dyDescent="0.25">
      <c r="A668" t="s">
        <v>1953</v>
      </c>
      <c r="B668" t="s">
        <v>1954</v>
      </c>
      <c r="C668" t="s">
        <v>1955</v>
      </c>
      <c r="D668" t="s">
        <v>58</v>
      </c>
      <c r="E668" t="s">
        <v>167</v>
      </c>
      <c r="F668">
        <v>30</v>
      </c>
    </row>
    <row r="669" spans="1:6" x14ac:dyDescent="0.25">
      <c r="A669" t="s">
        <v>1956</v>
      </c>
      <c r="B669" t="s">
        <v>1957</v>
      </c>
      <c r="C669" t="s">
        <v>1958</v>
      </c>
      <c r="D669" t="s">
        <v>58</v>
      </c>
      <c r="E669" t="s">
        <v>167</v>
      </c>
      <c r="F669">
        <v>115</v>
      </c>
    </row>
    <row r="670" spans="1:6" x14ac:dyDescent="0.25">
      <c r="A670" t="s">
        <v>1959</v>
      </c>
      <c r="B670" t="s">
        <v>1960</v>
      </c>
      <c r="C670" t="s">
        <v>1961</v>
      </c>
      <c r="D670" t="s">
        <v>58</v>
      </c>
      <c r="E670" t="s">
        <v>59</v>
      </c>
      <c r="F670">
        <v>11</v>
      </c>
    </row>
  </sheetData>
  <autoFilter ref="A1:F670" xr:uid="{341DF372-C363-4BEC-902B-787CC05B7BFD}">
    <sortState xmlns:xlrd2="http://schemas.microsoft.com/office/spreadsheetml/2017/richdata2" ref="A2:F670">
      <sortCondition ref="A1:A670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51"/>
  <sheetViews>
    <sheetView workbookViewId="0"/>
  </sheetViews>
  <sheetFormatPr defaultColWidth="8.875" defaultRowHeight="15.75" x14ac:dyDescent="0.25"/>
  <sheetData>
    <row r="1" spans="1:256" x14ac:dyDescent="0.25">
      <c r="A1" t="s">
        <v>2898</v>
      </c>
      <c r="F1" t="e">
        <f>#REF!*"vlM!%"</f>
        <v>#REF!</v>
      </c>
      <c r="G1" t="e">
        <f>#REF!*"vlM!&amp;"</f>
        <v>#REF!</v>
      </c>
      <c r="H1" t="e">
        <f>#REF!*"vlM!'"</f>
        <v>#REF!</v>
      </c>
      <c r="I1" t="e">
        <f>#REF!*"vlM!("</f>
        <v>#REF!</v>
      </c>
      <c r="J1" t="e">
        <f>#REF!*"vlM!)"</f>
        <v>#REF!</v>
      </c>
      <c r="K1" t="e">
        <f>#REF!*"vlM!."</f>
        <v>#REF!</v>
      </c>
      <c r="L1" t="e">
        <f>#REF!*"vlM!/"</f>
        <v>#REF!</v>
      </c>
      <c r="M1" t="e">
        <f>#REF!*"vlM!0"</f>
        <v>#REF!</v>
      </c>
      <c r="N1" t="e">
        <f>#REF!*"vlM!1"</f>
        <v>#REF!</v>
      </c>
      <c r="O1" t="e">
        <f>#REF!*"vlM!2"</f>
        <v>#REF!</v>
      </c>
      <c r="P1" t="e">
        <f>#REF!*"vlM!3"</f>
        <v>#REF!</v>
      </c>
      <c r="Q1" t="e">
        <f>#REF!*"vlM!4"</f>
        <v>#REF!</v>
      </c>
      <c r="R1" t="e">
        <f>#REF!*"vlM!5"</f>
        <v>#REF!</v>
      </c>
      <c r="S1" t="e">
        <f>#REF!*"vlM!6"</f>
        <v>#REF!</v>
      </c>
      <c r="T1" t="e">
        <f>#REF!*"vlM!7"</f>
        <v>#REF!</v>
      </c>
      <c r="U1" t="e">
        <f>#REF!*"vlM!8"</f>
        <v>#REF!</v>
      </c>
      <c r="V1" t="e">
        <f>#REF!*"vlM!9"</f>
        <v>#REF!</v>
      </c>
      <c r="W1" t="e">
        <f>#REF!*"vlM!:"</f>
        <v>#REF!</v>
      </c>
      <c r="X1" t="e">
        <f>#REF!*"vlM!;"</f>
        <v>#REF!</v>
      </c>
      <c r="Y1" t="e">
        <f>#REF!*"vlM!&lt;"</f>
        <v>#REF!</v>
      </c>
      <c r="Z1" t="e">
        <f>#REF!*"vlM!="</f>
        <v>#REF!</v>
      </c>
      <c r="AA1" t="e">
        <f>#REF!*"vlM!&gt;"</f>
        <v>#REF!</v>
      </c>
      <c r="AB1" t="e">
        <f>#REF!*"vlM!?"</f>
        <v>#REF!</v>
      </c>
      <c r="AC1" t="e">
        <f>#REF!*"vlM!@"</f>
        <v>#REF!</v>
      </c>
      <c r="AD1" t="e">
        <f>#REF!*"vlM!A"</f>
        <v>#REF!</v>
      </c>
      <c r="AE1" t="e">
        <f>#REF!*"vlM!B"</f>
        <v>#REF!</v>
      </c>
      <c r="AF1" t="e">
        <f>#REF!*"vlM!C"</f>
        <v>#REF!</v>
      </c>
      <c r="AG1" t="e">
        <f>#REF!*"vlM!D"</f>
        <v>#REF!</v>
      </c>
      <c r="AH1" t="e">
        <f>#REF!*"vlM!E"</f>
        <v>#REF!</v>
      </c>
      <c r="AI1" t="e">
        <f>#REF!*"vlM!F"</f>
        <v>#REF!</v>
      </c>
      <c r="AJ1" t="e">
        <f>#REF!*"vlM!G"</f>
        <v>#REF!</v>
      </c>
      <c r="AK1" t="e">
        <f>#REF!*"vlM!H"</f>
        <v>#REF!</v>
      </c>
      <c r="AL1" t="e">
        <f>#REF!*"vlM!I"</f>
        <v>#REF!</v>
      </c>
      <c r="AM1" t="e">
        <f>#REF!*"vlM!J"</f>
        <v>#REF!</v>
      </c>
      <c r="AN1" t="e">
        <f>#REF!*"vlM!K"</f>
        <v>#REF!</v>
      </c>
      <c r="AO1" t="e">
        <f>#REF!*"vlM!L"</f>
        <v>#REF!</v>
      </c>
      <c r="AP1" t="e">
        <f>#REF!*"vlM!M"</f>
        <v>#REF!</v>
      </c>
      <c r="AQ1" t="e">
        <f>#REF!*"vlM!N"</f>
        <v>#REF!</v>
      </c>
      <c r="AR1" t="e">
        <f>#REF!*"vlM!O"</f>
        <v>#REF!</v>
      </c>
      <c r="AS1" t="e">
        <f>#REF!*"vlM!P"</f>
        <v>#REF!</v>
      </c>
      <c r="AT1" t="e">
        <f>#REF!*"vlM!Q"</f>
        <v>#REF!</v>
      </c>
      <c r="AU1" t="e">
        <f>#REF!*"vlM!R"</f>
        <v>#REF!</v>
      </c>
      <c r="AV1" t="e">
        <f>#REF!*"vlM!S"</f>
        <v>#REF!</v>
      </c>
      <c r="AW1" t="e">
        <f>#REF!*"vlM!T"</f>
        <v>#REF!</v>
      </c>
      <c r="AX1" t="e">
        <f>#REF!*"vlM!U"</f>
        <v>#REF!</v>
      </c>
      <c r="AY1" t="e">
        <f>#REF!*"vlM!V"</f>
        <v>#REF!</v>
      </c>
      <c r="AZ1" t="e">
        <f>#REF!*"vlM!W"</f>
        <v>#REF!</v>
      </c>
      <c r="BA1" t="e">
        <f>#REF!*"vlM!X"</f>
        <v>#REF!</v>
      </c>
      <c r="BB1" t="e">
        <f>#REF!*"vlM!Y"</f>
        <v>#REF!</v>
      </c>
      <c r="BC1" t="e">
        <f>#REF!*"vlM!Z"</f>
        <v>#REF!</v>
      </c>
      <c r="BD1" t="e">
        <f>#REF!*"vlM!["</f>
        <v>#REF!</v>
      </c>
      <c r="BE1" t="e">
        <f>#REF!*"vlM!\"</f>
        <v>#REF!</v>
      </c>
      <c r="BF1" t="e">
        <f>#REF!*"vlM!]"</f>
        <v>#REF!</v>
      </c>
      <c r="BG1" t="e">
        <f>#REF!-"vlM!^"</f>
        <v>#REF!</v>
      </c>
      <c r="BH1" t="e">
        <f>#REF!-"vlM!_"</f>
        <v>#REF!</v>
      </c>
      <c r="BI1" t="e">
        <f>#REF!-"vlM!`"</f>
        <v>#REF!</v>
      </c>
      <c r="BJ1" t="e">
        <f>#REF!-"vlM!a"</f>
        <v>#REF!</v>
      </c>
      <c r="BK1" t="e">
        <f>#REF!-"vlM!b"</f>
        <v>#REF!</v>
      </c>
      <c r="BL1" t="e">
        <f>#REF!-"vlM!c"</f>
        <v>#REF!</v>
      </c>
      <c r="BM1" t="e">
        <f>#REF!-"vlM!d"</f>
        <v>#REF!</v>
      </c>
      <c r="BN1" t="e">
        <f>#REF!-"vlM!e"</f>
        <v>#REF!</v>
      </c>
      <c r="BO1" t="e">
        <f>#REF!-"vlM!f"</f>
        <v>#REF!</v>
      </c>
      <c r="BP1" t="e">
        <f>#REF!-"vlM!g"</f>
        <v>#REF!</v>
      </c>
      <c r="BQ1" t="e">
        <f>#REF!-"vlM!h"</f>
        <v>#REF!</v>
      </c>
      <c r="BR1" t="e">
        <f>#REF!-"vlM!i"</f>
        <v>#REF!</v>
      </c>
      <c r="BS1" t="e">
        <f>#REF!-"vlM!j"</f>
        <v>#REF!</v>
      </c>
      <c r="BT1" t="e">
        <f>#REF!-"vlM!k"</f>
        <v>#REF!</v>
      </c>
      <c r="BU1" t="e">
        <f>#REF!-"vlM!l"</f>
        <v>#REF!</v>
      </c>
      <c r="BV1" t="e">
        <f>#REF!-"vlM!m"</f>
        <v>#REF!</v>
      </c>
      <c r="BW1" t="e">
        <f>#REF!-"vlM!n"</f>
        <v>#REF!</v>
      </c>
      <c r="BX1" t="e">
        <f>#REF!-"vlM!o"</f>
        <v>#REF!</v>
      </c>
      <c r="BY1" t="e">
        <f>#REF!-"vlM!p"</f>
        <v>#REF!</v>
      </c>
      <c r="BZ1" t="e">
        <f>#REF!-"vlM!q"</f>
        <v>#REF!</v>
      </c>
      <c r="CA1" t="e">
        <f>#REF!-"vlM!r"</f>
        <v>#REF!</v>
      </c>
      <c r="CB1" t="e">
        <f>#REF!-"vlM!s"</f>
        <v>#REF!</v>
      </c>
      <c r="CC1" t="e">
        <f>#REF!-"vlM!t"</f>
        <v>#REF!</v>
      </c>
      <c r="CD1" t="e">
        <f>#REF!-"vlM!u"</f>
        <v>#REF!</v>
      </c>
      <c r="CE1" t="e">
        <f>#REF!-"vlM!v"</f>
        <v>#REF!</v>
      </c>
      <c r="CF1" t="e">
        <f>#REF!-"vlM!w"</f>
        <v>#REF!</v>
      </c>
      <c r="CG1" t="e">
        <f>#REF!-"vlM!x"</f>
        <v>#REF!</v>
      </c>
      <c r="CH1" t="e">
        <f>#REF!-"vlM!y"</f>
        <v>#REF!</v>
      </c>
      <c r="CI1" t="e">
        <f>#REF!-"vlM!z"</f>
        <v>#REF!</v>
      </c>
      <c r="CJ1" t="e">
        <f>#REF!-"vlM!{"</f>
        <v>#REF!</v>
      </c>
      <c r="CK1" t="e">
        <f>#REF!-"vlM!|"</f>
        <v>#REF!</v>
      </c>
      <c r="CL1" t="e">
        <f>#REF!-"vlM!}"</f>
        <v>#REF!</v>
      </c>
      <c r="CM1" t="e">
        <f>#REF!-"vlM!~"</f>
        <v>#REF!</v>
      </c>
      <c r="CN1" t="e">
        <f>#REF!-"vlM!$#"</f>
        <v>#REF!</v>
      </c>
      <c r="CO1" t="e">
        <f>#REF!-"vlM!$$"</f>
        <v>#REF!</v>
      </c>
      <c r="CP1" t="e">
        <f>#REF!-"vlM!$%"</f>
        <v>#REF!</v>
      </c>
      <c r="CQ1" t="e">
        <f>#REF!-"vlM!$&amp;"</f>
        <v>#REF!</v>
      </c>
      <c r="CR1" t="e">
        <f>#REF!-"vlM!$'"</f>
        <v>#REF!</v>
      </c>
      <c r="CS1" t="e">
        <f>#REF!-"vlM!$("</f>
        <v>#REF!</v>
      </c>
      <c r="CT1" t="e">
        <f>#REF!-"vlM!$)"</f>
        <v>#REF!</v>
      </c>
      <c r="CU1" t="e">
        <f>#REF!-"vlM!$."</f>
        <v>#REF!</v>
      </c>
      <c r="CV1" t="e">
        <f>#REF!-"vlM!$/"</f>
        <v>#REF!</v>
      </c>
      <c r="CW1" t="e">
        <f>#REF!-"vlM!$0"</f>
        <v>#REF!</v>
      </c>
      <c r="CX1" t="e">
        <f>#REF!-"vlM!$1"</f>
        <v>#REF!</v>
      </c>
      <c r="CY1" t="e">
        <f>#REF!-"vlM!$2"</f>
        <v>#REF!</v>
      </c>
      <c r="CZ1" t="e">
        <f>#REF!-"vlM!$3"</f>
        <v>#REF!</v>
      </c>
      <c r="DA1" t="e">
        <f>#REF!-"vlM!$4"</f>
        <v>#REF!</v>
      </c>
      <c r="DB1" t="e">
        <f>#REF!-"vlM!$5"</f>
        <v>#REF!</v>
      </c>
      <c r="DC1" t="e">
        <f>#REF!-"vlM!$6"</f>
        <v>#REF!</v>
      </c>
      <c r="DD1" t="e">
        <f>#REF!-"vlM!$7"</f>
        <v>#REF!</v>
      </c>
      <c r="DE1" t="e">
        <f>#REF!-"vlM!$8"</f>
        <v>#REF!</v>
      </c>
      <c r="DF1" t="e">
        <f>#REF!-"vlM!$9"</f>
        <v>#REF!</v>
      </c>
      <c r="DG1" t="e">
        <f>#REF!-"vlM!$:"</f>
        <v>#REF!</v>
      </c>
      <c r="DH1" t="e">
        <f>#REF!-"vlM!$;"</f>
        <v>#REF!</v>
      </c>
      <c r="DI1" t="e">
        <f>#REF!-"vlM!$&lt;"</f>
        <v>#REF!</v>
      </c>
      <c r="DJ1" t="e">
        <f>#REF!-"vlM!$="</f>
        <v>#REF!</v>
      </c>
      <c r="DK1" t="e">
        <f>#REF!-"vlM!$&gt;"</f>
        <v>#REF!</v>
      </c>
      <c r="DL1" t="e">
        <f>#REF!-"vlM!$?"</f>
        <v>#REF!</v>
      </c>
      <c r="DM1" t="e">
        <f>#REF!-"vlM!$@"</f>
        <v>#REF!</v>
      </c>
      <c r="DN1" t="e">
        <f>#REF!-"vlM!$A"</f>
        <v>#REF!</v>
      </c>
      <c r="DO1" t="e">
        <f>#REF!-"vlM!$B"</f>
        <v>#REF!</v>
      </c>
      <c r="DP1" t="e">
        <f>#REF!-"vlM!$C"</f>
        <v>#REF!</v>
      </c>
      <c r="DQ1" t="e">
        <f>#REF!-"vlM!$D"</f>
        <v>#REF!</v>
      </c>
      <c r="DR1" t="e">
        <f>#REF!-"vlM!$E"</f>
        <v>#REF!</v>
      </c>
      <c r="DS1" t="e">
        <f>#REF!-"vlM!$F"</f>
        <v>#REF!</v>
      </c>
      <c r="DT1" t="e">
        <f>#REF!-"vlM!$G"</f>
        <v>#REF!</v>
      </c>
      <c r="DU1" t="e">
        <f>#REF!-"vlM!$H"</f>
        <v>#REF!</v>
      </c>
      <c r="DV1" t="e">
        <f>#REF!-"vlM!$I"</f>
        <v>#REF!</v>
      </c>
      <c r="DW1" t="e">
        <f>#REF!-"vlM!$J"</f>
        <v>#REF!</v>
      </c>
      <c r="DX1" t="e">
        <f>#REF!-"vlM!$K"</f>
        <v>#REF!</v>
      </c>
      <c r="DY1" t="e">
        <f>#REF!-"vlM!$L"</f>
        <v>#REF!</v>
      </c>
      <c r="DZ1" t="e">
        <f>#REF!-"vlM!$M"</f>
        <v>#REF!</v>
      </c>
      <c r="EA1" t="e">
        <f>#REF!-"vlM!$N"</f>
        <v>#REF!</v>
      </c>
      <c r="EB1" t="e">
        <f>#REF!-"vlM!$O"</f>
        <v>#REF!</v>
      </c>
      <c r="EC1" t="e">
        <f>#REF!-"vlM!$P"</f>
        <v>#REF!</v>
      </c>
      <c r="ED1" t="e">
        <f>#REF!-"vlM!$Q"</f>
        <v>#REF!</v>
      </c>
      <c r="EE1" t="e">
        <f>#REF!-"vlM!$R"</f>
        <v>#REF!</v>
      </c>
      <c r="EF1" t="e">
        <f>#REF!-"vlM!$S"</f>
        <v>#REF!</v>
      </c>
      <c r="EG1" t="e">
        <f>#REF!-"vlM!$T"</f>
        <v>#REF!</v>
      </c>
      <c r="EH1" t="e">
        <f>#REF!-"vlM!$U"</f>
        <v>#REF!</v>
      </c>
      <c r="EI1" t="e">
        <f>#REF!-"vlM!$V"</f>
        <v>#REF!</v>
      </c>
      <c r="EJ1" t="e">
        <f>#REF!-"vlM!$W"</f>
        <v>#REF!</v>
      </c>
      <c r="EK1" t="e">
        <f>#REF!-"vlM!$X"</f>
        <v>#REF!</v>
      </c>
      <c r="EL1" t="e">
        <f>#REF!-"vlM!$Y"</f>
        <v>#REF!</v>
      </c>
      <c r="EM1" t="e">
        <f>#REF!-"vlM!$Z"</f>
        <v>#REF!</v>
      </c>
      <c r="EN1" t="e">
        <f>#REF!-"vlM!$["</f>
        <v>#REF!</v>
      </c>
      <c r="EO1" t="e">
        <f>#REF!-"vlM!$\"</f>
        <v>#REF!</v>
      </c>
      <c r="EP1" t="e">
        <f>#REF!-"vlM!$]"</f>
        <v>#REF!</v>
      </c>
      <c r="EQ1" t="e">
        <f>#REF!-"vlM!$^"</f>
        <v>#REF!</v>
      </c>
      <c r="ER1" t="e">
        <f>#REF!-"vlM!$_"</f>
        <v>#REF!</v>
      </c>
      <c r="ES1" t="e">
        <f>#REF!-"vlM!$`"</f>
        <v>#REF!</v>
      </c>
      <c r="ET1" t="e">
        <f>#REF!-"vlM!$a"</f>
        <v>#REF!</v>
      </c>
      <c r="EU1" t="e">
        <f>#REF!-"vlM!$b"</f>
        <v>#REF!</v>
      </c>
      <c r="EV1" t="e">
        <f>#REF!-"vlM!$c"</f>
        <v>#REF!</v>
      </c>
      <c r="EW1" t="e">
        <f>#REF!-"vlM!$d"</f>
        <v>#REF!</v>
      </c>
      <c r="EX1" t="e">
        <f>#REF!-"vlM!$e"</f>
        <v>#REF!</v>
      </c>
      <c r="EY1" t="e">
        <f>#REF!-"vlM!$f"</f>
        <v>#REF!</v>
      </c>
      <c r="EZ1" t="e">
        <f>#REF!-"vlM!$g"</f>
        <v>#REF!</v>
      </c>
      <c r="FA1" t="e">
        <f>#REF!-"vlM!$h"</f>
        <v>#REF!</v>
      </c>
      <c r="FB1" t="e">
        <f>#REF!-"vlM!$i"</f>
        <v>#REF!</v>
      </c>
      <c r="FC1" t="e">
        <f>#REF!-"vlM!$j"</f>
        <v>#REF!</v>
      </c>
      <c r="FD1" t="e">
        <f>#REF!-"vlM!$k"</f>
        <v>#REF!</v>
      </c>
      <c r="FE1" t="e">
        <f>#REF!-"vlM!$l"</f>
        <v>#REF!</v>
      </c>
      <c r="FF1" t="e">
        <f>#REF!-"vlM!$m"</f>
        <v>#REF!</v>
      </c>
      <c r="FG1" t="e">
        <f>#REF!-"vlM!$n"</f>
        <v>#REF!</v>
      </c>
      <c r="FH1" t="e">
        <f>#REF!-"vlM!$o"</f>
        <v>#REF!</v>
      </c>
      <c r="FI1" t="e">
        <f>#REF!-"vlM!$p"</f>
        <v>#REF!</v>
      </c>
      <c r="FJ1" t="e">
        <f>#REF!-"vlM!$q"</f>
        <v>#REF!</v>
      </c>
      <c r="FK1" t="e">
        <f>#REF!-"vlM!$r"</f>
        <v>#REF!</v>
      </c>
      <c r="FL1" t="e">
        <f>#REF!-"vlM!$s"</f>
        <v>#REF!</v>
      </c>
      <c r="FM1" t="e">
        <f>#REF!-"vlM!$t"</f>
        <v>#REF!</v>
      </c>
      <c r="FN1" t="e">
        <f>#REF!-"vlM!$u"</f>
        <v>#REF!</v>
      </c>
      <c r="FO1" t="e">
        <f>#REF!-"vlM!$v"</f>
        <v>#REF!</v>
      </c>
      <c r="FP1" t="e">
        <f>#REF!-"vlM!$w"</f>
        <v>#REF!</v>
      </c>
      <c r="FQ1" t="e">
        <f>#REF!-"vlM!$x"</f>
        <v>#REF!</v>
      </c>
      <c r="FR1" t="e">
        <f>#REF!-"vlM!$y"</f>
        <v>#REF!</v>
      </c>
      <c r="FS1" t="e">
        <f>#REF!-"vlM!$z"</f>
        <v>#REF!</v>
      </c>
      <c r="FT1" t="e">
        <f>#REF!-"vlM!${"</f>
        <v>#REF!</v>
      </c>
      <c r="FU1" t="e">
        <f>#REF!-"vlM!$|"</f>
        <v>#REF!</v>
      </c>
      <c r="FV1" t="e">
        <f>#REF!-"vlM!$}"</f>
        <v>#REF!</v>
      </c>
      <c r="FW1" t="e">
        <f>#REF!-"vlM!$~"</f>
        <v>#REF!</v>
      </c>
      <c r="FX1" t="e">
        <f>#REF!-"vlM!%#"</f>
        <v>#REF!</v>
      </c>
      <c r="FY1" t="e">
        <f>#REF!-"vlM!%$"</f>
        <v>#REF!</v>
      </c>
      <c r="FZ1" t="e">
        <f>#REF!-"vlM!%%"</f>
        <v>#REF!</v>
      </c>
      <c r="GA1" t="e">
        <f>#REF!-"vlM!%&amp;"</f>
        <v>#REF!</v>
      </c>
      <c r="GB1" t="e">
        <f>#REF!-"vlM!%'"</f>
        <v>#REF!</v>
      </c>
      <c r="GC1" t="e">
        <f>#REF!-"vlM!%("</f>
        <v>#REF!</v>
      </c>
      <c r="GD1" t="e">
        <f>#REF!-"vlM!%)"</f>
        <v>#REF!</v>
      </c>
      <c r="GE1" t="e">
        <f>#REF!-"vlM!%."</f>
        <v>#REF!</v>
      </c>
      <c r="GF1" t="e">
        <f>#REF!-"vlM!%/"</f>
        <v>#REF!</v>
      </c>
      <c r="GG1" t="e">
        <f>#REF!-"vlM!%0"</f>
        <v>#REF!</v>
      </c>
      <c r="GH1" t="e">
        <f>#REF!-"vlM!%1"</f>
        <v>#REF!</v>
      </c>
      <c r="GI1" t="e">
        <f>#REF!-"vlM!%2"</f>
        <v>#REF!</v>
      </c>
      <c r="GJ1" t="e">
        <f>#REF!-"vlM!%3"</f>
        <v>#REF!</v>
      </c>
      <c r="GK1" t="e">
        <f>#REF!-"vlM!%4"</f>
        <v>#REF!</v>
      </c>
      <c r="GL1" t="e">
        <f>#REF!-"vlM!%5"</f>
        <v>#REF!</v>
      </c>
      <c r="GM1" t="e">
        <f>#REF!-"vlM!%6"</f>
        <v>#REF!</v>
      </c>
      <c r="GN1" t="e">
        <f>#REF!-"vlM!%7"</f>
        <v>#REF!</v>
      </c>
      <c r="GO1" t="e">
        <f>#REF!-"vlM!%8"</f>
        <v>#REF!</v>
      </c>
      <c r="GP1" t="e">
        <f>#REF!-"vlM!%9"</f>
        <v>#REF!</v>
      </c>
      <c r="GQ1" t="e">
        <f>#REF!-"vlM!%:"</f>
        <v>#REF!</v>
      </c>
      <c r="GR1" t="e">
        <f>#REF!-"vlM!%;"</f>
        <v>#REF!</v>
      </c>
      <c r="GS1" t="e">
        <f>#REF!-"vlM!%&lt;"</f>
        <v>#REF!</v>
      </c>
      <c r="GT1" t="e">
        <f>#REF!-"vlM!%="</f>
        <v>#REF!</v>
      </c>
      <c r="GU1" t="e">
        <f>#REF!-"vlM!%&gt;"</f>
        <v>#REF!</v>
      </c>
      <c r="GV1" t="e">
        <f>#REF!-"vlM!%?"</f>
        <v>#REF!</v>
      </c>
      <c r="GW1" t="e">
        <f>#REF!-"vlM!%@"</f>
        <v>#REF!</v>
      </c>
      <c r="GX1" t="e">
        <f>#REF!-"vlM!%A"</f>
        <v>#REF!</v>
      </c>
      <c r="GY1" t="e">
        <f>#REF!-"vlM!%B"</f>
        <v>#REF!</v>
      </c>
      <c r="GZ1" t="e">
        <f>#REF!-"vlM!%C"</f>
        <v>#REF!</v>
      </c>
      <c r="HA1" t="e">
        <f>#REF!-"vlM!%D"</f>
        <v>#REF!</v>
      </c>
      <c r="HB1" t="e">
        <f>#REF!-"vlM!%E"</f>
        <v>#REF!</v>
      </c>
      <c r="HC1" t="e">
        <f>#REF!-"vlM!%F"</f>
        <v>#REF!</v>
      </c>
      <c r="HD1" t="e">
        <f>#REF!-"vlM!%G"</f>
        <v>#REF!</v>
      </c>
      <c r="HE1" t="e">
        <f>#REF!-"vlM!%H"</f>
        <v>#REF!</v>
      </c>
      <c r="HF1" t="e">
        <f>#REF!-"vlM!%I"</f>
        <v>#REF!</v>
      </c>
      <c r="HG1" t="e">
        <f>#REF!-"vlM!%J"</f>
        <v>#REF!</v>
      </c>
      <c r="HH1" t="e">
        <f>#REF!-"vlM!%K"</f>
        <v>#REF!</v>
      </c>
      <c r="HI1" t="e">
        <f>#REF!-"vlM!%L"</f>
        <v>#REF!</v>
      </c>
      <c r="HJ1" t="e">
        <f>#REF!-"vlM!%M"</f>
        <v>#REF!</v>
      </c>
      <c r="HK1" t="e">
        <f>#REF!-"vlM!%N"</f>
        <v>#REF!</v>
      </c>
      <c r="HL1" t="e">
        <f>#REF!-"vlM!%O"</f>
        <v>#REF!</v>
      </c>
      <c r="HM1" t="e">
        <f>#REF!-"vlM!%P"</f>
        <v>#REF!</v>
      </c>
      <c r="HN1" t="e">
        <f>#REF!-"vlM!%Q"</f>
        <v>#REF!</v>
      </c>
      <c r="HO1" t="e">
        <f>#REF!-"vlM!%R"</f>
        <v>#REF!</v>
      </c>
      <c r="HP1" t="e">
        <f>#REF!-"vlM!%S"</f>
        <v>#REF!</v>
      </c>
      <c r="HQ1" t="e">
        <f>#REF!-"vlM!%T"</f>
        <v>#REF!</v>
      </c>
      <c r="HR1" t="e">
        <f>#REF!-"vlM!%U"</f>
        <v>#REF!</v>
      </c>
      <c r="HS1" t="e">
        <f>#REF!-"vlM!%V"</f>
        <v>#REF!</v>
      </c>
      <c r="HT1" t="e">
        <f>#REF!-"vlM!%W"</f>
        <v>#REF!</v>
      </c>
      <c r="HU1" t="e">
        <f>#REF!-"vlM!%X"</f>
        <v>#REF!</v>
      </c>
      <c r="HV1" t="e">
        <f>#REF!-"vlM!%Y"</f>
        <v>#REF!</v>
      </c>
      <c r="HW1" t="e">
        <f>#REF!-"vlM!%Z"</f>
        <v>#REF!</v>
      </c>
      <c r="HX1" t="e">
        <f>#REF!-"vlM!%["</f>
        <v>#REF!</v>
      </c>
      <c r="HY1" t="e">
        <f>#REF!-"vlM!%\"</f>
        <v>#REF!</v>
      </c>
      <c r="HZ1" t="e">
        <f>#REF!-"vlM!%]"</f>
        <v>#REF!</v>
      </c>
      <c r="IA1" t="e">
        <f>#REF!-"vlM!%^"</f>
        <v>#REF!</v>
      </c>
      <c r="IB1" t="e">
        <f>#REF!-"vlM!%_"</f>
        <v>#REF!</v>
      </c>
      <c r="IC1" t="e">
        <f>#REF!-"vlM!%`"</f>
        <v>#REF!</v>
      </c>
      <c r="ID1" t="e">
        <f>#REF!-"vlM!%a"</f>
        <v>#REF!</v>
      </c>
      <c r="IE1" t="e">
        <f>#REF!-"vlM!%b"</f>
        <v>#REF!</v>
      </c>
      <c r="IF1" t="e">
        <f>#REF!-"vlM!%c"</f>
        <v>#REF!</v>
      </c>
      <c r="IG1" t="e">
        <f>#REF!-"vlM!%d"</f>
        <v>#REF!</v>
      </c>
      <c r="IH1" t="e">
        <f>#REF!-"vlM!%e"</f>
        <v>#REF!</v>
      </c>
      <c r="II1" t="e">
        <f>#REF!-"vlM!%f"</f>
        <v>#REF!</v>
      </c>
      <c r="IJ1" t="e">
        <f>#REF!-"vlM!%g"</f>
        <v>#REF!</v>
      </c>
      <c r="IK1" t="e">
        <f>#REF!-"vlM!%h"</f>
        <v>#REF!</v>
      </c>
      <c r="IL1" t="e">
        <f>#REF!-"vlM!%i"</f>
        <v>#REF!</v>
      </c>
      <c r="IM1" t="e">
        <f>#REF!-"vlM!%j"</f>
        <v>#REF!</v>
      </c>
      <c r="IN1" t="e">
        <f>#REF!-"vlM!%k"</f>
        <v>#REF!</v>
      </c>
      <c r="IO1" t="e">
        <f>#REF!-"vlM!%l"</f>
        <v>#REF!</v>
      </c>
      <c r="IP1" t="e">
        <f>#REF!-"vlM!%m"</f>
        <v>#REF!</v>
      </c>
      <c r="IQ1" t="e">
        <f>#REF!-"vlM!%n"</f>
        <v>#REF!</v>
      </c>
      <c r="IR1" t="e">
        <f>#REF!-"vlM!%o"</f>
        <v>#REF!</v>
      </c>
      <c r="IS1" t="e">
        <f>#REF!-"vlM!%p"</f>
        <v>#REF!</v>
      </c>
      <c r="IT1" t="e">
        <f>#REF!-"vlM!%q"</f>
        <v>#REF!</v>
      </c>
      <c r="IU1" t="e">
        <f>#REF!-"vlM!%r"</f>
        <v>#REF!</v>
      </c>
      <c r="IV1" t="e">
        <f>#REF!-"vlM!%s"</f>
        <v>#REF!</v>
      </c>
    </row>
    <row r="2" spans="1:256" x14ac:dyDescent="0.25">
      <c r="A2" t="s">
        <v>2899</v>
      </c>
      <c r="F2" t="e">
        <f>#REF!-"vlM!%t"</f>
        <v>#REF!</v>
      </c>
      <c r="G2" t="e">
        <f>#REF!-"vlM!%u"</f>
        <v>#REF!</v>
      </c>
      <c r="H2" t="e">
        <f>#REF!-"vlM!%v"</f>
        <v>#REF!</v>
      </c>
      <c r="I2" t="e">
        <f>#REF!-"vlM!%w"</f>
        <v>#REF!</v>
      </c>
      <c r="J2" t="e">
        <f>#REF!-"vlM!%x"</f>
        <v>#REF!</v>
      </c>
      <c r="K2" t="e">
        <f>#REF!-"vlM!%y"</f>
        <v>#REF!</v>
      </c>
      <c r="L2" t="e">
        <f>#REF!-"vlM!%z"</f>
        <v>#REF!</v>
      </c>
      <c r="M2" t="e">
        <f>#REF!-"vlM!%{"</f>
        <v>#REF!</v>
      </c>
      <c r="N2" t="e">
        <f>#REF!-"vlM!%|"</f>
        <v>#REF!</v>
      </c>
      <c r="O2" t="e">
        <f>#REF!-"vlM!%}"</f>
        <v>#REF!</v>
      </c>
      <c r="P2" t="e">
        <f>#REF!-"vlM!%~"</f>
        <v>#REF!</v>
      </c>
      <c r="Q2" t="e">
        <f>#REF!-"vlM!&amp;#"</f>
        <v>#REF!</v>
      </c>
      <c r="R2" t="e">
        <f>#REF!-"vlM!&amp;$"</f>
        <v>#REF!</v>
      </c>
      <c r="S2" t="e">
        <f>#REF!-"vlM!&amp;%"</f>
        <v>#REF!</v>
      </c>
      <c r="T2" t="e">
        <f>#REF!+"vlM!&amp;&amp;"</f>
        <v>#REF!</v>
      </c>
      <c r="U2" t="e">
        <f>#REF!+"vlM!&amp;'"</f>
        <v>#REF!</v>
      </c>
      <c r="V2" t="e">
        <f>#REF!+"vlM!&amp;("</f>
        <v>#REF!</v>
      </c>
      <c r="W2" t="e">
        <f>#REF!+"vlM!&amp;)"</f>
        <v>#REF!</v>
      </c>
      <c r="X2" t="e">
        <f>#REF!+"vlM!&amp;."</f>
        <v>#REF!</v>
      </c>
      <c r="Y2" t="e">
        <f>#REF!+"vlM!&amp;/"</f>
        <v>#REF!</v>
      </c>
      <c r="Z2" t="e">
        <f>#REF!+"vlM!&amp;0"</f>
        <v>#REF!</v>
      </c>
      <c r="AA2" t="e">
        <f>#REF!+"vlM!&amp;1"</f>
        <v>#REF!</v>
      </c>
      <c r="AB2" t="e">
        <f>#REF!+"vlM!&amp;2"</f>
        <v>#REF!</v>
      </c>
      <c r="AC2" t="e">
        <f>#REF!+"vlM!&amp;3"</f>
        <v>#REF!</v>
      </c>
      <c r="AD2" t="e">
        <f>#REF!+"vlM!&amp;4"</f>
        <v>#REF!</v>
      </c>
      <c r="AE2" t="e">
        <f>#REF!+"vlM!&amp;5"</f>
        <v>#REF!</v>
      </c>
      <c r="AF2" t="e">
        <f>#REF!+"vlM!&amp;6"</f>
        <v>#REF!</v>
      </c>
      <c r="AG2" t="e">
        <f>#REF!+"vlM!&amp;7"</f>
        <v>#REF!</v>
      </c>
      <c r="AH2" t="e">
        <f>#REF!+"vlM!&amp;8"</f>
        <v>#REF!</v>
      </c>
      <c r="AI2" t="e">
        <f>#REF!+"vlM!&amp;9"</f>
        <v>#REF!</v>
      </c>
      <c r="AJ2" t="e">
        <f>#REF!+"vlM!&amp;:"</f>
        <v>#REF!</v>
      </c>
      <c r="AK2" t="e">
        <f>#REF!+"vlM!&amp;;"</f>
        <v>#REF!</v>
      </c>
      <c r="AL2" t="e">
        <f>#REF!+"vlM!&amp;&lt;"</f>
        <v>#REF!</v>
      </c>
      <c r="AM2" s="2" t="e">
        <f>#REF!+"vlM!&amp;="</f>
        <v>#REF!</v>
      </c>
      <c r="AN2" t="e">
        <f>#REF!+"vlM!&amp;&gt;"</f>
        <v>#REF!</v>
      </c>
      <c r="AO2" s="1" t="e">
        <f>#REF!+"vlM!&amp;?"</f>
        <v>#REF!</v>
      </c>
      <c r="AP2" t="e">
        <f>#REF!*"vlM!&amp;@"</f>
        <v>#REF!</v>
      </c>
      <c r="AQ2" t="e">
        <f>#REF!*"vlM!&amp;A"</f>
        <v>#REF!</v>
      </c>
      <c r="AR2" t="e">
        <f>#REF!*"vlM!&amp;B"</f>
        <v>#REF!</v>
      </c>
      <c r="AS2" t="e">
        <f>#REF!*"vlM!&amp;C"</f>
        <v>#REF!</v>
      </c>
      <c r="AT2" t="e">
        <f>#REF!*"vlM!&amp;D"</f>
        <v>#REF!</v>
      </c>
      <c r="AU2" t="e">
        <f>#REF!*"vlM!&amp;E"</f>
        <v>#REF!</v>
      </c>
      <c r="AV2" t="e">
        <f>#REF!*"vlM!&amp;F"</f>
        <v>#REF!</v>
      </c>
      <c r="AW2" t="e">
        <f>#REF!*"vlM!&amp;G"</f>
        <v>#REF!</v>
      </c>
      <c r="AX2" t="e">
        <f>#REF!*"vlM!&amp;H"</f>
        <v>#REF!</v>
      </c>
      <c r="AY2" t="e">
        <f>#REF!*"vlM!&amp;I"</f>
        <v>#REF!</v>
      </c>
      <c r="AZ2" t="e">
        <f>#REF!*"vlM!&amp;J"</f>
        <v>#REF!</v>
      </c>
      <c r="BA2" t="e">
        <f>#REF!*"vlM!&amp;K"</f>
        <v>#REF!</v>
      </c>
      <c r="BB2" t="e">
        <f>#REF!*"vlM!&amp;L"</f>
        <v>#REF!</v>
      </c>
      <c r="BC2" t="e">
        <f>#REF!*"vlM!&amp;M"</f>
        <v>#REF!</v>
      </c>
      <c r="BD2" t="e">
        <f>#REF!*"vlM!&amp;N"</f>
        <v>#REF!</v>
      </c>
      <c r="BE2" t="e">
        <f>#REF!*"vlM!&amp;O"</f>
        <v>#REF!</v>
      </c>
      <c r="BF2" t="e">
        <f>#REF!*"vlM!&amp;P"</f>
        <v>#REF!</v>
      </c>
      <c r="BG2" t="e">
        <f>#REF!*"vlM!&amp;Q"</f>
        <v>#REF!</v>
      </c>
      <c r="BH2" t="e">
        <f>#REF!*"vlM!&amp;R"</f>
        <v>#REF!</v>
      </c>
      <c r="BI2" t="e">
        <f>#REF!*"vlM!&amp;S"</f>
        <v>#REF!</v>
      </c>
      <c r="BJ2" t="e">
        <f>#REF!*"vlM!&amp;T"</f>
        <v>#REF!</v>
      </c>
      <c r="BK2" t="e">
        <f>#REF!*"vlM!&amp;U"</f>
        <v>#REF!</v>
      </c>
      <c r="BL2" t="e">
        <f>#REF!*"vlM!&amp;V"</f>
        <v>#REF!</v>
      </c>
      <c r="BM2" t="e">
        <f>#REF!*"vlM!&amp;W"</f>
        <v>#REF!</v>
      </c>
      <c r="BN2" t="e">
        <f>#REF!*"vlM!&amp;X"</f>
        <v>#REF!</v>
      </c>
      <c r="BO2" t="e">
        <f>#REF!*"vlM!&amp;Y"</f>
        <v>#REF!</v>
      </c>
      <c r="BP2" t="e">
        <f>#REF!*"vlM!&amp;Z"</f>
        <v>#REF!</v>
      </c>
      <c r="BQ2" t="e">
        <f>#REF!*"vlM!&amp;["</f>
        <v>#REF!</v>
      </c>
      <c r="BR2" t="e">
        <f>#REF!*"vlM!&amp;\"</f>
        <v>#REF!</v>
      </c>
      <c r="BS2" t="e">
        <f>#REF!*"vlM!&amp;]"</f>
        <v>#REF!</v>
      </c>
      <c r="BT2" t="e">
        <f>#REF!*"vlM!&amp;^"</f>
        <v>#REF!</v>
      </c>
      <c r="BU2" t="e">
        <f>#REF!*"vlM!&amp;_"</f>
        <v>#REF!</v>
      </c>
      <c r="BV2" t="e">
        <f>#REF!*"vlM!&amp;`"</f>
        <v>#REF!</v>
      </c>
      <c r="BW2" t="e">
        <f>#REF!*"vlM!&amp;a"</f>
        <v>#REF!</v>
      </c>
      <c r="BX2" t="e">
        <f>#REF!*"vlM!&amp;b"</f>
        <v>#REF!</v>
      </c>
      <c r="BY2" t="e">
        <f>#REF!*"vlM!&amp;c"</f>
        <v>#REF!</v>
      </c>
      <c r="BZ2" t="e">
        <f>#REF!*"vlM!&amp;d"</f>
        <v>#REF!</v>
      </c>
      <c r="CA2" t="e">
        <f>#REF!*"vlM!&amp;e"</f>
        <v>#REF!</v>
      </c>
      <c r="CB2" t="e">
        <f>#REF!*"vlM!&amp;f"</f>
        <v>#REF!</v>
      </c>
      <c r="CC2" t="e">
        <f>#REF!*"vlM!&amp;g"</f>
        <v>#REF!</v>
      </c>
      <c r="CD2" t="e">
        <f>#REF!*"vlM!&amp;h"</f>
        <v>#REF!</v>
      </c>
      <c r="CE2" t="e">
        <f>#REF!*"vlM!&amp;i"</f>
        <v>#REF!</v>
      </c>
      <c r="CF2" t="e">
        <f>#REF!*"vlM!&amp;j"</f>
        <v>#REF!</v>
      </c>
      <c r="CG2" t="e">
        <f>#REF!*"vlM!&amp;k"</f>
        <v>#REF!</v>
      </c>
      <c r="CH2" t="e">
        <f>#REF!*"vlM!&amp;l"</f>
        <v>#REF!</v>
      </c>
      <c r="CI2" t="e">
        <f>#REF!*"vlM!&amp;m"</f>
        <v>#REF!</v>
      </c>
      <c r="CJ2" t="e">
        <f>#REF!*"vlM!&amp;n"</f>
        <v>#REF!</v>
      </c>
      <c r="CK2" t="e">
        <f>#REF!*"vlM!&amp;o"</f>
        <v>#REF!</v>
      </c>
      <c r="CL2" t="e">
        <f>#REF!*"vlM!&amp;p"</f>
        <v>#REF!</v>
      </c>
      <c r="CM2" t="e">
        <f>#REF!*"vlM!&amp;q"</f>
        <v>#REF!</v>
      </c>
      <c r="CN2" t="e">
        <f>#REF!*"vlM!&amp;r"</f>
        <v>#REF!</v>
      </c>
      <c r="CO2" t="e">
        <f>#REF!*"vlM!&amp;s"</f>
        <v>#REF!</v>
      </c>
      <c r="CP2" t="e">
        <f>#REF!*"vlM!&amp;t"</f>
        <v>#REF!</v>
      </c>
      <c r="CQ2" t="e">
        <f>#REF!*"vlM!&amp;u"</f>
        <v>#REF!</v>
      </c>
      <c r="CR2" t="e">
        <f>#REF!*"vlM!&amp;v"</f>
        <v>#REF!</v>
      </c>
      <c r="CS2" t="e">
        <f>#REF!*"vlM!&amp;w"</f>
        <v>#REF!</v>
      </c>
      <c r="CT2" t="e">
        <f>#REF!*"vlM!&amp;x"</f>
        <v>#REF!</v>
      </c>
      <c r="CU2" t="e">
        <f>#REF!*"vlM!&amp;y"</f>
        <v>#REF!</v>
      </c>
      <c r="CV2" t="e">
        <f>#REF!*"vlM!&amp;z"</f>
        <v>#REF!</v>
      </c>
      <c r="CW2" t="e">
        <f>#REF!*"vlM!&amp;{"</f>
        <v>#REF!</v>
      </c>
      <c r="CX2" t="e">
        <f>#REF!*"vlM!&amp;|"</f>
        <v>#REF!</v>
      </c>
      <c r="CY2" t="e">
        <f>#REF!*"vlM!&amp;}"</f>
        <v>#REF!</v>
      </c>
      <c r="CZ2" t="e">
        <f>#REF!*"vlM!&amp;~"</f>
        <v>#REF!</v>
      </c>
      <c r="DA2" t="e">
        <f>#REF!*"vlM!'#"</f>
        <v>#REF!</v>
      </c>
      <c r="DB2" t="e">
        <f>#REF!*"vlM!'$"</f>
        <v>#REF!</v>
      </c>
      <c r="DC2" t="e">
        <f>#REF!*"vlM!'%"</f>
        <v>#REF!</v>
      </c>
      <c r="DD2" t="e">
        <f>#REF!*"vlM!'&amp;"</f>
        <v>#REF!</v>
      </c>
      <c r="DE2" t="e">
        <f>#REF!*"vlM!''"</f>
        <v>#REF!</v>
      </c>
      <c r="DF2" t="e">
        <f>#REF!*"vlM!'("</f>
        <v>#REF!</v>
      </c>
      <c r="DG2" t="e">
        <f>#REF!*"vlM!')"</f>
        <v>#REF!</v>
      </c>
      <c r="DH2" t="e">
        <f>#REF!*"vlM!'."</f>
        <v>#REF!</v>
      </c>
      <c r="DI2" t="e">
        <f>#REF!-"vlM!'/"</f>
        <v>#REF!</v>
      </c>
      <c r="DJ2" t="e">
        <f>#REF!-"vlM!'0"</f>
        <v>#REF!</v>
      </c>
      <c r="DK2" t="e">
        <f>#REF!-"vlM!'1"</f>
        <v>#REF!</v>
      </c>
      <c r="DL2" t="e">
        <f>#REF!-"vlM!'2"</f>
        <v>#REF!</v>
      </c>
      <c r="DM2" t="e">
        <f>#REF!-"vlM!'3"</f>
        <v>#REF!</v>
      </c>
      <c r="DN2" t="e">
        <f>#REF!-"vlM!'4"</f>
        <v>#REF!</v>
      </c>
      <c r="DO2" t="e">
        <f>#REF!-"vlM!'5"</f>
        <v>#REF!</v>
      </c>
      <c r="DP2" t="e">
        <f>#REF!-"vlM!'6"</f>
        <v>#REF!</v>
      </c>
      <c r="DQ2" t="e">
        <f>#REF!-"vlM!'7"</f>
        <v>#REF!</v>
      </c>
      <c r="DR2" t="e">
        <f>#REF!-"vlM!'8"</f>
        <v>#REF!</v>
      </c>
      <c r="DS2" t="e">
        <f>#REF!-"vlM!'9"</f>
        <v>#REF!</v>
      </c>
      <c r="DT2" t="e">
        <f>#REF!-"vlM!':"</f>
        <v>#REF!</v>
      </c>
      <c r="DU2" t="e">
        <f>#REF!-"vlM!';"</f>
        <v>#REF!</v>
      </c>
      <c r="DV2" t="e">
        <f>#REF!-"vlM!'&lt;"</f>
        <v>#REF!</v>
      </c>
      <c r="DW2" t="e">
        <f>#REF!-"vlM!'="</f>
        <v>#REF!</v>
      </c>
      <c r="DX2" t="e">
        <f>#REF!-"vlM!'&gt;"</f>
        <v>#REF!</v>
      </c>
      <c r="DY2" t="e">
        <f>#REF!-"vlM!'?"</f>
        <v>#REF!</v>
      </c>
      <c r="DZ2" t="e">
        <f>#REF!-"vlM!'@"</f>
        <v>#REF!</v>
      </c>
      <c r="EA2" t="e">
        <f>#REF!-"vlM!'A"</f>
        <v>#REF!</v>
      </c>
      <c r="EB2" t="e">
        <f>#REF!-"vlM!'B"</f>
        <v>#REF!</v>
      </c>
      <c r="EC2" t="e">
        <f>#REF!-"vlM!'C"</f>
        <v>#REF!</v>
      </c>
      <c r="ED2" t="e">
        <f>#REF!-"vlM!'D"</f>
        <v>#REF!</v>
      </c>
      <c r="EE2" t="e">
        <f>#REF!-"vlM!'E"</f>
        <v>#REF!</v>
      </c>
      <c r="EF2" t="e">
        <f>#REF!-"vlM!'F"</f>
        <v>#REF!</v>
      </c>
      <c r="EG2" t="e">
        <f>#REF!-"vlM!'G"</f>
        <v>#REF!</v>
      </c>
      <c r="EH2" t="e">
        <f>#REF!-"vlM!'H"</f>
        <v>#REF!</v>
      </c>
      <c r="EI2" t="e">
        <f>#REF!-"vlM!'I"</f>
        <v>#REF!</v>
      </c>
      <c r="EJ2" t="e">
        <f>#REF!-"vlM!'J"</f>
        <v>#REF!</v>
      </c>
      <c r="EK2" t="e">
        <f>#REF!-"vlM!'K"</f>
        <v>#REF!</v>
      </c>
      <c r="EL2" t="e">
        <f>#REF!-"vlM!'L"</f>
        <v>#REF!</v>
      </c>
      <c r="EM2" t="e">
        <f>#REF!-"vlM!'M"</f>
        <v>#REF!</v>
      </c>
      <c r="EN2" t="e">
        <f>#REF!-"vlM!'N"</f>
        <v>#REF!</v>
      </c>
      <c r="EO2" t="e">
        <f>#REF!-"vlM!'O"</f>
        <v>#REF!</v>
      </c>
      <c r="EP2" t="e">
        <f>#REF!-"vlM!'P"</f>
        <v>#REF!</v>
      </c>
      <c r="EQ2" t="e">
        <f>#REF!-"vlM!'Q"</f>
        <v>#REF!</v>
      </c>
      <c r="ER2" t="e">
        <f>#REF!-"vlM!'R"</f>
        <v>#REF!</v>
      </c>
      <c r="ES2" t="e">
        <f>#REF!-"vlM!'S"</f>
        <v>#REF!</v>
      </c>
      <c r="ET2" t="e">
        <f>#REF!-"vlM!'T"</f>
        <v>#REF!</v>
      </c>
      <c r="EU2" t="e">
        <f>#REF!-"vlM!'U"</f>
        <v>#REF!</v>
      </c>
      <c r="EV2" t="e">
        <f>#REF!-"vlM!'V"</f>
        <v>#REF!</v>
      </c>
      <c r="EW2" t="e">
        <f>#REF!-"vlM!'W"</f>
        <v>#REF!</v>
      </c>
      <c r="EX2" t="e">
        <f>#REF!-"vlM!'X"</f>
        <v>#REF!</v>
      </c>
      <c r="EY2" t="e">
        <f>#REF!-"vlM!'Y"</f>
        <v>#REF!</v>
      </c>
      <c r="EZ2" t="e">
        <f>#REF!-"vlM!'Z"</f>
        <v>#REF!</v>
      </c>
      <c r="FA2" t="e">
        <f>#REF!-"vlM!'["</f>
        <v>#REF!</v>
      </c>
      <c r="FB2" t="e">
        <f>#REF!-"vlM!'\"</f>
        <v>#REF!</v>
      </c>
      <c r="FC2" t="e">
        <f>#REF!-"vlM!']"</f>
        <v>#REF!</v>
      </c>
      <c r="FD2" t="e">
        <f>#REF!-"vlM!'^"</f>
        <v>#REF!</v>
      </c>
      <c r="FE2" t="e">
        <f>#REF!-"vlM!'_"</f>
        <v>#REF!</v>
      </c>
      <c r="FF2" t="e">
        <f>#REF!-"vlM!'`"</f>
        <v>#REF!</v>
      </c>
      <c r="FG2" t="e">
        <f>#REF!-"vlM!'a"</f>
        <v>#REF!</v>
      </c>
      <c r="FH2" t="e">
        <f>#REF!-"vlM!'b"</f>
        <v>#REF!</v>
      </c>
      <c r="FI2" t="e">
        <f>#REF!-"vlM!'c"</f>
        <v>#REF!</v>
      </c>
      <c r="FJ2" t="e">
        <f>#REF!-"vlM!'d"</f>
        <v>#REF!</v>
      </c>
      <c r="FK2" t="e">
        <f>#REF!-"vlM!'e"</f>
        <v>#REF!</v>
      </c>
      <c r="FL2" t="e">
        <f>#REF!-"vlM!'f"</f>
        <v>#REF!</v>
      </c>
      <c r="FM2" t="e">
        <f>#REF!-"vlM!'g"</f>
        <v>#REF!</v>
      </c>
      <c r="FN2" t="e">
        <f>#REF!-"vlM!'h"</f>
        <v>#REF!</v>
      </c>
      <c r="FO2" t="e">
        <f>#REF!-"vlM!'i"</f>
        <v>#REF!</v>
      </c>
      <c r="FP2" t="e">
        <f>#REF!-"vlM!'j"</f>
        <v>#REF!</v>
      </c>
      <c r="FQ2" t="e">
        <f>#REF!-"vlM!'k"</f>
        <v>#REF!</v>
      </c>
      <c r="FR2" t="e">
        <f>#REF!-"vlM!'l"</f>
        <v>#REF!</v>
      </c>
      <c r="FS2" t="e">
        <f>#REF!-"vlM!'m"</f>
        <v>#REF!</v>
      </c>
      <c r="FT2" t="e">
        <f>#REF!-"vlM!'n"</f>
        <v>#REF!</v>
      </c>
      <c r="FU2" t="e">
        <f>#REF!-"vlM!'o"</f>
        <v>#REF!</v>
      </c>
      <c r="FV2" t="e">
        <f>#REF!-"vlM!'p"</f>
        <v>#REF!</v>
      </c>
      <c r="FW2" t="e">
        <f>#REF!-"vlM!'q"</f>
        <v>#REF!</v>
      </c>
      <c r="FX2" t="e">
        <f>#REF!-"vlM!'r"</f>
        <v>#REF!</v>
      </c>
      <c r="FY2" t="e">
        <f>#REF!-"vlM!'s"</f>
        <v>#REF!</v>
      </c>
      <c r="FZ2" t="e">
        <f>#REF!-"vlM!'t"</f>
        <v>#REF!</v>
      </c>
      <c r="GA2" t="e">
        <f>#REF!-"vlM!'u"</f>
        <v>#REF!</v>
      </c>
      <c r="GB2" t="e">
        <f>#REF!-"vlM!'v"</f>
        <v>#REF!</v>
      </c>
      <c r="GC2" t="e">
        <f>#REF!-"vlM!'w"</f>
        <v>#REF!</v>
      </c>
      <c r="GD2" t="e">
        <f>#REF!-"vlM!'x"</f>
        <v>#REF!</v>
      </c>
      <c r="GE2" t="e">
        <f>#REF!-"vlM!'y"</f>
        <v>#REF!</v>
      </c>
      <c r="GF2" t="e">
        <f>#REF!-"vlM!'z"</f>
        <v>#REF!</v>
      </c>
      <c r="GG2" t="e">
        <f>#REF!-"vlM!'{"</f>
        <v>#REF!</v>
      </c>
      <c r="GH2" t="e">
        <f>#REF!-"vlM!'|"</f>
        <v>#REF!</v>
      </c>
      <c r="GI2" t="e">
        <f>#REF!-"vlM!'}"</f>
        <v>#REF!</v>
      </c>
      <c r="GJ2" t="e">
        <f>#REF!-"vlM!'~"</f>
        <v>#REF!</v>
      </c>
      <c r="GK2" t="e">
        <f>#REF!-"vlM!(#"</f>
        <v>#REF!</v>
      </c>
      <c r="GL2" t="e">
        <f>#REF!-"vlM!($"</f>
        <v>#REF!</v>
      </c>
      <c r="GM2" t="e">
        <f>#REF!-"vlM!(%"</f>
        <v>#REF!</v>
      </c>
      <c r="GN2" t="e">
        <f>#REF!-"vlM!(&amp;"</f>
        <v>#REF!</v>
      </c>
      <c r="GO2" t="e">
        <f>#REF!-"vlM!('"</f>
        <v>#REF!</v>
      </c>
      <c r="GP2" t="e">
        <f>#REF!-"vlM!(("</f>
        <v>#REF!</v>
      </c>
      <c r="GQ2" t="e">
        <f>#REF!-"vlM!()"</f>
        <v>#REF!</v>
      </c>
      <c r="GR2" t="e">
        <f>#REF!-"vlM!(."</f>
        <v>#REF!</v>
      </c>
      <c r="GS2" t="e">
        <f>#REF!-"vlM!(/"</f>
        <v>#REF!</v>
      </c>
      <c r="GT2" t="e">
        <f>#REF!-"vlM!(0"</f>
        <v>#REF!</v>
      </c>
      <c r="GU2" t="e">
        <f>#REF!-"vlM!(1"</f>
        <v>#REF!</v>
      </c>
      <c r="GV2" t="e">
        <f>#REF!-"vlM!(2"</f>
        <v>#REF!</v>
      </c>
      <c r="GW2" t="e">
        <f>#REF!-"vlM!(3"</f>
        <v>#REF!</v>
      </c>
      <c r="GX2" t="e">
        <f>#REF!-"vlM!(4"</f>
        <v>#REF!</v>
      </c>
      <c r="GY2" t="e">
        <f>#REF!-"vlM!(5"</f>
        <v>#REF!</v>
      </c>
      <c r="GZ2" t="e">
        <f>#REF!-"vlM!(6"</f>
        <v>#REF!</v>
      </c>
      <c r="HA2" t="e">
        <f>#REF!-"vlM!(7"</f>
        <v>#REF!</v>
      </c>
      <c r="HB2" t="e">
        <f>#REF!-"vlM!(8"</f>
        <v>#REF!</v>
      </c>
      <c r="HC2" t="e">
        <f>#REF!-"vlM!(9"</f>
        <v>#REF!</v>
      </c>
      <c r="HD2" t="e">
        <f>#REF!-"vlM!(:"</f>
        <v>#REF!</v>
      </c>
      <c r="HE2" t="e">
        <f>#REF!-"vlM!(;"</f>
        <v>#REF!</v>
      </c>
      <c r="HF2" t="e">
        <f>#REF!-"vlM!(&lt;"</f>
        <v>#REF!</v>
      </c>
      <c r="HG2" t="e">
        <f>#REF!-"vlM!(="</f>
        <v>#REF!</v>
      </c>
      <c r="HH2" t="e">
        <f>#REF!-"vlM!(&gt;"</f>
        <v>#REF!</v>
      </c>
      <c r="HI2" t="e">
        <f>#REF!-"vlM!(?"</f>
        <v>#REF!</v>
      </c>
      <c r="HJ2" t="e">
        <f>#REF!-"vlM!(@"</f>
        <v>#REF!</v>
      </c>
      <c r="HK2" t="e">
        <f>#REF!-"vlM!(A"</f>
        <v>#REF!</v>
      </c>
      <c r="HL2" t="e">
        <f>#REF!-"vlM!(B"</f>
        <v>#REF!</v>
      </c>
      <c r="HM2" t="e">
        <f>#REF!-"vlM!(C"</f>
        <v>#REF!</v>
      </c>
      <c r="HN2" t="e">
        <f>#REF!-"vlM!(D"</f>
        <v>#REF!</v>
      </c>
      <c r="HO2" t="e">
        <f>#REF!-"vlM!(E"</f>
        <v>#REF!</v>
      </c>
      <c r="HP2" t="e">
        <f>#REF!-"vlM!(F"</f>
        <v>#REF!</v>
      </c>
      <c r="HQ2" t="e">
        <f>#REF!-"vlM!(G"</f>
        <v>#REF!</v>
      </c>
      <c r="HR2" t="e">
        <f>#REF!-"vlM!(H"</f>
        <v>#REF!</v>
      </c>
      <c r="HS2" t="e">
        <f>#REF!-"vlM!(I"</f>
        <v>#REF!</v>
      </c>
      <c r="HT2" t="e">
        <f>#REF!-"vlM!(J"</f>
        <v>#REF!</v>
      </c>
      <c r="HU2" t="e">
        <f>#REF!-"vlM!(K"</f>
        <v>#REF!</v>
      </c>
      <c r="HV2" t="e">
        <f>#REF!-"vlM!(L"</f>
        <v>#REF!</v>
      </c>
      <c r="HW2" t="e">
        <f>#REF!-"vlM!(M"</f>
        <v>#REF!</v>
      </c>
      <c r="HX2" t="e">
        <f>#REF!-"vlM!(N"</f>
        <v>#REF!</v>
      </c>
      <c r="HY2" t="e">
        <f>#REF!-"vlM!(O"</f>
        <v>#REF!</v>
      </c>
      <c r="HZ2" t="e">
        <f>#REF!-"vlM!(P"</f>
        <v>#REF!</v>
      </c>
      <c r="IA2" t="e">
        <f>#REF!-"vlM!(Q"</f>
        <v>#REF!</v>
      </c>
      <c r="IB2" t="e">
        <f>#REF!-"vlM!(R"</f>
        <v>#REF!</v>
      </c>
      <c r="IC2" t="e">
        <f>#REF!-"vlM!(S"</f>
        <v>#REF!</v>
      </c>
      <c r="ID2" t="e">
        <f>#REF!-"vlM!(T"</f>
        <v>#REF!</v>
      </c>
      <c r="IE2" t="e">
        <f>#REF!-"vlM!(U"</f>
        <v>#REF!</v>
      </c>
      <c r="IF2" t="e">
        <f>#REF!-"vlM!(V"</f>
        <v>#REF!</v>
      </c>
      <c r="IG2" t="e">
        <f>#REF!-"vlM!(W"</f>
        <v>#REF!</v>
      </c>
      <c r="IH2" t="e">
        <f>#REF!-"vlM!(X"</f>
        <v>#REF!</v>
      </c>
      <c r="II2" t="e">
        <f>#REF!-"vlM!(Y"</f>
        <v>#REF!</v>
      </c>
      <c r="IJ2" t="e">
        <f>#REF!-"vlM!(Z"</f>
        <v>#REF!</v>
      </c>
      <c r="IK2" t="e">
        <f>#REF!-"vlM!(["</f>
        <v>#REF!</v>
      </c>
      <c r="IL2" t="e">
        <f>#REF!-"vlM!(\"</f>
        <v>#REF!</v>
      </c>
      <c r="IM2" t="e">
        <f>#REF!-"vlM!(]"</f>
        <v>#REF!</v>
      </c>
      <c r="IN2" t="e">
        <f>#REF!-"vlM!(^"</f>
        <v>#REF!</v>
      </c>
      <c r="IO2" t="e">
        <f>#REF!-"vlM!(_"</f>
        <v>#REF!</v>
      </c>
      <c r="IP2" t="e">
        <f>#REF!-"vlM!(`"</f>
        <v>#REF!</v>
      </c>
      <c r="IQ2" t="e">
        <f>#REF!-"vlM!(a"</f>
        <v>#REF!</v>
      </c>
      <c r="IR2" t="e">
        <f>#REF!-"vlM!(b"</f>
        <v>#REF!</v>
      </c>
      <c r="IS2" t="e">
        <f>#REF!-"vlM!(c"</f>
        <v>#REF!</v>
      </c>
      <c r="IT2" t="e">
        <f>#REF!-"vlM!(d"</f>
        <v>#REF!</v>
      </c>
      <c r="IU2" t="e">
        <f>#REF!-"vlM!(e"</f>
        <v>#REF!</v>
      </c>
      <c r="IV2" t="e">
        <f>#REF!-"vlM!(f"</f>
        <v>#REF!</v>
      </c>
    </row>
    <row r="3" spans="1:256" x14ac:dyDescent="0.25">
      <c r="A3" t="s">
        <v>2900</v>
      </c>
      <c r="F3" t="e">
        <f>#REF!-"vlM!(g"</f>
        <v>#REF!</v>
      </c>
      <c r="G3" t="e">
        <f>#REF!-"vlM!(h"</f>
        <v>#REF!</v>
      </c>
      <c r="H3" t="e">
        <f>#REF!-"vlM!(i"</f>
        <v>#REF!</v>
      </c>
      <c r="I3" t="e">
        <f>#REF!-"vlM!(j"</f>
        <v>#REF!</v>
      </c>
      <c r="J3" t="e">
        <f>#REF!-"vlM!(k"</f>
        <v>#REF!</v>
      </c>
      <c r="K3" t="e">
        <f>#REF!-"vlM!(l"</f>
        <v>#REF!</v>
      </c>
      <c r="L3" t="e">
        <f>#REF!-"vlM!(m"</f>
        <v>#REF!</v>
      </c>
      <c r="M3" t="e">
        <f>#REF!-"vlM!(n"</f>
        <v>#REF!</v>
      </c>
      <c r="N3" t="e">
        <f>#REF!-"vlM!(o"</f>
        <v>#REF!</v>
      </c>
      <c r="O3" t="e">
        <f>#REF!-"vlM!(p"</f>
        <v>#REF!</v>
      </c>
      <c r="P3" t="e">
        <f>#REF!-"vlM!(q"</f>
        <v>#REF!</v>
      </c>
      <c r="Q3" t="e">
        <f>#REF!-"vlM!(r"</f>
        <v>#REF!</v>
      </c>
      <c r="R3" t="e">
        <f>#REF!-"vlM!(s"</f>
        <v>#REF!</v>
      </c>
      <c r="S3" t="e">
        <f>#REF!-"vlM!(t"</f>
        <v>#REF!</v>
      </c>
      <c r="T3" t="e">
        <f>#REF!-"vlM!(u"</f>
        <v>#REF!</v>
      </c>
      <c r="U3" t="e">
        <f>#REF!-"vlM!(v"</f>
        <v>#REF!</v>
      </c>
      <c r="V3" t="e">
        <f>#REF!-"vlM!(w"</f>
        <v>#REF!</v>
      </c>
      <c r="W3" t="e">
        <f>#REF!-"vlM!(x"</f>
        <v>#REF!</v>
      </c>
      <c r="X3" t="e">
        <f>#REF!-"vlM!(y"</f>
        <v>#REF!</v>
      </c>
      <c r="Y3" t="e">
        <f>#REF!-"vlM!(z"</f>
        <v>#REF!</v>
      </c>
      <c r="Z3" t="e">
        <f>#REF!-"vlM!({"</f>
        <v>#REF!</v>
      </c>
      <c r="AA3" t="e">
        <f>#REF!-"vlM!(|"</f>
        <v>#REF!</v>
      </c>
      <c r="AB3" t="e">
        <f>#REF!-"vlM!(}"</f>
        <v>#REF!</v>
      </c>
      <c r="AC3" t="e">
        <f>#REF!-"vlM!(~"</f>
        <v>#REF!</v>
      </c>
      <c r="AD3" t="e">
        <f>#REF!-"vlM!)#"</f>
        <v>#REF!</v>
      </c>
      <c r="AE3" t="e">
        <f>#REF!-"vlM!)$"</f>
        <v>#REF!</v>
      </c>
      <c r="AF3" t="e">
        <f>#REF!-"vlM!)%"</f>
        <v>#REF!</v>
      </c>
      <c r="AG3" t="e">
        <f>#REF!-"vlM!)&amp;"</f>
        <v>#REF!</v>
      </c>
      <c r="AH3" t="e">
        <f>#REF!-"vlM!)'"</f>
        <v>#REF!</v>
      </c>
      <c r="AI3" t="e">
        <f>#REF!-"vlM!)("</f>
        <v>#REF!</v>
      </c>
      <c r="AJ3" t="e">
        <f>#REF!-"vlM!))"</f>
        <v>#REF!</v>
      </c>
      <c r="AK3" t="e">
        <f>#REF!-"vlM!)."</f>
        <v>#REF!</v>
      </c>
      <c r="AL3" t="e">
        <f>#REF!-"vlM!)/"</f>
        <v>#REF!</v>
      </c>
      <c r="AM3" t="e">
        <f>#REF!-"vlM!)0"</f>
        <v>#REF!</v>
      </c>
      <c r="AN3" t="e">
        <f>#REF!-"vlM!)1"</f>
        <v>#REF!</v>
      </c>
      <c r="AO3" t="e">
        <f>#REF!-"vlM!)2"</f>
        <v>#REF!</v>
      </c>
      <c r="AP3" t="e">
        <f>#REF!-"vlM!)3"</f>
        <v>#REF!</v>
      </c>
      <c r="AQ3" t="e">
        <f>#REF!-"vlM!)4"</f>
        <v>#REF!</v>
      </c>
      <c r="AR3" t="e">
        <f>#REF!-"vlM!)5"</f>
        <v>#REF!</v>
      </c>
      <c r="AS3" t="e">
        <f>#REF!-"vlM!)6"</f>
        <v>#REF!</v>
      </c>
      <c r="AT3" t="e">
        <f>#REF!-"vlM!)7"</f>
        <v>#REF!</v>
      </c>
      <c r="AU3" t="e">
        <f>#REF!-"vlM!)8"</f>
        <v>#REF!</v>
      </c>
      <c r="AV3" t="e">
        <f>#REF!-"vlM!)9"</f>
        <v>#REF!</v>
      </c>
      <c r="AW3" t="e">
        <f>#REF!-"vlM!):"</f>
        <v>#REF!</v>
      </c>
      <c r="AX3" t="e">
        <f>#REF!-"vlM!);"</f>
        <v>#REF!</v>
      </c>
      <c r="AY3" t="e">
        <f>#REF!-"vlM!)&lt;"</f>
        <v>#REF!</v>
      </c>
      <c r="AZ3" t="e">
        <f>#REF!-"vlM!)="</f>
        <v>#REF!</v>
      </c>
      <c r="BA3" t="e">
        <f>#REF!-"vlM!)&gt;"</f>
        <v>#REF!</v>
      </c>
      <c r="BB3" t="e">
        <f>#REF!-"vlM!)?"</f>
        <v>#REF!</v>
      </c>
      <c r="BC3" t="e">
        <f>#REF!-"vlM!)@"</f>
        <v>#REF!</v>
      </c>
      <c r="BD3" t="e">
        <f>#REF!-"vlM!)A"</f>
        <v>#REF!</v>
      </c>
      <c r="BE3" t="e">
        <f>#REF!-"vlM!)B"</f>
        <v>#REF!</v>
      </c>
      <c r="BF3" t="e">
        <f>#REF!-"vlM!)C"</f>
        <v>#REF!</v>
      </c>
      <c r="BG3" t="e">
        <f>#REF!-"vlM!)D"</f>
        <v>#REF!</v>
      </c>
      <c r="BH3" t="e">
        <f>#REF!-"vlM!)E"</f>
        <v>#REF!</v>
      </c>
      <c r="BI3" t="e">
        <f>#REF!-"vlM!)F"</f>
        <v>#REF!</v>
      </c>
      <c r="BJ3" t="e">
        <f>#REF!-"vlM!)G"</f>
        <v>#REF!</v>
      </c>
      <c r="BK3" t="e">
        <f>#REF!-"vlM!)H"</f>
        <v>#REF!</v>
      </c>
      <c r="BL3" t="e">
        <f>#REF!-"vlM!)I"</f>
        <v>#REF!</v>
      </c>
      <c r="BM3" t="e">
        <f>#REF!-"vlM!)J"</f>
        <v>#REF!</v>
      </c>
      <c r="BN3" t="e">
        <f>#REF!-"vlM!)K"</f>
        <v>#REF!</v>
      </c>
      <c r="BO3" t="e">
        <f>#REF!-"vlM!)L"</f>
        <v>#REF!</v>
      </c>
      <c r="BP3" t="e">
        <f>#REF!-"vlM!)M"</f>
        <v>#REF!</v>
      </c>
      <c r="BQ3" t="e">
        <f>#REF!-"vlM!)N"</f>
        <v>#REF!</v>
      </c>
      <c r="BR3" t="e">
        <f>#REF!-"vlM!)O"</f>
        <v>#REF!</v>
      </c>
      <c r="BS3" t="e">
        <f>#REF!-"vlM!)P"</f>
        <v>#REF!</v>
      </c>
      <c r="BT3" t="e">
        <f>#REF!-"vlM!)Q"</f>
        <v>#REF!</v>
      </c>
      <c r="BU3" t="e">
        <f>#REF!-"vlM!)R"</f>
        <v>#REF!</v>
      </c>
      <c r="BV3" t="e">
        <f>#REF!-"vlM!)S"</f>
        <v>#REF!</v>
      </c>
      <c r="BW3" t="e">
        <f>#REF!-"vlM!)T"</f>
        <v>#REF!</v>
      </c>
      <c r="BX3" t="e">
        <f>#REF!-"vlM!)U"</f>
        <v>#REF!</v>
      </c>
      <c r="BY3" t="e">
        <f>#REF!-"vlM!)V"</f>
        <v>#REF!</v>
      </c>
      <c r="BZ3" t="e">
        <f>#REF!-"vlM!)W"</f>
        <v>#REF!</v>
      </c>
      <c r="CA3" t="e">
        <f>#REF!-"vlM!)X"</f>
        <v>#REF!</v>
      </c>
      <c r="CB3" t="e">
        <f>#REF!-"vlM!)Y"</f>
        <v>#REF!</v>
      </c>
      <c r="CC3" t="e">
        <f>#REF!-"vlM!)Z"</f>
        <v>#REF!</v>
      </c>
      <c r="CD3" t="e">
        <f>#REF!-"vlM!)["</f>
        <v>#REF!</v>
      </c>
      <c r="CE3" t="e">
        <f>#REF!-"vlM!)\"</f>
        <v>#REF!</v>
      </c>
      <c r="CF3" t="e">
        <f>#REF!-"vlM!)]"</f>
        <v>#REF!</v>
      </c>
      <c r="CG3" t="e">
        <f>#REF!-"vlM!)^"</f>
        <v>#REF!</v>
      </c>
      <c r="CH3" t="e">
        <f>#REF!-"vlM!)_"</f>
        <v>#REF!</v>
      </c>
      <c r="CI3" t="e">
        <f>#REF!-"vlM!)`"</f>
        <v>#REF!</v>
      </c>
      <c r="CJ3" t="e">
        <f>#REF!-"vlM!)a"</f>
        <v>#REF!</v>
      </c>
      <c r="CK3" t="e">
        <f>#REF!-"vlM!)b"</f>
        <v>#REF!</v>
      </c>
      <c r="CL3" t="e">
        <f>#REF!-"vlM!)c"</f>
        <v>#REF!</v>
      </c>
      <c r="CM3" t="e">
        <f>#REF!-"vlM!)d"</f>
        <v>#REF!</v>
      </c>
      <c r="CN3" t="e">
        <f>#REF!-"vlM!)e"</f>
        <v>#REF!</v>
      </c>
      <c r="CO3" t="e">
        <f>#REF!-"vlM!)f"</f>
        <v>#REF!</v>
      </c>
      <c r="CP3" t="e">
        <f>#REF!-"vlM!)g"</f>
        <v>#REF!</v>
      </c>
      <c r="CQ3" t="e">
        <f>#REF!-"vlM!)h"</f>
        <v>#REF!</v>
      </c>
      <c r="CR3" t="e">
        <f>#REF!-"vlM!)i"</f>
        <v>#REF!</v>
      </c>
      <c r="CS3" t="e">
        <f>#REF!-"vlM!)j"</f>
        <v>#REF!</v>
      </c>
      <c r="CT3" t="e">
        <f>#REF!-"vlM!)k"</f>
        <v>#REF!</v>
      </c>
      <c r="CU3" t="e">
        <f>#REF!-"vlM!)l"</f>
        <v>#REF!</v>
      </c>
      <c r="CV3" t="e">
        <f>#REF!-"vlM!)m"</f>
        <v>#REF!</v>
      </c>
      <c r="CW3" t="e">
        <f>#REF!-"vlM!)n"</f>
        <v>#REF!</v>
      </c>
      <c r="CX3" t="e">
        <f>#REF!-"vlM!)o"</f>
        <v>#REF!</v>
      </c>
      <c r="CY3" t="e">
        <f>#REF!-"vlM!)p"</f>
        <v>#REF!</v>
      </c>
      <c r="CZ3" t="e">
        <f>#REF!-"vlM!)q"</f>
        <v>#REF!</v>
      </c>
      <c r="DA3" t="e">
        <f>#REF!-"vlM!)r"</f>
        <v>#REF!</v>
      </c>
      <c r="DB3" t="e">
        <f>#REF!-"vlM!)s"</f>
        <v>#REF!</v>
      </c>
      <c r="DC3" t="e">
        <f>#REF!-"vlM!)t"</f>
        <v>#REF!</v>
      </c>
      <c r="DD3" t="e">
        <f>#REF!-"vlM!)u"</f>
        <v>#REF!</v>
      </c>
      <c r="DE3" t="e">
        <f>#REF!-"vlM!)v"</f>
        <v>#REF!</v>
      </c>
      <c r="DF3" t="e">
        <f>#REF!-"vlM!)w"</f>
        <v>#REF!</v>
      </c>
      <c r="DG3" t="e">
        <f>#REF!-"vlM!)x"</f>
        <v>#REF!</v>
      </c>
      <c r="DH3" t="e">
        <f>#REF!-"vlM!)y"</f>
        <v>#REF!</v>
      </c>
      <c r="DI3" t="e">
        <f>#REF!-"vlM!)z"</f>
        <v>#REF!</v>
      </c>
      <c r="DJ3" t="e">
        <f>#REF!-"vlM!){"</f>
        <v>#REF!</v>
      </c>
      <c r="DK3" t="e">
        <f>#REF!-"vlM!)|"</f>
        <v>#REF!</v>
      </c>
      <c r="DL3" t="e">
        <f>#REF!-"vlM!)}"</f>
        <v>#REF!</v>
      </c>
      <c r="DM3" t="e">
        <f>#REF!-"vlM!)~"</f>
        <v>#REF!</v>
      </c>
      <c r="DN3" t="e">
        <f>#REF!-"vlM!.#"</f>
        <v>#REF!</v>
      </c>
      <c r="DO3" t="e">
        <f>#REF!-"vlM!.$"</f>
        <v>#REF!</v>
      </c>
      <c r="DP3" t="e">
        <f>#REF!-"vlM!.%"</f>
        <v>#REF!</v>
      </c>
      <c r="DQ3" t="e">
        <f>#REF!-"vlM!.&amp;"</f>
        <v>#REF!</v>
      </c>
      <c r="DR3" t="e">
        <f>#REF!-"vlM!.'"</f>
        <v>#REF!</v>
      </c>
      <c r="DS3" t="e">
        <f>#REF!-"vlM!.("</f>
        <v>#REF!</v>
      </c>
      <c r="DT3" t="e">
        <f>#REF!-"vlM!.)"</f>
        <v>#REF!</v>
      </c>
      <c r="DU3" t="e">
        <f>#REF!-"vlM!.."</f>
        <v>#REF!</v>
      </c>
      <c r="DV3" t="e">
        <f>#REF!-"vlM!./"</f>
        <v>#REF!</v>
      </c>
      <c r="DW3" t="e">
        <f>#REF!-"vlM!.0"</f>
        <v>#REF!</v>
      </c>
      <c r="DX3" t="e">
        <f>#REF!-"vlM!.1"</f>
        <v>#REF!</v>
      </c>
      <c r="DY3" t="e">
        <f>#REF!-"vlM!.2"</f>
        <v>#REF!</v>
      </c>
      <c r="DZ3" t="e">
        <f>#REF!-"vlM!.3"</f>
        <v>#REF!</v>
      </c>
      <c r="EA3" t="e">
        <f>#REF!-"vlM!.4"</f>
        <v>#REF!</v>
      </c>
      <c r="EB3" t="e">
        <f>#REF!-"vlM!.5"</f>
        <v>#REF!</v>
      </c>
      <c r="EC3" t="e">
        <f>#REF!-"vlM!.6"</f>
        <v>#REF!</v>
      </c>
      <c r="ED3" t="e">
        <f>#REF!-"vlM!.7"</f>
        <v>#REF!</v>
      </c>
      <c r="EE3" t="e">
        <f>#REF!-"vlM!.8"</f>
        <v>#REF!</v>
      </c>
      <c r="EF3" t="e">
        <f>#REF!-"vlM!.9"</f>
        <v>#REF!</v>
      </c>
      <c r="EG3" t="e">
        <f>#REF!-"vlM!.:"</f>
        <v>#REF!</v>
      </c>
      <c r="EH3" t="e">
        <f>#REF!-"vlM!.;"</f>
        <v>#REF!</v>
      </c>
      <c r="EI3" t="e">
        <f>#REF!-"vlM!.&lt;"</f>
        <v>#REF!</v>
      </c>
      <c r="EJ3" t="e">
        <f>#REF!-"vlM!.="</f>
        <v>#REF!</v>
      </c>
      <c r="EK3" t="e">
        <f>#REF!-"vlM!.&gt;"</f>
        <v>#REF!</v>
      </c>
      <c r="EL3" t="e">
        <f>#REF!-"vlM!.?"</f>
        <v>#REF!</v>
      </c>
      <c r="EM3" t="e">
        <f>#REF!-"vlM!.@"</f>
        <v>#REF!</v>
      </c>
      <c r="EN3" t="e">
        <f>#REF!-"vlM!.A"</f>
        <v>#REF!</v>
      </c>
      <c r="EO3" t="e">
        <f>#REF!-"vlM!.B"</f>
        <v>#REF!</v>
      </c>
      <c r="EP3" t="e">
        <f>#REF!-"vlM!.C"</f>
        <v>#REF!</v>
      </c>
      <c r="EQ3" t="e">
        <f>#REF!-"vlM!.D"</f>
        <v>#REF!</v>
      </c>
      <c r="ER3" t="e">
        <f>#REF!-"vlM!.E"</f>
        <v>#REF!</v>
      </c>
      <c r="ES3" t="e">
        <f>#REF!-"vlM!.F"</f>
        <v>#REF!</v>
      </c>
      <c r="ET3" t="e">
        <f>#REF!-"vlM!.G"</f>
        <v>#REF!</v>
      </c>
      <c r="EU3" t="e">
        <f>#REF!-"vlM!.H"</f>
        <v>#REF!</v>
      </c>
      <c r="EV3" t="e">
        <f>#REF!-"vlM!.I"</f>
        <v>#REF!</v>
      </c>
      <c r="EW3" t="e">
        <f>#REF!-"vlM!.J"</f>
        <v>#REF!</v>
      </c>
      <c r="EX3" t="e">
        <f>#REF!-"vlM!.K"</f>
        <v>#REF!</v>
      </c>
      <c r="EY3" t="e">
        <f>#REF!-"vlM!.L"</f>
        <v>#REF!</v>
      </c>
      <c r="EZ3" t="e">
        <f>#REF!-"vlM!.M"</f>
        <v>#REF!</v>
      </c>
      <c r="FA3" t="e">
        <f>#REF!-"vlM!.N"</f>
        <v>#REF!</v>
      </c>
      <c r="FB3" t="e">
        <f>#REF!-"vlM!.O"</f>
        <v>#REF!</v>
      </c>
      <c r="FC3" t="e">
        <f>#REF!-"vlM!.P"</f>
        <v>#REF!</v>
      </c>
      <c r="FD3" t="e">
        <f>#REF!-"vlM!.Q"</f>
        <v>#REF!</v>
      </c>
      <c r="FE3" t="e">
        <f>#REF!-"vlM!.R"</f>
        <v>#REF!</v>
      </c>
      <c r="FF3" t="e">
        <f>#REF!-"vlM!.S"</f>
        <v>#REF!</v>
      </c>
      <c r="FG3" t="e">
        <f>#REF!-"vlM!.T"</f>
        <v>#REF!</v>
      </c>
      <c r="FH3" t="e">
        <f>#REF!-"vlM!.U"</f>
        <v>#REF!</v>
      </c>
      <c r="FI3" t="e">
        <f>#REF!-"vlM!.V"</f>
        <v>#REF!</v>
      </c>
      <c r="FJ3" t="e">
        <f>#REF!-"vlM!.W"</f>
        <v>#REF!</v>
      </c>
      <c r="FK3" t="e">
        <f>#REF!-"vlM!.X"</f>
        <v>#REF!</v>
      </c>
      <c r="FL3" t="e">
        <f>#REF!-"vlM!.Y"</f>
        <v>#REF!</v>
      </c>
      <c r="FM3" t="e">
        <f>#REF!-"vlM!.Z"</f>
        <v>#REF!</v>
      </c>
      <c r="FN3" t="e">
        <f>#REF!-"vlM!.["</f>
        <v>#REF!</v>
      </c>
      <c r="FO3" t="e">
        <f>#REF!-"vlM!.\"</f>
        <v>#REF!</v>
      </c>
      <c r="FP3" t="e">
        <f>#REF!-"vlM!.]"</f>
        <v>#REF!</v>
      </c>
      <c r="FQ3" t="e">
        <f>#REF!-"vlM!.^"</f>
        <v>#REF!</v>
      </c>
      <c r="FR3" t="e">
        <f>#REF!-"vlM!._"</f>
        <v>#REF!</v>
      </c>
      <c r="FS3" t="e">
        <f>#REF!-"vlM!.`"</f>
        <v>#REF!</v>
      </c>
      <c r="FT3" t="e">
        <f>#REF!-"vlM!.a"</f>
        <v>#REF!</v>
      </c>
      <c r="FU3" t="e">
        <f>#REF!-"vlM!.b"</f>
        <v>#REF!</v>
      </c>
      <c r="FV3" t="e">
        <f>#REF!-"vlM!.c"</f>
        <v>#REF!</v>
      </c>
      <c r="FW3" t="e">
        <f>#REF!-"vlM!.d"</f>
        <v>#REF!</v>
      </c>
      <c r="FX3" t="e">
        <f>#REF!-"vlM!.e"</f>
        <v>#REF!</v>
      </c>
      <c r="FY3" t="e">
        <f>#REF!-"vlM!.f"</f>
        <v>#REF!</v>
      </c>
      <c r="FZ3" t="e">
        <f>#REF!-"vlM!.g"</f>
        <v>#REF!</v>
      </c>
      <c r="GA3" t="e">
        <f>#REF!-"vlM!.h"</f>
        <v>#REF!</v>
      </c>
      <c r="GB3" t="e">
        <f>#REF!-"vlM!.i"</f>
        <v>#REF!</v>
      </c>
      <c r="GC3" t="e">
        <f>#REF!-"vlM!.j"</f>
        <v>#REF!</v>
      </c>
      <c r="GD3" t="e">
        <f>#REF!-"vlM!.k"</f>
        <v>#REF!</v>
      </c>
      <c r="GE3" t="e">
        <f>#REF!-"vlM!.l"</f>
        <v>#REF!</v>
      </c>
      <c r="GF3" t="e">
        <f>#REF!-"vlM!.m"</f>
        <v>#REF!</v>
      </c>
      <c r="GG3" t="e">
        <f>#REF!-"vlM!.n"</f>
        <v>#REF!</v>
      </c>
      <c r="GH3" t="e">
        <f>#REF!-"vlM!.o"</f>
        <v>#REF!</v>
      </c>
      <c r="GI3" t="e">
        <f>#REF!-"vlM!.p"</f>
        <v>#REF!</v>
      </c>
      <c r="GJ3" t="e">
        <f>#REF!-"vlM!.q"</f>
        <v>#REF!</v>
      </c>
      <c r="GK3" t="e">
        <f>#REF!-"vlM!.r"</f>
        <v>#REF!</v>
      </c>
      <c r="GL3" t="e">
        <f>#REF!-"vlM!.s"</f>
        <v>#REF!</v>
      </c>
      <c r="GM3" t="e">
        <f>#REF!-"vlM!.t"</f>
        <v>#REF!</v>
      </c>
      <c r="GN3" t="e">
        <f>#REF!-"vlM!.u"</f>
        <v>#REF!</v>
      </c>
      <c r="GO3" t="e">
        <f>#REF!-"vlM!.v"</f>
        <v>#REF!</v>
      </c>
      <c r="GP3" t="e">
        <f>#REF!-"vlM!.w"</f>
        <v>#REF!</v>
      </c>
      <c r="GQ3" t="e">
        <f>#REF!-"vlM!.x"</f>
        <v>#REF!</v>
      </c>
      <c r="GR3" t="e">
        <f>#REF!-"vlM!.y"</f>
        <v>#REF!</v>
      </c>
      <c r="GS3" t="e">
        <f>#REF!-"vlM!.z"</f>
        <v>#REF!</v>
      </c>
      <c r="GT3" t="e">
        <f>#REF!-"vlM!.{"</f>
        <v>#REF!</v>
      </c>
      <c r="GU3" t="e">
        <f>#REF!-"vlM!.|"</f>
        <v>#REF!</v>
      </c>
      <c r="GV3" t="e">
        <f>#REF!-"vlM!.}"</f>
        <v>#REF!</v>
      </c>
      <c r="GW3" t="e">
        <f>#REF!-"vlM!.~"</f>
        <v>#REF!</v>
      </c>
      <c r="GX3" t="e">
        <f>#REF!-"vlM!/#"</f>
        <v>#REF!</v>
      </c>
      <c r="GY3" t="e">
        <f>#REF!-"vlM!/$"</f>
        <v>#REF!</v>
      </c>
      <c r="GZ3" t="e">
        <f>#REF!-"vlM!/%"</f>
        <v>#REF!</v>
      </c>
      <c r="HA3" t="e">
        <f>#REF!-"vlM!/&amp;"</f>
        <v>#REF!</v>
      </c>
      <c r="HB3" t="e">
        <f>#REF!-"vlM!/'"</f>
        <v>#REF!</v>
      </c>
      <c r="HC3" t="e">
        <f>#REF!-"vlM!/("</f>
        <v>#REF!</v>
      </c>
      <c r="HD3" t="e">
        <f>#REF!-"vlM!/)"</f>
        <v>#REF!</v>
      </c>
      <c r="HE3" t="e">
        <f>#REF!-"vlM!/."</f>
        <v>#REF!</v>
      </c>
      <c r="HF3" t="e">
        <f>#REF!-"vlM!//"</f>
        <v>#REF!</v>
      </c>
      <c r="HG3" t="e">
        <f>#REF!-"vlM!/0"</f>
        <v>#REF!</v>
      </c>
      <c r="HH3" t="e">
        <f>#REF!-"vlM!/1"</f>
        <v>#REF!</v>
      </c>
      <c r="HI3" t="e">
        <f>#REF!-"vlM!/2"</f>
        <v>#REF!</v>
      </c>
      <c r="HJ3" t="e">
        <f>#REF!-"vlM!/3"</f>
        <v>#REF!</v>
      </c>
      <c r="HK3" t="e">
        <f>#REF!-"vlM!/4"</f>
        <v>#REF!</v>
      </c>
      <c r="HL3" t="e">
        <f>#REF!-"vlM!/5"</f>
        <v>#REF!</v>
      </c>
      <c r="HM3" t="e">
        <f>#REF!-"vlM!/6"</f>
        <v>#REF!</v>
      </c>
      <c r="HN3" t="e">
        <f>#REF!-"vlM!/7"</f>
        <v>#REF!</v>
      </c>
      <c r="HO3" t="e">
        <f>#REF!-"vlM!/8"</f>
        <v>#REF!</v>
      </c>
      <c r="HP3" t="e">
        <f>#REF!-"vlM!/9"</f>
        <v>#REF!</v>
      </c>
      <c r="HQ3" t="e">
        <f>#REF!-"vlM!/:"</f>
        <v>#REF!</v>
      </c>
      <c r="HR3" t="e">
        <f>#REF!-"vlM!/;"</f>
        <v>#REF!</v>
      </c>
      <c r="HS3" t="e">
        <f>#REF!-"vlM!/&lt;"</f>
        <v>#REF!</v>
      </c>
      <c r="HT3" t="e">
        <f>#REF!-"vlM!/="</f>
        <v>#REF!</v>
      </c>
      <c r="HU3" t="e">
        <f>#REF!-"vlM!/&gt;"</f>
        <v>#REF!</v>
      </c>
      <c r="HV3" t="e">
        <f>#REF!-"vlM!/?"</f>
        <v>#REF!</v>
      </c>
      <c r="HW3" t="e">
        <f>#REF!-"vlM!/@"</f>
        <v>#REF!</v>
      </c>
      <c r="HX3" t="e">
        <f>#REF!-"vlM!/A"</f>
        <v>#REF!</v>
      </c>
      <c r="HY3" t="e">
        <f>#REF!-"vlM!/B"</f>
        <v>#REF!</v>
      </c>
      <c r="HZ3" t="e">
        <f>#REF!-"vlM!/C"</f>
        <v>#REF!</v>
      </c>
      <c r="IA3" t="e">
        <f>#REF!-"vlM!/D"</f>
        <v>#REF!</v>
      </c>
      <c r="IB3" t="e">
        <f>#REF!-"vlM!/E"</f>
        <v>#REF!</v>
      </c>
      <c r="IC3" t="e">
        <f>#REF!-"vlM!/F"</f>
        <v>#REF!</v>
      </c>
      <c r="ID3" t="e">
        <f>#REF!-"vlM!/G"</f>
        <v>#REF!</v>
      </c>
      <c r="IE3" t="e">
        <f>#REF!-"vlM!/H"</f>
        <v>#REF!</v>
      </c>
      <c r="IF3" t="e">
        <f>#REF!-"vlM!/I"</f>
        <v>#REF!</v>
      </c>
      <c r="IG3" t="e">
        <f>#REF!-"vlM!/J"</f>
        <v>#REF!</v>
      </c>
      <c r="IH3" t="e">
        <f>#REF!-"vlM!/K"</f>
        <v>#REF!</v>
      </c>
      <c r="II3" t="e">
        <f>#REF!-"vlM!/L"</f>
        <v>#REF!</v>
      </c>
      <c r="IJ3" t="e">
        <f>#REF!-"vlM!/M"</f>
        <v>#REF!</v>
      </c>
      <c r="IK3" t="e">
        <f>#REF!-"vlM!/N"</f>
        <v>#REF!</v>
      </c>
      <c r="IL3" t="e">
        <f>#REF!-"vlM!/O"</f>
        <v>#REF!</v>
      </c>
      <c r="IM3" t="e">
        <f>#REF!-"vlM!/P"</f>
        <v>#REF!</v>
      </c>
      <c r="IN3" t="e">
        <f>#REF!-"vlM!/Q"</f>
        <v>#REF!</v>
      </c>
      <c r="IO3" t="e">
        <f>#REF!-"vlM!/R"</f>
        <v>#REF!</v>
      </c>
      <c r="IP3" t="e">
        <f>#REF!-"vlM!/S"</f>
        <v>#REF!</v>
      </c>
      <c r="IQ3" t="e">
        <f>#REF!-"vlM!/T"</f>
        <v>#REF!</v>
      </c>
      <c r="IR3" t="e">
        <f>#REF!-"vlM!/U"</f>
        <v>#REF!</v>
      </c>
      <c r="IS3" t="e">
        <f>#REF!-"vlM!/V"</f>
        <v>#REF!</v>
      </c>
      <c r="IT3" t="e">
        <f>#REF!-"vlM!/W"</f>
        <v>#REF!</v>
      </c>
      <c r="IU3" t="e">
        <f>#REF!-"vlM!/X"</f>
        <v>#REF!</v>
      </c>
      <c r="IV3" t="e">
        <f>#REF!-"vlM!/Y"</f>
        <v>#REF!</v>
      </c>
    </row>
    <row r="4" spans="1:256" x14ac:dyDescent="0.25">
      <c r="F4" t="e">
        <f>#REF!-"vlM!/Z"</f>
        <v>#REF!</v>
      </c>
      <c r="G4" t="e">
        <f>#REF!-"vlM!/["</f>
        <v>#REF!</v>
      </c>
      <c r="H4" t="e">
        <f>#REF!-"vlM!/\"</f>
        <v>#REF!</v>
      </c>
      <c r="I4" t="e">
        <f>#REF!-"vlM!/]"</f>
        <v>#REF!</v>
      </c>
      <c r="J4" t="e">
        <f>#REF!-"vlM!/^"</f>
        <v>#REF!</v>
      </c>
      <c r="K4" t="e">
        <f>#REF!-"vlM!/_"</f>
        <v>#REF!</v>
      </c>
      <c r="L4" t="e">
        <f>#REF!-"vlM!/`"</f>
        <v>#REF!</v>
      </c>
      <c r="M4" t="e">
        <f>#REF!-"vlM!/a"</f>
        <v>#REF!</v>
      </c>
      <c r="N4" t="e">
        <f>#REF!-"vlM!/b"</f>
        <v>#REF!</v>
      </c>
      <c r="O4" t="e">
        <f>#REF!-"vlM!/c"</f>
        <v>#REF!</v>
      </c>
      <c r="P4" t="e">
        <f>#REF!-"vlM!/d"</f>
        <v>#REF!</v>
      </c>
      <c r="Q4" t="e">
        <f>#REF!-"vlM!/e"</f>
        <v>#REF!</v>
      </c>
      <c r="R4" t="e">
        <f>#REF!-"vlM!/f"</f>
        <v>#REF!</v>
      </c>
      <c r="S4" t="e">
        <f>#REF!-"vlM!/g"</f>
        <v>#REF!</v>
      </c>
      <c r="T4" t="e">
        <f>#REF!-"vlM!/h"</f>
        <v>#REF!</v>
      </c>
      <c r="U4" t="e">
        <f>#REF!-"vlM!/i"</f>
        <v>#REF!</v>
      </c>
      <c r="V4" t="e">
        <f>#REF!-"vlM!/j"</f>
        <v>#REF!</v>
      </c>
      <c r="W4" t="e">
        <f>#REF!-"vlM!/k"</f>
        <v>#REF!</v>
      </c>
      <c r="X4" t="e">
        <f>#REF!-"vlM!/l"</f>
        <v>#REF!</v>
      </c>
      <c r="Y4" t="e">
        <f>#REF!-"vlM!/m"</f>
        <v>#REF!</v>
      </c>
      <c r="Z4" t="e">
        <f>#REF!-"vlM!/n"</f>
        <v>#REF!</v>
      </c>
      <c r="AA4" t="e">
        <f>#REF!-"vlM!/o"</f>
        <v>#REF!</v>
      </c>
      <c r="AB4" t="e">
        <f>#REF!-"vlM!/p"</f>
        <v>#REF!</v>
      </c>
      <c r="AC4" t="e">
        <f>#REF!-"vlM!/q"</f>
        <v>#REF!</v>
      </c>
      <c r="AD4" t="e">
        <f>#REF!-"vlM!/r"</f>
        <v>#REF!</v>
      </c>
      <c r="AE4" t="e">
        <f>#REF!-"vlM!/s"</f>
        <v>#REF!</v>
      </c>
      <c r="AF4" t="e">
        <f>#REF!-"vlM!/t"</f>
        <v>#REF!</v>
      </c>
      <c r="AG4" t="e">
        <f>#REF!-"vlM!/u"</f>
        <v>#REF!</v>
      </c>
      <c r="AH4" t="e">
        <f>#REF!-"vlM!/v"</f>
        <v>#REF!</v>
      </c>
      <c r="AI4" t="e">
        <f>#REF!-"vlM!/w"</f>
        <v>#REF!</v>
      </c>
      <c r="AJ4" t="e">
        <f>#REF!-"vlM!/x"</f>
        <v>#REF!</v>
      </c>
      <c r="AK4" t="e">
        <f>#REF!-"vlM!/y"</f>
        <v>#REF!</v>
      </c>
      <c r="AL4" t="e">
        <f>#REF!-"vlM!/z"</f>
        <v>#REF!</v>
      </c>
      <c r="AM4" t="e">
        <f>#REF!-"vlM!/{"</f>
        <v>#REF!</v>
      </c>
      <c r="AN4" t="e">
        <f>#REF!-"vlM!/|"</f>
        <v>#REF!</v>
      </c>
      <c r="AO4" t="e">
        <f>#REF!-"vlM!/}"</f>
        <v>#REF!</v>
      </c>
      <c r="AP4" t="e">
        <f>#REF!-"vlM!/~"</f>
        <v>#REF!</v>
      </c>
      <c r="AQ4" t="e">
        <f>#REF!-"vlM!0#"</f>
        <v>#REF!</v>
      </c>
      <c r="AR4" t="e">
        <f>#REF!-"vlM!0$"</f>
        <v>#REF!</v>
      </c>
      <c r="AS4" t="e">
        <f>#REF!-"vlM!0%"</f>
        <v>#REF!</v>
      </c>
      <c r="AT4" t="e">
        <f>#REF!-"vlM!0&amp;"</f>
        <v>#REF!</v>
      </c>
      <c r="AU4" t="e">
        <f>#REF!-"vlM!0'"</f>
        <v>#REF!</v>
      </c>
      <c r="AV4" t="e">
        <f>#REF!-"vlM!0("</f>
        <v>#REF!</v>
      </c>
      <c r="AW4" t="e">
        <f>#REF!-"vlM!0)"</f>
        <v>#REF!</v>
      </c>
      <c r="AX4" t="e">
        <f>#REF!-"vlM!0."</f>
        <v>#REF!</v>
      </c>
      <c r="AY4" t="e">
        <f>#REF!-"vlM!0/"</f>
        <v>#REF!</v>
      </c>
      <c r="AZ4" t="e">
        <f>#REF!-"vlM!00"</f>
        <v>#REF!</v>
      </c>
      <c r="BA4" t="e">
        <f>#REF!-"vlM!01"</f>
        <v>#REF!</v>
      </c>
      <c r="BB4" t="e">
        <f>#REF!-"vlM!02"</f>
        <v>#REF!</v>
      </c>
      <c r="BC4" t="e">
        <f>#REF!-"vlM!03"</f>
        <v>#REF!</v>
      </c>
      <c r="BD4" t="e">
        <f>#REF!-"vlM!04"</f>
        <v>#REF!</v>
      </c>
      <c r="BE4" t="e">
        <f>#REF!-"vlM!05"</f>
        <v>#REF!</v>
      </c>
      <c r="BF4" t="e">
        <f>#REF!-"vlM!06"</f>
        <v>#REF!</v>
      </c>
      <c r="BG4" t="e">
        <f>#REF!-"vlM!07"</f>
        <v>#REF!</v>
      </c>
      <c r="BH4" t="e">
        <f>#REF!-"vlM!08"</f>
        <v>#REF!</v>
      </c>
      <c r="BI4" t="e">
        <f>#REF!-"vlM!09"</f>
        <v>#REF!</v>
      </c>
      <c r="BJ4" t="e">
        <f>#REF!-"vlM!0:"</f>
        <v>#REF!</v>
      </c>
      <c r="BK4" t="e">
        <f>#REF!-"vlM!0;"</f>
        <v>#REF!</v>
      </c>
      <c r="BL4" t="e">
        <f>#REF!-"vlM!0&lt;"</f>
        <v>#REF!</v>
      </c>
      <c r="BM4" t="e">
        <f>#REF!-"vlM!0="</f>
        <v>#REF!</v>
      </c>
      <c r="BN4" t="e">
        <f>#REF!-"vlM!0&gt;"</f>
        <v>#REF!</v>
      </c>
      <c r="BO4" t="e">
        <f>#REF!-"vlM!0?"</f>
        <v>#REF!</v>
      </c>
      <c r="BP4" t="e">
        <f>#REF!-"vlM!0@"</f>
        <v>#REF!</v>
      </c>
      <c r="BQ4" t="e">
        <f>#REF!-"vlM!0A"</f>
        <v>#REF!</v>
      </c>
      <c r="BR4" t="e">
        <f>#REF!-"vlM!0B"</f>
        <v>#REF!</v>
      </c>
      <c r="BS4" t="e">
        <f>#REF!-"vlM!0C"</f>
        <v>#REF!</v>
      </c>
      <c r="BT4" t="e">
        <f>#REF!-"vlM!0D"</f>
        <v>#REF!</v>
      </c>
      <c r="BU4" t="e">
        <f>#REF!-"vlM!0E"</f>
        <v>#REF!</v>
      </c>
      <c r="BV4" t="e">
        <f>#REF!-"vlM!0F"</f>
        <v>#REF!</v>
      </c>
      <c r="BW4" t="e">
        <f>#REF!-"vlM!0G"</f>
        <v>#REF!</v>
      </c>
      <c r="BX4" t="e">
        <f>#REF!-"vlM!0H"</f>
        <v>#REF!</v>
      </c>
      <c r="BY4" t="e">
        <f>#REF!-"vlM!0I"</f>
        <v>#REF!</v>
      </c>
      <c r="BZ4" t="e">
        <f>#REF!-"vlM!0J"</f>
        <v>#REF!</v>
      </c>
      <c r="CA4" t="e">
        <f>#REF!-"vlM!0K"</f>
        <v>#REF!</v>
      </c>
      <c r="CB4" t="e">
        <f>#REF!-"vlM!0L"</f>
        <v>#REF!</v>
      </c>
      <c r="CC4" t="e">
        <f>#REF!-"vlM!0M"</f>
        <v>#REF!</v>
      </c>
      <c r="CD4" t="e">
        <f>#REF!-"vlM!0N"</f>
        <v>#REF!</v>
      </c>
      <c r="CE4" t="e">
        <f>#REF!-"vlM!0O"</f>
        <v>#REF!</v>
      </c>
      <c r="CF4" t="e">
        <f>#REF!-"vlM!0P"</f>
        <v>#REF!</v>
      </c>
      <c r="CG4" t="e">
        <f>#REF!-"vlM!0Q"</f>
        <v>#REF!</v>
      </c>
      <c r="CH4" t="e">
        <f>#REF!-"vlM!0R"</f>
        <v>#REF!</v>
      </c>
      <c r="CI4" t="e">
        <f>#REF!-"vlM!0S"</f>
        <v>#REF!</v>
      </c>
      <c r="CJ4" t="e">
        <f>#REF!-"vlM!0T"</f>
        <v>#REF!</v>
      </c>
      <c r="CK4" t="e">
        <f>#REF!-"vlM!0U"</f>
        <v>#REF!</v>
      </c>
      <c r="CL4" t="e">
        <f>#REF!-"vlM!0V"</f>
        <v>#REF!</v>
      </c>
      <c r="CM4" t="e">
        <f>#REF!-"vlM!0W"</f>
        <v>#REF!</v>
      </c>
      <c r="CN4" t="e">
        <f>#REF!-"vlM!0X"</f>
        <v>#REF!</v>
      </c>
      <c r="CO4" t="e">
        <f>#REF!-"vlM!0Y"</f>
        <v>#REF!</v>
      </c>
      <c r="CP4" t="e">
        <f>#REF!-"vlM!0Z"</f>
        <v>#REF!</v>
      </c>
      <c r="CQ4" t="e">
        <f>#REF!-"vlM!0["</f>
        <v>#REF!</v>
      </c>
      <c r="CR4" t="e">
        <f>#REF!-"vlM!0\"</f>
        <v>#REF!</v>
      </c>
      <c r="CS4" t="e">
        <f>#REF!-"vlM!0]"</f>
        <v>#REF!</v>
      </c>
      <c r="CT4" t="e">
        <f>#REF!-"vlM!0^"</f>
        <v>#REF!</v>
      </c>
      <c r="CU4" t="e">
        <f>#REF!-"vlM!0_"</f>
        <v>#REF!</v>
      </c>
      <c r="CV4" t="e">
        <f>#REF!-"vlM!0`"</f>
        <v>#REF!</v>
      </c>
      <c r="CW4" t="e">
        <f>#REF!-"vlM!0a"</f>
        <v>#REF!</v>
      </c>
      <c r="CX4" t="e">
        <f>#REF!-"vlM!0b"</f>
        <v>#REF!</v>
      </c>
      <c r="CY4" t="e">
        <f>#REF!-"vlM!0c"</f>
        <v>#REF!</v>
      </c>
      <c r="CZ4" t="e">
        <f>#REF!-"vlM!0d"</f>
        <v>#REF!</v>
      </c>
      <c r="DA4" t="e">
        <f>#REF!-"vlM!0e"</f>
        <v>#REF!</v>
      </c>
      <c r="DB4" t="e">
        <f>#REF!-"vlM!0f"</f>
        <v>#REF!</v>
      </c>
      <c r="DC4" t="e">
        <f>#REF!-"vlM!0g"</f>
        <v>#REF!</v>
      </c>
      <c r="DD4" t="e">
        <f>#REF!-"vlM!0h"</f>
        <v>#REF!</v>
      </c>
      <c r="DE4" t="e">
        <f>#REF!-"vlM!0i"</f>
        <v>#REF!</v>
      </c>
      <c r="DF4" t="e">
        <f>#REF!-"vlM!0j"</f>
        <v>#REF!</v>
      </c>
      <c r="DG4" t="e">
        <f>#REF!-"vlM!0k"</f>
        <v>#REF!</v>
      </c>
      <c r="DH4" t="e">
        <f>#REF!-"vlM!0l"</f>
        <v>#REF!</v>
      </c>
      <c r="DI4" t="e">
        <f>#REF!-"vlM!0m"</f>
        <v>#REF!</v>
      </c>
      <c r="DJ4" t="e">
        <f>#REF!-"vlM!0n"</f>
        <v>#REF!</v>
      </c>
      <c r="DK4" t="e">
        <f>#REF!-"vlM!0o"</f>
        <v>#REF!</v>
      </c>
      <c r="DL4" t="e">
        <f>#REF!-"vlM!0p"</f>
        <v>#REF!</v>
      </c>
      <c r="DM4" t="e">
        <f>#REF!-"vlM!0q"</f>
        <v>#REF!</v>
      </c>
      <c r="DN4" t="e">
        <f>#REF!-"vlM!0r"</f>
        <v>#REF!</v>
      </c>
      <c r="DO4" t="e">
        <f>#REF!-"vlM!0s"</f>
        <v>#REF!</v>
      </c>
      <c r="DP4" t="e">
        <f>#REF!-"vlM!0t"</f>
        <v>#REF!</v>
      </c>
      <c r="DQ4" t="e">
        <f>#REF!-"vlM!0u"</f>
        <v>#REF!</v>
      </c>
      <c r="DR4" t="e">
        <f>#REF!-"vlM!0v"</f>
        <v>#REF!</v>
      </c>
      <c r="DS4" t="e">
        <f>#REF!-"vlM!0w"</f>
        <v>#REF!</v>
      </c>
      <c r="DT4" t="e">
        <f>#REF!-"vlM!0x"</f>
        <v>#REF!</v>
      </c>
      <c r="DU4" t="e">
        <f>#REF!-"vlM!0y"</f>
        <v>#REF!</v>
      </c>
      <c r="DV4" t="e">
        <f>#REF!-"vlM!0z"</f>
        <v>#REF!</v>
      </c>
      <c r="DW4" t="e">
        <f>#REF!-"vlM!0{"</f>
        <v>#REF!</v>
      </c>
      <c r="DX4" t="e">
        <f>#REF!-"vlM!0|"</f>
        <v>#REF!</v>
      </c>
      <c r="DY4" t="e">
        <f>#REF!-"vlM!0}"</f>
        <v>#REF!</v>
      </c>
      <c r="DZ4" t="e">
        <f>#REF!-"vlM!0~"</f>
        <v>#REF!</v>
      </c>
      <c r="EA4" t="e">
        <f>#REF!-"vlM!1#"</f>
        <v>#REF!</v>
      </c>
      <c r="EB4" t="e">
        <f>#REF!-"vlM!1$"</f>
        <v>#REF!</v>
      </c>
      <c r="EC4" t="e">
        <f>#REF!-"vlM!1%"</f>
        <v>#REF!</v>
      </c>
      <c r="ED4" t="e">
        <f>#REF!-"vlM!1&amp;"</f>
        <v>#REF!</v>
      </c>
      <c r="EE4" t="e">
        <f>#REF!-"vlM!1'"</f>
        <v>#REF!</v>
      </c>
      <c r="EF4" t="e">
        <f>#REF!-"vlM!1("</f>
        <v>#REF!</v>
      </c>
      <c r="EG4" t="e">
        <f>#REF!-"vlM!1)"</f>
        <v>#REF!</v>
      </c>
      <c r="EH4" t="e">
        <f>#REF!-"vlM!1."</f>
        <v>#REF!</v>
      </c>
      <c r="EI4" t="e">
        <f>#REF!-"vlM!1/"</f>
        <v>#REF!</v>
      </c>
      <c r="EJ4" t="e">
        <f>#REF!-"vlM!10"</f>
        <v>#REF!</v>
      </c>
      <c r="EK4" t="e">
        <f>#REF!-"vlM!11"</f>
        <v>#REF!</v>
      </c>
      <c r="EL4" t="e">
        <f>#REF!-"vlM!12"</f>
        <v>#REF!</v>
      </c>
      <c r="EM4" t="e">
        <f>#REF!-"vlM!13"</f>
        <v>#REF!</v>
      </c>
      <c r="EN4" t="e">
        <f>#REF!-"vlM!14"</f>
        <v>#REF!</v>
      </c>
      <c r="EO4" t="e">
        <f>#REF!-"vlM!15"</f>
        <v>#REF!</v>
      </c>
      <c r="EP4" t="e">
        <f>#REF!-"vlM!16"</f>
        <v>#REF!</v>
      </c>
      <c r="EQ4" t="e">
        <f>#REF!-"vlM!17"</f>
        <v>#REF!</v>
      </c>
      <c r="ER4" t="e">
        <f>#REF!-"vlM!18"</f>
        <v>#REF!</v>
      </c>
      <c r="ES4" t="e">
        <f>#REF!-"vlM!19"</f>
        <v>#REF!</v>
      </c>
      <c r="ET4" t="e">
        <f>#REF!-"vlM!1:"</f>
        <v>#REF!</v>
      </c>
      <c r="EU4" t="e">
        <f>#REF!-"vlM!1;"</f>
        <v>#REF!</v>
      </c>
      <c r="EV4" t="e">
        <f>#REF!-"vlM!1&lt;"</f>
        <v>#REF!</v>
      </c>
      <c r="EW4" t="e">
        <f>#REF!-"vlM!1="</f>
        <v>#REF!</v>
      </c>
      <c r="EX4" t="e">
        <f>#REF!-"vlM!1&gt;"</f>
        <v>#REF!</v>
      </c>
      <c r="EY4" t="e">
        <f>#REF!-"vlM!1?"</f>
        <v>#REF!</v>
      </c>
      <c r="EZ4" t="e">
        <f>#REF!-"vlM!1@"</f>
        <v>#REF!</v>
      </c>
      <c r="FA4" t="e">
        <f>#REF!-"vlM!1A"</f>
        <v>#REF!</v>
      </c>
      <c r="FB4" t="e">
        <f>#REF!-"vlM!1B"</f>
        <v>#REF!</v>
      </c>
      <c r="FC4" t="e">
        <f>#REF!-"vlM!1C"</f>
        <v>#REF!</v>
      </c>
      <c r="FD4" t="e">
        <f>#REF!-"vlM!1D"</f>
        <v>#REF!</v>
      </c>
      <c r="FE4" t="e">
        <f>#REF!-"vlM!1E"</f>
        <v>#REF!</v>
      </c>
      <c r="FF4" t="e">
        <f>#REF!-"vlM!1F"</f>
        <v>#REF!</v>
      </c>
      <c r="FG4" t="e">
        <f>#REF!-"vlM!1G"</f>
        <v>#REF!</v>
      </c>
      <c r="FH4" t="e">
        <f>#REF!-"vlM!1H"</f>
        <v>#REF!</v>
      </c>
      <c r="FI4" t="e">
        <f>#REF!-"vlM!1I"</f>
        <v>#REF!</v>
      </c>
      <c r="FJ4" t="e">
        <f>#REF!-"vlM!1J"</f>
        <v>#REF!</v>
      </c>
      <c r="FK4" t="e">
        <f>#REF!-"vlM!1K"</f>
        <v>#REF!</v>
      </c>
      <c r="FL4" t="e">
        <f>#REF!-"vlM!1L"</f>
        <v>#REF!</v>
      </c>
      <c r="FM4" t="e">
        <f>#REF!-"vlM!1M"</f>
        <v>#REF!</v>
      </c>
      <c r="FN4" t="e">
        <f>#REF!-"vlM!1N"</f>
        <v>#REF!</v>
      </c>
      <c r="FO4" t="e">
        <f>#REF!-"vlM!1O"</f>
        <v>#REF!</v>
      </c>
      <c r="FP4" t="e">
        <f>#REF!-"vlM!1P"</f>
        <v>#REF!</v>
      </c>
      <c r="FQ4" t="e">
        <f>#REF!-"vlM!1Q"</f>
        <v>#REF!</v>
      </c>
      <c r="FR4" t="e">
        <f>#REF!-"vlM!1R"</f>
        <v>#REF!</v>
      </c>
      <c r="FS4" t="e">
        <f>#REF!-"vlM!1S"</f>
        <v>#REF!</v>
      </c>
      <c r="FT4" t="e">
        <f>#REF!-"vlM!1T"</f>
        <v>#REF!</v>
      </c>
      <c r="FU4" t="e">
        <f>#REF!-"vlM!1U"</f>
        <v>#REF!</v>
      </c>
      <c r="FV4" t="e">
        <f>#REF!-"vlM!1V"</f>
        <v>#REF!</v>
      </c>
      <c r="FW4" t="e">
        <f>#REF!-"vlM!1W"</f>
        <v>#REF!</v>
      </c>
      <c r="FX4" t="e">
        <f>#REF!-"vlM!1X"</f>
        <v>#REF!</v>
      </c>
      <c r="FY4" t="e">
        <f>#REF!-"vlM!1Y"</f>
        <v>#REF!</v>
      </c>
      <c r="FZ4" t="e">
        <f>#REF!-"vlM!1Z"</f>
        <v>#REF!</v>
      </c>
      <c r="GA4" t="e">
        <f>#REF!-"vlM!1["</f>
        <v>#REF!</v>
      </c>
      <c r="GB4" t="e">
        <f>#REF!-"vlM!1\"</f>
        <v>#REF!</v>
      </c>
      <c r="GC4" t="e">
        <f>#REF!-"vlM!1]"</f>
        <v>#REF!</v>
      </c>
      <c r="GD4" t="e">
        <f>#REF!-"vlM!1^"</f>
        <v>#REF!</v>
      </c>
      <c r="GE4" t="e">
        <f>#REF!-"vlM!1_"</f>
        <v>#REF!</v>
      </c>
      <c r="GF4" t="e">
        <f>#REF!-"vlM!1`"</f>
        <v>#REF!</v>
      </c>
      <c r="GG4" t="e">
        <f>#REF!-"vlM!1a"</f>
        <v>#REF!</v>
      </c>
      <c r="GH4" t="e">
        <f>#REF!-"vlM!1b"</f>
        <v>#REF!</v>
      </c>
      <c r="GI4" t="e">
        <f>#REF!-"vlM!1c"</f>
        <v>#REF!</v>
      </c>
      <c r="GJ4" t="e">
        <f>#REF!-"vlM!1d"</f>
        <v>#REF!</v>
      </c>
      <c r="GK4" t="e">
        <f>#REF!-"vlM!1e"</f>
        <v>#REF!</v>
      </c>
      <c r="GL4" t="e">
        <f>#REF!-"vlM!1f"</f>
        <v>#REF!</v>
      </c>
      <c r="GM4" t="e">
        <f>#REF!-"vlM!1g"</f>
        <v>#REF!</v>
      </c>
      <c r="GN4" t="e">
        <f>#REF!-"vlM!1h"</f>
        <v>#REF!</v>
      </c>
      <c r="GO4" t="e">
        <f>#REF!-"vlM!1i"</f>
        <v>#REF!</v>
      </c>
      <c r="GP4" t="e">
        <f>#REF!-"vlM!1j"</f>
        <v>#REF!</v>
      </c>
      <c r="GQ4" t="e">
        <f>#REF!-"vlM!1k"</f>
        <v>#REF!</v>
      </c>
      <c r="GR4" t="e">
        <f>#REF!-"vlM!1l"</f>
        <v>#REF!</v>
      </c>
      <c r="GS4" t="e">
        <f>#REF!-"vlM!1m"</f>
        <v>#REF!</v>
      </c>
      <c r="GT4" t="e">
        <f>#REF!-"vlM!1n"</f>
        <v>#REF!</v>
      </c>
      <c r="GU4" t="e">
        <f>#REF!-"vlM!1o"</f>
        <v>#REF!</v>
      </c>
      <c r="GV4" t="e">
        <f>#REF!-"vlM!1p"</f>
        <v>#REF!</v>
      </c>
      <c r="GW4" t="e">
        <f>#REF!-"vlM!1q"</f>
        <v>#REF!</v>
      </c>
      <c r="GX4" t="e">
        <f>#REF!-"vlM!1r"</f>
        <v>#REF!</v>
      </c>
      <c r="GY4" t="e">
        <f>#REF!-"vlM!1s"</f>
        <v>#REF!</v>
      </c>
      <c r="GZ4" t="e">
        <f>#REF!-"vlM!1t"</f>
        <v>#REF!</v>
      </c>
      <c r="HA4" t="e">
        <f>#REF!-"vlM!1u"</f>
        <v>#REF!</v>
      </c>
      <c r="HB4" t="e">
        <f>#REF!-"vlM!1v"</f>
        <v>#REF!</v>
      </c>
      <c r="HC4" t="e">
        <f>#REF!-"vlM!1w"</f>
        <v>#REF!</v>
      </c>
      <c r="HD4" t="e">
        <f>#REF!-"vlM!1x"</f>
        <v>#REF!</v>
      </c>
      <c r="HE4" t="e">
        <f>#REF!-"vlM!1y"</f>
        <v>#REF!</v>
      </c>
      <c r="HF4" t="e">
        <f>#REF!-"vlM!1z"</f>
        <v>#REF!</v>
      </c>
      <c r="HG4" t="e">
        <f>#REF!-"vlM!1{"</f>
        <v>#REF!</v>
      </c>
      <c r="HH4" t="e">
        <f>#REF!-"vlM!1|"</f>
        <v>#REF!</v>
      </c>
      <c r="HI4" t="e">
        <f>#REF!-"vlM!1}"</f>
        <v>#REF!</v>
      </c>
      <c r="HJ4" t="e">
        <f>#REF!-"vlM!1~"</f>
        <v>#REF!</v>
      </c>
      <c r="HK4" t="e">
        <f>#REF!-"vlM!2#"</f>
        <v>#REF!</v>
      </c>
      <c r="HL4" t="e">
        <f>#REF!-"vlM!2$"</f>
        <v>#REF!</v>
      </c>
      <c r="HM4" t="e">
        <f>#REF!-"vlM!2%"</f>
        <v>#REF!</v>
      </c>
      <c r="HN4" t="e">
        <f>#REF!-"vlM!2&amp;"</f>
        <v>#REF!</v>
      </c>
      <c r="HO4" t="e">
        <f>#REF!-"vlM!2'"</f>
        <v>#REF!</v>
      </c>
      <c r="HP4" t="e">
        <f>#REF!-"vlM!2("</f>
        <v>#REF!</v>
      </c>
      <c r="HQ4" t="e">
        <f>#REF!-"vlM!2)"</f>
        <v>#REF!</v>
      </c>
      <c r="HR4" t="e">
        <f>#REF!-"vlM!2."</f>
        <v>#REF!</v>
      </c>
      <c r="HS4" t="e">
        <f>#REF!-"vlM!2/"</f>
        <v>#REF!</v>
      </c>
      <c r="HT4" t="e">
        <f>#REF!-"vlM!20"</f>
        <v>#REF!</v>
      </c>
      <c r="HU4" t="e">
        <f>#REF!-"vlM!21"</f>
        <v>#REF!</v>
      </c>
      <c r="HV4" t="e">
        <f>#REF!-"vlM!22"</f>
        <v>#REF!</v>
      </c>
      <c r="HW4" t="e">
        <f>#REF!-"vlM!23"</f>
        <v>#REF!</v>
      </c>
      <c r="HX4" t="e">
        <f>#REF!-"vlM!24"</f>
        <v>#REF!</v>
      </c>
      <c r="HY4" t="e">
        <f>#REF!-"vlM!25"</f>
        <v>#REF!</v>
      </c>
      <c r="HZ4" t="e">
        <f>#REF!-"vlM!26"</f>
        <v>#REF!</v>
      </c>
      <c r="IA4" t="e">
        <f>#REF!-"vlM!27"</f>
        <v>#REF!</v>
      </c>
      <c r="IB4" t="e">
        <f>#REF!-"vlM!28"</f>
        <v>#REF!</v>
      </c>
      <c r="IC4" t="e">
        <f>#REF!-"vlM!29"</f>
        <v>#REF!</v>
      </c>
      <c r="ID4" t="e">
        <f>#REF!-"vlM!2:"</f>
        <v>#REF!</v>
      </c>
      <c r="IE4" t="e">
        <f>#REF!-"vlM!2;"</f>
        <v>#REF!</v>
      </c>
      <c r="IF4" t="e">
        <f>#REF!-"vlM!2&lt;"</f>
        <v>#REF!</v>
      </c>
      <c r="IG4" t="e">
        <f>#REF!-"vlM!2="</f>
        <v>#REF!</v>
      </c>
      <c r="IH4" t="e">
        <f>#REF!-"vlM!2&gt;"</f>
        <v>#REF!</v>
      </c>
      <c r="II4" t="e">
        <f>#REF!-"vlM!2?"</f>
        <v>#REF!</v>
      </c>
      <c r="IJ4" t="e">
        <f>#REF!-"vlM!2@"</f>
        <v>#REF!</v>
      </c>
      <c r="IK4" t="e">
        <f>#REF!-"vlM!2A"</f>
        <v>#REF!</v>
      </c>
      <c r="IL4" t="e">
        <f>#REF!-"vlM!2B"</f>
        <v>#REF!</v>
      </c>
      <c r="IM4" t="e">
        <f>#REF!-"vlM!2C"</f>
        <v>#REF!</v>
      </c>
      <c r="IN4" t="e">
        <f>#REF!-"vlM!2D"</f>
        <v>#REF!</v>
      </c>
      <c r="IO4" t="e">
        <f>#REF!-"vlM!2E"</f>
        <v>#REF!</v>
      </c>
      <c r="IP4" t="e">
        <f>#REF!-"vlM!2F"</f>
        <v>#REF!</v>
      </c>
      <c r="IQ4" t="e">
        <f>#REF!-"vlM!2G"</f>
        <v>#REF!</v>
      </c>
      <c r="IR4" t="e">
        <f>#REF!-"vlM!2H"</f>
        <v>#REF!</v>
      </c>
      <c r="IS4" t="e">
        <f>#REF!-"vlM!2I"</f>
        <v>#REF!</v>
      </c>
      <c r="IT4" t="e">
        <f>#REF!-"vlM!2J"</f>
        <v>#REF!</v>
      </c>
      <c r="IU4" t="e">
        <f>#REF!-"vlM!2K"</f>
        <v>#REF!</v>
      </c>
      <c r="IV4" t="e">
        <f>#REF!-"vlM!2L"</f>
        <v>#REF!</v>
      </c>
    </row>
    <row r="5" spans="1:256" x14ac:dyDescent="0.25">
      <c r="F5" t="e">
        <f>#REF!-"vlM!2M"</f>
        <v>#REF!</v>
      </c>
      <c r="G5" t="e">
        <f>#REF!-"vlM!2N"</f>
        <v>#REF!</v>
      </c>
      <c r="H5" t="e">
        <f>#REF!-"vlM!2O"</f>
        <v>#REF!</v>
      </c>
      <c r="I5" t="e">
        <f>#REF!-"vlM!2P"</f>
        <v>#REF!</v>
      </c>
      <c r="J5" t="e">
        <f>#REF!-"vlM!2Q"</f>
        <v>#REF!</v>
      </c>
      <c r="K5" t="e">
        <f>#REF!-"vlM!2R"</f>
        <v>#REF!</v>
      </c>
      <c r="L5" t="e">
        <f>#REF!-"vlM!2S"</f>
        <v>#REF!</v>
      </c>
      <c r="M5" t="e">
        <f>#REF!-"vlM!2T"</f>
        <v>#REF!</v>
      </c>
      <c r="N5" t="e">
        <f>#REF!-"vlM!2U"</f>
        <v>#REF!</v>
      </c>
      <c r="O5" t="e">
        <f>#REF!-"vlM!2V"</f>
        <v>#REF!</v>
      </c>
      <c r="P5" t="e">
        <f>#REF!-"vlM!2W"</f>
        <v>#REF!</v>
      </c>
      <c r="Q5" t="e">
        <f>#REF!-"vlM!2X"</f>
        <v>#REF!</v>
      </c>
      <c r="R5" t="e">
        <f>#REF!-"vlM!2Y"</f>
        <v>#REF!</v>
      </c>
      <c r="S5" t="e">
        <f>#REF!-"vlM!2Z"</f>
        <v>#REF!</v>
      </c>
      <c r="T5" t="e">
        <f>#REF!-"vlM!2["</f>
        <v>#REF!</v>
      </c>
      <c r="U5" t="e">
        <f>#REF!-"vlM!2\"</f>
        <v>#REF!</v>
      </c>
      <c r="V5" t="e">
        <f>#REF!-"vlM!2]"</f>
        <v>#REF!</v>
      </c>
      <c r="W5" t="e">
        <f>#REF!-"vlM!2^"</f>
        <v>#REF!</v>
      </c>
      <c r="X5" t="e">
        <f>#REF!-"vlM!2_"</f>
        <v>#REF!</v>
      </c>
      <c r="Y5" t="e">
        <f>#REF!-"vlM!2`"</f>
        <v>#REF!</v>
      </c>
      <c r="Z5" t="e">
        <f>#REF!-"vlM!2a"</f>
        <v>#REF!</v>
      </c>
      <c r="AA5" t="e">
        <f>#REF!-"vlM!2b"</f>
        <v>#REF!</v>
      </c>
      <c r="AB5" t="e">
        <f>#REF!-"vlM!2c"</f>
        <v>#REF!</v>
      </c>
      <c r="AC5" t="e">
        <f>#REF!-"vlM!2d"</f>
        <v>#REF!</v>
      </c>
      <c r="AD5" t="e">
        <f>#REF!-"vlM!2e"</f>
        <v>#REF!</v>
      </c>
      <c r="AE5" t="e">
        <f>#REF!-"vlM!2f"</f>
        <v>#REF!</v>
      </c>
      <c r="AF5" t="e">
        <f>#REF!-"vlM!2g"</f>
        <v>#REF!</v>
      </c>
      <c r="AG5" t="e">
        <f>#REF!-"vlM!2h"</f>
        <v>#REF!</v>
      </c>
      <c r="AH5" t="e">
        <f>#REF!-"vlM!2i"</f>
        <v>#REF!</v>
      </c>
      <c r="AI5" t="e">
        <f>#REF!-"vlM!2j"</f>
        <v>#REF!</v>
      </c>
      <c r="AJ5" t="e">
        <f>#REF!-"vlM!2k"</f>
        <v>#REF!</v>
      </c>
      <c r="AK5" t="e">
        <f>#REF!-"vlM!2l"</f>
        <v>#REF!</v>
      </c>
      <c r="AL5" t="e">
        <f>#REF!-"vlM!2m"</f>
        <v>#REF!</v>
      </c>
      <c r="AM5" t="e">
        <f>#REF!-"vlM!2n"</f>
        <v>#REF!</v>
      </c>
      <c r="AN5" t="e">
        <f>#REF!-"vlM!2o"</f>
        <v>#REF!</v>
      </c>
      <c r="AO5" t="e">
        <f>#REF!-"vlM!2p"</f>
        <v>#REF!</v>
      </c>
      <c r="AP5" t="e">
        <f>#REF!-"vlM!2q"</f>
        <v>#REF!</v>
      </c>
      <c r="AQ5" t="e">
        <f>#REF!-"vlM!2r"</f>
        <v>#REF!</v>
      </c>
      <c r="AR5" t="e">
        <f>#REF!-"vlM!2s"</f>
        <v>#REF!</v>
      </c>
      <c r="AS5" t="e">
        <f>#REF!-"vlM!2t"</f>
        <v>#REF!</v>
      </c>
      <c r="AT5" t="e">
        <f>#REF!-"vlM!2u"</f>
        <v>#REF!</v>
      </c>
      <c r="AU5" t="e">
        <f>#REF!-"vlM!2v"</f>
        <v>#REF!</v>
      </c>
      <c r="AV5" t="e">
        <f>#REF!-"vlM!2w"</f>
        <v>#REF!</v>
      </c>
      <c r="AW5" t="e">
        <f>#REF!-"vlM!2x"</f>
        <v>#REF!</v>
      </c>
      <c r="AX5" t="e">
        <f>#REF!-"vlM!2y"</f>
        <v>#REF!</v>
      </c>
      <c r="AY5" t="e">
        <f>#REF!-"vlM!2z"</f>
        <v>#REF!</v>
      </c>
      <c r="AZ5" t="e">
        <f>#REF!-"vlM!2{"</f>
        <v>#REF!</v>
      </c>
      <c r="BA5" t="e">
        <f>#REF!-"vlM!2|"</f>
        <v>#REF!</v>
      </c>
      <c r="BB5" t="e">
        <f>#REF!-"vlM!2}"</f>
        <v>#REF!</v>
      </c>
      <c r="BC5" t="e">
        <f>#REF!-"vlM!2~"</f>
        <v>#REF!</v>
      </c>
      <c r="BD5" t="e">
        <f>#REF!-"vlM!3#"</f>
        <v>#REF!</v>
      </c>
      <c r="BE5" t="e">
        <f>#REF!-"vlM!3$"</f>
        <v>#REF!</v>
      </c>
      <c r="BF5" t="e">
        <f>#REF!-"vlM!3%"</f>
        <v>#REF!</v>
      </c>
      <c r="BG5" t="e">
        <f>#REF!-"vlM!3&amp;"</f>
        <v>#REF!</v>
      </c>
      <c r="BH5" t="e">
        <f>#REF!+"vlM!3'"</f>
        <v>#REF!</v>
      </c>
      <c r="BI5" t="e">
        <f>#REF!+"vlM!3("</f>
        <v>#REF!</v>
      </c>
      <c r="BJ5" s="1" t="e">
        <f>#REF!+"vlM!3)"</f>
        <v>#REF!</v>
      </c>
      <c r="BK5" t="e">
        <f>#REF!+"vlM!3."</f>
        <v>#REF!</v>
      </c>
      <c r="BL5" t="e">
        <f>#REF!+"vlM!3/"</f>
        <v>#REF!</v>
      </c>
      <c r="BM5" t="e">
        <f>#REF!+"vlM!30"</f>
        <v>#REF!</v>
      </c>
      <c r="BN5" t="e">
        <f>#REF!+"vlM!31"</f>
        <v>#REF!</v>
      </c>
      <c r="BO5" t="e">
        <f>#REF!+"vlM!32"</f>
        <v>#REF!</v>
      </c>
      <c r="BP5" t="e">
        <f>#REF!+"vlM!33"</f>
        <v>#REF!</v>
      </c>
      <c r="BQ5" t="e">
        <f>#REF!+"vlM!34"</f>
        <v>#REF!</v>
      </c>
      <c r="BR5" t="e">
        <f>#REF!+"vlM!35"</f>
        <v>#REF!</v>
      </c>
      <c r="BS5" t="e">
        <f>#REF!+"vlM!36"</f>
        <v>#REF!</v>
      </c>
      <c r="BT5" t="e">
        <f>#REF!+"vlM!37"</f>
        <v>#REF!</v>
      </c>
      <c r="BU5" t="e">
        <f>#REF!+"vlM!38"</f>
        <v>#REF!</v>
      </c>
      <c r="BV5" t="e">
        <f>#REF!+"vlM!39"</f>
        <v>#REF!</v>
      </c>
      <c r="BW5" t="e">
        <f>#REF!+"vlM!3:"</f>
        <v>#REF!</v>
      </c>
      <c r="BX5" t="e">
        <f>#REF!+"vlM!3;"</f>
        <v>#REF!</v>
      </c>
      <c r="BY5" t="e">
        <f>#REF!+"vlM!3&lt;"</f>
        <v>#REF!</v>
      </c>
      <c r="BZ5" t="e">
        <f>#REF!+"vlM!3="</f>
        <v>#REF!</v>
      </c>
      <c r="CA5" t="e">
        <f>#REF!+"vlM!3&gt;"</f>
        <v>#REF!</v>
      </c>
      <c r="CB5" t="e">
        <f>#REF!+"vlM!3?"</f>
        <v>#REF!</v>
      </c>
      <c r="CC5" t="e">
        <f>#REF!+"vlM!3@"</f>
        <v>#REF!</v>
      </c>
      <c r="CD5" s="1" t="e">
        <f>#REF!+"vlM!3A"</f>
        <v>#REF!</v>
      </c>
      <c r="CE5" t="e">
        <f>#REF!+"vlM!3B"</f>
        <v>#REF!</v>
      </c>
      <c r="CF5" t="e">
        <f>#REF!+"vlM!3C"</f>
        <v>#REF!</v>
      </c>
      <c r="CG5" t="e">
        <f>#REF!+"vlM!3D"</f>
        <v>#REF!</v>
      </c>
      <c r="CH5" t="e">
        <f>#REF!+"vlM!3E"</f>
        <v>#REF!</v>
      </c>
      <c r="CI5" t="e">
        <f>#REF!+"vlM!3F"</f>
        <v>#REF!</v>
      </c>
      <c r="CJ5" t="e">
        <f>#REF!+"vlM!3G"</f>
        <v>#REF!</v>
      </c>
      <c r="CK5" t="e">
        <f>#REF!+"vlM!3H"</f>
        <v>#REF!</v>
      </c>
      <c r="CL5" t="e">
        <f>#REF!+"vlM!3I"</f>
        <v>#REF!</v>
      </c>
      <c r="CM5" t="e">
        <f>#REF!+"vlM!3J"</f>
        <v>#REF!</v>
      </c>
      <c r="CN5" t="e">
        <f>#REF!+"vlM!3K"</f>
        <v>#REF!</v>
      </c>
      <c r="CO5" t="e">
        <f>#REF!+"vlM!3L"</f>
        <v>#REF!</v>
      </c>
      <c r="CP5" t="e">
        <f>#REF!+"vlM!3M"</f>
        <v>#REF!</v>
      </c>
      <c r="CQ5" t="e">
        <f>#REF!+"vlM!3N"</f>
        <v>#REF!</v>
      </c>
      <c r="CR5" t="e">
        <f>#REF!+"vlM!3O"</f>
        <v>#REF!</v>
      </c>
      <c r="CS5" t="e">
        <f>#REF!+"vlM!3P"</f>
        <v>#REF!</v>
      </c>
      <c r="CT5" t="e">
        <f>#REF!+"vlM!3Q"</f>
        <v>#REF!</v>
      </c>
      <c r="CU5" t="e">
        <f>#REF!+"vlM!3R"</f>
        <v>#REF!</v>
      </c>
      <c r="CV5" t="e">
        <f>#REF!+"vlM!3S"</f>
        <v>#REF!</v>
      </c>
      <c r="CW5" s="1" t="e">
        <f>#REF!+"vlM!3T"</f>
        <v>#REF!</v>
      </c>
      <c r="CX5" t="e">
        <f>#REF!+"vlM!3U"</f>
        <v>#REF!</v>
      </c>
      <c r="CY5" t="e">
        <f>#REF!+"vlM!3V"</f>
        <v>#REF!</v>
      </c>
      <c r="CZ5" t="e">
        <f>#REF!+"vlM!3W"</f>
        <v>#REF!</v>
      </c>
      <c r="DA5" t="e">
        <f>#REF!+"vlM!3X"</f>
        <v>#REF!</v>
      </c>
      <c r="DB5" t="e">
        <f>#REF!+"vlM!3Y"</f>
        <v>#REF!</v>
      </c>
      <c r="DC5" t="e">
        <f>#REF!+"vlM!3Z"</f>
        <v>#REF!</v>
      </c>
      <c r="DD5" t="e">
        <f>#REF!+"vlM!3["</f>
        <v>#REF!</v>
      </c>
      <c r="DE5" t="e">
        <f>#REF!+"vlM!3\"</f>
        <v>#REF!</v>
      </c>
      <c r="DF5" t="e">
        <f>#REF!+"vlM!3]"</f>
        <v>#REF!</v>
      </c>
      <c r="DG5" t="e">
        <f>#REF!+"vlM!3^"</f>
        <v>#REF!</v>
      </c>
      <c r="DH5" t="e">
        <f>#REF!+"vlM!3_"</f>
        <v>#REF!</v>
      </c>
      <c r="DI5" t="e">
        <f>#REF!+"vlM!3`"</f>
        <v>#REF!</v>
      </c>
      <c r="DJ5" s="1" t="e">
        <f>#REF!+"vlM!3a"</f>
        <v>#REF!</v>
      </c>
      <c r="DK5" t="e">
        <f>#REF!+"vlM!3b"</f>
        <v>#REF!</v>
      </c>
      <c r="DL5" s="2" t="e">
        <f>#REF!+"vlM!3c"</f>
        <v>#REF!</v>
      </c>
      <c r="DM5" s="3" t="e">
        <f>#REF!+"vlM!3d"</f>
        <v>#REF!</v>
      </c>
      <c r="DN5" t="e">
        <f>#REF!+"vlM!3e"</f>
        <v>#REF!</v>
      </c>
      <c r="DO5" t="e">
        <f>#REF!+"vlM!3f"</f>
        <v>#REF!</v>
      </c>
      <c r="DP5" s="1" t="e">
        <f>#REF!+"vlM!3g"</f>
        <v>#REF!</v>
      </c>
      <c r="DQ5" t="e">
        <f>#REF!+"vlM!3h"</f>
        <v>#REF!</v>
      </c>
      <c r="DR5" t="e">
        <f>#REF!+"vlM!3i"</f>
        <v>#REF!</v>
      </c>
      <c r="DS5" t="e">
        <f>#REF!+"vlM!3j"</f>
        <v>#REF!</v>
      </c>
      <c r="DT5" t="e">
        <f>#REF!+"vlM!3k"</f>
        <v>#REF!</v>
      </c>
      <c r="DU5" t="e">
        <f>#REF!+"vlM!3l"</f>
        <v>#REF!</v>
      </c>
      <c r="DV5" t="e">
        <f>#REF!+"vlM!3m"</f>
        <v>#REF!</v>
      </c>
      <c r="DW5" t="e">
        <f>#REF!+"vlM!3n"</f>
        <v>#REF!</v>
      </c>
      <c r="DX5" t="e">
        <f>#REF!+"vlM!3o"</f>
        <v>#REF!</v>
      </c>
      <c r="DY5" t="e">
        <f>#REF!+"vlM!3p"</f>
        <v>#REF!</v>
      </c>
      <c r="DZ5" t="e">
        <f>#REF!+"vlM!3q"</f>
        <v>#REF!</v>
      </c>
      <c r="EA5" t="e">
        <f>#REF!+"vlM!3r"</f>
        <v>#REF!</v>
      </c>
      <c r="EB5" t="e">
        <f>#REF!+"vlM!3s"</f>
        <v>#REF!</v>
      </c>
      <c r="EC5" t="e">
        <f>#REF!+"vlM!3t"</f>
        <v>#REF!</v>
      </c>
      <c r="ED5" t="e">
        <f>#REF!+"vlM!3u"</f>
        <v>#REF!</v>
      </c>
      <c r="EE5" s="1" t="e">
        <f>#REF!+"vlM!3v"</f>
        <v>#REF!</v>
      </c>
      <c r="EF5" t="e">
        <f>#REF!+"vlM!3w"</f>
        <v>#REF!</v>
      </c>
      <c r="EG5" t="e">
        <f>#REF!+"vlM!3x"</f>
        <v>#REF!</v>
      </c>
      <c r="EH5" t="e">
        <f>#REF!+"vlM!3y"</f>
        <v>#REF!</v>
      </c>
      <c r="EI5" t="e">
        <f>#REF!+"vlM!3z"</f>
        <v>#REF!</v>
      </c>
      <c r="EJ5" t="e">
        <f>#REF!+"vlM!3{"</f>
        <v>#REF!</v>
      </c>
      <c r="EK5" t="e">
        <f>#REF!+"vlM!3|"</f>
        <v>#REF!</v>
      </c>
      <c r="EL5" t="e">
        <f>#REF!+"vlM!3}"</f>
        <v>#REF!</v>
      </c>
      <c r="EM5" t="e">
        <f>#REF!+"vlM!3~"</f>
        <v>#REF!</v>
      </c>
      <c r="EN5" t="e">
        <f>#REF!+"vlM!4#"</f>
        <v>#REF!</v>
      </c>
      <c r="EO5" t="e">
        <f>#REF!+"vlM!4$"</f>
        <v>#REF!</v>
      </c>
      <c r="EP5" t="e">
        <f>#REF!+"vlM!4%"</f>
        <v>#REF!</v>
      </c>
      <c r="EQ5" t="e">
        <f>#REF!+"vlM!4&amp;"</f>
        <v>#REF!</v>
      </c>
      <c r="ER5" t="e">
        <f>#REF!+"vlM!4'"</f>
        <v>#REF!</v>
      </c>
      <c r="ES5" t="e">
        <f>#REF!+"vlM!4("</f>
        <v>#REF!</v>
      </c>
      <c r="ET5" s="1" t="e">
        <f>#REF!+"vlM!4)"</f>
        <v>#REF!</v>
      </c>
      <c r="EU5" t="e">
        <f>#REF!+"vlM!4."</f>
        <v>#REF!</v>
      </c>
      <c r="EV5" t="e">
        <f>#REF!+"vlM!4/"</f>
        <v>#REF!</v>
      </c>
      <c r="EW5" t="e">
        <f>#REF!+"vlM!40"</f>
        <v>#REF!</v>
      </c>
      <c r="EX5" t="e">
        <f>#REF!+"vlM!41"</f>
        <v>#REF!</v>
      </c>
      <c r="EY5" t="e">
        <f>#REF!+"vlM!42"</f>
        <v>#REF!</v>
      </c>
      <c r="EZ5" t="e">
        <f>#REF!+"vlM!43"</f>
        <v>#REF!</v>
      </c>
      <c r="FA5" t="e">
        <f>#REF!+"vlM!44"</f>
        <v>#REF!</v>
      </c>
      <c r="FB5" t="e">
        <f>#REF!+"vlM!45"</f>
        <v>#REF!</v>
      </c>
      <c r="FC5" t="e">
        <f>#REF!+"vlM!46"</f>
        <v>#REF!</v>
      </c>
      <c r="FD5" t="e">
        <f>#REF!+"vlM!47"</f>
        <v>#REF!</v>
      </c>
      <c r="FE5" t="e">
        <f>#REF!+"vlM!48"</f>
        <v>#REF!</v>
      </c>
      <c r="FF5" t="e">
        <f>#REF!+"vlM!49"</f>
        <v>#REF!</v>
      </c>
      <c r="FG5" t="e">
        <f>#REF!+"vlM!4:"</f>
        <v>#REF!</v>
      </c>
      <c r="FH5" t="e">
        <f>#REF!+"vlM!4;"</f>
        <v>#REF!</v>
      </c>
      <c r="FI5" s="1" t="e">
        <f>#REF!+"vlM!4&lt;"</f>
        <v>#REF!</v>
      </c>
      <c r="FJ5" t="e">
        <f>#REF!+"vlM!4="</f>
        <v>#REF!</v>
      </c>
      <c r="FK5" t="e">
        <f>#REF!+"vlM!4&gt;"</f>
        <v>#REF!</v>
      </c>
      <c r="FL5" t="e">
        <f>#REF!+"vlM!4?"</f>
        <v>#REF!</v>
      </c>
      <c r="FM5" t="e">
        <f>#REF!+"vlM!4@"</f>
        <v>#REF!</v>
      </c>
      <c r="FN5" t="e">
        <f>#REF!+"vlM!4A"</f>
        <v>#REF!</v>
      </c>
      <c r="FO5" t="e">
        <f>#REF!+"vlM!4B"</f>
        <v>#REF!</v>
      </c>
      <c r="FP5" t="e">
        <f>#REF!+"vlM!4C"</f>
        <v>#REF!</v>
      </c>
      <c r="FQ5" t="e">
        <f>#REF!+"vlM!4D"</f>
        <v>#REF!</v>
      </c>
      <c r="FR5" t="e">
        <f>#REF!+"vlM!4E"</f>
        <v>#REF!</v>
      </c>
      <c r="FS5" t="e">
        <f>#REF!+"vlM!4F"</f>
        <v>#REF!</v>
      </c>
      <c r="FT5" t="e">
        <f>#REF!+"vlM!4G"</f>
        <v>#REF!</v>
      </c>
      <c r="FU5" t="e">
        <f>#REF!+"vlM!4H"</f>
        <v>#REF!</v>
      </c>
      <c r="FV5" t="e">
        <f>#REF!+"vlM!4I"</f>
        <v>#REF!</v>
      </c>
      <c r="FW5" t="e">
        <f>#REF!+"vlM!4J"</f>
        <v>#REF!</v>
      </c>
      <c r="FX5" t="e">
        <f>#REF!+"vlM!4K"</f>
        <v>#REF!</v>
      </c>
      <c r="FY5" s="1" t="e">
        <f>#REF!+"vlM!4L"</f>
        <v>#REF!</v>
      </c>
      <c r="FZ5" t="e">
        <f>#REF!+"vlM!4M"</f>
        <v>#REF!</v>
      </c>
      <c r="GA5" t="e">
        <f>#REF!+"vlM!4N"</f>
        <v>#REF!</v>
      </c>
      <c r="GB5" t="e">
        <f>#REF!+"vlM!4O"</f>
        <v>#REF!</v>
      </c>
      <c r="GC5" t="e">
        <f>#REF!+"vlM!4P"</f>
        <v>#REF!</v>
      </c>
      <c r="GD5" t="e">
        <f>#REF!+"vlM!4Q"</f>
        <v>#REF!</v>
      </c>
      <c r="GE5" t="e">
        <f>#REF!+"vlM!4R"</f>
        <v>#REF!</v>
      </c>
      <c r="GF5" t="e">
        <f>#REF!+"vlM!4S"</f>
        <v>#REF!</v>
      </c>
      <c r="GG5" t="e">
        <f>#REF!+"vlM!4T"</f>
        <v>#REF!</v>
      </c>
      <c r="GH5" t="e">
        <f>#REF!+"vlM!4U"</f>
        <v>#REF!</v>
      </c>
      <c r="GI5" t="e">
        <f>#REF!+"vlM!4V"</f>
        <v>#REF!</v>
      </c>
      <c r="GJ5" t="e">
        <f>#REF!+"vlM!4W"</f>
        <v>#REF!</v>
      </c>
      <c r="GK5" t="e">
        <f>#REF!+"vlM!4X"</f>
        <v>#REF!</v>
      </c>
      <c r="GL5" t="e">
        <f>#REF!+"vlM!4Y"</f>
        <v>#REF!</v>
      </c>
      <c r="GM5" t="e">
        <f>#REF!+"vlM!4Z"</f>
        <v>#REF!</v>
      </c>
      <c r="GN5" s="1" t="e">
        <f>#REF!+"vlM!4["</f>
        <v>#REF!</v>
      </c>
      <c r="GO5" t="e">
        <f>#REF!+"vlM!4\"</f>
        <v>#REF!</v>
      </c>
      <c r="GP5" t="e">
        <f>#REF!+"vlM!4]"</f>
        <v>#REF!</v>
      </c>
      <c r="GQ5" t="e">
        <f>#REF!+"vlM!4^"</f>
        <v>#REF!</v>
      </c>
      <c r="GR5" t="e">
        <f>#REF!+"vlM!4_"</f>
        <v>#REF!</v>
      </c>
      <c r="GS5" t="e">
        <f>#REF!+"vlM!4`"</f>
        <v>#REF!</v>
      </c>
      <c r="GT5" t="e">
        <f>#REF!+"vlM!4a"</f>
        <v>#REF!</v>
      </c>
      <c r="GU5" t="e">
        <f>#REF!+"vlM!4b"</f>
        <v>#REF!</v>
      </c>
      <c r="GV5" t="e">
        <f>#REF!+"vlM!4c"</f>
        <v>#REF!</v>
      </c>
      <c r="GW5" t="e">
        <f>#REF!+"vlM!4d"</f>
        <v>#REF!</v>
      </c>
      <c r="GX5" t="e">
        <f>#REF!+"vlM!4e"</f>
        <v>#REF!</v>
      </c>
      <c r="GY5" t="e">
        <f>#REF!+"vlM!4f"</f>
        <v>#REF!</v>
      </c>
      <c r="GZ5" t="e">
        <f>#REF!+"vlM!4g"</f>
        <v>#REF!</v>
      </c>
      <c r="HA5" t="e">
        <f>#REF!+"vlM!4h"</f>
        <v>#REF!</v>
      </c>
      <c r="HB5" t="e">
        <f>#REF!+"vlM!4i"</f>
        <v>#REF!</v>
      </c>
      <c r="HC5" s="1" t="e">
        <f>#REF!+"vlM!4j"</f>
        <v>#REF!</v>
      </c>
      <c r="HD5" t="e">
        <f>#REF!+"vlM!4k"</f>
        <v>#REF!</v>
      </c>
      <c r="HE5" t="e">
        <f>#REF!+"vlM!4l"</f>
        <v>#REF!</v>
      </c>
      <c r="HF5" t="e">
        <f>#REF!+"vlM!4m"</f>
        <v>#REF!</v>
      </c>
      <c r="HG5" t="e">
        <f>#REF!+"vlM!4n"</f>
        <v>#REF!</v>
      </c>
      <c r="HH5" t="e">
        <f>#REF!+"vlM!4o"</f>
        <v>#REF!</v>
      </c>
      <c r="HI5" t="e">
        <f>#REF!+"vlM!4p"</f>
        <v>#REF!</v>
      </c>
      <c r="HJ5" t="e">
        <f>#REF!+"vlM!4q"</f>
        <v>#REF!</v>
      </c>
      <c r="HK5" t="e">
        <f>#REF!+"vlM!4r"</f>
        <v>#REF!</v>
      </c>
      <c r="HL5" t="e">
        <f>#REF!+"vlM!4s"</f>
        <v>#REF!</v>
      </c>
      <c r="HM5" t="e">
        <f>#REF!+"vlM!4t"</f>
        <v>#REF!</v>
      </c>
      <c r="HN5" t="e">
        <f>#REF!+"vlM!4u"</f>
        <v>#REF!</v>
      </c>
      <c r="HO5" t="e">
        <f>#REF!+"vlM!4v"</f>
        <v>#REF!</v>
      </c>
      <c r="HP5" t="e">
        <f>#REF!+"vlM!4w"</f>
        <v>#REF!</v>
      </c>
      <c r="HQ5" t="e">
        <f>#REF!+"vlM!4x"</f>
        <v>#REF!</v>
      </c>
      <c r="HR5" s="1" t="e">
        <f>#REF!+"vlM!4y"</f>
        <v>#REF!</v>
      </c>
      <c r="HS5" t="e">
        <f>#REF!+"vlM!4z"</f>
        <v>#REF!</v>
      </c>
      <c r="HT5" t="e">
        <f>#REF!+"vlM!4{"</f>
        <v>#REF!</v>
      </c>
      <c r="HU5" t="e">
        <f>#REF!+"vlM!4|"</f>
        <v>#REF!</v>
      </c>
      <c r="HV5" t="e">
        <f>#REF!+"vlM!4}"</f>
        <v>#REF!</v>
      </c>
      <c r="HW5" t="e">
        <f>#REF!+"vlM!4~"</f>
        <v>#REF!</v>
      </c>
      <c r="HX5" t="e">
        <f>#REF!+"vlM!5#"</f>
        <v>#REF!</v>
      </c>
      <c r="HY5" t="e">
        <f>#REF!+"vlM!5$"</f>
        <v>#REF!</v>
      </c>
      <c r="HZ5" t="e">
        <f>#REF!+"vlM!5%"</f>
        <v>#REF!</v>
      </c>
      <c r="IA5" t="e">
        <f>#REF!+"vlM!5&amp;"</f>
        <v>#REF!</v>
      </c>
      <c r="IB5" t="e">
        <f>#REF!+"vlM!5'"</f>
        <v>#REF!</v>
      </c>
      <c r="IC5" t="e">
        <f>#REF!+"vlM!5("</f>
        <v>#REF!</v>
      </c>
      <c r="ID5" t="e">
        <f>#REF!+"vlM!5)"</f>
        <v>#REF!</v>
      </c>
      <c r="IE5" t="e">
        <f>#REF!+"vlM!5."</f>
        <v>#REF!</v>
      </c>
      <c r="IF5" t="e">
        <f>#REF!+"vlM!5/"</f>
        <v>#REF!</v>
      </c>
      <c r="IG5" s="1" t="e">
        <f>#REF!+"vlM!50"</f>
        <v>#REF!</v>
      </c>
      <c r="IH5" t="e">
        <f>#REF!+"vlM!51"</f>
        <v>#REF!</v>
      </c>
      <c r="II5" t="e">
        <f>#REF!+"vlM!52"</f>
        <v>#REF!</v>
      </c>
      <c r="IJ5" t="e">
        <f>#REF!+"vlM!53"</f>
        <v>#REF!</v>
      </c>
      <c r="IK5" t="e">
        <f>#REF!+"vlM!54"</f>
        <v>#REF!</v>
      </c>
      <c r="IL5" t="e">
        <f>#REF!+"vlM!55"</f>
        <v>#REF!</v>
      </c>
      <c r="IM5" t="e">
        <f>#REF!+"vlM!56"</f>
        <v>#REF!</v>
      </c>
      <c r="IN5" t="e">
        <f>#REF!+"vlM!57"</f>
        <v>#REF!</v>
      </c>
      <c r="IO5" t="e">
        <f>#REF!+"vlM!58"</f>
        <v>#REF!</v>
      </c>
      <c r="IP5" t="e">
        <f>#REF!+"vlM!59"</f>
        <v>#REF!</v>
      </c>
      <c r="IQ5" t="e">
        <f>#REF!+"vlM!5:"</f>
        <v>#REF!</v>
      </c>
      <c r="IR5" t="e">
        <f>#REF!+"vlM!5;"</f>
        <v>#REF!</v>
      </c>
      <c r="IS5" t="e">
        <f>#REF!+"vlM!5&lt;"</f>
        <v>#REF!</v>
      </c>
      <c r="IT5" t="e">
        <f>#REF!+"vlM!5="</f>
        <v>#REF!</v>
      </c>
      <c r="IU5" t="e">
        <f>#REF!+"vlM!5&gt;"</f>
        <v>#REF!</v>
      </c>
      <c r="IV5" s="1" t="e">
        <f>#REF!+"vlM!5?"</f>
        <v>#REF!</v>
      </c>
    </row>
    <row r="6" spans="1:256" x14ac:dyDescent="0.25">
      <c r="F6" t="e">
        <f>#REF!+"vlM!5@"</f>
        <v>#REF!</v>
      </c>
      <c r="G6" t="e">
        <f>#REF!+"vlM!5A"</f>
        <v>#REF!</v>
      </c>
      <c r="H6" t="e">
        <f>#REF!+"vlM!5B"</f>
        <v>#REF!</v>
      </c>
      <c r="I6" t="e">
        <f>#REF!+"vlM!5C"</f>
        <v>#REF!</v>
      </c>
      <c r="J6" t="e">
        <f>#REF!+"vlM!5D"</f>
        <v>#REF!</v>
      </c>
      <c r="K6" t="e">
        <f>#REF!+"vlM!5E"</f>
        <v>#REF!</v>
      </c>
      <c r="L6" t="e">
        <f>#REF!+"vlM!5F"</f>
        <v>#REF!</v>
      </c>
      <c r="M6" t="e">
        <f>#REF!+"vlM!5G"</f>
        <v>#REF!</v>
      </c>
      <c r="N6" t="e">
        <f>#REF!+"vlM!5H"</f>
        <v>#REF!</v>
      </c>
      <c r="O6" t="e">
        <f>#REF!+"vlM!5I"</f>
        <v>#REF!</v>
      </c>
      <c r="P6" t="e">
        <f>#REF!+"vlM!5J"</f>
        <v>#REF!</v>
      </c>
      <c r="Q6" t="e">
        <f>#REF!+"vlM!5K"</f>
        <v>#REF!</v>
      </c>
      <c r="R6" t="e">
        <f>#REF!+"vlM!5L"</f>
        <v>#REF!</v>
      </c>
      <c r="S6" t="e">
        <f>#REF!+"vlM!5M"</f>
        <v>#REF!</v>
      </c>
      <c r="T6" s="1" t="e">
        <f>#REF!+"vlM!5N"</f>
        <v>#REF!</v>
      </c>
      <c r="U6" t="e">
        <f>#REF!+"vlM!5O"</f>
        <v>#REF!</v>
      </c>
      <c r="V6" t="e">
        <f>#REF!+"vlM!5P"</f>
        <v>#REF!</v>
      </c>
      <c r="W6" t="e">
        <f>#REF!+"vlM!5Q"</f>
        <v>#REF!</v>
      </c>
      <c r="X6" t="e">
        <f>#REF!+"vlM!5R"</f>
        <v>#REF!</v>
      </c>
      <c r="Y6" t="e">
        <f>#REF!+"vlM!5S"</f>
        <v>#REF!</v>
      </c>
      <c r="Z6" t="e">
        <f>#REF!+"vlM!5T"</f>
        <v>#REF!</v>
      </c>
      <c r="AA6" t="e">
        <f>#REF!+"vlM!5U"</f>
        <v>#REF!</v>
      </c>
      <c r="AB6" t="e">
        <f>#REF!+"vlM!5V"</f>
        <v>#REF!</v>
      </c>
      <c r="AC6" t="e">
        <f>#REF!+"vlM!5W"</f>
        <v>#REF!</v>
      </c>
      <c r="AD6" t="e">
        <f>#REF!+"vlM!5X"</f>
        <v>#REF!</v>
      </c>
      <c r="AE6" t="e">
        <f>#REF!+"vlM!5Y"</f>
        <v>#REF!</v>
      </c>
      <c r="AF6" t="e">
        <f>#REF!+"vlM!5Z"</f>
        <v>#REF!</v>
      </c>
      <c r="AG6" t="e">
        <f>#REF!+"vlM!5["</f>
        <v>#REF!</v>
      </c>
      <c r="AH6" t="e">
        <f>#REF!+"vlM!5\"</f>
        <v>#REF!</v>
      </c>
      <c r="AI6" s="1" t="e">
        <f>#REF!+"vlM!5]"</f>
        <v>#REF!</v>
      </c>
      <c r="AJ6" t="e">
        <f>#REF!+"vlM!5^"</f>
        <v>#REF!</v>
      </c>
      <c r="AK6" t="e">
        <f>#REF!+"vlM!5_"</f>
        <v>#REF!</v>
      </c>
      <c r="AL6" t="e">
        <f>#REF!+"vlM!5`"</f>
        <v>#REF!</v>
      </c>
      <c r="AM6" t="e">
        <f>#REF!+"vlM!5a"</f>
        <v>#REF!</v>
      </c>
      <c r="AN6" t="e">
        <f>#REF!+"vlM!5b"</f>
        <v>#REF!</v>
      </c>
      <c r="AO6" t="e">
        <f>#REF!+"vlM!5c"</f>
        <v>#REF!</v>
      </c>
      <c r="AP6" t="e">
        <f>#REF!+"vlM!5d"</f>
        <v>#REF!</v>
      </c>
      <c r="AQ6" t="e">
        <f>#REF!+"vlM!5e"</f>
        <v>#REF!</v>
      </c>
      <c r="AR6" t="e">
        <f>#REF!+"vlM!5f"</f>
        <v>#REF!</v>
      </c>
      <c r="AS6" t="e">
        <f>#REF!+"vlM!5g"</f>
        <v>#REF!</v>
      </c>
      <c r="AT6" t="e">
        <f>#REF!+"vlM!5h"</f>
        <v>#REF!</v>
      </c>
      <c r="AU6" t="e">
        <f>#REF!+"vlM!5i"</f>
        <v>#REF!</v>
      </c>
      <c r="AV6" t="e">
        <f>#REF!+"vlM!5j"</f>
        <v>#REF!</v>
      </c>
      <c r="AW6" t="e">
        <f>#REF!+"vlM!5k"</f>
        <v>#REF!</v>
      </c>
      <c r="AX6" s="1" t="e">
        <f>#REF!+"vlM!5l"</f>
        <v>#REF!</v>
      </c>
      <c r="AY6" t="e">
        <f>#REF!+"vlM!5m"</f>
        <v>#REF!</v>
      </c>
      <c r="AZ6" t="e">
        <f>#REF!+"vlM!5n"</f>
        <v>#REF!</v>
      </c>
      <c r="BA6" t="e">
        <f>#REF!+"vlM!5o"</f>
        <v>#REF!</v>
      </c>
      <c r="BB6" t="e">
        <f>#REF!+"vlM!5p"</f>
        <v>#REF!</v>
      </c>
      <c r="BC6" t="e">
        <f>#REF!+"vlM!5q"</f>
        <v>#REF!</v>
      </c>
      <c r="BD6" t="e">
        <f>#REF!+"vlM!5r"</f>
        <v>#REF!</v>
      </c>
      <c r="BE6" t="e">
        <f>#REF!+"vlM!5s"</f>
        <v>#REF!</v>
      </c>
      <c r="BF6" t="e">
        <f>#REF!+"vlM!5t"</f>
        <v>#REF!</v>
      </c>
      <c r="BG6" t="e">
        <f>#REF!+"vlM!5u"</f>
        <v>#REF!</v>
      </c>
      <c r="BH6" t="e">
        <f>#REF!+"vlM!5v"</f>
        <v>#REF!</v>
      </c>
      <c r="BI6" t="e">
        <f>#REF!+"vlM!5w"</f>
        <v>#REF!</v>
      </c>
      <c r="BJ6" t="e">
        <f>#REF!+"vlM!5x"</f>
        <v>#REF!</v>
      </c>
      <c r="BK6" t="e">
        <f>#REF!+"vlM!5y"</f>
        <v>#REF!</v>
      </c>
      <c r="BL6" t="e">
        <f>#REF!+"vlM!5z"</f>
        <v>#REF!</v>
      </c>
      <c r="BM6" s="1" t="e">
        <f>#REF!+"vlM!5{"</f>
        <v>#REF!</v>
      </c>
      <c r="BN6" t="e">
        <f>#REF!+"vlM!5|"</f>
        <v>#REF!</v>
      </c>
      <c r="BO6" t="e">
        <f>#REF!+"vlM!5}"</f>
        <v>#REF!</v>
      </c>
      <c r="BP6" t="e">
        <f>#REF!+"vlM!5~"</f>
        <v>#REF!</v>
      </c>
      <c r="BQ6" t="e">
        <f>#REF!+"vlM!6#"</f>
        <v>#REF!</v>
      </c>
      <c r="BR6" t="e">
        <f>#REF!+"vlM!6$"</f>
        <v>#REF!</v>
      </c>
      <c r="BS6" t="e">
        <f>#REF!+"vlM!6%"</f>
        <v>#REF!</v>
      </c>
      <c r="BT6" t="e">
        <f>#REF!+"vlM!6&amp;"</f>
        <v>#REF!</v>
      </c>
      <c r="BU6" t="e">
        <f>#REF!+"vlM!6'"</f>
        <v>#REF!</v>
      </c>
      <c r="BV6" t="e">
        <f>#REF!+"vlM!6("</f>
        <v>#REF!</v>
      </c>
      <c r="BW6" t="e">
        <f>#REF!+"vlM!6)"</f>
        <v>#REF!</v>
      </c>
      <c r="BX6" t="e">
        <f>#REF!+"vlM!6."</f>
        <v>#REF!</v>
      </c>
      <c r="BY6" t="e">
        <f>#REF!+"vlM!6/"</f>
        <v>#REF!</v>
      </c>
      <c r="BZ6" t="e">
        <f>#REF!+"vlM!60"</f>
        <v>#REF!</v>
      </c>
      <c r="CA6" t="e">
        <f>#REF!+"vlM!61"</f>
        <v>#REF!</v>
      </c>
      <c r="CB6" s="1" t="e">
        <f>#REF!+"vlM!62"</f>
        <v>#REF!</v>
      </c>
      <c r="CC6" t="e">
        <f>#REF!+"vlM!63"</f>
        <v>#REF!</v>
      </c>
      <c r="CD6" t="e">
        <f>#REF!+"vlM!64"</f>
        <v>#REF!</v>
      </c>
      <c r="CE6" t="e">
        <f>#REF!+"vlM!65"</f>
        <v>#REF!</v>
      </c>
      <c r="CF6" t="e">
        <f>#REF!+"vlM!66"</f>
        <v>#REF!</v>
      </c>
      <c r="CG6" t="e">
        <f>#REF!+"vlM!67"</f>
        <v>#REF!</v>
      </c>
      <c r="CH6" t="e">
        <f>#REF!+"vlM!68"</f>
        <v>#REF!</v>
      </c>
      <c r="CI6" t="e">
        <f>#REF!+"vlM!69"</f>
        <v>#REF!</v>
      </c>
      <c r="CJ6" t="e">
        <f>#REF!+"vlM!6:"</f>
        <v>#REF!</v>
      </c>
      <c r="CK6" t="e">
        <f>#REF!+"vlM!6;"</f>
        <v>#REF!</v>
      </c>
      <c r="CL6" t="e">
        <f>#REF!+"vlM!6&lt;"</f>
        <v>#REF!</v>
      </c>
      <c r="CM6" t="e">
        <f>#REF!+"vlM!6="</f>
        <v>#REF!</v>
      </c>
      <c r="CN6" t="e">
        <f>#REF!+"vlM!6&gt;"</f>
        <v>#REF!</v>
      </c>
      <c r="CO6" t="e">
        <f>#REF!+"vlM!6?"</f>
        <v>#REF!</v>
      </c>
      <c r="CP6" t="e">
        <f>#REF!+"vlM!6@"</f>
        <v>#REF!</v>
      </c>
      <c r="CQ6" s="1" t="e">
        <f>#REF!+"vlM!6A"</f>
        <v>#REF!</v>
      </c>
      <c r="CR6" t="e">
        <f>#REF!+"vlM!6B"</f>
        <v>#REF!</v>
      </c>
      <c r="CS6" t="e">
        <f>#REF!+"vlM!6C"</f>
        <v>#REF!</v>
      </c>
      <c r="CT6" t="e">
        <f>#REF!+"vlM!6D"</f>
        <v>#REF!</v>
      </c>
      <c r="CU6" t="e">
        <f>#REF!+"vlM!6E"</f>
        <v>#REF!</v>
      </c>
      <c r="CV6" t="e">
        <f>#REF!+"vlM!6F"</f>
        <v>#REF!</v>
      </c>
      <c r="CW6" t="e">
        <f>#REF!+"vlM!6G"</f>
        <v>#REF!</v>
      </c>
      <c r="CX6" t="e">
        <f>#REF!+"vlM!6H"</f>
        <v>#REF!</v>
      </c>
      <c r="CY6" t="e">
        <f>#REF!+"vlM!6I"</f>
        <v>#REF!</v>
      </c>
      <c r="CZ6" t="e">
        <f>#REF!+"vlM!6J"</f>
        <v>#REF!</v>
      </c>
      <c r="DA6" t="e">
        <f>#REF!+"vlM!6K"</f>
        <v>#REF!</v>
      </c>
      <c r="DB6" t="e">
        <f>#REF!+"vlM!6L"</f>
        <v>#REF!</v>
      </c>
      <c r="DC6" t="e">
        <f>#REF!+"vlM!6M"</f>
        <v>#REF!</v>
      </c>
      <c r="DD6" t="e">
        <f>#REF!+"vlM!6N"</f>
        <v>#REF!</v>
      </c>
      <c r="DE6" t="e">
        <f>#REF!+"vlM!6O"</f>
        <v>#REF!</v>
      </c>
      <c r="DF6" s="1" t="e">
        <f>#REF!+"vlM!6P"</f>
        <v>#REF!</v>
      </c>
      <c r="DG6" t="e">
        <f>#REF!+"vlM!6Q"</f>
        <v>#REF!</v>
      </c>
      <c r="DH6" t="e">
        <f>#REF!+"vlM!6R"</f>
        <v>#REF!</v>
      </c>
      <c r="DI6" t="e">
        <f>#REF!+"vlM!6S"</f>
        <v>#REF!</v>
      </c>
      <c r="DJ6" t="e">
        <f>#REF!+"vlM!6T"</f>
        <v>#REF!</v>
      </c>
      <c r="DK6" t="e">
        <f>#REF!+"vlM!6U"</f>
        <v>#REF!</v>
      </c>
      <c r="DL6" t="e">
        <f>#REF!+"vlM!6V"</f>
        <v>#REF!</v>
      </c>
      <c r="DM6" t="e">
        <f>#REF!+"vlM!6W"</f>
        <v>#REF!</v>
      </c>
      <c r="DN6" t="e">
        <f>#REF!+"vlM!6X"</f>
        <v>#REF!</v>
      </c>
      <c r="DO6" t="e">
        <f>#REF!+"vlM!6Y"</f>
        <v>#REF!</v>
      </c>
      <c r="DP6" t="e">
        <f>#REF!+"vlM!6Z"</f>
        <v>#REF!</v>
      </c>
      <c r="DQ6" t="e">
        <f>#REF!+"vlM!6["</f>
        <v>#REF!</v>
      </c>
      <c r="DR6" t="e">
        <f>#REF!+"vlM!6\"</f>
        <v>#REF!</v>
      </c>
      <c r="DS6" t="e">
        <f>#REF!+"vlM!6]"</f>
        <v>#REF!</v>
      </c>
      <c r="DT6" t="e">
        <f>#REF!+"vlM!6^"</f>
        <v>#REF!</v>
      </c>
      <c r="DU6" s="1" t="e">
        <f>#REF!+"vlM!6_"</f>
        <v>#REF!</v>
      </c>
      <c r="DV6" t="e">
        <f>#REF!+"vlM!6`"</f>
        <v>#REF!</v>
      </c>
      <c r="DW6" t="e">
        <f>#REF!+"vlM!6a"</f>
        <v>#REF!</v>
      </c>
      <c r="DX6" t="e">
        <f>#REF!+"vlM!6b"</f>
        <v>#REF!</v>
      </c>
      <c r="DY6" t="e">
        <f>#REF!+"vlM!6c"</f>
        <v>#REF!</v>
      </c>
      <c r="DZ6" t="e">
        <f>#REF!+"vlM!6d"</f>
        <v>#REF!</v>
      </c>
      <c r="EA6" t="e">
        <f>#REF!+"vlM!6e"</f>
        <v>#REF!</v>
      </c>
      <c r="EB6" t="e">
        <f>#REF!+"vlM!6f"</f>
        <v>#REF!</v>
      </c>
      <c r="EC6" t="e">
        <f>#REF!+"vlM!6g"</f>
        <v>#REF!</v>
      </c>
      <c r="ED6" t="e">
        <f>#REF!+"vlM!6h"</f>
        <v>#REF!</v>
      </c>
      <c r="EE6" t="e">
        <f>#REF!+"vlM!6i"</f>
        <v>#REF!</v>
      </c>
      <c r="EF6" t="e">
        <f>#REF!+"vlM!6j"</f>
        <v>#REF!</v>
      </c>
      <c r="EG6" t="e">
        <f>#REF!+"vlM!6k"</f>
        <v>#REF!</v>
      </c>
      <c r="EH6" t="e">
        <f>#REF!+"vlM!6l"</f>
        <v>#REF!</v>
      </c>
      <c r="EI6" t="e">
        <f>#REF!+"vlM!6m"</f>
        <v>#REF!</v>
      </c>
      <c r="EJ6" s="1" t="e">
        <f>#REF!+"vlM!6n"</f>
        <v>#REF!</v>
      </c>
      <c r="EK6" t="e">
        <f>#REF!+"vlM!6o"</f>
        <v>#REF!</v>
      </c>
      <c r="EL6" t="e">
        <f>#REF!+"vlM!6p"</f>
        <v>#REF!</v>
      </c>
      <c r="EM6" t="e">
        <f>#REF!+"vlM!6q"</f>
        <v>#REF!</v>
      </c>
      <c r="EN6" t="e">
        <f>#REF!+"vlM!6r"</f>
        <v>#REF!</v>
      </c>
      <c r="EO6" t="e">
        <f>#REF!+"vlM!6s"</f>
        <v>#REF!</v>
      </c>
      <c r="EP6" t="e">
        <f>#REF!+"vlM!6t"</f>
        <v>#REF!</v>
      </c>
      <c r="EQ6" t="e">
        <f>#REF!+"vlM!6u"</f>
        <v>#REF!</v>
      </c>
      <c r="ER6" t="e">
        <f>#REF!+"vlM!6v"</f>
        <v>#REF!</v>
      </c>
      <c r="ES6" t="e">
        <f>#REF!+"vlM!6w"</f>
        <v>#REF!</v>
      </c>
      <c r="ET6" t="e">
        <f>#REF!+"vlM!6x"</f>
        <v>#REF!</v>
      </c>
      <c r="EU6" t="e">
        <f>#REF!+"vlM!6y"</f>
        <v>#REF!</v>
      </c>
      <c r="EV6" t="e">
        <f>#REF!+"vlM!6z"</f>
        <v>#REF!</v>
      </c>
      <c r="EW6" t="e">
        <f>#REF!+"vlM!6{"</f>
        <v>#REF!</v>
      </c>
      <c r="EX6" t="e">
        <f>#REF!+"vlM!6|"</f>
        <v>#REF!</v>
      </c>
      <c r="EY6" s="1" t="e">
        <f>#REF!+"vlM!6}"</f>
        <v>#REF!</v>
      </c>
      <c r="EZ6" t="e">
        <f>#REF!+"vlM!6~"</f>
        <v>#REF!</v>
      </c>
      <c r="FA6" t="e">
        <f>#REF!+"vlM!7#"</f>
        <v>#REF!</v>
      </c>
      <c r="FB6" t="e">
        <f>#REF!+"vlM!7$"</f>
        <v>#REF!</v>
      </c>
      <c r="FC6" t="e">
        <f>#REF!+"vlM!7%"</f>
        <v>#REF!</v>
      </c>
      <c r="FD6" t="e">
        <f>#REF!+"vlM!7&amp;"</f>
        <v>#REF!</v>
      </c>
      <c r="FE6" t="e">
        <f>#REF!+"vlM!7'"</f>
        <v>#REF!</v>
      </c>
      <c r="FF6" t="e">
        <f>#REF!+"vlM!7("</f>
        <v>#REF!</v>
      </c>
      <c r="FG6" t="e">
        <f>#REF!+"vlM!7)"</f>
        <v>#REF!</v>
      </c>
      <c r="FH6" t="e">
        <f>#REF!+"vlM!7."</f>
        <v>#REF!</v>
      </c>
      <c r="FI6" t="e">
        <f>#REF!+"vlM!7/"</f>
        <v>#REF!</v>
      </c>
      <c r="FJ6" t="e">
        <f>#REF!+"vlM!70"</f>
        <v>#REF!</v>
      </c>
      <c r="FK6" t="e">
        <f>#REF!+"vlM!71"</f>
        <v>#REF!</v>
      </c>
      <c r="FL6" t="e">
        <f>#REF!+"vlM!72"</f>
        <v>#REF!</v>
      </c>
      <c r="FM6" t="e">
        <f>#REF!+"vlM!73"</f>
        <v>#REF!</v>
      </c>
      <c r="FN6" s="1" t="e">
        <f>#REF!+"vlM!74"</f>
        <v>#REF!</v>
      </c>
      <c r="FO6" t="e">
        <f>#REF!+"vlM!75"</f>
        <v>#REF!</v>
      </c>
      <c r="FP6" t="e">
        <f>#REF!+"vlM!76"</f>
        <v>#REF!</v>
      </c>
      <c r="FQ6" t="e">
        <f>#REF!+"vlM!77"</f>
        <v>#REF!</v>
      </c>
      <c r="FR6" t="e">
        <f>#REF!+"vlM!78"</f>
        <v>#REF!</v>
      </c>
      <c r="FS6" t="e">
        <f>#REF!+"vlM!79"</f>
        <v>#REF!</v>
      </c>
      <c r="FT6" t="e">
        <f>#REF!+"vlM!7:"</f>
        <v>#REF!</v>
      </c>
      <c r="FU6" t="e">
        <f>#REF!+"vlM!7;"</f>
        <v>#REF!</v>
      </c>
      <c r="FV6" t="e">
        <f>#REF!+"vlM!7&lt;"</f>
        <v>#REF!</v>
      </c>
      <c r="FW6" t="e">
        <f>#REF!+"vlM!7="</f>
        <v>#REF!</v>
      </c>
      <c r="FX6" t="e">
        <f>#REF!+"vlM!7&gt;"</f>
        <v>#REF!</v>
      </c>
      <c r="FY6" t="e">
        <f>#REF!+"vlM!7?"</f>
        <v>#REF!</v>
      </c>
      <c r="FZ6" t="e">
        <f>#REF!+"vlM!7@"</f>
        <v>#REF!</v>
      </c>
      <c r="GA6" t="e">
        <f>#REF!+"vlM!7A"</f>
        <v>#REF!</v>
      </c>
      <c r="GB6" t="e">
        <f>#REF!+"vlM!7B"</f>
        <v>#REF!</v>
      </c>
      <c r="GC6" s="1" t="e">
        <f>#REF!+"vlM!7C"</f>
        <v>#REF!</v>
      </c>
      <c r="GD6" t="e">
        <f>#REF!+"vlM!7D"</f>
        <v>#REF!</v>
      </c>
      <c r="GE6" t="e">
        <f>#REF!+"vlM!7E"</f>
        <v>#REF!</v>
      </c>
      <c r="GF6" t="e">
        <f>#REF!+"vlM!7F"</f>
        <v>#REF!</v>
      </c>
      <c r="GG6" t="e">
        <f>#REF!+"vlM!7G"</f>
        <v>#REF!</v>
      </c>
      <c r="GH6" t="e">
        <f>#REF!+"vlM!7H"</f>
        <v>#REF!</v>
      </c>
      <c r="GI6" t="e">
        <f>#REF!+"vlM!7I"</f>
        <v>#REF!</v>
      </c>
      <c r="GJ6" t="e">
        <f>#REF!+"vlM!7J"</f>
        <v>#REF!</v>
      </c>
      <c r="GK6" t="e">
        <f>#REF!+"vlM!7K"</f>
        <v>#REF!</v>
      </c>
      <c r="GL6" t="e">
        <f>#REF!+"vlM!7L"</f>
        <v>#REF!</v>
      </c>
      <c r="GM6" t="e">
        <f>#REF!+"vlM!7M"</f>
        <v>#REF!</v>
      </c>
      <c r="GN6" t="e">
        <f>#REF!+"vlM!7N"</f>
        <v>#REF!</v>
      </c>
      <c r="GO6" t="e">
        <f>#REF!+"vlM!7O"</f>
        <v>#REF!</v>
      </c>
      <c r="GP6" t="e">
        <f>#REF!+"vlM!7P"</f>
        <v>#REF!</v>
      </c>
      <c r="GQ6" t="e">
        <f>#REF!+"vlM!7Q"</f>
        <v>#REF!</v>
      </c>
      <c r="GR6" s="1" t="e">
        <f>#REF!+"vlM!7R"</f>
        <v>#REF!</v>
      </c>
      <c r="GS6" t="e">
        <f>#REF!+"vlM!7S"</f>
        <v>#REF!</v>
      </c>
      <c r="GT6" t="e">
        <f>#REF!+"vlM!7T"</f>
        <v>#REF!</v>
      </c>
      <c r="GU6" t="e">
        <f>#REF!+"vlM!7U"</f>
        <v>#REF!</v>
      </c>
      <c r="GV6" t="e">
        <f>#REF!+"vlM!7V"</f>
        <v>#REF!</v>
      </c>
      <c r="GW6" t="e">
        <f>#REF!+"vlM!7W"</f>
        <v>#REF!</v>
      </c>
      <c r="GX6" t="e">
        <f>#REF!+"vlM!7X"</f>
        <v>#REF!</v>
      </c>
      <c r="GY6" t="e">
        <f>#REF!+"vlM!7Y"</f>
        <v>#REF!</v>
      </c>
      <c r="GZ6" t="e">
        <f>#REF!+"vlM!7Z"</f>
        <v>#REF!</v>
      </c>
      <c r="HA6" t="e">
        <f>#REF!+"vlM!7["</f>
        <v>#REF!</v>
      </c>
      <c r="HB6" t="e">
        <f>#REF!+"vlM!7\"</f>
        <v>#REF!</v>
      </c>
      <c r="HC6" t="e">
        <f>#REF!+"vlM!7]"</f>
        <v>#REF!</v>
      </c>
      <c r="HD6" t="e">
        <f>#REF!+"vlM!7^"</f>
        <v>#REF!</v>
      </c>
      <c r="HE6" t="e">
        <f>#REF!+"vlM!7_"</f>
        <v>#REF!</v>
      </c>
      <c r="HF6" t="e">
        <f>#REF!+"vlM!7`"</f>
        <v>#REF!</v>
      </c>
      <c r="HG6" s="1" t="e">
        <f>#REF!+"vlM!7a"</f>
        <v>#REF!</v>
      </c>
      <c r="HH6" t="e">
        <f>#REF!+"vlM!7b"</f>
        <v>#REF!</v>
      </c>
      <c r="HI6" t="e">
        <f>#REF!+"vlM!7c"</f>
        <v>#REF!</v>
      </c>
      <c r="HJ6" t="e">
        <f>#REF!+"vlM!7d"</f>
        <v>#REF!</v>
      </c>
      <c r="HK6" t="e">
        <f>#REF!+"vlM!7e"</f>
        <v>#REF!</v>
      </c>
      <c r="HL6" t="e">
        <f>#REF!+"vlM!7f"</f>
        <v>#REF!</v>
      </c>
      <c r="HM6" t="e">
        <f>#REF!+"vlM!7g"</f>
        <v>#REF!</v>
      </c>
      <c r="HN6" t="e">
        <f>#REF!+"vlM!7h"</f>
        <v>#REF!</v>
      </c>
      <c r="HO6" t="e">
        <f>#REF!+"vlM!7i"</f>
        <v>#REF!</v>
      </c>
      <c r="HP6" t="e">
        <f>#REF!+"vlM!7j"</f>
        <v>#REF!</v>
      </c>
      <c r="HQ6" t="e">
        <f>#REF!+"vlM!7k"</f>
        <v>#REF!</v>
      </c>
      <c r="HR6" t="e">
        <f>#REF!+"vlM!7l"</f>
        <v>#REF!</v>
      </c>
      <c r="HS6" t="e">
        <f>#REF!+"vlM!7m"</f>
        <v>#REF!</v>
      </c>
      <c r="HT6" t="e">
        <f>#REF!+"vlM!7n"</f>
        <v>#REF!</v>
      </c>
      <c r="HU6" t="e">
        <f>#REF!+"vlM!7o"</f>
        <v>#REF!</v>
      </c>
      <c r="HV6" s="1" t="e">
        <f>#REF!+"vlM!7p"</f>
        <v>#REF!</v>
      </c>
      <c r="HW6" t="e">
        <f>#REF!+"vlM!7q"</f>
        <v>#REF!</v>
      </c>
      <c r="HX6" t="e">
        <f>#REF!+"vlM!7r"</f>
        <v>#REF!</v>
      </c>
      <c r="HY6" t="e">
        <f>#REF!+"vlM!7s"</f>
        <v>#REF!</v>
      </c>
      <c r="HZ6" t="e">
        <f>#REF!+"vlM!7t"</f>
        <v>#REF!</v>
      </c>
      <c r="IA6" t="e">
        <f>#REF!+"vlM!7u"</f>
        <v>#REF!</v>
      </c>
      <c r="IB6" t="e">
        <f>#REF!+"vlM!7v"</f>
        <v>#REF!</v>
      </c>
      <c r="IC6" t="e">
        <f>#REF!+"vlM!7w"</f>
        <v>#REF!</v>
      </c>
      <c r="ID6" t="e">
        <f>#REF!+"vlM!7x"</f>
        <v>#REF!</v>
      </c>
      <c r="IE6" t="e">
        <f>#REF!+"vlM!7y"</f>
        <v>#REF!</v>
      </c>
      <c r="IF6" t="e">
        <f>#REF!+"vlM!7z"</f>
        <v>#REF!</v>
      </c>
      <c r="IG6" t="e">
        <f>#REF!+"vlM!7{"</f>
        <v>#REF!</v>
      </c>
      <c r="IH6" t="e">
        <f>#REF!+"vlM!7|"</f>
        <v>#REF!</v>
      </c>
      <c r="II6" t="e">
        <f>#REF!+"vlM!7}"</f>
        <v>#REF!</v>
      </c>
      <c r="IJ6" t="e">
        <f>#REF!+"vlM!7~"</f>
        <v>#REF!</v>
      </c>
      <c r="IK6" s="1" t="e">
        <f>#REF!+"vlM!8#"</f>
        <v>#REF!</v>
      </c>
      <c r="IL6" t="e">
        <f>#REF!+"vlM!8$"</f>
        <v>#REF!</v>
      </c>
      <c r="IM6" t="e">
        <f>#REF!+"vlM!8%"</f>
        <v>#REF!</v>
      </c>
      <c r="IN6" t="e">
        <f>#REF!+"vlM!8&amp;"</f>
        <v>#REF!</v>
      </c>
      <c r="IO6" t="e">
        <f>#REF!+"vlM!8'"</f>
        <v>#REF!</v>
      </c>
      <c r="IP6" t="e">
        <f>#REF!+"vlM!8("</f>
        <v>#REF!</v>
      </c>
      <c r="IQ6" t="e">
        <f>#REF!+"vlM!8)"</f>
        <v>#REF!</v>
      </c>
      <c r="IR6" t="e">
        <f>#REF!+"vlM!8."</f>
        <v>#REF!</v>
      </c>
      <c r="IS6" t="e">
        <f>#REF!+"vlM!8/"</f>
        <v>#REF!</v>
      </c>
      <c r="IT6" t="e">
        <f>#REF!+"vlM!80"</f>
        <v>#REF!</v>
      </c>
      <c r="IU6" t="e">
        <f>#REF!+"vlM!81"</f>
        <v>#REF!</v>
      </c>
      <c r="IV6" t="e">
        <f>#REF!+"vlM!82"</f>
        <v>#REF!</v>
      </c>
    </row>
    <row r="7" spans="1:256" x14ac:dyDescent="0.25">
      <c r="F7" t="e">
        <f>#REF!+"vlM!83"</f>
        <v>#REF!</v>
      </c>
      <c r="G7" t="e">
        <f>#REF!+"vlM!84"</f>
        <v>#REF!</v>
      </c>
      <c r="H7" t="e">
        <f>#REF!+"vlM!85"</f>
        <v>#REF!</v>
      </c>
      <c r="I7" s="1" t="e">
        <f>#REF!+"vlM!86"</f>
        <v>#REF!</v>
      </c>
      <c r="J7" t="e">
        <f>#REF!+"vlM!87"</f>
        <v>#REF!</v>
      </c>
      <c r="K7" t="e">
        <f>#REF!+"vlM!88"</f>
        <v>#REF!</v>
      </c>
      <c r="L7" t="e">
        <f>#REF!+"vlM!89"</f>
        <v>#REF!</v>
      </c>
      <c r="M7" t="e">
        <f>#REF!+"vlM!8:"</f>
        <v>#REF!</v>
      </c>
      <c r="N7" t="e">
        <f>#REF!+"vlM!8;"</f>
        <v>#REF!</v>
      </c>
      <c r="O7" t="e">
        <f>#REF!+"vlM!8&lt;"</f>
        <v>#REF!</v>
      </c>
      <c r="P7" t="e">
        <f>#REF!+"vlM!8="</f>
        <v>#REF!</v>
      </c>
      <c r="Q7" t="e">
        <f>#REF!+"vlM!8&gt;"</f>
        <v>#REF!</v>
      </c>
      <c r="R7" t="e">
        <f>#REF!+"vlM!8?"</f>
        <v>#REF!</v>
      </c>
      <c r="S7" t="e">
        <f>#REF!+"vlM!8@"</f>
        <v>#REF!</v>
      </c>
      <c r="T7" t="e">
        <f>#REF!+"vlM!8A"</f>
        <v>#REF!</v>
      </c>
      <c r="U7" t="e">
        <f>#REF!+"vlM!8B"</f>
        <v>#REF!</v>
      </c>
      <c r="V7" t="e">
        <f>#REF!+"vlM!8C"</f>
        <v>#REF!</v>
      </c>
      <c r="W7" t="e">
        <f>#REF!+"vlM!8D"</f>
        <v>#REF!</v>
      </c>
      <c r="X7" s="1" t="e">
        <f>#REF!+"vlM!8E"</f>
        <v>#REF!</v>
      </c>
      <c r="Y7" t="e">
        <f>#REF!+"vlM!8F"</f>
        <v>#REF!</v>
      </c>
      <c r="Z7" t="e">
        <f>#REF!+"vlM!8G"</f>
        <v>#REF!</v>
      </c>
      <c r="AA7" t="e">
        <f>#REF!+"vlM!8H"</f>
        <v>#REF!</v>
      </c>
      <c r="AB7" t="e">
        <f>#REF!+"vlM!8I"</f>
        <v>#REF!</v>
      </c>
      <c r="AC7" t="e">
        <f>#REF!+"vlM!8J"</f>
        <v>#REF!</v>
      </c>
      <c r="AD7" t="e">
        <f>#REF!+"vlM!8K"</f>
        <v>#REF!</v>
      </c>
      <c r="AE7" t="e">
        <f>#REF!+"vlM!8L"</f>
        <v>#REF!</v>
      </c>
      <c r="AF7" t="e">
        <f>#REF!+"vlM!8M"</f>
        <v>#REF!</v>
      </c>
      <c r="AG7" t="e">
        <f>#REF!+"vlM!8N"</f>
        <v>#REF!</v>
      </c>
      <c r="AH7" t="e">
        <f>#REF!+"vlM!8O"</f>
        <v>#REF!</v>
      </c>
      <c r="AI7" t="e">
        <f>#REF!+"vlM!8P"</f>
        <v>#REF!</v>
      </c>
      <c r="AJ7" t="e">
        <f>#REF!+"vlM!8Q"</f>
        <v>#REF!</v>
      </c>
      <c r="AK7" t="e">
        <f>#REF!+"vlM!8R"</f>
        <v>#REF!</v>
      </c>
      <c r="AL7" t="e">
        <f>#REF!+"vlM!8S"</f>
        <v>#REF!</v>
      </c>
      <c r="AM7" s="1" t="e">
        <f>#REF!+"vlM!8T"</f>
        <v>#REF!</v>
      </c>
      <c r="AN7" t="e">
        <f>#REF!+"vlM!8U"</f>
        <v>#REF!</v>
      </c>
      <c r="AO7" t="e">
        <f>#REF!+"vlM!8V"</f>
        <v>#REF!</v>
      </c>
      <c r="AP7" t="e">
        <f>#REF!+"vlM!8W"</f>
        <v>#REF!</v>
      </c>
      <c r="AQ7" t="e">
        <f>#REF!+"vlM!8X"</f>
        <v>#REF!</v>
      </c>
      <c r="AR7" t="e">
        <f>#REF!+"vlM!8Y"</f>
        <v>#REF!</v>
      </c>
      <c r="AS7" t="e">
        <f>#REF!+"vlM!8Z"</f>
        <v>#REF!</v>
      </c>
      <c r="AT7" t="e">
        <f>#REF!+"vlM!8["</f>
        <v>#REF!</v>
      </c>
      <c r="AU7" t="e">
        <f>#REF!+"vlM!8\"</f>
        <v>#REF!</v>
      </c>
      <c r="AV7" t="e">
        <f>#REF!+"vlM!8]"</f>
        <v>#REF!</v>
      </c>
      <c r="AW7" t="e">
        <f>#REF!+"vlM!8^"</f>
        <v>#REF!</v>
      </c>
      <c r="AX7" t="e">
        <f>#REF!+"vlM!8_"</f>
        <v>#REF!</v>
      </c>
      <c r="AY7" t="e">
        <f>#REF!+"vlM!8`"</f>
        <v>#REF!</v>
      </c>
      <c r="AZ7" t="e">
        <f>#REF!+"vlM!8a"</f>
        <v>#REF!</v>
      </c>
      <c r="BA7" t="e">
        <f>#REF!+"vlM!8b"</f>
        <v>#REF!</v>
      </c>
      <c r="BB7" s="1" t="e">
        <f>#REF!+"vlM!8c"</f>
        <v>#REF!</v>
      </c>
      <c r="BC7" t="e">
        <f>#REF!+"vlM!8d"</f>
        <v>#REF!</v>
      </c>
      <c r="BD7" t="e">
        <f>#REF!+"vlM!8e"</f>
        <v>#REF!</v>
      </c>
      <c r="BE7" t="e">
        <f>#REF!+"vlM!8f"</f>
        <v>#REF!</v>
      </c>
      <c r="BF7" t="e">
        <f>#REF!+"vlM!8g"</f>
        <v>#REF!</v>
      </c>
      <c r="BG7" t="e">
        <f>#REF!+"vlM!8h"</f>
        <v>#REF!</v>
      </c>
      <c r="BH7" t="e">
        <f>#REF!+"vlM!8i"</f>
        <v>#REF!</v>
      </c>
      <c r="BI7" t="e">
        <f>#REF!+"vlM!8j"</f>
        <v>#REF!</v>
      </c>
      <c r="BJ7" t="e">
        <f>#REF!+"vlM!8k"</f>
        <v>#REF!</v>
      </c>
      <c r="BK7" t="e">
        <f>#REF!+"vlM!8l"</f>
        <v>#REF!</v>
      </c>
      <c r="BL7" t="e">
        <f>#REF!+"vlM!8m"</f>
        <v>#REF!</v>
      </c>
      <c r="BM7" t="e">
        <f>#REF!+"vlM!8n"</f>
        <v>#REF!</v>
      </c>
      <c r="BN7" t="e">
        <f>#REF!+"vlM!8o"</f>
        <v>#REF!</v>
      </c>
      <c r="BO7" t="e">
        <f>#REF!+"vlM!8p"</f>
        <v>#REF!</v>
      </c>
      <c r="BP7" t="e">
        <f>#REF!+"vlM!8q"</f>
        <v>#REF!</v>
      </c>
      <c r="BQ7" s="1" t="e">
        <f>#REF!+"vlM!8r"</f>
        <v>#REF!</v>
      </c>
      <c r="BR7" t="e">
        <f>#REF!+"vlM!8s"</f>
        <v>#REF!</v>
      </c>
      <c r="BS7" t="e">
        <f>#REF!+"vlM!8t"</f>
        <v>#REF!</v>
      </c>
      <c r="BT7" t="e">
        <f>#REF!+"vlM!8u"</f>
        <v>#REF!</v>
      </c>
      <c r="BU7" t="e">
        <f>#REF!+"vlM!8v"</f>
        <v>#REF!</v>
      </c>
      <c r="BV7" t="e">
        <f>#REF!+"vlM!8w"</f>
        <v>#REF!</v>
      </c>
      <c r="BW7" t="e">
        <f>#REF!+"vlM!8x"</f>
        <v>#REF!</v>
      </c>
      <c r="BX7" t="e">
        <f>#REF!+"vlM!8y"</f>
        <v>#REF!</v>
      </c>
      <c r="BY7" t="e">
        <f>#REF!+"vlM!8z"</f>
        <v>#REF!</v>
      </c>
      <c r="BZ7" t="e">
        <f>#REF!+"vlM!8{"</f>
        <v>#REF!</v>
      </c>
      <c r="CA7" t="e">
        <f>#REF!+"vlM!8|"</f>
        <v>#REF!</v>
      </c>
      <c r="CB7" t="e">
        <f>#REF!+"vlM!8}"</f>
        <v>#REF!</v>
      </c>
      <c r="CC7" t="e">
        <f>#REF!+"vlM!8~"</f>
        <v>#REF!</v>
      </c>
      <c r="CD7" t="e">
        <f>#REF!+"vlM!9#"</f>
        <v>#REF!</v>
      </c>
      <c r="CE7" t="e">
        <f>#REF!+"vlM!9$"</f>
        <v>#REF!</v>
      </c>
      <c r="CF7" s="1" t="e">
        <f>#REF!+"vlM!9%"</f>
        <v>#REF!</v>
      </c>
      <c r="CG7" t="e">
        <f>#REF!+"vlM!9&amp;"</f>
        <v>#REF!</v>
      </c>
      <c r="CH7" t="e">
        <f>#REF!+"vlM!9'"</f>
        <v>#REF!</v>
      </c>
      <c r="CI7" t="e">
        <f>#REF!+"vlM!9("</f>
        <v>#REF!</v>
      </c>
      <c r="CJ7" t="e">
        <f>#REF!+"vlM!9)"</f>
        <v>#REF!</v>
      </c>
      <c r="CK7" t="e">
        <f>#REF!+"vlM!9."</f>
        <v>#REF!</v>
      </c>
      <c r="CL7" t="e">
        <f>#REF!+"vlM!9/"</f>
        <v>#REF!</v>
      </c>
      <c r="CM7" t="e">
        <f>#REF!+"vlM!90"</f>
        <v>#REF!</v>
      </c>
      <c r="CN7" t="e">
        <f>#REF!+"vlM!91"</f>
        <v>#REF!</v>
      </c>
      <c r="CO7" t="e">
        <f>#REF!+"vlM!92"</f>
        <v>#REF!</v>
      </c>
      <c r="CP7" t="e">
        <f>#REF!+"vlM!93"</f>
        <v>#REF!</v>
      </c>
      <c r="CQ7" t="e">
        <f>#REF!+"vlM!94"</f>
        <v>#REF!</v>
      </c>
      <c r="CR7" t="e">
        <f>#REF!+"vlM!95"</f>
        <v>#REF!</v>
      </c>
      <c r="CS7" t="e">
        <f>#REF!+"vlM!96"</f>
        <v>#REF!</v>
      </c>
      <c r="CT7" t="e">
        <f>#REF!+"vlM!97"</f>
        <v>#REF!</v>
      </c>
      <c r="CU7" s="1" t="e">
        <f>#REF!+"vlM!98"</f>
        <v>#REF!</v>
      </c>
      <c r="CV7" t="e">
        <f>#REF!+"vlM!99"</f>
        <v>#REF!</v>
      </c>
      <c r="CW7" t="e">
        <f>#REF!+"vlM!9:"</f>
        <v>#REF!</v>
      </c>
      <c r="CX7" t="e">
        <f>#REF!+"vlM!9;"</f>
        <v>#REF!</v>
      </c>
      <c r="CY7" t="e">
        <f>#REF!+"vlM!9&lt;"</f>
        <v>#REF!</v>
      </c>
      <c r="CZ7" t="e">
        <f>#REF!+"vlM!9="</f>
        <v>#REF!</v>
      </c>
      <c r="DA7" t="e">
        <f>#REF!+"vlM!9&gt;"</f>
        <v>#REF!</v>
      </c>
      <c r="DB7" t="e">
        <f>#REF!+"vlM!9?"</f>
        <v>#REF!</v>
      </c>
      <c r="DC7" t="e">
        <f>#REF!+"vlM!9@"</f>
        <v>#REF!</v>
      </c>
      <c r="DD7" t="e">
        <f>#REF!+"vlM!9A"</f>
        <v>#REF!</v>
      </c>
      <c r="DE7" t="e">
        <f>#REF!+"vlM!9B"</f>
        <v>#REF!</v>
      </c>
      <c r="DF7" t="e">
        <f>#REF!+"vlM!9C"</f>
        <v>#REF!</v>
      </c>
      <c r="DG7" t="e">
        <f>#REF!+"vlM!9D"</f>
        <v>#REF!</v>
      </c>
      <c r="DH7" t="e">
        <f>#REF!+"vlM!9E"</f>
        <v>#REF!</v>
      </c>
      <c r="DI7" t="e">
        <f>#REF!+"vlM!9F"</f>
        <v>#REF!</v>
      </c>
      <c r="DJ7" s="1" t="e">
        <f>#REF!+"vlM!9G"</f>
        <v>#REF!</v>
      </c>
      <c r="DK7" t="e">
        <f>#REF!+"vlM!9H"</f>
        <v>#REF!</v>
      </c>
      <c r="DL7" t="e">
        <f>#REF!+"vlM!9I"</f>
        <v>#REF!</v>
      </c>
      <c r="DM7" t="e">
        <f>#REF!+"vlM!9J"</f>
        <v>#REF!</v>
      </c>
      <c r="DN7" t="e">
        <f>#REF!+"vlM!9K"</f>
        <v>#REF!</v>
      </c>
      <c r="DO7" t="e">
        <f>#REF!+"vlM!9L"</f>
        <v>#REF!</v>
      </c>
      <c r="DP7" t="e">
        <f>#REF!+"vlM!9M"</f>
        <v>#REF!</v>
      </c>
      <c r="DQ7" t="e">
        <f>#REF!+"vlM!9N"</f>
        <v>#REF!</v>
      </c>
      <c r="DR7" t="e">
        <f>#REF!+"vlM!9O"</f>
        <v>#REF!</v>
      </c>
      <c r="DS7" t="e">
        <f>#REF!+"vlM!9P"</f>
        <v>#REF!</v>
      </c>
      <c r="DT7" t="e">
        <f>#REF!+"vlM!9Q"</f>
        <v>#REF!</v>
      </c>
      <c r="DU7" t="e">
        <f>#REF!+"vlM!9R"</f>
        <v>#REF!</v>
      </c>
      <c r="DV7" t="e">
        <f>#REF!+"vlM!9S"</f>
        <v>#REF!</v>
      </c>
      <c r="DW7" t="e">
        <f>#REF!+"vlM!9T"</f>
        <v>#REF!</v>
      </c>
      <c r="DX7" t="e">
        <f>#REF!+"vlM!9U"</f>
        <v>#REF!</v>
      </c>
      <c r="DY7" s="1" t="e">
        <f>#REF!+"vlM!9V"</f>
        <v>#REF!</v>
      </c>
      <c r="DZ7" t="e">
        <f>#REF!+"vlM!9W"</f>
        <v>#REF!</v>
      </c>
      <c r="EA7" t="e">
        <f>#REF!+"vlM!9X"</f>
        <v>#REF!</v>
      </c>
      <c r="EB7" t="e">
        <f>#REF!+"vlM!9Y"</f>
        <v>#REF!</v>
      </c>
      <c r="EC7" t="e">
        <f>#REF!+"vlM!9Z"</f>
        <v>#REF!</v>
      </c>
      <c r="ED7" t="e">
        <f>#REF!+"vlM!9["</f>
        <v>#REF!</v>
      </c>
      <c r="EE7" t="e">
        <f>#REF!+"vlM!9\"</f>
        <v>#REF!</v>
      </c>
      <c r="EF7" t="e">
        <f>#REF!+"vlM!9]"</f>
        <v>#REF!</v>
      </c>
      <c r="EG7" t="e">
        <f>#REF!+"vlM!9^"</f>
        <v>#REF!</v>
      </c>
      <c r="EH7" t="e">
        <f>#REF!+"vlM!9_"</f>
        <v>#REF!</v>
      </c>
      <c r="EI7" t="e">
        <f>#REF!+"vlM!9`"</f>
        <v>#REF!</v>
      </c>
      <c r="EJ7" t="e">
        <f>#REF!+"vlM!9a"</f>
        <v>#REF!</v>
      </c>
      <c r="EK7" t="e">
        <f>#REF!+"vlM!9b"</f>
        <v>#REF!</v>
      </c>
      <c r="EL7" t="e">
        <f>#REF!+"vlM!9c"</f>
        <v>#REF!</v>
      </c>
      <c r="EM7" t="e">
        <f>#REF!+"vlM!9d"</f>
        <v>#REF!</v>
      </c>
      <c r="EN7" s="1" t="e">
        <f>#REF!+"vlM!9e"</f>
        <v>#REF!</v>
      </c>
      <c r="EO7" t="e">
        <f>#REF!+"vlM!9f"</f>
        <v>#REF!</v>
      </c>
      <c r="EP7" t="e">
        <f>#REF!+"vlM!9g"</f>
        <v>#REF!</v>
      </c>
      <c r="EQ7" t="e">
        <f>#REF!+"vlM!9h"</f>
        <v>#REF!</v>
      </c>
      <c r="ER7" t="e">
        <f>#REF!+"vlM!9i"</f>
        <v>#REF!</v>
      </c>
      <c r="ES7" t="e">
        <f>#REF!+"vlM!9j"</f>
        <v>#REF!</v>
      </c>
      <c r="ET7" t="e">
        <f>#REF!+"vlM!9k"</f>
        <v>#REF!</v>
      </c>
      <c r="EU7" t="e">
        <f>#REF!+"vlM!9l"</f>
        <v>#REF!</v>
      </c>
      <c r="EV7" t="e">
        <f>#REF!+"vlM!9m"</f>
        <v>#REF!</v>
      </c>
      <c r="EW7" t="e">
        <f>#REF!+"vlM!9n"</f>
        <v>#REF!</v>
      </c>
      <c r="EX7" t="e">
        <f>#REF!+"vlM!9o"</f>
        <v>#REF!</v>
      </c>
      <c r="EY7" t="e">
        <f>#REF!+"vlM!9p"</f>
        <v>#REF!</v>
      </c>
      <c r="EZ7" t="e">
        <f>#REF!+"vlM!9q"</f>
        <v>#REF!</v>
      </c>
      <c r="FA7" t="e">
        <f>#REF!+"vlM!9r"</f>
        <v>#REF!</v>
      </c>
      <c r="FB7" t="e">
        <f>#REF!+"vlM!9s"</f>
        <v>#REF!</v>
      </c>
      <c r="FC7" s="1" t="e">
        <f>#REF!+"vlM!9t"</f>
        <v>#REF!</v>
      </c>
      <c r="FD7" t="e">
        <f>#REF!+"vlM!9u"</f>
        <v>#REF!</v>
      </c>
      <c r="FE7" t="e">
        <f>#REF!+"vlM!9v"</f>
        <v>#REF!</v>
      </c>
      <c r="FF7" t="e">
        <f>#REF!+"vlM!9w"</f>
        <v>#REF!</v>
      </c>
      <c r="FG7" t="e">
        <f>#REF!+"vlM!9x"</f>
        <v>#REF!</v>
      </c>
      <c r="FH7" t="e">
        <f>#REF!+"vlM!9y"</f>
        <v>#REF!</v>
      </c>
      <c r="FI7" t="e">
        <f>#REF!+"vlM!9z"</f>
        <v>#REF!</v>
      </c>
      <c r="FJ7" t="e">
        <f>#REF!+"vlM!9{"</f>
        <v>#REF!</v>
      </c>
      <c r="FK7" t="e">
        <f>#REF!+"vlM!9|"</f>
        <v>#REF!</v>
      </c>
      <c r="FL7" t="e">
        <f>#REF!+"vlM!9}"</f>
        <v>#REF!</v>
      </c>
      <c r="FM7" t="e">
        <f>#REF!+"vlM!9~"</f>
        <v>#REF!</v>
      </c>
      <c r="FN7" t="e">
        <f>#REF!+"vlM!:#"</f>
        <v>#REF!</v>
      </c>
      <c r="FO7" t="e">
        <f>#REF!+"vlM!:$"</f>
        <v>#REF!</v>
      </c>
      <c r="FP7" t="e">
        <f>#REF!+"vlM!:%"</f>
        <v>#REF!</v>
      </c>
      <c r="FQ7" t="e">
        <f>#REF!+"vlM!:&amp;"</f>
        <v>#REF!</v>
      </c>
      <c r="FR7" s="1" t="e">
        <f>#REF!+"vlM!:'"</f>
        <v>#REF!</v>
      </c>
      <c r="FS7" t="e">
        <f>#REF!+"vlM!:("</f>
        <v>#REF!</v>
      </c>
      <c r="FT7" t="e">
        <f>#REF!+"vlM!:)"</f>
        <v>#REF!</v>
      </c>
      <c r="FU7" t="e">
        <f>#REF!+"vlM!:."</f>
        <v>#REF!</v>
      </c>
      <c r="FV7" t="e">
        <f>#REF!+"vlM!:/"</f>
        <v>#REF!</v>
      </c>
      <c r="FW7" t="e">
        <f>#REF!+"vlM!:0"</f>
        <v>#REF!</v>
      </c>
      <c r="FX7" t="e">
        <f>#REF!+"vlM!:1"</f>
        <v>#REF!</v>
      </c>
      <c r="FY7" t="e">
        <f>#REF!+"vlM!:2"</f>
        <v>#REF!</v>
      </c>
      <c r="FZ7" t="e">
        <f>#REF!+"vlM!:3"</f>
        <v>#REF!</v>
      </c>
      <c r="GA7" t="e">
        <f>#REF!+"vlM!:4"</f>
        <v>#REF!</v>
      </c>
      <c r="GB7" t="e">
        <f>#REF!+"vlM!:5"</f>
        <v>#REF!</v>
      </c>
      <c r="GC7" t="e">
        <f>#REF!+"vlM!:6"</f>
        <v>#REF!</v>
      </c>
      <c r="GD7" t="e">
        <f>#REF!+"vlM!:7"</f>
        <v>#REF!</v>
      </c>
      <c r="GE7" t="e">
        <f>#REF!+"vlM!:8"</f>
        <v>#REF!</v>
      </c>
      <c r="GF7" t="e">
        <f>#REF!+"vlM!:9"</f>
        <v>#REF!</v>
      </c>
      <c r="GG7" s="1" t="e">
        <f>#REF!+"vlM!::"</f>
        <v>#REF!</v>
      </c>
      <c r="GH7" t="e">
        <f>#REF!+"vlM!:;"</f>
        <v>#REF!</v>
      </c>
      <c r="GI7" t="e">
        <f>#REF!+"vlM!:&lt;"</f>
        <v>#REF!</v>
      </c>
      <c r="GJ7" t="e">
        <f>#REF!+"vlM!:="</f>
        <v>#REF!</v>
      </c>
      <c r="GK7" t="e">
        <f>#REF!+"vlM!:&gt;"</f>
        <v>#REF!</v>
      </c>
      <c r="GL7" t="e">
        <f>#REF!+"vlM!:?"</f>
        <v>#REF!</v>
      </c>
      <c r="GM7" t="e">
        <f>#REF!+"vlM!:@"</f>
        <v>#REF!</v>
      </c>
      <c r="GN7" t="e">
        <f>#REF!+"vlM!:A"</f>
        <v>#REF!</v>
      </c>
      <c r="GO7" t="e">
        <f>#REF!+"vlM!:B"</f>
        <v>#REF!</v>
      </c>
      <c r="GP7" t="e">
        <f>#REF!+"vlM!:C"</f>
        <v>#REF!</v>
      </c>
      <c r="GQ7" t="e">
        <f>#REF!+"vlM!:D"</f>
        <v>#REF!</v>
      </c>
      <c r="GR7" t="e">
        <f>#REF!+"vlM!:E"</f>
        <v>#REF!</v>
      </c>
      <c r="GS7" t="e">
        <f>#REF!+"vlM!:F"</f>
        <v>#REF!</v>
      </c>
      <c r="GT7" t="e">
        <f>#REF!+"vlM!:G"</f>
        <v>#REF!</v>
      </c>
      <c r="GU7" t="e">
        <f>#REF!+"vlM!:H"</f>
        <v>#REF!</v>
      </c>
      <c r="GV7" s="1" t="e">
        <f>#REF!+"vlM!:I"</f>
        <v>#REF!</v>
      </c>
      <c r="GW7" t="e">
        <f>#REF!+"vlM!:J"</f>
        <v>#REF!</v>
      </c>
      <c r="GX7" t="e">
        <f>#REF!+"vlM!:K"</f>
        <v>#REF!</v>
      </c>
      <c r="GY7" t="e">
        <f>#REF!+"vlM!:L"</f>
        <v>#REF!</v>
      </c>
      <c r="GZ7" t="e">
        <f>#REF!+"vlM!:M"</f>
        <v>#REF!</v>
      </c>
      <c r="HA7" t="e">
        <f>#REF!+"vlM!:N"</f>
        <v>#REF!</v>
      </c>
      <c r="HB7" t="e">
        <f>#REF!+"vlM!:O"</f>
        <v>#REF!</v>
      </c>
      <c r="HC7" t="e">
        <f>#REF!+"vlM!:P"</f>
        <v>#REF!</v>
      </c>
      <c r="HD7" t="e">
        <f>#REF!+"vlM!:Q"</f>
        <v>#REF!</v>
      </c>
      <c r="HE7" t="e">
        <f>#REF!+"vlM!:R"</f>
        <v>#REF!</v>
      </c>
      <c r="HF7" t="e">
        <f>#REF!+"vlM!:S"</f>
        <v>#REF!</v>
      </c>
      <c r="HG7" t="e">
        <f>#REF!+"vlM!:T"</f>
        <v>#REF!</v>
      </c>
      <c r="HH7" t="e">
        <f>#REF!+"vlM!:U"</f>
        <v>#REF!</v>
      </c>
      <c r="HI7" t="e">
        <f>#REF!+"vlM!:V"</f>
        <v>#REF!</v>
      </c>
      <c r="HJ7" t="e">
        <f>#REF!+"vlM!:W"</f>
        <v>#REF!</v>
      </c>
      <c r="HK7" s="1" t="e">
        <f>#REF!+"vlM!:X"</f>
        <v>#REF!</v>
      </c>
      <c r="HL7" t="e">
        <f>#REF!+"vlM!:Y"</f>
        <v>#REF!</v>
      </c>
      <c r="HM7" t="e">
        <f>#REF!+"vlM!:Z"</f>
        <v>#REF!</v>
      </c>
      <c r="HN7" t="e">
        <f>#REF!+"vlM!:["</f>
        <v>#REF!</v>
      </c>
      <c r="HO7" t="e">
        <f>#REF!+"vlM!:\"</f>
        <v>#REF!</v>
      </c>
      <c r="HP7" t="e">
        <f>#REF!+"vlM!:]"</f>
        <v>#REF!</v>
      </c>
      <c r="HQ7" t="e">
        <f>#REF!+"vlM!:^"</f>
        <v>#REF!</v>
      </c>
      <c r="HR7" t="e">
        <f>#REF!+"vlM!:_"</f>
        <v>#REF!</v>
      </c>
      <c r="HS7" t="e">
        <f>#REF!+"vlM!:`"</f>
        <v>#REF!</v>
      </c>
      <c r="HT7" t="e">
        <f>#REF!+"vlM!:a"</f>
        <v>#REF!</v>
      </c>
      <c r="HU7" t="e">
        <f>#REF!+"vlM!:b"</f>
        <v>#REF!</v>
      </c>
      <c r="HV7" t="e">
        <f>#REF!+"vlM!:c"</f>
        <v>#REF!</v>
      </c>
      <c r="HW7" t="e">
        <f>#REF!+"vlM!:d"</f>
        <v>#REF!</v>
      </c>
      <c r="HX7" t="e">
        <f>#REF!+"vlM!:e"</f>
        <v>#REF!</v>
      </c>
      <c r="HY7" t="e">
        <f>#REF!+"vlM!:f"</f>
        <v>#REF!</v>
      </c>
      <c r="HZ7" s="1" t="e">
        <f>#REF!+"vlM!:g"</f>
        <v>#REF!</v>
      </c>
      <c r="IA7" t="e">
        <f>#REF!+"vlM!:h"</f>
        <v>#REF!</v>
      </c>
      <c r="IB7" t="e">
        <f>#REF!+"vlM!:i"</f>
        <v>#REF!</v>
      </c>
      <c r="IC7" t="e">
        <f>#REF!+"vlM!:j"</f>
        <v>#REF!</v>
      </c>
      <c r="ID7" t="e">
        <f>#REF!+"vlM!:k"</f>
        <v>#REF!</v>
      </c>
      <c r="IE7" t="e">
        <f>#REF!+"vlM!:l"</f>
        <v>#REF!</v>
      </c>
      <c r="IF7" t="e">
        <f>#REF!+"vlM!:m"</f>
        <v>#REF!</v>
      </c>
      <c r="IG7" t="e">
        <f>#REF!+"vlM!:n"</f>
        <v>#REF!</v>
      </c>
      <c r="IH7" t="e">
        <f>#REF!+"vlM!:o"</f>
        <v>#REF!</v>
      </c>
      <c r="II7" t="e">
        <f>#REF!+"vlM!:p"</f>
        <v>#REF!</v>
      </c>
      <c r="IJ7" t="e">
        <f>#REF!+"vlM!:q"</f>
        <v>#REF!</v>
      </c>
      <c r="IK7" t="e">
        <f>#REF!+"vlM!:r"</f>
        <v>#REF!</v>
      </c>
      <c r="IL7" t="e">
        <f>#REF!+"vlM!:s"</f>
        <v>#REF!</v>
      </c>
      <c r="IM7" t="e">
        <f>#REF!+"vlM!:t"</f>
        <v>#REF!</v>
      </c>
      <c r="IN7" t="e">
        <f>#REF!+"vlM!:u"</f>
        <v>#REF!</v>
      </c>
      <c r="IO7" s="1" t="e">
        <f>#REF!+"vlM!:v"</f>
        <v>#REF!</v>
      </c>
      <c r="IP7" t="e">
        <f>#REF!+"vlM!:w"</f>
        <v>#REF!</v>
      </c>
      <c r="IQ7" t="e">
        <f>#REF!+"vlM!:x"</f>
        <v>#REF!</v>
      </c>
      <c r="IR7" t="e">
        <f>#REF!+"vlM!:y"</f>
        <v>#REF!</v>
      </c>
      <c r="IS7" t="e">
        <f>#REF!+"vlM!:z"</f>
        <v>#REF!</v>
      </c>
      <c r="IT7" t="e">
        <f>#REF!+"vlM!:{"</f>
        <v>#REF!</v>
      </c>
      <c r="IU7" t="e">
        <f>#REF!+"vlM!:|"</f>
        <v>#REF!</v>
      </c>
      <c r="IV7" t="e">
        <f>#REF!+"vlM!:}"</f>
        <v>#REF!</v>
      </c>
    </row>
    <row r="8" spans="1:256" x14ac:dyDescent="0.25">
      <c r="F8" t="e">
        <f>#REF!+"vlM!:~"</f>
        <v>#REF!</v>
      </c>
      <c r="G8" t="e">
        <f>#REF!+"vlM!;#"</f>
        <v>#REF!</v>
      </c>
      <c r="H8" t="e">
        <f>#REF!+"vlM!;$"</f>
        <v>#REF!</v>
      </c>
      <c r="I8" t="e">
        <f>#REF!+"vlM!;%"</f>
        <v>#REF!</v>
      </c>
      <c r="J8" t="e">
        <f>#REF!+"vlM!;&amp;"</f>
        <v>#REF!</v>
      </c>
      <c r="K8" t="e">
        <f>#REF!+"vlM!;'"</f>
        <v>#REF!</v>
      </c>
      <c r="L8" t="e">
        <f>#REF!+"vlM!;("</f>
        <v>#REF!</v>
      </c>
      <c r="M8" s="1" t="e">
        <f>#REF!+"vlM!;)"</f>
        <v>#REF!</v>
      </c>
      <c r="N8" t="e">
        <f>#REF!+"vlM!;."</f>
        <v>#REF!</v>
      </c>
      <c r="O8" t="e">
        <f>#REF!+"vlM!;/"</f>
        <v>#REF!</v>
      </c>
      <c r="P8" t="e">
        <f>#REF!+"vlM!;0"</f>
        <v>#REF!</v>
      </c>
      <c r="Q8" t="e">
        <f>#REF!+"vlM!;1"</f>
        <v>#REF!</v>
      </c>
      <c r="R8" t="e">
        <f>#REF!+"vlM!;2"</f>
        <v>#REF!</v>
      </c>
      <c r="S8" t="e">
        <f>#REF!+"vlM!;3"</f>
        <v>#REF!</v>
      </c>
      <c r="T8" t="e">
        <f>#REF!+"vlM!;4"</f>
        <v>#REF!</v>
      </c>
      <c r="U8" t="e">
        <f>#REF!+"vlM!;5"</f>
        <v>#REF!</v>
      </c>
      <c r="V8" t="e">
        <f>#REF!+"vlM!;6"</f>
        <v>#REF!</v>
      </c>
      <c r="W8" t="e">
        <f>#REF!+"vlM!;7"</f>
        <v>#REF!</v>
      </c>
      <c r="X8" t="e">
        <f>#REF!+"vlM!;8"</f>
        <v>#REF!</v>
      </c>
      <c r="Y8" t="e">
        <f>#REF!+"vlM!;9"</f>
        <v>#REF!</v>
      </c>
      <c r="Z8" t="e">
        <f>#REF!+"vlM!;:"</f>
        <v>#REF!</v>
      </c>
      <c r="AA8" t="e">
        <f>#REF!+"vlM!;;"</f>
        <v>#REF!</v>
      </c>
      <c r="AB8" s="1" t="e">
        <f>#REF!+"vlM!;&lt;"</f>
        <v>#REF!</v>
      </c>
      <c r="AC8" t="e">
        <f>#REF!+"vlM!;="</f>
        <v>#REF!</v>
      </c>
      <c r="AD8" t="e">
        <f>#REF!+"vlM!;&gt;"</f>
        <v>#REF!</v>
      </c>
      <c r="AE8" t="e">
        <f>#REF!+"vlM!;?"</f>
        <v>#REF!</v>
      </c>
      <c r="AF8" t="e">
        <f>#REF!+"vlM!;@"</f>
        <v>#REF!</v>
      </c>
      <c r="AG8" t="e">
        <f>#REF!+"vlM!;A"</f>
        <v>#REF!</v>
      </c>
      <c r="AH8" t="e">
        <f>#REF!+"vlM!;B"</f>
        <v>#REF!</v>
      </c>
      <c r="AI8" t="e">
        <f>#REF!+"vlM!;C"</f>
        <v>#REF!</v>
      </c>
      <c r="AJ8" t="e">
        <f>#REF!+"vlM!;D"</f>
        <v>#REF!</v>
      </c>
      <c r="AK8" t="e">
        <f>#REF!+"vlM!;E"</f>
        <v>#REF!</v>
      </c>
      <c r="AL8" t="e">
        <f>#REF!+"vlM!;F"</f>
        <v>#REF!</v>
      </c>
      <c r="AM8" t="e">
        <f>#REF!+"vlM!;G"</f>
        <v>#REF!</v>
      </c>
      <c r="AN8" t="e">
        <f>#REF!+"vlM!;H"</f>
        <v>#REF!</v>
      </c>
      <c r="AO8" t="e">
        <f>#REF!+"vlM!;I"</f>
        <v>#REF!</v>
      </c>
      <c r="AP8" t="e">
        <f>#REF!+"vlM!;J"</f>
        <v>#REF!</v>
      </c>
      <c r="AQ8" s="1" t="e">
        <f>#REF!+"vlM!;K"</f>
        <v>#REF!</v>
      </c>
      <c r="AR8" t="e">
        <f>#REF!+"vlM!;L"</f>
        <v>#REF!</v>
      </c>
      <c r="AS8" t="e">
        <f>#REF!+"vlM!;M"</f>
        <v>#REF!</v>
      </c>
      <c r="AT8" t="e">
        <f>#REF!+"vlM!;N"</f>
        <v>#REF!</v>
      </c>
      <c r="AU8" t="e">
        <f>#REF!+"vlM!;O"</f>
        <v>#REF!</v>
      </c>
      <c r="AV8" t="e">
        <f>#REF!+"vlM!;P"</f>
        <v>#REF!</v>
      </c>
      <c r="AW8" t="e">
        <f>#REF!+"vlM!;Q"</f>
        <v>#REF!</v>
      </c>
      <c r="AX8" t="e">
        <f>#REF!+"vlM!;R"</f>
        <v>#REF!</v>
      </c>
      <c r="AY8" t="e">
        <f>#REF!+"vlM!;S"</f>
        <v>#REF!</v>
      </c>
      <c r="AZ8" t="e">
        <f>#REF!+"vlM!;T"</f>
        <v>#REF!</v>
      </c>
      <c r="BA8" t="e">
        <f>#REF!+"vlM!;U"</f>
        <v>#REF!</v>
      </c>
      <c r="BB8" t="e">
        <f>#REF!+"vlM!;V"</f>
        <v>#REF!</v>
      </c>
      <c r="BC8" t="e">
        <f>#REF!+"vlM!;W"</f>
        <v>#REF!</v>
      </c>
      <c r="BD8" t="e">
        <f>#REF!+"vlM!;X"</f>
        <v>#REF!</v>
      </c>
      <c r="BE8" t="e">
        <f>#REF!+"vlM!;Y"</f>
        <v>#REF!</v>
      </c>
      <c r="BF8" s="1" t="e">
        <f>#REF!+"vlM!;Z"</f>
        <v>#REF!</v>
      </c>
      <c r="BG8" t="e">
        <f>#REF!+"vlM!;["</f>
        <v>#REF!</v>
      </c>
      <c r="BH8" t="e">
        <f>#REF!+"vlM!;\"</f>
        <v>#REF!</v>
      </c>
      <c r="BI8" t="e">
        <f>#REF!+"vlM!;]"</f>
        <v>#REF!</v>
      </c>
      <c r="BJ8" t="e">
        <f>#REF!+"vlM!;^"</f>
        <v>#REF!</v>
      </c>
      <c r="BK8" t="e">
        <f>#REF!+"vlM!;_"</f>
        <v>#REF!</v>
      </c>
      <c r="BL8" t="e">
        <f>#REF!+"vlM!;`"</f>
        <v>#REF!</v>
      </c>
      <c r="BM8" t="e">
        <f>#REF!+"vlM!;a"</f>
        <v>#REF!</v>
      </c>
      <c r="BN8" t="e">
        <f>#REF!+"vlM!;b"</f>
        <v>#REF!</v>
      </c>
      <c r="BO8" t="e">
        <f>#REF!+"vlM!;c"</f>
        <v>#REF!</v>
      </c>
      <c r="BP8" t="e">
        <f>#REF!+"vlM!;d"</f>
        <v>#REF!</v>
      </c>
      <c r="BQ8" t="e">
        <f>#REF!+"vlM!;e"</f>
        <v>#REF!</v>
      </c>
      <c r="BR8" t="e">
        <f>#REF!+"vlM!;f"</f>
        <v>#REF!</v>
      </c>
      <c r="BS8" t="e">
        <f>#REF!+"vlM!;g"</f>
        <v>#REF!</v>
      </c>
      <c r="BT8" t="e">
        <f>#REF!+"vlM!;h"</f>
        <v>#REF!</v>
      </c>
      <c r="BU8" s="1" t="e">
        <f>#REF!+"vlM!;i"</f>
        <v>#REF!</v>
      </c>
      <c r="BV8" t="e">
        <f>#REF!+"vlM!;j"</f>
        <v>#REF!</v>
      </c>
      <c r="BW8" t="e">
        <f>#REF!+"vlM!;k"</f>
        <v>#REF!</v>
      </c>
      <c r="BX8" t="e">
        <f>#REF!+"vlM!;l"</f>
        <v>#REF!</v>
      </c>
      <c r="BY8" t="e">
        <f>#REF!+"vlM!;m"</f>
        <v>#REF!</v>
      </c>
      <c r="BZ8" t="e">
        <f>#REF!+"vlM!;n"</f>
        <v>#REF!</v>
      </c>
      <c r="CA8" t="e">
        <f>#REF!+"vlM!;o"</f>
        <v>#REF!</v>
      </c>
      <c r="CB8" t="e">
        <f>#REF!+"vlM!;p"</f>
        <v>#REF!</v>
      </c>
      <c r="CC8" t="e">
        <f>#REF!+"vlM!;q"</f>
        <v>#REF!</v>
      </c>
      <c r="CD8" t="e">
        <f>#REF!+"vlM!;r"</f>
        <v>#REF!</v>
      </c>
      <c r="CE8" t="e">
        <f>#REF!+"vlM!;s"</f>
        <v>#REF!</v>
      </c>
      <c r="CF8" t="e">
        <f>#REF!+"vlM!;t"</f>
        <v>#REF!</v>
      </c>
      <c r="CG8" t="e">
        <f>#REF!+"vlM!;u"</f>
        <v>#REF!</v>
      </c>
      <c r="CH8" t="e">
        <f>#REF!+"vlM!;v"</f>
        <v>#REF!</v>
      </c>
      <c r="CI8" t="e">
        <f>#REF!+"vlM!;w"</f>
        <v>#REF!</v>
      </c>
      <c r="CJ8" s="1" t="e">
        <f>#REF!+"vlM!;x"</f>
        <v>#REF!</v>
      </c>
      <c r="CK8" t="e">
        <f>#REF!+"vlM!;y"</f>
        <v>#REF!</v>
      </c>
      <c r="CL8" t="e">
        <f>#REF!+"vlM!;z"</f>
        <v>#REF!</v>
      </c>
      <c r="CM8" t="e">
        <f>#REF!+"vlM!;{"</f>
        <v>#REF!</v>
      </c>
      <c r="CN8" t="e">
        <f>#REF!+"vlM!;|"</f>
        <v>#REF!</v>
      </c>
      <c r="CO8" t="e">
        <f>#REF!+"vlM!;}"</f>
        <v>#REF!</v>
      </c>
      <c r="CP8" t="e">
        <f>#REF!+"vlM!;~"</f>
        <v>#REF!</v>
      </c>
      <c r="CQ8" t="e">
        <f>#REF!+"vlM!&lt;#"</f>
        <v>#REF!</v>
      </c>
      <c r="CR8" t="e">
        <f>#REF!+"vlM!&lt;$"</f>
        <v>#REF!</v>
      </c>
      <c r="CS8" t="e">
        <f>#REF!+"vlM!&lt;%"</f>
        <v>#REF!</v>
      </c>
      <c r="CT8" t="e">
        <f>#REF!+"vlM!&lt;&amp;"</f>
        <v>#REF!</v>
      </c>
      <c r="CU8" t="e">
        <f>#REF!+"vlM!&lt;'"</f>
        <v>#REF!</v>
      </c>
      <c r="CV8" t="e">
        <f>#REF!+"vlM!&lt;("</f>
        <v>#REF!</v>
      </c>
      <c r="CW8" t="e">
        <f>#REF!+"vlM!&lt;)"</f>
        <v>#REF!</v>
      </c>
      <c r="CX8" t="e">
        <f>#REF!+"vlM!&lt;."</f>
        <v>#REF!</v>
      </c>
      <c r="CY8" s="1" t="e">
        <f>#REF!+"vlM!&lt;/"</f>
        <v>#REF!</v>
      </c>
      <c r="CZ8" t="e">
        <f>#REF!+"vlM!&lt;0"</f>
        <v>#REF!</v>
      </c>
      <c r="DA8" t="e">
        <f>#REF!+"vlM!&lt;1"</f>
        <v>#REF!</v>
      </c>
      <c r="DB8" t="e">
        <f>#REF!+"vlM!&lt;2"</f>
        <v>#REF!</v>
      </c>
      <c r="DC8" t="e">
        <f>#REF!+"vlM!&lt;3"</f>
        <v>#REF!</v>
      </c>
      <c r="DD8" t="e">
        <f>#REF!+"vlM!&lt;4"</f>
        <v>#REF!</v>
      </c>
      <c r="DE8" t="e">
        <f>#REF!+"vlM!&lt;5"</f>
        <v>#REF!</v>
      </c>
      <c r="DF8" t="e">
        <f>#REF!+"vlM!&lt;6"</f>
        <v>#REF!</v>
      </c>
      <c r="DG8" t="e">
        <f>#REF!+"vlM!&lt;7"</f>
        <v>#REF!</v>
      </c>
      <c r="DH8" t="e">
        <f>#REF!+"vlM!&lt;8"</f>
        <v>#REF!</v>
      </c>
      <c r="DI8" t="e">
        <f>#REF!+"vlM!&lt;9"</f>
        <v>#REF!</v>
      </c>
      <c r="DJ8" t="e">
        <f>#REF!+"vlM!&lt;:"</f>
        <v>#REF!</v>
      </c>
      <c r="DK8" t="e">
        <f>#REF!+"vlM!&lt;;"</f>
        <v>#REF!</v>
      </c>
      <c r="DL8" t="e">
        <f>#REF!+"vlM!&lt;&lt;"</f>
        <v>#REF!</v>
      </c>
      <c r="DM8" t="e">
        <f>#REF!+"vlM!&lt;="</f>
        <v>#REF!</v>
      </c>
      <c r="DN8" s="1" t="e">
        <f>#REF!+"vlM!&lt;&gt;"</f>
        <v>#REF!</v>
      </c>
      <c r="DO8" t="e">
        <f>#REF!+"vlM!&lt;?"</f>
        <v>#REF!</v>
      </c>
      <c r="DP8" t="e">
        <f>#REF!+"vlM!&lt;@"</f>
        <v>#REF!</v>
      </c>
      <c r="DQ8" t="e">
        <f>#REF!+"vlM!&lt;A"</f>
        <v>#REF!</v>
      </c>
      <c r="DR8" t="e">
        <f>#REF!+"vlM!&lt;B"</f>
        <v>#REF!</v>
      </c>
      <c r="DS8" t="e">
        <f>#REF!+"vlM!&lt;C"</f>
        <v>#REF!</v>
      </c>
      <c r="DT8" t="e">
        <f>#REF!+"vlM!&lt;D"</f>
        <v>#REF!</v>
      </c>
      <c r="DU8" t="e">
        <f>#REF!+"vlM!&lt;E"</f>
        <v>#REF!</v>
      </c>
      <c r="DV8" t="e">
        <f>#REF!+"vlM!&lt;F"</f>
        <v>#REF!</v>
      </c>
      <c r="DW8" t="e">
        <f>#REF!+"vlM!&lt;G"</f>
        <v>#REF!</v>
      </c>
      <c r="DX8" t="e">
        <f>#REF!+"vlM!&lt;H"</f>
        <v>#REF!</v>
      </c>
      <c r="DY8" t="e">
        <f>#REF!+"vlM!&lt;I"</f>
        <v>#REF!</v>
      </c>
      <c r="DZ8" t="e">
        <f>#REF!+"vlM!&lt;J"</f>
        <v>#REF!</v>
      </c>
      <c r="EA8" t="e">
        <f>#REF!+"vlM!&lt;K"</f>
        <v>#REF!</v>
      </c>
      <c r="EB8" t="e">
        <f>#REF!+"vlM!&lt;L"</f>
        <v>#REF!</v>
      </c>
      <c r="EC8" s="1" t="e">
        <f>#REF!+"vlM!&lt;M"</f>
        <v>#REF!</v>
      </c>
      <c r="ED8" t="e">
        <f>#REF!+"vlM!&lt;N"</f>
        <v>#REF!</v>
      </c>
      <c r="EE8" t="e">
        <f>#REF!+"vlM!&lt;O"</f>
        <v>#REF!</v>
      </c>
      <c r="EF8" t="e">
        <f>#REF!+"vlM!&lt;P"</f>
        <v>#REF!</v>
      </c>
      <c r="EG8" t="e">
        <f>#REF!+"vlM!&lt;Q"</f>
        <v>#REF!</v>
      </c>
      <c r="EH8" t="e">
        <f>#REF!+"vlM!&lt;R"</f>
        <v>#REF!</v>
      </c>
      <c r="EI8" t="e">
        <f>#REF!+"vlM!&lt;S"</f>
        <v>#REF!</v>
      </c>
      <c r="EJ8" t="e">
        <f>#REF!+"vlM!&lt;T"</f>
        <v>#REF!</v>
      </c>
      <c r="EK8" t="e">
        <f>#REF!+"vlM!&lt;U"</f>
        <v>#REF!</v>
      </c>
      <c r="EL8" t="e">
        <f>#REF!+"vlM!&lt;V"</f>
        <v>#REF!</v>
      </c>
      <c r="EM8" t="e">
        <f>#REF!+"vlM!&lt;W"</f>
        <v>#REF!</v>
      </c>
      <c r="EN8" t="e">
        <f>#REF!+"vlM!&lt;X"</f>
        <v>#REF!</v>
      </c>
      <c r="EO8" t="e">
        <f>#REF!+"vlM!&lt;Y"</f>
        <v>#REF!</v>
      </c>
      <c r="EP8" t="e">
        <f>#REF!+"vlM!&lt;Z"</f>
        <v>#REF!</v>
      </c>
      <c r="EQ8" t="e">
        <f>#REF!+"vlM!&lt;["</f>
        <v>#REF!</v>
      </c>
      <c r="ER8" s="1" t="e">
        <f>#REF!+"vlM!&lt;\"</f>
        <v>#REF!</v>
      </c>
      <c r="ES8" t="e">
        <f>#REF!+"vlM!&lt;]"</f>
        <v>#REF!</v>
      </c>
      <c r="ET8" t="e">
        <f>#REF!+"vlM!&lt;^"</f>
        <v>#REF!</v>
      </c>
      <c r="EU8" t="e">
        <f>#REF!+"vlM!&lt;_"</f>
        <v>#REF!</v>
      </c>
      <c r="EV8" t="e">
        <f>#REF!+"vlM!&lt;`"</f>
        <v>#REF!</v>
      </c>
      <c r="EW8" t="e">
        <f>#REF!+"vlM!&lt;a"</f>
        <v>#REF!</v>
      </c>
      <c r="EX8" t="e">
        <f>#REF!+"vlM!&lt;b"</f>
        <v>#REF!</v>
      </c>
      <c r="EY8" t="e">
        <f>#REF!+"vlM!&lt;c"</f>
        <v>#REF!</v>
      </c>
      <c r="EZ8" t="e">
        <f>#REF!+"vlM!&lt;d"</f>
        <v>#REF!</v>
      </c>
      <c r="FA8" t="e">
        <f>#REF!+"vlM!&lt;e"</f>
        <v>#REF!</v>
      </c>
      <c r="FB8" t="e">
        <f>#REF!+"vlM!&lt;f"</f>
        <v>#REF!</v>
      </c>
      <c r="FC8" t="e">
        <f>#REF!+"vlM!&lt;g"</f>
        <v>#REF!</v>
      </c>
      <c r="FD8" t="e">
        <f>#REF!+"vlM!&lt;h"</f>
        <v>#REF!</v>
      </c>
      <c r="FE8" t="e">
        <f>#REF!+"vlM!&lt;i"</f>
        <v>#REF!</v>
      </c>
      <c r="FF8" t="e">
        <f>#REF!+"vlM!&lt;j"</f>
        <v>#REF!</v>
      </c>
      <c r="FG8" s="1" t="e">
        <f>#REF!+"vlM!&lt;k"</f>
        <v>#REF!</v>
      </c>
      <c r="FH8" t="e">
        <f>#REF!+"vlM!&lt;l"</f>
        <v>#REF!</v>
      </c>
      <c r="FI8" t="e">
        <f>#REF!+"vlM!&lt;m"</f>
        <v>#REF!</v>
      </c>
      <c r="FJ8" t="e">
        <f>#REF!+"vlM!&lt;n"</f>
        <v>#REF!</v>
      </c>
      <c r="FK8" t="e">
        <f>#REF!+"vlM!&lt;o"</f>
        <v>#REF!</v>
      </c>
      <c r="FL8" t="e">
        <f>#REF!+"vlM!&lt;p"</f>
        <v>#REF!</v>
      </c>
      <c r="FM8" t="e">
        <f>#REF!+"vlM!&lt;q"</f>
        <v>#REF!</v>
      </c>
      <c r="FN8" t="e">
        <f>#REF!+"vlM!&lt;r"</f>
        <v>#REF!</v>
      </c>
      <c r="FO8" t="e">
        <f>#REF!+"vlM!&lt;s"</f>
        <v>#REF!</v>
      </c>
      <c r="FP8" t="e">
        <f>#REF!+"vlM!&lt;t"</f>
        <v>#REF!</v>
      </c>
      <c r="FQ8" t="e">
        <f>#REF!+"vlM!&lt;u"</f>
        <v>#REF!</v>
      </c>
      <c r="FR8" t="e">
        <f>#REF!+"vlM!&lt;v"</f>
        <v>#REF!</v>
      </c>
      <c r="FS8" t="e">
        <f>#REF!+"vlM!&lt;w"</f>
        <v>#REF!</v>
      </c>
      <c r="FT8" t="e">
        <f>#REF!+"vlM!&lt;x"</f>
        <v>#REF!</v>
      </c>
      <c r="FU8" t="e">
        <f>#REF!+"vlM!&lt;y"</f>
        <v>#REF!</v>
      </c>
      <c r="FV8" s="1" t="e">
        <f>#REF!+"vlM!&lt;z"</f>
        <v>#REF!</v>
      </c>
      <c r="FW8" t="e">
        <f>#REF!+"vlM!&lt;{"</f>
        <v>#REF!</v>
      </c>
      <c r="FX8" t="e">
        <f>#REF!+"vlM!&lt;|"</f>
        <v>#REF!</v>
      </c>
      <c r="FY8" t="e">
        <f>#REF!+"vlM!&lt;}"</f>
        <v>#REF!</v>
      </c>
      <c r="FZ8" t="e">
        <f>#REF!+"vlM!&lt;~"</f>
        <v>#REF!</v>
      </c>
      <c r="GA8" t="e">
        <f>#REF!+"vlM!=#"</f>
        <v>#REF!</v>
      </c>
      <c r="GB8" t="e">
        <f>#REF!+"vlM!=$"</f>
        <v>#REF!</v>
      </c>
      <c r="GC8" t="e">
        <f>#REF!+"vlM!=%"</f>
        <v>#REF!</v>
      </c>
      <c r="GD8" t="e">
        <f>#REF!+"vlM!=&amp;"</f>
        <v>#REF!</v>
      </c>
      <c r="GE8" t="e">
        <f>#REF!+"vlM!='"</f>
        <v>#REF!</v>
      </c>
      <c r="GF8" t="e">
        <f>#REF!+"vlM!=("</f>
        <v>#REF!</v>
      </c>
      <c r="GG8" t="e">
        <f>#REF!+"vlM!=)"</f>
        <v>#REF!</v>
      </c>
      <c r="GH8" t="e">
        <f>#REF!+"vlM!=."</f>
        <v>#REF!</v>
      </c>
      <c r="GI8" t="e">
        <f>#REF!+"vlM!=/"</f>
        <v>#REF!</v>
      </c>
      <c r="GJ8" t="e">
        <f>#REF!+"vlM!=0"</f>
        <v>#REF!</v>
      </c>
      <c r="GK8" s="1" t="e">
        <f>#REF!+"vlM!=1"</f>
        <v>#REF!</v>
      </c>
      <c r="GL8" t="e">
        <f>#REF!+"vlM!=2"</f>
        <v>#REF!</v>
      </c>
      <c r="GM8" t="e">
        <f>#REF!+"vlM!=3"</f>
        <v>#REF!</v>
      </c>
      <c r="GN8" t="e">
        <f>#REF!+"vlM!=4"</f>
        <v>#REF!</v>
      </c>
      <c r="GO8" t="e">
        <f>#REF!+"vlM!=5"</f>
        <v>#REF!</v>
      </c>
      <c r="GP8" t="e">
        <f>#REF!+"vlM!=6"</f>
        <v>#REF!</v>
      </c>
      <c r="GQ8" t="e">
        <f>#REF!+"vlM!=7"</f>
        <v>#REF!</v>
      </c>
      <c r="GR8" t="e">
        <f>#REF!+"vlM!=8"</f>
        <v>#REF!</v>
      </c>
      <c r="GS8" t="e">
        <f>#REF!+"vlM!=9"</f>
        <v>#REF!</v>
      </c>
      <c r="GT8" t="e">
        <f>#REF!+"vlM!=:"</f>
        <v>#REF!</v>
      </c>
      <c r="GU8" t="e">
        <f>#REF!+"vlM!=;"</f>
        <v>#REF!</v>
      </c>
      <c r="GV8" t="e">
        <f>#REF!+"vlM!=&lt;"</f>
        <v>#REF!</v>
      </c>
      <c r="GW8" t="e">
        <f>#REF!+"vlM!=="</f>
        <v>#REF!</v>
      </c>
      <c r="GX8" t="e">
        <f>#REF!+"vlM!=&gt;"</f>
        <v>#REF!</v>
      </c>
      <c r="GY8" t="e">
        <f>#REF!+"vlM!=?"</f>
        <v>#REF!</v>
      </c>
      <c r="GZ8" s="1" t="e">
        <f>#REF!+"vlM!=@"</f>
        <v>#REF!</v>
      </c>
      <c r="HA8" t="e">
        <f>#REF!+"vlM!=A"</f>
        <v>#REF!</v>
      </c>
      <c r="HB8" t="e">
        <f>#REF!+"vlM!=B"</f>
        <v>#REF!</v>
      </c>
      <c r="HC8" t="e">
        <f>#REF!+"vlM!=C"</f>
        <v>#REF!</v>
      </c>
      <c r="HD8" t="e">
        <f>#REF!+"vlM!=D"</f>
        <v>#REF!</v>
      </c>
      <c r="HE8" t="e">
        <f>#REF!+"vlM!=E"</f>
        <v>#REF!</v>
      </c>
      <c r="HF8" t="e">
        <f>#REF!+"vlM!=F"</f>
        <v>#REF!</v>
      </c>
      <c r="HG8" t="e">
        <f>#REF!+"vlM!=G"</f>
        <v>#REF!</v>
      </c>
      <c r="HH8" t="e">
        <f>#REF!+"vlM!=H"</f>
        <v>#REF!</v>
      </c>
      <c r="HI8" t="e">
        <f>#REF!+"vlM!=I"</f>
        <v>#REF!</v>
      </c>
      <c r="HJ8" t="e">
        <f>#REF!+"vlM!=J"</f>
        <v>#REF!</v>
      </c>
      <c r="HK8" t="e">
        <f>#REF!+"vlM!=K"</f>
        <v>#REF!</v>
      </c>
      <c r="HL8" t="e">
        <f>#REF!+"vlM!=L"</f>
        <v>#REF!</v>
      </c>
      <c r="HM8" t="e">
        <f>#REF!+"vlM!=M"</f>
        <v>#REF!</v>
      </c>
      <c r="HN8" t="e">
        <f>#REF!+"vlM!=N"</f>
        <v>#REF!</v>
      </c>
      <c r="HO8" s="1" t="e">
        <f>#REF!+"vlM!=O"</f>
        <v>#REF!</v>
      </c>
      <c r="HP8" t="e">
        <f>#REF!+"vlM!=P"</f>
        <v>#REF!</v>
      </c>
      <c r="HQ8" t="e">
        <f>#REF!+"vlM!=Q"</f>
        <v>#REF!</v>
      </c>
      <c r="HR8" t="e">
        <f>#REF!+"vlM!=R"</f>
        <v>#REF!</v>
      </c>
      <c r="HS8" t="e">
        <f>#REF!+"vlM!=S"</f>
        <v>#REF!</v>
      </c>
      <c r="HT8" t="e">
        <f>#REF!+"vlM!=T"</f>
        <v>#REF!</v>
      </c>
      <c r="HU8" t="e">
        <f>#REF!+"vlM!=U"</f>
        <v>#REF!</v>
      </c>
      <c r="HV8" t="e">
        <f>#REF!+"vlM!=V"</f>
        <v>#REF!</v>
      </c>
      <c r="HW8" t="e">
        <f>#REF!+"vlM!=W"</f>
        <v>#REF!</v>
      </c>
      <c r="HX8" t="e">
        <f>#REF!+"vlM!=X"</f>
        <v>#REF!</v>
      </c>
      <c r="HY8" t="e">
        <f>#REF!+"vlM!=Y"</f>
        <v>#REF!</v>
      </c>
      <c r="HZ8" t="e">
        <f>#REF!+"vlM!=Z"</f>
        <v>#REF!</v>
      </c>
      <c r="IA8" t="e">
        <f>#REF!+"vlM!=["</f>
        <v>#REF!</v>
      </c>
      <c r="IB8" t="e">
        <f>#REF!+"vlM!=\"</f>
        <v>#REF!</v>
      </c>
      <c r="IC8" t="e">
        <f>#REF!+"vlM!=]"</f>
        <v>#REF!</v>
      </c>
      <c r="ID8" s="1" t="e">
        <f>#REF!+"vlM!=^"</f>
        <v>#REF!</v>
      </c>
      <c r="IE8" t="e">
        <f>#REF!+"vlM!=_"</f>
        <v>#REF!</v>
      </c>
      <c r="IF8" t="e">
        <f>#REF!+"vlM!=`"</f>
        <v>#REF!</v>
      </c>
      <c r="IG8" t="e">
        <f>#REF!+"vlM!=a"</f>
        <v>#REF!</v>
      </c>
      <c r="IH8" t="e">
        <f>#REF!+"vlM!=b"</f>
        <v>#REF!</v>
      </c>
      <c r="II8" t="e">
        <f>#REF!+"vlM!=c"</f>
        <v>#REF!</v>
      </c>
      <c r="IJ8" t="e">
        <f>#REF!+"vlM!=d"</f>
        <v>#REF!</v>
      </c>
      <c r="IK8" t="e">
        <f>#REF!+"vlM!=e"</f>
        <v>#REF!</v>
      </c>
      <c r="IL8" t="e">
        <f>#REF!+"vlM!=f"</f>
        <v>#REF!</v>
      </c>
      <c r="IM8" t="e">
        <f>#REF!+"vlM!=g"</f>
        <v>#REF!</v>
      </c>
      <c r="IN8" t="e">
        <f>#REF!+"vlM!=h"</f>
        <v>#REF!</v>
      </c>
      <c r="IO8" t="e">
        <f>#REF!+"vlM!=i"</f>
        <v>#REF!</v>
      </c>
      <c r="IP8" t="e">
        <f>#REF!+"vlM!=j"</f>
        <v>#REF!</v>
      </c>
      <c r="IQ8" t="e">
        <f>#REF!+"vlM!=k"</f>
        <v>#REF!</v>
      </c>
      <c r="IR8" t="e">
        <f>#REF!+"vlM!=l"</f>
        <v>#REF!</v>
      </c>
      <c r="IS8" s="1" t="e">
        <f>#REF!+"vlM!=m"</f>
        <v>#REF!</v>
      </c>
      <c r="IT8" t="e">
        <f>#REF!+"vlM!=n"</f>
        <v>#REF!</v>
      </c>
      <c r="IU8" t="e">
        <f>#REF!+"vlM!=o"</f>
        <v>#REF!</v>
      </c>
      <c r="IV8" t="e">
        <f>#REF!+"vlM!=p"</f>
        <v>#REF!</v>
      </c>
    </row>
    <row r="9" spans="1:256" x14ac:dyDescent="0.25">
      <c r="F9" t="e">
        <f>#REF!+"vlM!=q"</f>
        <v>#REF!</v>
      </c>
      <c r="G9" t="e">
        <f>#REF!+"vlM!=r"</f>
        <v>#REF!</v>
      </c>
      <c r="H9" t="e">
        <f>#REF!+"vlM!=s"</f>
        <v>#REF!</v>
      </c>
      <c r="I9" t="e">
        <f>#REF!+"vlM!=t"</f>
        <v>#REF!</v>
      </c>
      <c r="J9" t="e">
        <f>#REF!+"vlM!=u"</f>
        <v>#REF!</v>
      </c>
      <c r="K9" t="e">
        <f>#REF!+"vlM!=v"</f>
        <v>#REF!</v>
      </c>
      <c r="L9" t="e">
        <f>#REF!+"vlM!=w"</f>
        <v>#REF!</v>
      </c>
      <c r="M9" t="e">
        <f>#REF!+"vlM!=x"</f>
        <v>#REF!</v>
      </c>
      <c r="N9" t="e">
        <f>#REF!+"vlM!=y"</f>
        <v>#REF!</v>
      </c>
      <c r="O9" t="e">
        <f>#REF!+"vlM!=z"</f>
        <v>#REF!</v>
      </c>
      <c r="P9" t="e">
        <f>#REF!+"vlM!={"</f>
        <v>#REF!</v>
      </c>
      <c r="Q9" s="1" t="e">
        <f>#REF!+"vlM!=|"</f>
        <v>#REF!</v>
      </c>
      <c r="R9" t="e">
        <f>#REF!+"vlM!=}"</f>
        <v>#REF!</v>
      </c>
      <c r="S9" t="e">
        <f>#REF!+"vlM!=~"</f>
        <v>#REF!</v>
      </c>
      <c r="T9" t="e">
        <f>#REF!+"vlM!&gt;#"</f>
        <v>#REF!</v>
      </c>
      <c r="U9" t="e">
        <f>#REF!+"vlM!&gt;$"</f>
        <v>#REF!</v>
      </c>
      <c r="V9" t="e">
        <f>#REF!+"vlM!&gt;%"</f>
        <v>#REF!</v>
      </c>
      <c r="W9" t="e">
        <f>#REF!+"vlM!&gt;&amp;"</f>
        <v>#REF!</v>
      </c>
      <c r="X9" t="e">
        <f>#REF!+"vlM!&gt;'"</f>
        <v>#REF!</v>
      </c>
      <c r="Y9" t="e">
        <f>#REF!+"vlM!&gt;("</f>
        <v>#REF!</v>
      </c>
      <c r="Z9" t="e">
        <f>#REF!+"vlM!&gt;)"</f>
        <v>#REF!</v>
      </c>
      <c r="AA9" t="e">
        <f>#REF!+"vlM!&gt;."</f>
        <v>#REF!</v>
      </c>
      <c r="AB9" t="e">
        <f>#REF!+"vlM!&gt;/"</f>
        <v>#REF!</v>
      </c>
      <c r="AC9" t="e">
        <f>#REF!+"vlM!&gt;0"</f>
        <v>#REF!</v>
      </c>
      <c r="AD9" t="e">
        <f>#REF!+"vlM!&gt;1"</f>
        <v>#REF!</v>
      </c>
      <c r="AE9" t="e">
        <f>#REF!+"vlM!&gt;2"</f>
        <v>#REF!</v>
      </c>
      <c r="AF9" s="1" t="e">
        <f>#REF!+"vlM!&gt;3"</f>
        <v>#REF!</v>
      </c>
      <c r="AG9" t="e">
        <f>#REF!+"vlM!&gt;4"</f>
        <v>#REF!</v>
      </c>
      <c r="AH9" t="e">
        <f>#REF!+"vlM!&gt;5"</f>
        <v>#REF!</v>
      </c>
      <c r="AI9" t="e">
        <f>#REF!+"vlM!&gt;6"</f>
        <v>#REF!</v>
      </c>
      <c r="AJ9" t="e">
        <f>#REF!+"vlM!&gt;7"</f>
        <v>#REF!</v>
      </c>
      <c r="AK9" t="e">
        <f>#REF!+"vlM!&gt;8"</f>
        <v>#REF!</v>
      </c>
      <c r="AL9" t="e">
        <f>#REF!+"vlM!&gt;9"</f>
        <v>#REF!</v>
      </c>
      <c r="AM9" t="e">
        <f>#REF!+"vlM!&gt;:"</f>
        <v>#REF!</v>
      </c>
      <c r="AN9" t="e">
        <f>#REF!+"vlM!&gt;;"</f>
        <v>#REF!</v>
      </c>
      <c r="AO9" t="e">
        <f>#REF!+"vlM!&gt;&lt;"</f>
        <v>#REF!</v>
      </c>
      <c r="AP9" t="e">
        <f>#REF!+"vlM!&gt;="</f>
        <v>#REF!</v>
      </c>
      <c r="AQ9" t="e">
        <f>#REF!+"vlM!&gt;&gt;"</f>
        <v>#REF!</v>
      </c>
      <c r="AR9" t="e">
        <f>#REF!+"vlM!&gt;?"</f>
        <v>#REF!</v>
      </c>
      <c r="AS9" t="e">
        <f>#REF!+"vlM!&gt;@"</f>
        <v>#REF!</v>
      </c>
      <c r="AT9" t="e">
        <f>#REF!+"vlM!&gt;A"</f>
        <v>#REF!</v>
      </c>
      <c r="AU9" s="1" t="e">
        <f>#REF!+"vlM!&gt;B"</f>
        <v>#REF!</v>
      </c>
      <c r="AV9" t="e">
        <f>#REF!+"vlM!&gt;C"</f>
        <v>#REF!</v>
      </c>
      <c r="AW9" t="e">
        <f>#REF!+"vlM!&gt;D"</f>
        <v>#REF!</v>
      </c>
      <c r="AX9" t="e">
        <f>#REF!+"vlM!&gt;E"</f>
        <v>#REF!</v>
      </c>
      <c r="AY9" t="e">
        <f>#REF!+"vlM!&gt;F"</f>
        <v>#REF!</v>
      </c>
      <c r="AZ9" t="e">
        <f>#REF!+"vlM!&gt;G"</f>
        <v>#REF!</v>
      </c>
      <c r="BA9" t="e">
        <f>#REF!+"vlM!&gt;H"</f>
        <v>#REF!</v>
      </c>
      <c r="BB9" t="e">
        <f>#REF!+"vlM!&gt;I"</f>
        <v>#REF!</v>
      </c>
      <c r="BC9" t="e">
        <f>#REF!+"vlM!&gt;J"</f>
        <v>#REF!</v>
      </c>
      <c r="BD9" t="e">
        <f>#REF!+"vlM!&gt;K"</f>
        <v>#REF!</v>
      </c>
      <c r="BE9" t="e">
        <f>#REF!+"vlM!&gt;L"</f>
        <v>#REF!</v>
      </c>
      <c r="BF9" t="e">
        <f>#REF!+"vlM!&gt;M"</f>
        <v>#REF!</v>
      </c>
      <c r="BG9" t="e">
        <f>#REF!+"vlM!&gt;N"</f>
        <v>#REF!</v>
      </c>
      <c r="BH9" t="e">
        <f>#REF!+"vlM!&gt;O"</f>
        <v>#REF!</v>
      </c>
      <c r="BI9" t="e">
        <f>#REF!+"vlM!&gt;P"</f>
        <v>#REF!</v>
      </c>
      <c r="BJ9" s="1" t="e">
        <f>#REF!+"vlM!&gt;Q"</f>
        <v>#REF!</v>
      </c>
      <c r="BK9" t="e">
        <f>#REF!+"vlM!&gt;R"</f>
        <v>#REF!</v>
      </c>
      <c r="BL9" t="e">
        <f>#REF!+"vlM!&gt;S"</f>
        <v>#REF!</v>
      </c>
      <c r="BM9" t="e">
        <f>#REF!+"vlM!&gt;T"</f>
        <v>#REF!</v>
      </c>
      <c r="BN9" t="e">
        <f>#REF!+"vlM!&gt;U"</f>
        <v>#REF!</v>
      </c>
      <c r="BO9" t="e">
        <f>#REF!+"vlM!&gt;V"</f>
        <v>#REF!</v>
      </c>
      <c r="BP9" t="e">
        <f>#REF!+"vlM!&gt;W"</f>
        <v>#REF!</v>
      </c>
      <c r="BQ9" t="e">
        <f>#REF!+"vlM!&gt;X"</f>
        <v>#REF!</v>
      </c>
      <c r="BR9" t="e">
        <f>#REF!+"vlM!&gt;Y"</f>
        <v>#REF!</v>
      </c>
      <c r="BS9" t="e">
        <f>#REF!+"vlM!&gt;Z"</f>
        <v>#REF!</v>
      </c>
      <c r="BT9" t="e">
        <f>#REF!+"vlM!&gt;["</f>
        <v>#REF!</v>
      </c>
      <c r="BU9" t="e">
        <f>#REF!+"vlM!&gt;\"</f>
        <v>#REF!</v>
      </c>
      <c r="BV9" t="e">
        <f>#REF!+"vlM!&gt;]"</f>
        <v>#REF!</v>
      </c>
      <c r="BW9" t="e">
        <f>#REF!+"vlM!&gt;^"</f>
        <v>#REF!</v>
      </c>
      <c r="BX9" t="e">
        <f>#REF!+"vlM!&gt;_"</f>
        <v>#REF!</v>
      </c>
      <c r="BY9" s="1" t="e">
        <f>#REF!+"vlM!&gt;`"</f>
        <v>#REF!</v>
      </c>
      <c r="BZ9" t="e">
        <f>#REF!+"vlM!&gt;a"</f>
        <v>#REF!</v>
      </c>
      <c r="CA9" t="e">
        <f>#REF!+"vlM!&gt;b"</f>
        <v>#REF!</v>
      </c>
      <c r="CB9" t="e">
        <f>#REF!+"vlM!&gt;c"</f>
        <v>#REF!</v>
      </c>
      <c r="CC9" t="e">
        <f>#REF!+"vlM!&gt;d"</f>
        <v>#REF!</v>
      </c>
      <c r="CD9" t="e">
        <f>#REF!+"vlM!&gt;e"</f>
        <v>#REF!</v>
      </c>
      <c r="CE9" t="e">
        <f>#REF!+"vlM!&gt;f"</f>
        <v>#REF!</v>
      </c>
      <c r="CF9" t="e">
        <f>#REF!+"vlM!&gt;g"</f>
        <v>#REF!</v>
      </c>
      <c r="CG9" t="e">
        <f>#REF!+"vlM!&gt;h"</f>
        <v>#REF!</v>
      </c>
      <c r="CH9" t="e">
        <f>#REF!+"vlM!&gt;i"</f>
        <v>#REF!</v>
      </c>
      <c r="CI9" t="e">
        <f>#REF!+"vlM!&gt;j"</f>
        <v>#REF!</v>
      </c>
      <c r="CJ9" t="e">
        <f>#REF!+"vlM!&gt;k"</f>
        <v>#REF!</v>
      </c>
      <c r="CK9" t="e">
        <f>#REF!+"vlM!&gt;l"</f>
        <v>#REF!</v>
      </c>
      <c r="CL9" t="e">
        <f>#REF!+"vlM!&gt;m"</f>
        <v>#REF!</v>
      </c>
      <c r="CM9" t="e">
        <f>#REF!+"vlM!&gt;n"</f>
        <v>#REF!</v>
      </c>
      <c r="CN9" s="1" t="e">
        <f>#REF!+"vlM!&gt;o"</f>
        <v>#REF!</v>
      </c>
      <c r="CO9" t="e">
        <f>#REF!+"vlM!&gt;p"</f>
        <v>#REF!</v>
      </c>
      <c r="CP9" t="e">
        <f>#REF!+"vlM!&gt;q"</f>
        <v>#REF!</v>
      </c>
      <c r="CQ9" t="e">
        <f>#REF!+"vlM!&gt;r"</f>
        <v>#REF!</v>
      </c>
      <c r="CR9" t="e">
        <f>#REF!+"vlM!&gt;s"</f>
        <v>#REF!</v>
      </c>
      <c r="CS9" t="e">
        <f>#REF!+"vlM!&gt;t"</f>
        <v>#REF!</v>
      </c>
      <c r="CT9" t="e">
        <f>#REF!+"vlM!&gt;u"</f>
        <v>#REF!</v>
      </c>
      <c r="CU9" t="e">
        <f>#REF!+"vlM!&gt;v"</f>
        <v>#REF!</v>
      </c>
      <c r="CV9" t="e">
        <f>#REF!+"vlM!&gt;w"</f>
        <v>#REF!</v>
      </c>
      <c r="CW9" t="e">
        <f>#REF!+"vlM!&gt;x"</f>
        <v>#REF!</v>
      </c>
      <c r="CX9" t="e">
        <f>#REF!+"vlM!&gt;y"</f>
        <v>#REF!</v>
      </c>
      <c r="CY9" t="e">
        <f>#REF!+"vlM!&gt;z"</f>
        <v>#REF!</v>
      </c>
      <c r="CZ9" t="e">
        <f>#REF!+"vlM!&gt;{"</f>
        <v>#REF!</v>
      </c>
      <c r="DA9" t="e">
        <f>#REF!+"vlM!&gt;|"</f>
        <v>#REF!</v>
      </c>
      <c r="DB9" t="e">
        <f>#REF!+"vlM!&gt;}"</f>
        <v>#REF!</v>
      </c>
      <c r="DC9" s="1" t="e">
        <f>#REF!+"vlM!&gt;~"</f>
        <v>#REF!</v>
      </c>
      <c r="DD9" t="e">
        <f>#REF!+"vlM!?#"</f>
        <v>#REF!</v>
      </c>
      <c r="DE9" t="e">
        <f>#REF!+"vlM!?$"</f>
        <v>#REF!</v>
      </c>
      <c r="DF9" t="e">
        <f>#REF!+"vlM!?%"</f>
        <v>#REF!</v>
      </c>
      <c r="DG9" t="e">
        <f>#REF!+"vlM!?&amp;"</f>
        <v>#REF!</v>
      </c>
      <c r="DH9" t="e">
        <f>#REF!+"vlM!?'"</f>
        <v>#REF!</v>
      </c>
      <c r="DI9" t="e">
        <f>#REF!+"vlM!?("</f>
        <v>#REF!</v>
      </c>
      <c r="DJ9" t="e">
        <f>#REF!+"vlM!?)"</f>
        <v>#REF!</v>
      </c>
      <c r="DK9" t="e">
        <f>#REF!+"vlM!?."</f>
        <v>#REF!</v>
      </c>
      <c r="DL9" t="e">
        <f>#REF!+"vlM!?/"</f>
        <v>#REF!</v>
      </c>
      <c r="DM9" t="e">
        <f>#REF!+"vlM!?0"</f>
        <v>#REF!</v>
      </c>
      <c r="DN9" t="e">
        <f>#REF!+"vlM!?1"</f>
        <v>#REF!</v>
      </c>
      <c r="DO9" t="e">
        <f>#REF!+"vlM!?2"</f>
        <v>#REF!</v>
      </c>
      <c r="DP9" t="e">
        <f>#REF!+"vlM!?3"</f>
        <v>#REF!</v>
      </c>
      <c r="DQ9" t="e">
        <f>#REF!+"vlM!?4"</f>
        <v>#REF!</v>
      </c>
      <c r="DR9" s="1" t="e">
        <f>#REF!+"vlM!?5"</f>
        <v>#REF!</v>
      </c>
      <c r="DS9" t="e">
        <f>#REF!+"vlM!?6"</f>
        <v>#REF!</v>
      </c>
      <c r="DT9" t="e">
        <f>#REF!+"vlM!?7"</f>
        <v>#REF!</v>
      </c>
      <c r="DU9" t="e">
        <f>#REF!+"vlM!?8"</f>
        <v>#REF!</v>
      </c>
      <c r="DV9" t="e">
        <f>#REF!+"vlM!?9"</f>
        <v>#REF!</v>
      </c>
      <c r="DW9" t="e">
        <f>#REF!+"vlM!?:"</f>
        <v>#REF!</v>
      </c>
      <c r="DX9" t="e">
        <f>#REF!+"vlM!?;"</f>
        <v>#REF!</v>
      </c>
      <c r="DY9" t="e">
        <f>#REF!+"vlM!?&lt;"</f>
        <v>#REF!</v>
      </c>
      <c r="DZ9" t="e">
        <f>#REF!+"vlM!?="</f>
        <v>#REF!</v>
      </c>
      <c r="EA9" t="e">
        <f>#REF!+"vlM!?&gt;"</f>
        <v>#REF!</v>
      </c>
      <c r="EB9" t="e">
        <f>#REF!+"vlM!??"</f>
        <v>#REF!</v>
      </c>
      <c r="EC9" t="e">
        <f>#REF!+"vlM!?@"</f>
        <v>#REF!</v>
      </c>
      <c r="ED9" t="e">
        <f>#REF!+"vlM!?A"</f>
        <v>#REF!</v>
      </c>
      <c r="EE9" t="e">
        <f>#REF!+"vlM!?B"</f>
        <v>#REF!</v>
      </c>
      <c r="EF9" t="e">
        <f>#REF!+"vlM!?C"</f>
        <v>#REF!</v>
      </c>
      <c r="EG9" s="1" t="e">
        <f>#REF!+"vlM!?D"</f>
        <v>#REF!</v>
      </c>
      <c r="EH9" t="e">
        <f>#REF!+"vlM!?E"</f>
        <v>#REF!</v>
      </c>
      <c r="EI9" t="e">
        <f>#REF!+"vlM!?F"</f>
        <v>#REF!</v>
      </c>
      <c r="EJ9" t="e">
        <f>#REF!+"vlM!?G"</f>
        <v>#REF!</v>
      </c>
      <c r="EK9" t="e">
        <f>#REF!+"vlM!?H"</f>
        <v>#REF!</v>
      </c>
      <c r="EL9" t="e">
        <f>#REF!+"vlM!?I"</f>
        <v>#REF!</v>
      </c>
      <c r="EM9" t="e">
        <f>#REF!+"vlM!?J"</f>
        <v>#REF!</v>
      </c>
      <c r="EN9" t="e">
        <f>#REF!+"vlM!?K"</f>
        <v>#REF!</v>
      </c>
      <c r="EO9" t="e">
        <f>#REF!+"vlM!?L"</f>
        <v>#REF!</v>
      </c>
      <c r="EP9" t="e">
        <f>#REF!+"vlM!?M"</f>
        <v>#REF!</v>
      </c>
      <c r="EQ9" t="e">
        <f>#REF!+"vlM!?N"</f>
        <v>#REF!</v>
      </c>
      <c r="ER9" t="e">
        <f>#REF!+"vlM!?O"</f>
        <v>#REF!</v>
      </c>
      <c r="ES9" t="e">
        <f>#REF!+"vlM!?P"</f>
        <v>#REF!</v>
      </c>
      <c r="ET9" t="e">
        <f>#REF!+"vlM!?Q"</f>
        <v>#REF!</v>
      </c>
      <c r="EU9" t="e">
        <f>#REF!+"vlM!?R"</f>
        <v>#REF!</v>
      </c>
      <c r="EV9" s="1" t="e">
        <f>#REF!+"vlM!?S"</f>
        <v>#REF!</v>
      </c>
      <c r="EW9" t="e">
        <f>#REF!+"vlM!?T"</f>
        <v>#REF!</v>
      </c>
      <c r="EX9" t="e">
        <f>#REF!+"vlM!?U"</f>
        <v>#REF!</v>
      </c>
      <c r="EY9" t="e">
        <f>#REF!+"vlM!?V"</f>
        <v>#REF!</v>
      </c>
      <c r="EZ9" t="e">
        <f>#REF!+"vlM!?W"</f>
        <v>#REF!</v>
      </c>
      <c r="FA9" t="e">
        <f>#REF!+"vlM!?X"</f>
        <v>#REF!</v>
      </c>
      <c r="FB9" t="e">
        <f>#REF!+"vlM!?Y"</f>
        <v>#REF!</v>
      </c>
      <c r="FC9" t="e">
        <f>#REF!+"vlM!?Z"</f>
        <v>#REF!</v>
      </c>
      <c r="FD9" t="e">
        <f>#REF!+"vlM!?["</f>
        <v>#REF!</v>
      </c>
      <c r="FE9" t="e">
        <f>#REF!+"vlM!?\"</f>
        <v>#REF!</v>
      </c>
      <c r="FF9" t="e">
        <f>#REF!+"vlM!?]"</f>
        <v>#REF!</v>
      </c>
      <c r="FG9" t="e">
        <f>#REF!+"vlM!?^"</f>
        <v>#REF!</v>
      </c>
      <c r="FH9" t="e">
        <f>#REF!+"vlM!?_"</f>
        <v>#REF!</v>
      </c>
      <c r="FI9" t="e">
        <f>#REF!+"vlM!?`"</f>
        <v>#REF!</v>
      </c>
      <c r="FJ9" t="e">
        <f>#REF!+"vlM!?a"</f>
        <v>#REF!</v>
      </c>
      <c r="FK9" s="1" t="e">
        <f>#REF!+"vlM!?b"</f>
        <v>#REF!</v>
      </c>
      <c r="FL9" t="e">
        <f>#REF!+"vlM!?c"</f>
        <v>#REF!</v>
      </c>
      <c r="FM9" t="e">
        <f>#REF!+"vlM!?d"</f>
        <v>#REF!</v>
      </c>
      <c r="FN9" t="e">
        <f>#REF!+"vlM!?e"</f>
        <v>#REF!</v>
      </c>
      <c r="FO9" t="e">
        <f>#REF!+"vlM!?f"</f>
        <v>#REF!</v>
      </c>
      <c r="FP9" t="e">
        <f>#REF!+"vlM!?g"</f>
        <v>#REF!</v>
      </c>
      <c r="FQ9" t="e">
        <f>#REF!+"vlM!?h"</f>
        <v>#REF!</v>
      </c>
      <c r="FR9" t="e">
        <f>#REF!+"vlM!?i"</f>
        <v>#REF!</v>
      </c>
      <c r="FS9" t="e">
        <f>#REF!+"vlM!?j"</f>
        <v>#REF!</v>
      </c>
      <c r="FT9" t="e">
        <f>#REF!+"vlM!?k"</f>
        <v>#REF!</v>
      </c>
      <c r="FU9" t="e">
        <f>#REF!+"vlM!?l"</f>
        <v>#REF!</v>
      </c>
      <c r="FV9" t="e">
        <f>#REF!+"vlM!?m"</f>
        <v>#REF!</v>
      </c>
      <c r="FW9" t="e">
        <f>#REF!+"vlM!?n"</f>
        <v>#REF!</v>
      </c>
      <c r="FX9" t="e">
        <f>#REF!+"vlM!?o"</f>
        <v>#REF!</v>
      </c>
      <c r="FY9" t="e">
        <f>#REF!+"vlM!?p"</f>
        <v>#REF!</v>
      </c>
      <c r="FZ9" s="1" t="e">
        <f>#REF!+"vlM!?q"</f>
        <v>#REF!</v>
      </c>
      <c r="GA9" t="e">
        <f>#REF!+"vlM!?r"</f>
        <v>#REF!</v>
      </c>
      <c r="GB9" t="e">
        <f>#REF!+"vlM!?s"</f>
        <v>#REF!</v>
      </c>
      <c r="GC9" t="e">
        <f>#REF!+"vlM!?t"</f>
        <v>#REF!</v>
      </c>
      <c r="GD9" t="e">
        <f>#REF!+"vlM!?u"</f>
        <v>#REF!</v>
      </c>
      <c r="GE9" t="e">
        <f>#REF!+"vlM!?v"</f>
        <v>#REF!</v>
      </c>
      <c r="GF9" t="e">
        <f>#REF!+"vlM!?w"</f>
        <v>#REF!</v>
      </c>
      <c r="GG9" t="e">
        <f>#REF!+"vlM!?x"</f>
        <v>#REF!</v>
      </c>
      <c r="GH9" t="e">
        <f>#REF!+"vlM!?y"</f>
        <v>#REF!</v>
      </c>
      <c r="GI9" t="e">
        <f>#REF!+"vlM!?z"</f>
        <v>#REF!</v>
      </c>
      <c r="GJ9" t="e">
        <f>#REF!+"vlM!?{"</f>
        <v>#REF!</v>
      </c>
      <c r="GK9" t="e">
        <f>#REF!+"vlM!?|"</f>
        <v>#REF!</v>
      </c>
      <c r="GL9" t="e">
        <f>#REF!+"vlM!?}"</f>
        <v>#REF!</v>
      </c>
      <c r="GM9" t="e">
        <f>#REF!+"vlM!?~"</f>
        <v>#REF!</v>
      </c>
      <c r="GN9" t="e">
        <f>#REF!+"vlM!@#"</f>
        <v>#REF!</v>
      </c>
      <c r="GO9" s="1" t="e">
        <f>#REF!+"vlM!@$"</f>
        <v>#REF!</v>
      </c>
      <c r="GP9" t="e">
        <f>#REF!+"vlM!@%"</f>
        <v>#REF!</v>
      </c>
      <c r="GQ9" t="e">
        <f>#REF!+"vlM!@&amp;"</f>
        <v>#REF!</v>
      </c>
      <c r="GR9" t="e">
        <f>#REF!+"vlM!@'"</f>
        <v>#REF!</v>
      </c>
      <c r="GS9" t="e">
        <f>#REF!+"vlM!@("</f>
        <v>#REF!</v>
      </c>
      <c r="GT9" t="e">
        <f>#REF!+"vlM!@)"</f>
        <v>#REF!</v>
      </c>
      <c r="GU9" t="e">
        <f>#REF!+"vlM!@."</f>
        <v>#REF!</v>
      </c>
      <c r="GV9" t="e">
        <f>#REF!+"vlM!@/"</f>
        <v>#REF!</v>
      </c>
      <c r="GW9" t="e">
        <f>#REF!+"vlM!@0"</f>
        <v>#REF!</v>
      </c>
      <c r="GX9" t="e">
        <f>#REF!+"vlM!@1"</f>
        <v>#REF!</v>
      </c>
      <c r="GY9" t="e">
        <f>#REF!+"vlM!@2"</f>
        <v>#REF!</v>
      </c>
      <c r="GZ9" t="e">
        <f>#REF!+"vlM!@3"</f>
        <v>#REF!</v>
      </c>
      <c r="HA9" t="e">
        <f>#REF!+"vlM!@4"</f>
        <v>#REF!</v>
      </c>
      <c r="HB9" t="e">
        <f>#REF!+"vlM!@5"</f>
        <v>#REF!</v>
      </c>
      <c r="HC9" t="e">
        <f>#REF!+"vlM!@6"</f>
        <v>#REF!</v>
      </c>
      <c r="HD9" s="1" t="e">
        <f>#REF!+"vlM!@7"</f>
        <v>#REF!</v>
      </c>
      <c r="HE9" t="e">
        <f>#REF!+"vlM!@8"</f>
        <v>#REF!</v>
      </c>
      <c r="HF9" t="e">
        <f>#REF!+"vlM!@9"</f>
        <v>#REF!</v>
      </c>
      <c r="HG9" t="e">
        <f>#REF!+"vlM!@:"</f>
        <v>#REF!</v>
      </c>
      <c r="HH9" t="e">
        <f>#REF!+"vlM!@;"</f>
        <v>#REF!</v>
      </c>
      <c r="HI9" t="e">
        <f>#REF!+"vlM!@&lt;"</f>
        <v>#REF!</v>
      </c>
      <c r="HJ9" t="e">
        <f>#REF!+"vlM!@="</f>
        <v>#REF!</v>
      </c>
      <c r="HK9" t="e">
        <f>#REF!+"vlM!@&gt;"</f>
        <v>#REF!</v>
      </c>
      <c r="HL9" t="e">
        <f>#REF!+"vlM!@?"</f>
        <v>#REF!</v>
      </c>
      <c r="HM9" t="e">
        <f>#REF!+"vlM!@@"</f>
        <v>#REF!</v>
      </c>
      <c r="HN9" t="e">
        <f>#REF!+"vlM!@A"</f>
        <v>#REF!</v>
      </c>
      <c r="HO9" t="e">
        <f>#REF!+"vlM!@B"</f>
        <v>#REF!</v>
      </c>
      <c r="HP9" t="e">
        <f>#REF!+"vlM!@C"</f>
        <v>#REF!</v>
      </c>
      <c r="HQ9" t="e">
        <f>#REF!+"vlM!@D"</f>
        <v>#REF!</v>
      </c>
      <c r="HR9" t="e">
        <f>#REF!+"vlM!@E"</f>
        <v>#REF!</v>
      </c>
      <c r="HS9" s="1" t="e">
        <f>#REF!+"vlM!@F"</f>
        <v>#REF!</v>
      </c>
      <c r="HT9" t="e">
        <f>#REF!+"vlM!@G"</f>
        <v>#REF!</v>
      </c>
      <c r="HU9" t="e">
        <f>#REF!+"vlM!@H"</f>
        <v>#REF!</v>
      </c>
      <c r="HV9" t="e">
        <f>#REF!+"vlM!@I"</f>
        <v>#REF!</v>
      </c>
      <c r="HW9" t="e">
        <f>#REF!+"vlM!@J"</f>
        <v>#REF!</v>
      </c>
      <c r="HX9" t="e">
        <f>#REF!+"vlM!@K"</f>
        <v>#REF!</v>
      </c>
      <c r="HY9" t="e">
        <f>#REF!+"vlM!@L"</f>
        <v>#REF!</v>
      </c>
      <c r="HZ9" t="e">
        <f>#REF!+"vlM!@M"</f>
        <v>#REF!</v>
      </c>
      <c r="IA9" t="e">
        <f>#REF!+"vlM!@N"</f>
        <v>#REF!</v>
      </c>
      <c r="IB9" t="e">
        <f>#REF!+"vlM!@O"</f>
        <v>#REF!</v>
      </c>
      <c r="IC9" t="e">
        <f>#REF!+"vlM!@P"</f>
        <v>#REF!</v>
      </c>
      <c r="ID9" t="e">
        <f>#REF!+"vlM!@Q"</f>
        <v>#REF!</v>
      </c>
      <c r="IE9" t="e">
        <f>#REF!+"vlM!@R"</f>
        <v>#REF!</v>
      </c>
      <c r="IF9" t="e">
        <f>#REF!+"vlM!@S"</f>
        <v>#REF!</v>
      </c>
      <c r="IG9" t="e">
        <f>#REF!+"vlM!@T"</f>
        <v>#REF!</v>
      </c>
      <c r="IH9" s="1" t="e">
        <f>#REF!+"vlM!@U"</f>
        <v>#REF!</v>
      </c>
      <c r="II9" t="e">
        <f>#REF!+"vlM!@V"</f>
        <v>#REF!</v>
      </c>
      <c r="IJ9" t="e">
        <f>#REF!+"vlM!@W"</f>
        <v>#REF!</v>
      </c>
      <c r="IK9" t="e">
        <f>#REF!+"vlM!@X"</f>
        <v>#REF!</v>
      </c>
      <c r="IL9" t="e">
        <f>#REF!+"vlM!@Y"</f>
        <v>#REF!</v>
      </c>
      <c r="IM9" t="e">
        <f>#REF!+"vlM!@Z"</f>
        <v>#REF!</v>
      </c>
      <c r="IN9" t="e">
        <f>#REF!+"vlM!@["</f>
        <v>#REF!</v>
      </c>
      <c r="IO9" t="e">
        <f>#REF!+"vlM!@\"</f>
        <v>#REF!</v>
      </c>
      <c r="IP9" t="e">
        <f>#REF!+"vlM!@]"</f>
        <v>#REF!</v>
      </c>
      <c r="IQ9" t="e">
        <f>#REF!+"vlM!@^"</f>
        <v>#REF!</v>
      </c>
      <c r="IR9" t="e">
        <f>#REF!+"vlM!@_"</f>
        <v>#REF!</v>
      </c>
      <c r="IS9" t="e">
        <f>#REF!+"vlM!@`"</f>
        <v>#REF!</v>
      </c>
      <c r="IT9" t="e">
        <f>#REF!+"vlM!@a"</f>
        <v>#REF!</v>
      </c>
      <c r="IU9" t="e">
        <f>#REF!+"vlM!@b"</f>
        <v>#REF!</v>
      </c>
      <c r="IV9" t="e">
        <f>#REF!+"vlM!@c"</f>
        <v>#REF!</v>
      </c>
    </row>
    <row r="10" spans="1:256" x14ac:dyDescent="0.25">
      <c r="F10" s="1" t="e">
        <f>#REF!+"vlM!@d"</f>
        <v>#REF!</v>
      </c>
      <c r="G10" t="e">
        <f>#REF!+"vlM!@e"</f>
        <v>#REF!</v>
      </c>
      <c r="H10" t="e">
        <f>#REF!+"vlM!@f"</f>
        <v>#REF!</v>
      </c>
      <c r="I10" t="e">
        <f>#REF!+"vlM!@g"</f>
        <v>#REF!</v>
      </c>
      <c r="J10" t="e">
        <f>#REF!+"vlM!@h"</f>
        <v>#REF!</v>
      </c>
      <c r="K10" t="e">
        <f>#REF!+"vlM!@i"</f>
        <v>#REF!</v>
      </c>
      <c r="L10" t="e">
        <f>#REF!+"vlM!@j"</f>
        <v>#REF!</v>
      </c>
      <c r="M10" t="e">
        <f>#REF!+"vlM!@k"</f>
        <v>#REF!</v>
      </c>
      <c r="N10" t="e">
        <f>#REF!+"vlM!@l"</f>
        <v>#REF!</v>
      </c>
      <c r="O10" t="e">
        <f>#REF!+"vlM!@m"</f>
        <v>#REF!</v>
      </c>
      <c r="P10" t="e">
        <f>#REF!+"vlM!@n"</f>
        <v>#REF!</v>
      </c>
      <c r="Q10" t="e">
        <f>#REF!+"vlM!@o"</f>
        <v>#REF!</v>
      </c>
      <c r="R10" t="e">
        <f>#REF!+"vlM!@p"</f>
        <v>#REF!</v>
      </c>
      <c r="S10" t="e">
        <f>#REF!+"vlM!@q"</f>
        <v>#REF!</v>
      </c>
      <c r="T10" t="e">
        <f>#REF!+"vlM!@r"</f>
        <v>#REF!</v>
      </c>
      <c r="U10" s="1" t="e">
        <f>#REF!+"vlM!@s"</f>
        <v>#REF!</v>
      </c>
      <c r="V10" t="e">
        <f>#REF!+"vlM!@t"</f>
        <v>#REF!</v>
      </c>
      <c r="W10" t="e">
        <f>#REF!+"vlM!@u"</f>
        <v>#REF!</v>
      </c>
      <c r="X10" t="e">
        <f>#REF!+"vlM!@v"</f>
        <v>#REF!</v>
      </c>
      <c r="Y10" t="e">
        <f>#REF!+"vlM!@w"</f>
        <v>#REF!</v>
      </c>
      <c r="Z10" t="e">
        <f>#REF!+"vlM!@x"</f>
        <v>#REF!</v>
      </c>
      <c r="AA10" t="e">
        <f>#REF!+"vlM!@y"</f>
        <v>#REF!</v>
      </c>
      <c r="AB10" t="e">
        <f>#REF!+"vlM!@z"</f>
        <v>#REF!</v>
      </c>
      <c r="AC10" t="e">
        <f>#REF!+"vlM!@{"</f>
        <v>#REF!</v>
      </c>
      <c r="AD10" t="e">
        <f>#REF!+"vlM!@|"</f>
        <v>#REF!</v>
      </c>
      <c r="AE10" t="e">
        <f>#REF!+"vlM!@}"</f>
        <v>#REF!</v>
      </c>
      <c r="AF10" t="e">
        <f>#REF!+"vlM!@~"</f>
        <v>#REF!</v>
      </c>
      <c r="AG10" t="e">
        <f>#REF!+"vlM!A#"</f>
        <v>#REF!</v>
      </c>
      <c r="AH10" t="e">
        <f>#REF!+"vlM!A$"</f>
        <v>#REF!</v>
      </c>
      <c r="AI10" t="e">
        <f>#REF!+"vlM!A%"</f>
        <v>#REF!</v>
      </c>
      <c r="AJ10" s="1" t="e">
        <f>#REF!+"vlM!A&amp;"</f>
        <v>#REF!</v>
      </c>
      <c r="AK10" t="e">
        <f>#REF!+"vlM!A'"</f>
        <v>#REF!</v>
      </c>
      <c r="AL10" t="e">
        <f>#REF!+"vlM!A("</f>
        <v>#REF!</v>
      </c>
      <c r="AM10" t="e">
        <f>#REF!+"vlM!A)"</f>
        <v>#REF!</v>
      </c>
      <c r="AN10" t="e">
        <f>#REF!+"vlM!A."</f>
        <v>#REF!</v>
      </c>
      <c r="AO10" t="e">
        <f>#REF!+"vlM!A/"</f>
        <v>#REF!</v>
      </c>
      <c r="AP10" t="e">
        <f>#REF!+"vlM!A0"</f>
        <v>#REF!</v>
      </c>
      <c r="AQ10" t="e">
        <f>#REF!+"vlM!A1"</f>
        <v>#REF!</v>
      </c>
      <c r="AR10" t="e">
        <f>#REF!+"vlM!A2"</f>
        <v>#REF!</v>
      </c>
      <c r="AS10" t="e">
        <f>#REF!+"vlM!A3"</f>
        <v>#REF!</v>
      </c>
      <c r="AT10" t="e">
        <f>#REF!+"vlM!A4"</f>
        <v>#REF!</v>
      </c>
      <c r="AU10" t="e">
        <f>#REF!+"vlM!A5"</f>
        <v>#REF!</v>
      </c>
      <c r="AV10" t="e">
        <f>#REF!+"vlM!A6"</f>
        <v>#REF!</v>
      </c>
      <c r="AW10" t="e">
        <f>#REF!+"vlM!A7"</f>
        <v>#REF!</v>
      </c>
      <c r="AX10" t="e">
        <f>#REF!+"vlM!A8"</f>
        <v>#REF!</v>
      </c>
      <c r="AY10" s="1" t="e">
        <f>#REF!+"vlM!A9"</f>
        <v>#REF!</v>
      </c>
      <c r="AZ10" t="e">
        <f>#REF!+"vlM!A:"</f>
        <v>#REF!</v>
      </c>
      <c r="BA10" t="e">
        <f>#REF!+"vlM!A;"</f>
        <v>#REF!</v>
      </c>
      <c r="BB10" t="e">
        <f>#REF!+"vlM!A&lt;"</f>
        <v>#REF!</v>
      </c>
      <c r="BC10" t="e">
        <f>#REF!+"vlM!A="</f>
        <v>#REF!</v>
      </c>
      <c r="BD10" t="e">
        <f>#REF!+"vlM!A&gt;"</f>
        <v>#REF!</v>
      </c>
      <c r="BE10" t="e">
        <f>#REF!+"vlM!A?"</f>
        <v>#REF!</v>
      </c>
      <c r="BF10" t="e">
        <f>#REF!+"vlM!A@"</f>
        <v>#REF!</v>
      </c>
      <c r="BG10" t="e">
        <f>#REF!+"vlM!AA"</f>
        <v>#REF!</v>
      </c>
      <c r="BH10" t="e">
        <f>#REF!+"vlM!AB"</f>
        <v>#REF!</v>
      </c>
      <c r="BI10" t="e">
        <f>#REF!+"vlM!AC"</f>
        <v>#REF!</v>
      </c>
      <c r="BJ10" t="e">
        <f>#REF!+"vlM!AD"</f>
        <v>#REF!</v>
      </c>
      <c r="BK10" t="e">
        <f>#REF!+"vlM!AE"</f>
        <v>#REF!</v>
      </c>
      <c r="BL10" t="e">
        <f>#REF!+"vlM!AF"</f>
        <v>#REF!</v>
      </c>
      <c r="BM10" t="e">
        <f>#REF!+"vlM!AG"</f>
        <v>#REF!</v>
      </c>
      <c r="BN10" s="1" t="e">
        <f>#REF!+"vlM!AH"</f>
        <v>#REF!</v>
      </c>
      <c r="BO10" t="e">
        <f>#REF!+"vlM!AI"</f>
        <v>#REF!</v>
      </c>
      <c r="BP10" t="e">
        <f>#REF!+"vlM!AJ"</f>
        <v>#REF!</v>
      </c>
      <c r="BQ10" t="e">
        <f>#REF!+"vlM!AK"</f>
        <v>#REF!</v>
      </c>
      <c r="BR10" t="e">
        <f>#REF!+"vlM!AL"</f>
        <v>#REF!</v>
      </c>
      <c r="BS10" t="e">
        <f>#REF!+"vlM!AM"</f>
        <v>#REF!</v>
      </c>
      <c r="BT10" t="e">
        <f>#REF!+"vlM!AN"</f>
        <v>#REF!</v>
      </c>
      <c r="BU10" t="e">
        <f>#REF!+"vlM!AO"</f>
        <v>#REF!</v>
      </c>
      <c r="BV10" t="e">
        <f>#REF!+"vlM!AP"</f>
        <v>#REF!</v>
      </c>
      <c r="BW10" t="e">
        <f>#REF!+"vlM!AQ"</f>
        <v>#REF!</v>
      </c>
      <c r="BX10" t="e">
        <f>#REF!+"vlM!AR"</f>
        <v>#REF!</v>
      </c>
      <c r="BY10" t="e">
        <f>#REF!+"vlM!AS"</f>
        <v>#REF!</v>
      </c>
      <c r="BZ10" t="e">
        <f>#REF!+"vlM!AT"</f>
        <v>#REF!</v>
      </c>
      <c r="CA10" t="e">
        <f>#REF!+"vlM!AU"</f>
        <v>#REF!</v>
      </c>
      <c r="CB10" t="e">
        <f>#REF!+"vlM!AV"</f>
        <v>#REF!</v>
      </c>
      <c r="CC10" s="1" t="e">
        <f>#REF!+"vlM!AW"</f>
        <v>#REF!</v>
      </c>
      <c r="CD10" t="e">
        <f>#REF!+"vlM!AX"</f>
        <v>#REF!</v>
      </c>
      <c r="CE10" t="e">
        <f>#REF!+"vlM!AY"</f>
        <v>#REF!</v>
      </c>
      <c r="CF10" t="e">
        <f>#REF!+"vlM!AZ"</f>
        <v>#REF!</v>
      </c>
      <c r="CG10" t="e">
        <f>#REF!+"vlM!A["</f>
        <v>#REF!</v>
      </c>
      <c r="CH10" t="e">
        <f>#REF!+"vlM!A\"</f>
        <v>#REF!</v>
      </c>
      <c r="CI10" t="e">
        <f>#REF!+"vlM!A]"</f>
        <v>#REF!</v>
      </c>
      <c r="CJ10" t="e">
        <f>#REF!+"vlM!A^"</f>
        <v>#REF!</v>
      </c>
      <c r="CK10" t="e">
        <f>#REF!+"vlM!A_"</f>
        <v>#REF!</v>
      </c>
      <c r="CL10" t="e">
        <f>#REF!+"vlM!A`"</f>
        <v>#REF!</v>
      </c>
      <c r="CM10" t="e">
        <f>#REF!+"vlM!Aa"</f>
        <v>#REF!</v>
      </c>
      <c r="CN10" t="e">
        <f>#REF!+"vlM!Ab"</f>
        <v>#REF!</v>
      </c>
      <c r="CO10" t="e">
        <f>#REF!+"vlM!Ac"</f>
        <v>#REF!</v>
      </c>
      <c r="CP10" t="e">
        <f>#REF!+"vlM!Ad"</f>
        <v>#REF!</v>
      </c>
      <c r="CQ10" t="e">
        <f>#REF!+"vlM!Ae"</f>
        <v>#REF!</v>
      </c>
      <c r="CR10" s="1" t="e">
        <f>#REF!+"vlM!Af"</f>
        <v>#REF!</v>
      </c>
      <c r="CS10" t="e">
        <f>#REF!+"vlM!Ag"</f>
        <v>#REF!</v>
      </c>
      <c r="CT10" t="e">
        <f>#REF!+"vlM!Ah"</f>
        <v>#REF!</v>
      </c>
      <c r="CU10" t="e">
        <f>#REF!+"vlM!Ai"</f>
        <v>#REF!</v>
      </c>
      <c r="CV10" t="e">
        <f>#REF!+"vlM!Aj"</f>
        <v>#REF!</v>
      </c>
      <c r="CW10" t="e">
        <f>#REF!+"vlM!Ak"</f>
        <v>#REF!</v>
      </c>
      <c r="CX10" t="e">
        <f>#REF!+"vlM!Al"</f>
        <v>#REF!</v>
      </c>
      <c r="CY10" t="e">
        <f>#REF!+"vlM!Am"</f>
        <v>#REF!</v>
      </c>
      <c r="CZ10" t="e">
        <f>#REF!+"vlM!An"</f>
        <v>#REF!</v>
      </c>
      <c r="DA10" t="e">
        <f>#REF!+"vlM!Ao"</f>
        <v>#REF!</v>
      </c>
      <c r="DB10" t="e">
        <f>#REF!+"vlM!Ap"</f>
        <v>#REF!</v>
      </c>
      <c r="DC10" t="e">
        <f>#REF!+"vlM!Aq"</f>
        <v>#REF!</v>
      </c>
      <c r="DD10" t="e">
        <f>#REF!+"vlM!Ar"</f>
        <v>#REF!</v>
      </c>
      <c r="DE10" t="e">
        <f>#REF!+"vlM!As"</f>
        <v>#REF!</v>
      </c>
      <c r="DF10" t="e">
        <f>#REF!+"vlM!At"</f>
        <v>#REF!</v>
      </c>
      <c r="DG10" s="1" t="e">
        <f>#REF!+"vlM!Au"</f>
        <v>#REF!</v>
      </c>
      <c r="DH10" t="e">
        <f>#REF!+"vlM!Av"</f>
        <v>#REF!</v>
      </c>
      <c r="DI10" t="e">
        <f>#REF!+"vlM!Aw"</f>
        <v>#REF!</v>
      </c>
      <c r="DJ10" t="e">
        <f>#REF!+"vlM!Ax"</f>
        <v>#REF!</v>
      </c>
      <c r="DK10" t="e">
        <f>#REF!+"vlM!Ay"</f>
        <v>#REF!</v>
      </c>
      <c r="DL10" t="e">
        <f>#REF!+"vlM!Az"</f>
        <v>#REF!</v>
      </c>
      <c r="DM10" t="e">
        <f>#REF!+"vlM!A{"</f>
        <v>#REF!</v>
      </c>
      <c r="DN10" t="e">
        <f>#REF!+"vlM!A|"</f>
        <v>#REF!</v>
      </c>
      <c r="DO10" t="e">
        <f>#REF!+"vlM!A}"</f>
        <v>#REF!</v>
      </c>
      <c r="DP10" t="e">
        <f>#REF!+"vlM!A~"</f>
        <v>#REF!</v>
      </c>
      <c r="DQ10" t="e">
        <f>#REF!+"vlM!B#"</f>
        <v>#REF!</v>
      </c>
      <c r="DR10" t="e">
        <f>#REF!+"vlM!B$"</f>
        <v>#REF!</v>
      </c>
      <c r="DS10" t="e">
        <f>#REF!+"vlM!B%"</f>
        <v>#REF!</v>
      </c>
      <c r="DT10" t="e">
        <f>#REF!+"vlM!B&amp;"</f>
        <v>#REF!</v>
      </c>
      <c r="DU10" t="e">
        <f>#REF!+"vlM!B'"</f>
        <v>#REF!</v>
      </c>
      <c r="DV10" s="1" t="e">
        <f>#REF!+"vlM!B("</f>
        <v>#REF!</v>
      </c>
      <c r="DW10" t="e">
        <f>#REF!+"vlM!B)"</f>
        <v>#REF!</v>
      </c>
      <c r="DX10" t="e">
        <f>#REF!+"vlM!B."</f>
        <v>#REF!</v>
      </c>
      <c r="DY10" t="e">
        <f>#REF!+"vlM!B/"</f>
        <v>#REF!</v>
      </c>
      <c r="DZ10" t="e">
        <f>#REF!+"vlM!B0"</f>
        <v>#REF!</v>
      </c>
      <c r="EA10" t="e">
        <f>#REF!+"vlM!B1"</f>
        <v>#REF!</v>
      </c>
      <c r="EB10" t="e">
        <f>#REF!+"vlM!B2"</f>
        <v>#REF!</v>
      </c>
      <c r="EC10" t="e">
        <f>#REF!+"vlM!B3"</f>
        <v>#REF!</v>
      </c>
      <c r="ED10" t="e">
        <f>#REF!+"vlM!B4"</f>
        <v>#REF!</v>
      </c>
      <c r="EE10" t="e">
        <f>#REF!+"vlM!B5"</f>
        <v>#REF!</v>
      </c>
      <c r="EF10" t="e">
        <f>#REF!+"vlM!B6"</f>
        <v>#REF!</v>
      </c>
      <c r="EG10" t="e">
        <f>#REF!+"vlM!B7"</f>
        <v>#REF!</v>
      </c>
      <c r="EH10" t="e">
        <f>#REF!+"vlM!B8"</f>
        <v>#REF!</v>
      </c>
      <c r="EI10" t="e">
        <f>#REF!+"vlM!B9"</f>
        <v>#REF!</v>
      </c>
      <c r="EJ10" t="e">
        <f>#REF!+"vlM!B:"</f>
        <v>#REF!</v>
      </c>
      <c r="EK10" s="1" t="e">
        <f>#REF!+"vlM!B;"</f>
        <v>#REF!</v>
      </c>
      <c r="EL10" t="e">
        <f>#REF!+"vlM!B&lt;"</f>
        <v>#REF!</v>
      </c>
      <c r="EM10" t="e">
        <f>#REF!+"vlM!B="</f>
        <v>#REF!</v>
      </c>
      <c r="EN10" t="e">
        <f>#REF!+"vlM!B&gt;"</f>
        <v>#REF!</v>
      </c>
      <c r="EO10" t="e">
        <f>#REF!+"vlM!B?"</f>
        <v>#REF!</v>
      </c>
      <c r="EP10" t="e">
        <f>#REF!+"vlM!B@"</f>
        <v>#REF!</v>
      </c>
      <c r="EQ10" t="e">
        <f>#REF!+"vlM!BA"</f>
        <v>#REF!</v>
      </c>
      <c r="ER10" t="e">
        <f>#REF!+"vlM!BB"</f>
        <v>#REF!</v>
      </c>
      <c r="ES10" t="e">
        <f>#REF!+"vlM!BC"</f>
        <v>#REF!</v>
      </c>
      <c r="ET10" t="e">
        <f>#REF!+"vlM!BD"</f>
        <v>#REF!</v>
      </c>
      <c r="EU10" t="e">
        <f>#REF!+"vlM!BE"</f>
        <v>#REF!</v>
      </c>
      <c r="EV10" t="e">
        <f>#REF!+"vlM!BF"</f>
        <v>#REF!</v>
      </c>
      <c r="EW10" t="e">
        <f>#REF!+"vlM!BG"</f>
        <v>#REF!</v>
      </c>
      <c r="EX10" t="e">
        <f>#REF!+"vlM!BH"</f>
        <v>#REF!</v>
      </c>
      <c r="EY10" t="e">
        <f>#REF!+"vlM!BI"</f>
        <v>#REF!</v>
      </c>
      <c r="EZ10" s="1" t="e">
        <f>#REF!+"vlM!BJ"</f>
        <v>#REF!</v>
      </c>
      <c r="FA10" t="e">
        <f>#REF!+"vlM!BK"</f>
        <v>#REF!</v>
      </c>
      <c r="FB10" t="e">
        <f>#REF!+"vlM!BL"</f>
        <v>#REF!</v>
      </c>
      <c r="FC10" t="e">
        <f>#REF!+"vlM!BM"</f>
        <v>#REF!</v>
      </c>
      <c r="FD10" t="e">
        <f>#REF!+"vlM!BN"</f>
        <v>#REF!</v>
      </c>
      <c r="FE10" t="e">
        <f>#REF!+"vlM!BO"</f>
        <v>#REF!</v>
      </c>
      <c r="FF10" t="e">
        <f>#REF!+"vlM!BP"</f>
        <v>#REF!</v>
      </c>
      <c r="FG10" t="e">
        <f>#REF!+"vlM!BQ"</f>
        <v>#REF!</v>
      </c>
      <c r="FH10" t="e">
        <f>#REF!+"vlM!BR"</f>
        <v>#REF!</v>
      </c>
      <c r="FI10" t="e">
        <f>#REF!+"vlM!BS"</f>
        <v>#REF!</v>
      </c>
      <c r="FJ10" t="e">
        <f>#REF!+"vlM!BT"</f>
        <v>#REF!</v>
      </c>
      <c r="FK10" t="e">
        <f>#REF!+"vlM!BU"</f>
        <v>#REF!</v>
      </c>
      <c r="FL10" t="e">
        <f>#REF!+"vlM!BV"</f>
        <v>#REF!</v>
      </c>
      <c r="FM10" t="e">
        <f>#REF!+"vlM!BW"</f>
        <v>#REF!</v>
      </c>
      <c r="FN10" t="e">
        <f>#REF!+"vlM!BX"</f>
        <v>#REF!</v>
      </c>
      <c r="FO10" s="1" t="e">
        <f>#REF!+"vlM!BY"</f>
        <v>#REF!</v>
      </c>
      <c r="FP10" t="e">
        <f>#REF!+"vlM!BZ"</f>
        <v>#REF!</v>
      </c>
      <c r="FQ10" t="e">
        <f>#REF!+"vlM!B["</f>
        <v>#REF!</v>
      </c>
      <c r="FR10" t="e">
        <f>#REF!+"vlM!B\"</f>
        <v>#REF!</v>
      </c>
      <c r="FS10" t="e">
        <f>#REF!+"vlM!B]"</f>
        <v>#REF!</v>
      </c>
      <c r="FT10" t="e">
        <f>#REF!+"vlM!B^"</f>
        <v>#REF!</v>
      </c>
      <c r="FU10" t="e">
        <f>#REF!+"vlM!B_"</f>
        <v>#REF!</v>
      </c>
      <c r="FV10" t="e">
        <f>#REF!+"vlM!B`"</f>
        <v>#REF!</v>
      </c>
      <c r="FW10" t="e">
        <f>#REF!+"vlM!Ba"</f>
        <v>#REF!</v>
      </c>
      <c r="FX10" t="e">
        <f>#REF!+"vlM!Bb"</f>
        <v>#REF!</v>
      </c>
      <c r="FY10" t="e">
        <f>#REF!+"vlM!Bc"</f>
        <v>#REF!</v>
      </c>
      <c r="FZ10" t="e">
        <f>#REF!+"vlM!Bd"</f>
        <v>#REF!</v>
      </c>
      <c r="GA10" t="e">
        <f>#REF!+"vlM!Be"</f>
        <v>#REF!</v>
      </c>
      <c r="GB10" t="e">
        <f>#REF!+"vlM!Bf"</f>
        <v>#REF!</v>
      </c>
      <c r="GC10" t="e">
        <f>#REF!+"vlM!Bg"</f>
        <v>#REF!</v>
      </c>
      <c r="GD10" s="1" t="e">
        <f>#REF!+"vlM!Bh"</f>
        <v>#REF!</v>
      </c>
      <c r="GE10" t="e">
        <f>#REF!+"vlM!Bi"</f>
        <v>#REF!</v>
      </c>
      <c r="GF10" t="e">
        <f>#REF!+"vlM!Bj"</f>
        <v>#REF!</v>
      </c>
      <c r="GG10" t="e">
        <f>#REF!+"vlM!Bk"</f>
        <v>#REF!</v>
      </c>
      <c r="GH10" t="e">
        <f>#REF!+"vlM!Bl"</f>
        <v>#REF!</v>
      </c>
      <c r="GI10" t="e">
        <f>#REF!+"vlM!Bm"</f>
        <v>#REF!</v>
      </c>
      <c r="GJ10" t="e">
        <f>#REF!+"vlM!Bn"</f>
        <v>#REF!</v>
      </c>
      <c r="GK10" t="e">
        <f>#REF!+"vlM!Bo"</f>
        <v>#REF!</v>
      </c>
      <c r="GL10" t="e">
        <f>#REF!+"vlM!Bp"</f>
        <v>#REF!</v>
      </c>
      <c r="GM10" t="e">
        <f>#REF!+"vlM!Bq"</f>
        <v>#REF!</v>
      </c>
      <c r="GN10" t="e">
        <f>#REF!+"vlM!Br"</f>
        <v>#REF!</v>
      </c>
      <c r="GO10" t="e">
        <f>#REF!+"vlM!Bs"</f>
        <v>#REF!</v>
      </c>
      <c r="GP10" t="e">
        <f>#REF!+"vlM!Bt"</f>
        <v>#REF!</v>
      </c>
      <c r="GQ10" t="e">
        <f>#REF!+"vlM!Bu"</f>
        <v>#REF!</v>
      </c>
      <c r="GR10" t="e">
        <f>#REF!+"vlM!Bv"</f>
        <v>#REF!</v>
      </c>
      <c r="GS10" s="1" t="e">
        <f>#REF!+"vlM!Bw"</f>
        <v>#REF!</v>
      </c>
      <c r="GT10" t="e">
        <f>#REF!+"vlM!Bx"</f>
        <v>#REF!</v>
      </c>
      <c r="GU10" t="e">
        <f>#REF!+"vlM!By"</f>
        <v>#REF!</v>
      </c>
      <c r="GV10" t="e">
        <f>#REF!+"vlM!Bz"</f>
        <v>#REF!</v>
      </c>
      <c r="GW10" t="e">
        <f>#REF!+"vlM!B{"</f>
        <v>#REF!</v>
      </c>
      <c r="GX10" t="e">
        <f>#REF!+"vlM!B|"</f>
        <v>#REF!</v>
      </c>
      <c r="GY10" t="e">
        <f>#REF!+"vlM!B}"</f>
        <v>#REF!</v>
      </c>
      <c r="GZ10" t="e">
        <f>#REF!+"vlM!B~"</f>
        <v>#REF!</v>
      </c>
      <c r="HA10" t="e">
        <f>#REF!+"vlM!C#"</f>
        <v>#REF!</v>
      </c>
      <c r="HB10" t="e">
        <f>#REF!+"vlM!C$"</f>
        <v>#REF!</v>
      </c>
      <c r="HC10" t="e">
        <f>#REF!+"vlM!C%"</f>
        <v>#REF!</v>
      </c>
      <c r="HD10" t="e">
        <f>#REF!+"vlM!C&amp;"</f>
        <v>#REF!</v>
      </c>
      <c r="HE10" t="e">
        <f>#REF!+"vlM!C'"</f>
        <v>#REF!</v>
      </c>
      <c r="HF10" t="e">
        <f>#REF!+"vlM!C("</f>
        <v>#REF!</v>
      </c>
      <c r="HG10" t="e">
        <f>#REF!+"vlM!C)"</f>
        <v>#REF!</v>
      </c>
      <c r="HH10" s="1" t="e">
        <f>#REF!+"vlM!C."</f>
        <v>#REF!</v>
      </c>
      <c r="HI10" t="e">
        <f>#REF!+"vlM!C/"</f>
        <v>#REF!</v>
      </c>
      <c r="HJ10" t="e">
        <f>#REF!+"vlM!C0"</f>
        <v>#REF!</v>
      </c>
      <c r="HK10" t="e">
        <f>#REF!+"vlM!C1"</f>
        <v>#REF!</v>
      </c>
      <c r="HL10" t="e">
        <f>#REF!+"vlM!C2"</f>
        <v>#REF!</v>
      </c>
      <c r="HM10" t="e">
        <f>#REF!+"vlM!C3"</f>
        <v>#REF!</v>
      </c>
      <c r="HN10" t="e">
        <f>#REF!+"vlM!C4"</f>
        <v>#REF!</v>
      </c>
      <c r="HO10" t="e">
        <f>#REF!+"vlM!C5"</f>
        <v>#REF!</v>
      </c>
      <c r="HP10" t="e">
        <f>#REF!+"vlM!C6"</f>
        <v>#REF!</v>
      </c>
      <c r="HQ10" t="e">
        <f>#REF!+"vlM!C7"</f>
        <v>#REF!</v>
      </c>
      <c r="HR10" t="e">
        <f>#REF!+"vlM!C8"</f>
        <v>#REF!</v>
      </c>
      <c r="HS10" t="e">
        <f>#REF!+"vlM!C9"</f>
        <v>#REF!</v>
      </c>
      <c r="HT10" t="e">
        <f>#REF!+"vlM!C:"</f>
        <v>#REF!</v>
      </c>
      <c r="HU10" t="e">
        <f>#REF!+"vlM!C;"</f>
        <v>#REF!</v>
      </c>
      <c r="HV10" t="e">
        <f>#REF!+"vlM!C&lt;"</f>
        <v>#REF!</v>
      </c>
      <c r="HW10" s="1" t="e">
        <f>#REF!+"vlM!C="</f>
        <v>#REF!</v>
      </c>
      <c r="HX10" t="e">
        <f>#REF!+"vlM!C&gt;"</f>
        <v>#REF!</v>
      </c>
      <c r="HY10" t="e">
        <f>#REF!+"vlM!C?"</f>
        <v>#REF!</v>
      </c>
      <c r="HZ10" t="e">
        <f>#REF!+"vlM!C@"</f>
        <v>#REF!</v>
      </c>
      <c r="IA10" t="e">
        <f>#REF!+"vlM!CA"</f>
        <v>#REF!</v>
      </c>
      <c r="IB10" t="e">
        <f>#REF!+"vlM!CB"</f>
        <v>#REF!</v>
      </c>
      <c r="IC10" t="e">
        <f>#REF!+"vlM!CC"</f>
        <v>#REF!</v>
      </c>
      <c r="ID10" t="e">
        <f>#REF!+"vlM!CD"</f>
        <v>#REF!</v>
      </c>
      <c r="IE10" t="e">
        <f>#REF!+"vlM!CE"</f>
        <v>#REF!</v>
      </c>
      <c r="IF10" t="e">
        <f>#REF!+"vlM!CF"</f>
        <v>#REF!</v>
      </c>
      <c r="IG10" t="e">
        <f>#REF!+"vlM!CG"</f>
        <v>#REF!</v>
      </c>
      <c r="IH10" t="e">
        <f>#REF!+"vlM!CH"</f>
        <v>#REF!</v>
      </c>
      <c r="II10" t="e">
        <f>#REF!+"vlM!CI"</f>
        <v>#REF!</v>
      </c>
      <c r="IJ10" t="e">
        <f>#REF!+"vlM!CJ"</f>
        <v>#REF!</v>
      </c>
      <c r="IK10" t="e">
        <f>#REF!+"vlM!CK"</f>
        <v>#REF!</v>
      </c>
      <c r="IL10" s="1" t="e">
        <f>#REF!+"vlM!CL"</f>
        <v>#REF!</v>
      </c>
      <c r="IM10" t="e">
        <f>#REF!+"vlM!CM"</f>
        <v>#REF!</v>
      </c>
      <c r="IN10" t="e">
        <f>#REF!+"vlM!CN"</f>
        <v>#REF!</v>
      </c>
      <c r="IO10" t="e">
        <f>#REF!+"vlM!CO"</f>
        <v>#REF!</v>
      </c>
      <c r="IP10" t="e">
        <f>#REF!+"vlM!CP"</f>
        <v>#REF!</v>
      </c>
      <c r="IQ10" t="e">
        <f>#REF!+"vlM!CQ"</f>
        <v>#REF!</v>
      </c>
      <c r="IR10" t="e">
        <f>#REF!+"vlM!CR"</f>
        <v>#REF!</v>
      </c>
      <c r="IS10" t="e">
        <f>#REF!+"vlM!CS"</f>
        <v>#REF!</v>
      </c>
      <c r="IT10" t="e">
        <f>#REF!+"vlM!CT"</f>
        <v>#REF!</v>
      </c>
      <c r="IU10" t="e">
        <f>#REF!+"vlM!CU"</f>
        <v>#REF!</v>
      </c>
      <c r="IV10" t="e">
        <f>#REF!+"vlM!CV"</f>
        <v>#REF!</v>
      </c>
    </row>
    <row r="11" spans="1:256" x14ac:dyDescent="0.25">
      <c r="F11" t="e">
        <f>#REF!+"vlM!CW"</f>
        <v>#REF!</v>
      </c>
      <c r="G11" t="e">
        <f>#REF!+"vlM!CX"</f>
        <v>#REF!</v>
      </c>
      <c r="H11" t="e">
        <f>#REF!+"vlM!CY"</f>
        <v>#REF!</v>
      </c>
      <c r="I11" t="e">
        <f>#REF!+"vlM!CZ"</f>
        <v>#REF!</v>
      </c>
      <c r="J11" s="1" t="e">
        <f>#REF!+"vlM!C["</f>
        <v>#REF!</v>
      </c>
      <c r="K11" t="e">
        <f>#REF!+"vlM!C\"</f>
        <v>#REF!</v>
      </c>
      <c r="L11" t="e">
        <f>#REF!+"vlM!C]"</f>
        <v>#REF!</v>
      </c>
      <c r="M11" t="e">
        <f>#REF!+"vlM!C^"</f>
        <v>#REF!</v>
      </c>
      <c r="N11" t="e">
        <f>#REF!+"vlM!C_"</f>
        <v>#REF!</v>
      </c>
      <c r="O11" t="e">
        <f>#REF!+"vlM!C`"</f>
        <v>#REF!</v>
      </c>
      <c r="P11" t="e">
        <f>#REF!+"vlM!Ca"</f>
        <v>#REF!</v>
      </c>
      <c r="Q11" t="e">
        <f>#REF!+"vlM!Cb"</f>
        <v>#REF!</v>
      </c>
      <c r="R11" t="e">
        <f>#REF!+"vlM!Cc"</f>
        <v>#REF!</v>
      </c>
      <c r="S11" t="e">
        <f>#REF!+"vlM!Cd"</f>
        <v>#REF!</v>
      </c>
      <c r="T11" t="e">
        <f>#REF!+"vlM!Ce"</f>
        <v>#REF!</v>
      </c>
      <c r="U11" t="e">
        <f>#REF!+"vlM!Cf"</f>
        <v>#REF!</v>
      </c>
      <c r="V11" t="e">
        <f>#REF!+"vlM!Cg"</f>
        <v>#REF!</v>
      </c>
      <c r="W11" t="e">
        <f>#REF!+"vlM!Ch"</f>
        <v>#REF!</v>
      </c>
      <c r="X11" t="e">
        <f>#REF!+"vlM!Ci"</f>
        <v>#REF!</v>
      </c>
      <c r="Y11" s="1" t="e">
        <f>#REF!+"vlM!Cj"</f>
        <v>#REF!</v>
      </c>
      <c r="Z11" t="e">
        <f>#REF!+"vlM!Ck"</f>
        <v>#REF!</v>
      </c>
      <c r="AA11" t="e">
        <f>#REF!+"vlM!Cl"</f>
        <v>#REF!</v>
      </c>
      <c r="AB11" t="e">
        <f>#REF!+"vlM!Cm"</f>
        <v>#REF!</v>
      </c>
      <c r="AC11" t="e">
        <f>#REF!+"vlM!Cn"</f>
        <v>#REF!</v>
      </c>
      <c r="AD11" t="e">
        <f>#REF!+"vlM!Co"</f>
        <v>#REF!</v>
      </c>
      <c r="AE11" t="e">
        <f>#REF!+"vlM!Cp"</f>
        <v>#REF!</v>
      </c>
      <c r="AF11" t="e">
        <f>#REF!+"vlM!Cq"</f>
        <v>#REF!</v>
      </c>
      <c r="AG11" t="e">
        <f>#REF!+"vlM!Cr"</f>
        <v>#REF!</v>
      </c>
      <c r="AH11" t="e">
        <f>#REF!+"vlM!Cs"</f>
        <v>#REF!</v>
      </c>
      <c r="AI11" t="e">
        <f>#REF!+"vlM!Ct"</f>
        <v>#REF!</v>
      </c>
      <c r="AJ11" t="e">
        <f>#REF!+"vlM!Cu"</f>
        <v>#REF!</v>
      </c>
      <c r="AK11" t="e">
        <f>#REF!+"vlM!Cv"</f>
        <v>#REF!</v>
      </c>
      <c r="AL11" t="e">
        <f>#REF!+"vlM!Cw"</f>
        <v>#REF!</v>
      </c>
      <c r="AM11" t="e">
        <f>#REF!+"vlM!Cx"</f>
        <v>#REF!</v>
      </c>
      <c r="AN11" s="1" t="e">
        <f>#REF!+"vlM!Cy"</f>
        <v>#REF!</v>
      </c>
      <c r="AO11" t="e">
        <f>#REF!+"vlM!Cz"</f>
        <v>#REF!</v>
      </c>
      <c r="AP11" t="e">
        <f>#REF!+"vlM!C{"</f>
        <v>#REF!</v>
      </c>
      <c r="AQ11" t="e">
        <f>#REF!+"vlM!C|"</f>
        <v>#REF!</v>
      </c>
      <c r="AR11" t="e">
        <f>#REF!+"vlM!C}"</f>
        <v>#REF!</v>
      </c>
      <c r="AS11" t="e">
        <f>#REF!+"vlM!C~"</f>
        <v>#REF!</v>
      </c>
      <c r="AT11" t="e">
        <f>#REF!+"vlM!D#"</f>
        <v>#REF!</v>
      </c>
      <c r="AU11" t="e">
        <f>#REF!+"vlM!D$"</f>
        <v>#REF!</v>
      </c>
      <c r="AV11" t="e">
        <f>#REF!+"vlM!D%"</f>
        <v>#REF!</v>
      </c>
      <c r="AW11" t="e">
        <f>#REF!+"vlM!D&amp;"</f>
        <v>#REF!</v>
      </c>
      <c r="AX11" t="e">
        <f>#REF!+"vlM!D'"</f>
        <v>#REF!</v>
      </c>
      <c r="AY11" t="e">
        <f>#REF!+"vlM!D("</f>
        <v>#REF!</v>
      </c>
      <c r="AZ11" t="e">
        <f>#REF!+"vlM!D)"</f>
        <v>#REF!</v>
      </c>
      <c r="BA11" t="e">
        <f>#REF!+"vlM!D."</f>
        <v>#REF!</v>
      </c>
      <c r="BB11" t="e">
        <f>#REF!+"vlM!D/"</f>
        <v>#REF!</v>
      </c>
      <c r="BC11" s="1" t="e">
        <f>#REF!+"vlM!D0"</f>
        <v>#REF!</v>
      </c>
      <c r="BD11" t="e">
        <f>#REF!+"vlM!D1"</f>
        <v>#REF!</v>
      </c>
      <c r="BE11" t="e">
        <f>#REF!+"vlM!D2"</f>
        <v>#REF!</v>
      </c>
      <c r="BF11" t="e">
        <f>#REF!+"vlM!D3"</f>
        <v>#REF!</v>
      </c>
      <c r="BG11" t="e">
        <f>#REF!+"vlM!D4"</f>
        <v>#REF!</v>
      </c>
      <c r="BH11" t="e">
        <f>#REF!+"vlM!D5"</f>
        <v>#REF!</v>
      </c>
      <c r="BI11" t="e">
        <f>#REF!+"vlM!D6"</f>
        <v>#REF!</v>
      </c>
      <c r="BJ11" t="e">
        <f>#REF!+"vlM!D7"</f>
        <v>#REF!</v>
      </c>
      <c r="BK11" t="e">
        <f>#REF!+"vlM!D8"</f>
        <v>#REF!</v>
      </c>
      <c r="BL11" t="e">
        <f>#REF!+"vlM!D9"</f>
        <v>#REF!</v>
      </c>
      <c r="BM11" t="e">
        <f>#REF!+"vlM!D:"</f>
        <v>#REF!</v>
      </c>
      <c r="BN11" t="e">
        <f>#REF!+"vlM!D;"</f>
        <v>#REF!</v>
      </c>
      <c r="BO11" t="e">
        <f>#REF!+"vlM!D&lt;"</f>
        <v>#REF!</v>
      </c>
      <c r="BP11" t="e">
        <f>#REF!+"vlM!D="</f>
        <v>#REF!</v>
      </c>
      <c r="BQ11" t="e">
        <f>#REF!+"vlM!D&gt;"</f>
        <v>#REF!</v>
      </c>
      <c r="BR11" s="1" t="e">
        <f>#REF!+"vlM!D?"</f>
        <v>#REF!</v>
      </c>
      <c r="BS11" t="e">
        <f>#REF!+"vlM!D@"</f>
        <v>#REF!</v>
      </c>
      <c r="BT11" t="e">
        <f>#REF!+"vlM!DA"</f>
        <v>#REF!</v>
      </c>
      <c r="BU11" t="e">
        <f>#REF!+"vlM!DB"</f>
        <v>#REF!</v>
      </c>
      <c r="BV11" t="e">
        <f>#REF!+"vlM!DC"</f>
        <v>#REF!</v>
      </c>
      <c r="BW11" t="e">
        <f>#REF!+"vlM!DD"</f>
        <v>#REF!</v>
      </c>
      <c r="BX11" t="e">
        <f>#REF!+"vlM!DE"</f>
        <v>#REF!</v>
      </c>
      <c r="BY11" t="e">
        <f>#REF!+"vlM!DF"</f>
        <v>#REF!</v>
      </c>
      <c r="BZ11" t="e">
        <f>#REF!+"vlM!DG"</f>
        <v>#REF!</v>
      </c>
      <c r="CA11" t="e">
        <f>#REF!+"vlM!DH"</f>
        <v>#REF!</v>
      </c>
      <c r="CB11" t="e">
        <f>#REF!+"vlM!DI"</f>
        <v>#REF!</v>
      </c>
      <c r="CC11" t="e">
        <f>#REF!+"vlM!DJ"</f>
        <v>#REF!</v>
      </c>
      <c r="CD11" t="e">
        <f>#REF!+"vlM!DK"</f>
        <v>#REF!</v>
      </c>
      <c r="CE11" t="e">
        <f>#REF!+"vlM!DL"</f>
        <v>#REF!</v>
      </c>
      <c r="CF11" t="e">
        <f>#REF!+"vlM!DM"</f>
        <v>#REF!</v>
      </c>
      <c r="CG11" s="1" t="e">
        <f>#REF!+"vlM!DN"</f>
        <v>#REF!</v>
      </c>
      <c r="CH11" t="e">
        <f>#REF!+"vlM!DO"</f>
        <v>#REF!</v>
      </c>
      <c r="CI11" t="e">
        <f>#REF!+"vlM!DP"</f>
        <v>#REF!</v>
      </c>
      <c r="CJ11" t="e">
        <f>#REF!+"vlM!DQ"</f>
        <v>#REF!</v>
      </c>
      <c r="CK11" t="e">
        <f>#REF!+"vlM!DR"</f>
        <v>#REF!</v>
      </c>
      <c r="CL11" t="e">
        <f>#REF!+"vlM!DS"</f>
        <v>#REF!</v>
      </c>
      <c r="CM11" t="e">
        <f>#REF!+"vlM!DT"</f>
        <v>#REF!</v>
      </c>
      <c r="CN11" t="e">
        <f>#REF!+"vlM!DU"</f>
        <v>#REF!</v>
      </c>
      <c r="CO11" t="e">
        <f>#REF!+"vlM!DV"</f>
        <v>#REF!</v>
      </c>
      <c r="CP11" t="e">
        <f>#REF!+"vlM!DW"</f>
        <v>#REF!</v>
      </c>
      <c r="CQ11" t="e">
        <f>#REF!+"vlM!DX"</f>
        <v>#REF!</v>
      </c>
      <c r="CR11" t="e">
        <f>#REF!+"vlM!DY"</f>
        <v>#REF!</v>
      </c>
      <c r="CS11" t="e">
        <f>#REF!+"vlM!DZ"</f>
        <v>#REF!</v>
      </c>
      <c r="CT11" t="e">
        <f>#REF!+"vlM!D["</f>
        <v>#REF!</v>
      </c>
      <c r="CU11" t="e">
        <f>#REF!+"vlM!D\"</f>
        <v>#REF!</v>
      </c>
      <c r="CV11" s="1" t="e">
        <f>#REF!+"vlM!D]"</f>
        <v>#REF!</v>
      </c>
      <c r="CW11" t="e">
        <f>#REF!+"vlM!D^"</f>
        <v>#REF!</v>
      </c>
      <c r="CX11" t="e">
        <f>#REF!+"vlM!D_"</f>
        <v>#REF!</v>
      </c>
      <c r="CY11" t="e">
        <f>#REF!+"vlM!D`"</f>
        <v>#REF!</v>
      </c>
      <c r="CZ11" t="e">
        <f>#REF!+"vlM!Da"</f>
        <v>#REF!</v>
      </c>
      <c r="DA11" t="e">
        <f>#REF!+"vlM!Db"</f>
        <v>#REF!</v>
      </c>
      <c r="DB11" t="e">
        <f>#REF!+"vlM!Dc"</f>
        <v>#REF!</v>
      </c>
      <c r="DC11" t="e">
        <f>#REF!+"vlM!Dd"</f>
        <v>#REF!</v>
      </c>
      <c r="DD11" t="e">
        <f>#REF!+"vlM!De"</f>
        <v>#REF!</v>
      </c>
      <c r="DE11" t="e">
        <f>#REF!+"vlM!Df"</f>
        <v>#REF!</v>
      </c>
      <c r="DF11" t="e">
        <f>#REF!+"vlM!Dg"</f>
        <v>#REF!</v>
      </c>
      <c r="DG11" t="e">
        <f>#REF!+"vlM!Dh"</f>
        <v>#REF!</v>
      </c>
      <c r="DH11" t="e">
        <f>#REF!+"vlM!Di"</f>
        <v>#REF!</v>
      </c>
      <c r="DI11" t="e">
        <f>#REF!+"vlM!Dj"</f>
        <v>#REF!</v>
      </c>
      <c r="DJ11" t="e">
        <f>#REF!+"vlM!Dk"</f>
        <v>#REF!</v>
      </c>
      <c r="DK11" s="1" t="e">
        <f>#REF!+"vlM!Dl"</f>
        <v>#REF!</v>
      </c>
      <c r="DL11" t="e">
        <f>#REF!+"vlM!Dm"</f>
        <v>#REF!</v>
      </c>
      <c r="DM11" t="e">
        <f>#REF!+"vlM!Dn"</f>
        <v>#REF!</v>
      </c>
      <c r="DN11" t="e">
        <f>#REF!+"vlM!Do"</f>
        <v>#REF!</v>
      </c>
      <c r="DO11" t="e">
        <f>#REF!+"vlM!Dp"</f>
        <v>#REF!</v>
      </c>
      <c r="DP11" t="e">
        <f>#REF!+"vlM!Dq"</f>
        <v>#REF!</v>
      </c>
      <c r="DQ11" t="e">
        <f>#REF!+"vlM!Dr"</f>
        <v>#REF!</v>
      </c>
      <c r="DR11" t="e">
        <f>#REF!+"vlM!Ds"</f>
        <v>#REF!</v>
      </c>
      <c r="DS11" t="e">
        <f>#REF!+"vlM!Dt"</f>
        <v>#REF!</v>
      </c>
      <c r="DT11" t="e">
        <f>#REF!+"vlM!Du"</f>
        <v>#REF!</v>
      </c>
      <c r="DU11" t="e">
        <f>#REF!+"vlM!Dv"</f>
        <v>#REF!</v>
      </c>
      <c r="DV11" t="e">
        <f>#REF!+"vlM!Dw"</f>
        <v>#REF!</v>
      </c>
      <c r="DW11" t="e">
        <f>#REF!+"vlM!Dx"</f>
        <v>#REF!</v>
      </c>
      <c r="DX11" t="e">
        <f>#REF!+"vlM!Dy"</f>
        <v>#REF!</v>
      </c>
      <c r="DY11" t="e">
        <f>#REF!+"vlM!Dz"</f>
        <v>#REF!</v>
      </c>
      <c r="DZ11" s="1" t="e">
        <f>#REF!+"vlM!D{"</f>
        <v>#REF!</v>
      </c>
      <c r="EA11" t="e">
        <f>#REF!+"vlM!D|"</f>
        <v>#REF!</v>
      </c>
      <c r="EB11" t="e">
        <f>#REF!+"vlM!D}"</f>
        <v>#REF!</v>
      </c>
      <c r="EC11" t="e">
        <f>#REF!+"vlM!D~"</f>
        <v>#REF!</v>
      </c>
      <c r="ED11" t="e">
        <f>#REF!+"vlM!E#"</f>
        <v>#REF!</v>
      </c>
      <c r="EE11" t="e">
        <f>#REF!+"vlM!E$"</f>
        <v>#REF!</v>
      </c>
      <c r="EF11" t="e">
        <f>#REF!+"vlM!E%"</f>
        <v>#REF!</v>
      </c>
      <c r="EG11" t="e">
        <f>#REF!+"vlM!E&amp;"</f>
        <v>#REF!</v>
      </c>
      <c r="EH11" t="e">
        <f>#REF!+"vlM!E'"</f>
        <v>#REF!</v>
      </c>
      <c r="EI11" t="e">
        <f>#REF!+"vlM!E("</f>
        <v>#REF!</v>
      </c>
      <c r="EJ11" t="e">
        <f>#REF!+"vlM!E)"</f>
        <v>#REF!</v>
      </c>
      <c r="EK11" t="e">
        <f>#REF!+"vlM!E."</f>
        <v>#REF!</v>
      </c>
      <c r="EL11" t="e">
        <f>#REF!+"vlM!E/"</f>
        <v>#REF!</v>
      </c>
      <c r="EM11" t="e">
        <f>#REF!+"vlM!E0"</f>
        <v>#REF!</v>
      </c>
      <c r="EN11" t="e">
        <f>#REF!+"vlM!E1"</f>
        <v>#REF!</v>
      </c>
      <c r="EO11" s="1" t="e">
        <f>#REF!+"vlM!E2"</f>
        <v>#REF!</v>
      </c>
      <c r="EP11" t="e">
        <f>#REF!+"vlM!E3"</f>
        <v>#REF!</v>
      </c>
      <c r="EQ11" t="e">
        <f>#REF!+"vlM!E4"</f>
        <v>#REF!</v>
      </c>
      <c r="ER11" t="e">
        <f>#REF!+"vlM!E5"</f>
        <v>#REF!</v>
      </c>
      <c r="ES11" t="e">
        <f>#REF!+"vlM!E6"</f>
        <v>#REF!</v>
      </c>
      <c r="ET11" t="e">
        <f>#REF!+"vlM!E7"</f>
        <v>#REF!</v>
      </c>
      <c r="EU11" t="e">
        <f>#REF!+"vlM!E8"</f>
        <v>#REF!</v>
      </c>
      <c r="EV11" t="e">
        <f>#REF!+"vlM!E9"</f>
        <v>#REF!</v>
      </c>
      <c r="EW11" t="e">
        <f>#REF!+"vlM!E:"</f>
        <v>#REF!</v>
      </c>
      <c r="EX11" t="e">
        <f>#REF!+"vlM!E;"</f>
        <v>#REF!</v>
      </c>
      <c r="EY11" t="e">
        <f>#REF!+"vlM!E&lt;"</f>
        <v>#REF!</v>
      </c>
      <c r="EZ11" t="e">
        <f>#REF!+"vlM!E="</f>
        <v>#REF!</v>
      </c>
      <c r="FA11" t="e">
        <f>#REF!+"vlM!E&gt;"</f>
        <v>#REF!</v>
      </c>
      <c r="FB11" t="e">
        <f>#REF!+"vlM!E?"</f>
        <v>#REF!</v>
      </c>
      <c r="FC11" t="e">
        <f>#REF!+"vlM!E@"</f>
        <v>#REF!</v>
      </c>
      <c r="FD11" s="1" t="e">
        <f>#REF!+"vlM!EA"</f>
        <v>#REF!</v>
      </c>
      <c r="FE11" t="e">
        <f>#REF!+"vlM!EB"</f>
        <v>#REF!</v>
      </c>
      <c r="FF11" t="e">
        <f>#REF!+"vlM!EC"</f>
        <v>#REF!</v>
      </c>
      <c r="FG11" t="e">
        <f>#REF!+"vlM!ED"</f>
        <v>#REF!</v>
      </c>
      <c r="FH11" t="e">
        <f>#REF!+"vlM!EE"</f>
        <v>#REF!</v>
      </c>
      <c r="FI11" t="e">
        <f>#REF!+"vlM!EF"</f>
        <v>#REF!</v>
      </c>
      <c r="FJ11" t="e">
        <f>#REF!+"vlM!EG"</f>
        <v>#REF!</v>
      </c>
      <c r="FK11" t="e">
        <f>#REF!+"vlM!EH"</f>
        <v>#REF!</v>
      </c>
      <c r="FL11" t="e">
        <f>#REF!+"vlM!EI"</f>
        <v>#REF!</v>
      </c>
      <c r="FM11" t="e">
        <f>#REF!+"vlM!EJ"</f>
        <v>#REF!</v>
      </c>
      <c r="FN11" t="e">
        <f>#REF!+"vlM!EK"</f>
        <v>#REF!</v>
      </c>
      <c r="FO11" t="e">
        <f>#REF!+"vlM!EL"</f>
        <v>#REF!</v>
      </c>
      <c r="FP11" t="e">
        <f>#REF!+"vlM!EM"</f>
        <v>#REF!</v>
      </c>
      <c r="FQ11" t="e">
        <f>#REF!+"vlM!EN"</f>
        <v>#REF!</v>
      </c>
      <c r="FR11" t="e">
        <f>#REF!+"vlM!EO"</f>
        <v>#REF!</v>
      </c>
      <c r="FS11" s="1" t="e">
        <f>#REF!+"vlM!EP"</f>
        <v>#REF!</v>
      </c>
      <c r="FT11" t="e">
        <f>#REF!+"vlM!EQ"</f>
        <v>#REF!</v>
      </c>
      <c r="FU11" t="e">
        <f>#REF!+"vlM!ER"</f>
        <v>#REF!</v>
      </c>
      <c r="FV11" t="e">
        <f>#REF!+"vlM!ES"</f>
        <v>#REF!</v>
      </c>
      <c r="FW11" t="e">
        <f>#REF!+"vlM!ET"</f>
        <v>#REF!</v>
      </c>
      <c r="FX11" t="e">
        <f>#REF!+"vlM!EU"</f>
        <v>#REF!</v>
      </c>
      <c r="FY11" t="e">
        <f>#REF!+"vlM!EV"</f>
        <v>#REF!</v>
      </c>
      <c r="FZ11" t="e">
        <f>#REF!+"vlM!EW"</f>
        <v>#REF!</v>
      </c>
      <c r="GA11" t="e">
        <f>#REF!+"vlM!EX"</f>
        <v>#REF!</v>
      </c>
      <c r="GB11" t="e">
        <f>#REF!+"vlM!EY"</f>
        <v>#REF!</v>
      </c>
      <c r="GC11" t="e">
        <f>#REF!+"vlM!EZ"</f>
        <v>#REF!</v>
      </c>
      <c r="GD11" t="e">
        <f>#REF!+"vlM!E["</f>
        <v>#REF!</v>
      </c>
      <c r="GE11" t="e">
        <f>#REF!+"vlM!E\"</f>
        <v>#REF!</v>
      </c>
      <c r="GF11" t="e">
        <f>#REF!+"vlM!E]"</f>
        <v>#REF!</v>
      </c>
      <c r="GG11" t="e">
        <f>#REF!+"vlM!E^"</f>
        <v>#REF!</v>
      </c>
      <c r="GH11" s="1" t="e">
        <f>#REF!+"vlM!E_"</f>
        <v>#REF!</v>
      </c>
      <c r="GI11" t="e">
        <f>#REF!+"vlM!E`"</f>
        <v>#REF!</v>
      </c>
      <c r="GJ11" t="e">
        <f>#REF!+"vlM!Ea"</f>
        <v>#REF!</v>
      </c>
      <c r="GK11" t="e">
        <f>#REF!+"vlM!Eb"</f>
        <v>#REF!</v>
      </c>
      <c r="GL11" t="e">
        <f>#REF!+"vlM!Ec"</f>
        <v>#REF!</v>
      </c>
      <c r="GM11" t="e">
        <f>#REF!+"vlM!Ed"</f>
        <v>#REF!</v>
      </c>
      <c r="GN11" t="e">
        <f>#REF!+"vlM!Ee"</f>
        <v>#REF!</v>
      </c>
      <c r="GO11" t="e">
        <f>#REF!+"vlM!Ef"</f>
        <v>#REF!</v>
      </c>
      <c r="GP11" t="e">
        <f>#REF!+"vlM!Eg"</f>
        <v>#REF!</v>
      </c>
      <c r="GQ11" t="e">
        <f>#REF!+"vlM!Eh"</f>
        <v>#REF!</v>
      </c>
      <c r="GR11" t="e">
        <f>#REF!+"vlM!Ei"</f>
        <v>#REF!</v>
      </c>
      <c r="GS11" t="e">
        <f>#REF!+"vlM!Ej"</f>
        <v>#REF!</v>
      </c>
      <c r="GT11" t="e">
        <f>#REF!+"vlM!Ek"</f>
        <v>#REF!</v>
      </c>
      <c r="GU11" t="e">
        <f>#REF!+"vlM!El"</f>
        <v>#REF!</v>
      </c>
      <c r="GV11" t="e">
        <f>#REF!+"vlM!Em"</f>
        <v>#REF!</v>
      </c>
      <c r="GW11" s="1" t="e">
        <f>#REF!+"vlM!En"</f>
        <v>#REF!</v>
      </c>
      <c r="GX11" t="e">
        <f>#REF!+"vlM!Eo"</f>
        <v>#REF!</v>
      </c>
      <c r="GY11" t="e">
        <f>#REF!+"vlM!Ep"</f>
        <v>#REF!</v>
      </c>
      <c r="GZ11" t="e">
        <f>#REF!+"vlM!Eq"</f>
        <v>#REF!</v>
      </c>
      <c r="HA11" t="e">
        <f>#REF!+"vlM!Er"</f>
        <v>#REF!</v>
      </c>
      <c r="HB11" t="e">
        <f>#REF!+"vlM!Es"</f>
        <v>#REF!</v>
      </c>
      <c r="HC11" t="e">
        <f>#REF!+"vlM!Et"</f>
        <v>#REF!</v>
      </c>
      <c r="HD11" t="e">
        <f>#REF!+"vlM!Eu"</f>
        <v>#REF!</v>
      </c>
      <c r="HE11" t="e">
        <f>#REF!+"vlM!Ev"</f>
        <v>#REF!</v>
      </c>
      <c r="HF11" t="e">
        <f>#REF!+"vlM!Ew"</f>
        <v>#REF!</v>
      </c>
      <c r="HG11" t="e">
        <f>#REF!+"vlM!Ex"</f>
        <v>#REF!</v>
      </c>
      <c r="HH11" t="e">
        <f>#REF!+"vlM!Ey"</f>
        <v>#REF!</v>
      </c>
      <c r="HI11" t="e">
        <f>#REF!+"vlM!Ez"</f>
        <v>#REF!</v>
      </c>
      <c r="HJ11" t="e">
        <f>#REF!+"vlM!E{"</f>
        <v>#REF!</v>
      </c>
      <c r="HK11" t="e">
        <f>#REF!+"vlM!E|"</f>
        <v>#REF!</v>
      </c>
      <c r="HL11" s="1" t="e">
        <f>#REF!+"vlM!E}"</f>
        <v>#REF!</v>
      </c>
      <c r="HM11" t="e">
        <f>#REF!+"vlM!E~"</f>
        <v>#REF!</v>
      </c>
      <c r="HN11" t="e">
        <f>#REF!+"vlM!F#"</f>
        <v>#REF!</v>
      </c>
      <c r="HO11" t="e">
        <f>#REF!+"vlM!F$"</f>
        <v>#REF!</v>
      </c>
      <c r="HP11" t="e">
        <f>#REF!+"vlM!F%"</f>
        <v>#REF!</v>
      </c>
      <c r="HQ11" t="e">
        <f>#REF!+"vlM!F&amp;"</f>
        <v>#REF!</v>
      </c>
      <c r="HR11" t="e">
        <f>#REF!+"vlM!F'"</f>
        <v>#REF!</v>
      </c>
      <c r="HS11" t="e">
        <f>#REF!+"vlM!F("</f>
        <v>#REF!</v>
      </c>
      <c r="HT11" t="e">
        <f>#REF!+"vlM!F)"</f>
        <v>#REF!</v>
      </c>
      <c r="HU11" t="e">
        <f>#REF!+"vlM!F."</f>
        <v>#REF!</v>
      </c>
      <c r="HV11" t="e">
        <f>#REF!+"vlM!F/"</f>
        <v>#REF!</v>
      </c>
      <c r="HW11" t="e">
        <f>#REF!+"vlM!F0"</f>
        <v>#REF!</v>
      </c>
      <c r="HX11" t="e">
        <f>#REF!+"vlM!F1"</f>
        <v>#REF!</v>
      </c>
      <c r="HY11" t="e">
        <f>#REF!+"vlM!F2"</f>
        <v>#REF!</v>
      </c>
      <c r="HZ11" t="e">
        <f>#REF!+"vlM!F3"</f>
        <v>#REF!</v>
      </c>
      <c r="IA11" s="1" t="e">
        <f>#REF!+"vlM!F4"</f>
        <v>#REF!</v>
      </c>
      <c r="IB11" t="e">
        <f>#REF!+"vlM!F5"</f>
        <v>#REF!</v>
      </c>
      <c r="IC11" t="e">
        <f>#REF!+"vlM!F6"</f>
        <v>#REF!</v>
      </c>
      <c r="ID11" t="e">
        <f>#REF!+"vlM!F7"</f>
        <v>#REF!</v>
      </c>
      <c r="IE11" t="e">
        <f>#REF!+"vlM!F8"</f>
        <v>#REF!</v>
      </c>
      <c r="IF11" t="e">
        <f>#REF!+"vlM!F9"</f>
        <v>#REF!</v>
      </c>
      <c r="IG11" t="e">
        <f>#REF!+"vlM!F:"</f>
        <v>#REF!</v>
      </c>
      <c r="IH11" t="e">
        <f>#REF!+"vlM!F;"</f>
        <v>#REF!</v>
      </c>
      <c r="II11" t="e">
        <f>#REF!+"vlM!F&lt;"</f>
        <v>#REF!</v>
      </c>
      <c r="IJ11" t="e">
        <f>#REF!+"vlM!F="</f>
        <v>#REF!</v>
      </c>
      <c r="IK11" t="e">
        <f>#REF!+"vlM!F&gt;"</f>
        <v>#REF!</v>
      </c>
      <c r="IL11" t="e">
        <f>#REF!+"vlM!F?"</f>
        <v>#REF!</v>
      </c>
      <c r="IM11" t="e">
        <f>#REF!+"vlM!F@"</f>
        <v>#REF!</v>
      </c>
      <c r="IN11" t="e">
        <f>#REF!+"vlM!FA"</f>
        <v>#REF!</v>
      </c>
      <c r="IO11" t="e">
        <f>#REF!+"vlM!FB"</f>
        <v>#REF!</v>
      </c>
      <c r="IP11" s="1" t="e">
        <f>#REF!+"vlM!FC"</f>
        <v>#REF!</v>
      </c>
      <c r="IQ11" t="e">
        <f>#REF!+"vlM!FD"</f>
        <v>#REF!</v>
      </c>
      <c r="IR11" t="e">
        <f>#REF!+"vlM!FE"</f>
        <v>#REF!</v>
      </c>
      <c r="IS11" t="e">
        <f>#REF!+"vlM!FF"</f>
        <v>#REF!</v>
      </c>
      <c r="IT11" t="e">
        <f>#REF!+"vlM!FG"</f>
        <v>#REF!</v>
      </c>
      <c r="IU11" t="e">
        <f>#REF!+"vlM!FH"</f>
        <v>#REF!</v>
      </c>
      <c r="IV11" t="e">
        <f>#REF!+"vlM!FI"</f>
        <v>#REF!</v>
      </c>
    </row>
    <row r="12" spans="1:256" x14ac:dyDescent="0.25">
      <c r="F12" t="e">
        <f>#REF!+"vlM!FJ"</f>
        <v>#REF!</v>
      </c>
      <c r="G12" t="e">
        <f>#REF!+"vlM!FK"</f>
        <v>#REF!</v>
      </c>
      <c r="H12" t="e">
        <f>#REF!+"vlM!FL"</f>
        <v>#REF!</v>
      </c>
      <c r="I12" t="e">
        <f>#REF!+"vlM!FM"</f>
        <v>#REF!</v>
      </c>
      <c r="J12" t="e">
        <f>#REF!+"vlM!FN"</f>
        <v>#REF!</v>
      </c>
      <c r="K12" t="e">
        <f>#REF!+"vlM!FO"</f>
        <v>#REF!</v>
      </c>
      <c r="L12" t="e">
        <f>#REF!+"vlM!FP"</f>
        <v>#REF!</v>
      </c>
      <c r="M12" t="e">
        <f>#REF!+"vlM!FQ"</f>
        <v>#REF!</v>
      </c>
      <c r="N12" s="1" t="e">
        <f>#REF!+"vlM!FR"</f>
        <v>#REF!</v>
      </c>
      <c r="O12" t="e">
        <f>#REF!+"vlM!FS"</f>
        <v>#REF!</v>
      </c>
      <c r="P12" t="e">
        <f>#REF!+"vlM!FT"</f>
        <v>#REF!</v>
      </c>
      <c r="Q12" t="e">
        <f>#REF!+"vlM!FU"</f>
        <v>#REF!</v>
      </c>
      <c r="R12" t="e">
        <f>#REF!+"vlM!FV"</f>
        <v>#REF!</v>
      </c>
      <c r="S12" t="e">
        <f>#REF!+"vlM!FW"</f>
        <v>#REF!</v>
      </c>
      <c r="T12" t="e">
        <f>#REF!+"vlM!FX"</f>
        <v>#REF!</v>
      </c>
      <c r="U12" t="e">
        <f>#REF!+"vlM!FY"</f>
        <v>#REF!</v>
      </c>
      <c r="V12" t="e">
        <f>#REF!+"vlM!FZ"</f>
        <v>#REF!</v>
      </c>
      <c r="W12" t="e">
        <f>#REF!+"vlM!F["</f>
        <v>#REF!</v>
      </c>
      <c r="X12" t="e">
        <f>#REF!+"vlM!F\"</f>
        <v>#REF!</v>
      </c>
      <c r="Y12" t="e">
        <f>#REF!+"vlM!F]"</f>
        <v>#REF!</v>
      </c>
      <c r="Z12" t="e">
        <f>#REF!+"vlM!F^"</f>
        <v>#REF!</v>
      </c>
      <c r="AA12" t="e">
        <f>#REF!+"vlM!F_"</f>
        <v>#REF!</v>
      </c>
      <c r="AB12" t="e">
        <f>#REF!+"vlM!F`"</f>
        <v>#REF!</v>
      </c>
      <c r="AC12" s="1" t="e">
        <f>#REF!+"vlM!Fa"</f>
        <v>#REF!</v>
      </c>
      <c r="AD12" t="e">
        <f>#REF!+"vlM!Fb"</f>
        <v>#REF!</v>
      </c>
      <c r="AE12" t="e">
        <f>#REF!+"vlM!Fc"</f>
        <v>#REF!</v>
      </c>
      <c r="AF12" t="e">
        <f>#REF!+"vlM!Fd"</f>
        <v>#REF!</v>
      </c>
      <c r="AG12" t="e">
        <f>#REF!+"vlM!Fe"</f>
        <v>#REF!</v>
      </c>
      <c r="AH12" t="e">
        <f>#REF!+"vlM!Ff"</f>
        <v>#REF!</v>
      </c>
      <c r="AI12" t="e">
        <f>#REF!+"vlM!Fg"</f>
        <v>#REF!</v>
      </c>
      <c r="AJ12" t="e">
        <f>#REF!+"vlM!Fh"</f>
        <v>#REF!</v>
      </c>
      <c r="AK12" t="e">
        <f>#REF!+"vlM!Fi"</f>
        <v>#REF!</v>
      </c>
      <c r="AL12" t="e">
        <f>#REF!+"vlM!Fj"</f>
        <v>#REF!</v>
      </c>
      <c r="AM12" t="e">
        <f>#REF!+"vlM!Fk"</f>
        <v>#REF!</v>
      </c>
      <c r="AN12" t="e">
        <f>#REF!+"vlM!Fl"</f>
        <v>#REF!</v>
      </c>
      <c r="AO12" t="e">
        <f>#REF!+"vlM!Fm"</f>
        <v>#REF!</v>
      </c>
      <c r="AP12" t="e">
        <f>#REF!+"vlM!Fn"</f>
        <v>#REF!</v>
      </c>
      <c r="AQ12" t="e">
        <f>#REF!+"vlM!Fo"</f>
        <v>#REF!</v>
      </c>
      <c r="AR12" s="1" t="e">
        <f>#REF!+"vlM!Fp"</f>
        <v>#REF!</v>
      </c>
      <c r="AS12" t="e">
        <f>#REF!+"vlM!Fq"</f>
        <v>#REF!</v>
      </c>
      <c r="AT12" t="e">
        <f>#REF!+"vlM!Fr"</f>
        <v>#REF!</v>
      </c>
      <c r="AU12" t="e">
        <f>#REF!+"vlM!Fs"</f>
        <v>#REF!</v>
      </c>
      <c r="AV12" t="e">
        <f>#REF!+"vlM!Ft"</f>
        <v>#REF!</v>
      </c>
      <c r="AW12" t="e">
        <f>#REF!+"vlM!Fu"</f>
        <v>#REF!</v>
      </c>
      <c r="AX12" t="e">
        <f>#REF!+"vlM!Fv"</f>
        <v>#REF!</v>
      </c>
      <c r="AY12" t="e">
        <f>#REF!+"vlM!Fw"</f>
        <v>#REF!</v>
      </c>
      <c r="AZ12" t="e">
        <f>#REF!+"vlM!Fx"</f>
        <v>#REF!</v>
      </c>
      <c r="BA12" t="e">
        <f>#REF!+"vlM!Fy"</f>
        <v>#REF!</v>
      </c>
      <c r="BB12" t="e">
        <f>#REF!+"vlM!Fz"</f>
        <v>#REF!</v>
      </c>
      <c r="BC12" t="e">
        <f>#REF!+"vlM!F{"</f>
        <v>#REF!</v>
      </c>
      <c r="BD12" t="e">
        <f>#REF!+"vlM!F|"</f>
        <v>#REF!</v>
      </c>
      <c r="BE12" t="e">
        <f>#REF!+"vlM!F}"</f>
        <v>#REF!</v>
      </c>
      <c r="BF12" t="e">
        <f>#REF!+"vlM!F~"</f>
        <v>#REF!</v>
      </c>
      <c r="BG12" s="1" t="e">
        <f>#REF!+"vlM!G#"</f>
        <v>#REF!</v>
      </c>
      <c r="BH12" t="e">
        <f>#REF!+"vlM!G$"</f>
        <v>#REF!</v>
      </c>
      <c r="BI12" t="e">
        <f>#REF!+"vlM!G%"</f>
        <v>#REF!</v>
      </c>
      <c r="BJ12" t="e">
        <f>#REF!+"vlM!G&amp;"</f>
        <v>#REF!</v>
      </c>
      <c r="BK12" t="e">
        <f>#REF!+"vlM!G'"</f>
        <v>#REF!</v>
      </c>
      <c r="BL12" t="e">
        <f>#REF!+"vlM!G("</f>
        <v>#REF!</v>
      </c>
      <c r="BM12" t="e">
        <f>#REF!+"vlM!G)"</f>
        <v>#REF!</v>
      </c>
      <c r="BN12" t="e">
        <f>#REF!+"vlM!G."</f>
        <v>#REF!</v>
      </c>
      <c r="BO12" t="e">
        <f>#REF!+"vlM!G/"</f>
        <v>#REF!</v>
      </c>
      <c r="BP12" t="e">
        <f>#REF!+"vlM!G0"</f>
        <v>#REF!</v>
      </c>
      <c r="BQ12" t="e">
        <f>#REF!+"vlM!G1"</f>
        <v>#REF!</v>
      </c>
      <c r="BR12" t="e">
        <f>#REF!+"vlM!G2"</f>
        <v>#REF!</v>
      </c>
      <c r="BS12" t="e">
        <f>#REF!+"vlM!G3"</f>
        <v>#REF!</v>
      </c>
      <c r="BT12" t="e">
        <f>#REF!+"vlM!G4"</f>
        <v>#REF!</v>
      </c>
      <c r="BU12" t="e">
        <f>#REF!+"vlM!G5"</f>
        <v>#REF!</v>
      </c>
      <c r="BV12" s="1" t="e">
        <f>#REF!+"vlM!G6"</f>
        <v>#REF!</v>
      </c>
      <c r="BW12" t="e">
        <f>#REF!+"vlM!G7"</f>
        <v>#REF!</v>
      </c>
      <c r="BX12" t="e">
        <f>#REF!+"vlM!G8"</f>
        <v>#REF!</v>
      </c>
      <c r="BY12" t="e">
        <f>#REF!+"vlM!G9"</f>
        <v>#REF!</v>
      </c>
      <c r="BZ12" t="e">
        <f>#REF!+"vlM!G:"</f>
        <v>#REF!</v>
      </c>
      <c r="CA12" t="e">
        <f>#REF!+"vlM!G;"</f>
        <v>#REF!</v>
      </c>
      <c r="CB12" t="e">
        <f>#REF!+"vlM!G&lt;"</f>
        <v>#REF!</v>
      </c>
      <c r="CC12" t="e">
        <f>#REF!+"vlM!G="</f>
        <v>#REF!</v>
      </c>
      <c r="CD12" t="e">
        <f>#REF!+"vlM!G&gt;"</f>
        <v>#REF!</v>
      </c>
      <c r="CE12" t="e">
        <f>#REF!+"vlM!G?"</f>
        <v>#REF!</v>
      </c>
      <c r="CF12" t="e">
        <f>#REF!+"vlM!G@"</f>
        <v>#REF!</v>
      </c>
      <c r="CG12" t="e">
        <f>#REF!+"vlM!GA"</f>
        <v>#REF!</v>
      </c>
      <c r="CH12" t="e">
        <f>#REF!+"vlM!GB"</f>
        <v>#REF!</v>
      </c>
      <c r="CI12" t="e">
        <f>#REF!+"vlM!GC"</f>
        <v>#REF!</v>
      </c>
      <c r="CJ12" t="e">
        <f>#REF!+"vlM!GD"</f>
        <v>#REF!</v>
      </c>
      <c r="CK12" s="1" t="e">
        <f>#REF!+"vlM!GE"</f>
        <v>#REF!</v>
      </c>
      <c r="CL12" t="e">
        <f>#REF!+"vlM!GF"</f>
        <v>#REF!</v>
      </c>
      <c r="CM12" t="e">
        <f>#REF!+"vlM!GG"</f>
        <v>#REF!</v>
      </c>
      <c r="CN12" t="e">
        <f>#REF!+"vlM!GH"</f>
        <v>#REF!</v>
      </c>
      <c r="CO12" t="e">
        <f>#REF!+"vlM!GI"</f>
        <v>#REF!</v>
      </c>
      <c r="CP12" t="e">
        <f>#REF!+"vlM!GJ"</f>
        <v>#REF!</v>
      </c>
      <c r="CQ12" t="e">
        <f>#REF!+"vlM!GK"</f>
        <v>#REF!</v>
      </c>
      <c r="CR12" t="e">
        <f>#REF!+"vlM!GL"</f>
        <v>#REF!</v>
      </c>
      <c r="CS12" t="e">
        <f>#REF!+"vlM!GM"</f>
        <v>#REF!</v>
      </c>
      <c r="CT12" t="e">
        <f>#REF!+"vlM!GN"</f>
        <v>#REF!</v>
      </c>
      <c r="CU12" t="e">
        <f>#REF!+"vlM!GO"</f>
        <v>#REF!</v>
      </c>
      <c r="CV12" t="e">
        <f>#REF!+"vlM!GP"</f>
        <v>#REF!</v>
      </c>
      <c r="CW12" t="e">
        <f>#REF!+"vlM!GQ"</f>
        <v>#REF!</v>
      </c>
      <c r="CX12" t="e">
        <f>#REF!+"vlM!GR"</f>
        <v>#REF!</v>
      </c>
      <c r="CY12" t="e">
        <f>#REF!+"vlM!GS"</f>
        <v>#REF!</v>
      </c>
      <c r="CZ12" s="1" t="e">
        <f>#REF!+"vlM!GT"</f>
        <v>#REF!</v>
      </c>
      <c r="DA12" t="e">
        <f>#REF!+"vlM!GU"</f>
        <v>#REF!</v>
      </c>
      <c r="DB12" t="e">
        <f>#REF!+"vlM!GV"</f>
        <v>#REF!</v>
      </c>
      <c r="DC12" t="e">
        <f>#REF!+"vlM!GW"</f>
        <v>#REF!</v>
      </c>
      <c r="DD12" t="e">
        <f>#REF!+"vlM!GX"</f>
        <v>#REF!</v>
      </c>
      <c r="DE12" t="e">
        <f>#REF!+"vlM!GY"</f>
        <v>#REF!</v>
      </c>
      <c r="DF12" t="e">
        <f>#REF!+"vlM!GZ"</f>
        <v>#REF!</v>
      </c>
      <c r="DG12" t="e">
        <f>#REF!+"vlM!G["</f>
        <v>#REF!</v>
      </c>
      <c r="DH12" t="e">
        <f>#REF!+"vlM!G\"</f>
        <v>#REF!</v>
      </c>
      <c r="DI12" t="e">
        <f>#REF!+"vlM!G]"</f>
        <v>#REF!</v>
      </c>
      <c r="DJ12" t="e">
        <f>#REF!+"vlM!G^"</f>
        <v>#REF!</v>
      </c>
      <c r="DK12" t="e">
        <f>#REF!+"vlM!G_"</f>
        <v>#REF!</v>
      </c>
      <c r="DL12" t="e">
        <f>#REF!+"vlM!G`"</f>
        <v>#REF!</v>
      </c>
      <c r="DM12" t="e">
        <f>#REF!+"vlM!Ga"</f>
        <v>#REF!</v>
      </c>
      <c r="DN12" t="e">
        <f>#REF!+"vlM!Gb"</f>
        <v>#REF!</v>
      </c>
      <c r="DO12" s="1" t="e">
        <f>#REF!+"vlM!Gc"</f>
        <v>#REF!</v>
      </c>
      <c r="DP12" t="e">
        <f>#REF!+"vlM!Gd"</f>
        <v>#REF!</v>
      </c>
      <c r="DQ12" t="e">
        <f>#REF!+"vlM!Ge"</f>
        <v>#REF!</v>
      </c>
      <c r="DR12" t="e">
        <f>#REF!+"vlM!Gf"</f>
        <v>#REF!</v>
      </c>
      <c r="DS12" t="e">
        <f>#REF!+"vlM!Gg"</f>
        <v>#REF!</v>
      </c>
      <c r="DT12" t="e">
        <f>#REF!+"vlM!Gh"</f>
        <v>#REF!</v>
      </c>
      <c r="DU12" t="e">
        <f>#REF!+"vlM!Gi"</f>
        <v>#REF!</v>
      </c>
      <c r="DV12" t="e">
        <f>#REF!+"vlM!Gj"</f>
        <v>#REF!</v>
      </c>
      <c r="DW12" t="e">
        <f>#REF!+"vlM!Gk"</f>
        <v>#REF!</v>
      </c>
      <c r="DX12" t="e">
        <f>#REF!+"vlM!Gl"</f>
        <v>#REF!</v>
      </c>
      <c r="DY12" t="e">
        <f>#REF!+"vlM!Gm"</f>
        <v>#REF!</v>
      </c>
      <c r="DZ12" t="e">
        <f>#REF!+"vlM!Gn"</f>
        <v>#REF!</v>
      </c>
      <c r="EA12" t="e">
        <f>#REF!+"vlM!Go"</f>
        <v>#REF!</v>
      </c>
      <c r="EB12" t="e">
        <f>#REF!+"vlM!Gp"</f>
        <v>#REF!</v>
      </c>
      <c r="EC12" t="e">
        <f>#REF!+"vlM!Gq"</f>
        <v>#REF!</v>
      </c>
      <c r="ED12" s="1" t="e">
        <f>#REF!+"vlM!Gr"</f>
        <v>#REF!</v>
      </c>
      <c r="EE12" t="e">
        <f>#REF!+"vlM!Gs"</f>
        <v>#REF!</v>
      </c>
      <c r="EF12" t="e">
        <f>#REF!+"vlM!Gt"</f>
        <v>#REF!</v>
      </c>
      <c r="EG12" t="e">
        <f>#REF!+"vlM!Gu"</f>
        <v>#REF!</v>
      </c>
      <c r="EH12" t="e">
        <f>#REF!+"vlM!Gv"</f>
        <v>#REF!</v>
      </c>
      <c r="EI12" t="e">
        <f>#REF!+"vlM!Gw"</f>
        <v>#REF!</v>
      </c>
      <c r="EJ12" t="e">
        <f>#REF!+"vlM!Gx"</f>
        <v>#REF!</v>
      </c>
      <c r="EK12" t="e">
        <f>#REF!+"vlM!Gy"</f>
        <v>#REF!</v>
      </c>
      <c r="EL12" t="e">
        <f>#REF!+"vlM!Gz"</f>
        <v>#REF!</v>
      </c>
      <c r="EM12" t="e">
        <f>#REF!+"vlM!G{"</f>
        <v>#REF!</v>
      </c>
      <c r="EN12" t="e">
        <f>#REF!+"vlM!G|"</f>
        <v>#REF!</v>
      </c>
      <c r="EO12" t="e">
        <f>#REF!+"vlM!G}"</f>
        <v>#REF!</v>
      </c>
      <c r="EP12" t="e">
        <f>#REF!+"vlM!G~"</f>
        <v>#REF!</v>
      </c>
      <c r="EQ12" t="e">
        <f>#REF!+"vlM!H#"</f>
        <v>#REF!</v>
      </c>
      <c r="ER12" t="e">
        <f>#REF!+"vlM!H$"</f>
        <v>#REF!</v>
      </c>
      <c r="ES12" s="1" t="e">
        <f>#REF!+"vlM!H%"</f>
        <v>#REF!</v>
      </c>
      <c r="ET12" t="e">
        <f>#REF!+"vlM!H&amp;"</f>
        <v>#REF!</v>
      </c>
      <c r="EU12" t="e">
        <f>#REF!+"vlM!H'"</f>
        <v>#REF!</v>
      </c>
      <c r="EV12" t="e">
        <f>#REF!+"vlM!H("</f>
        <v>#REF!</v>
      </c>
      <c r="EW12" t="e">
        <f>#REF!+"vlM!H)"</f>
        <v>#REF!</v>
      </c>
      <c r="EX12" t="e">
        <f>#REF!+"vlM!H."</f>
        <v>#REF!</v>
      </c>
      <c r="EY12" t="e">
        <f>#REF!+"vlM!H/"</f>
        <v>#REF!</v>
      </c>
      <c r="EZ12" t="e">
        <f>#REF!+"vlM!H0"</f>
        <v>#REF!</v>
      </c>
      <c r="FA12" t="e">
        <f>#REF!+"vlM!H1"</f>
        <v>#REF!</v>
      </c>
      <c r="FB12" t="e">
        <f>#REF!+"vlM!H2"</f>
        <v>#REF!</v>
      </c>
      <c r="FC12" t="e">
        <f>#REF!+"vlM!H3"</f>
        <v>#REF!</v>
      </c>
      <c r="FD12" t="e">
        <f>#REF!+"vlM!H4"</f>
        <v>#REF!</v>
      </c>
      <c r="FE12" t="e">
        <f>#REF!+"vlM!H5"</f>
        <v>#REF!</v>
      </c>
      <c r="FF12" t="e">
        <f>#REF!+"vlM!H6"</f>
        <v>#REF!</v>
      </c>
      <c r="FG12" t="e">
        <f>#REF!+"vlM!H7"</f>
        <v>#REF!</v>
      </c>
      <c r="FH12" s="1" t="e">
        <f>#REF!+"vlM!H8"</f>
        <v>#REF!</v>
      </c>
      <c r="FI12" t="e">
        <f>#REF!+"vlM!H9"</f>
        <v>#REF!</v>
      </c>
      <c r="FJ12" t="e">
        <f>#REF!+"vlM!H:"</f>
        <v>#REF!</v>
      </c>
      <c r="FK12" t="e">
        <f>#REF!+"vlM!H;"</f>
        <v>#REF!</v>
      </c>
      <c r="FL12" t="e">
        <f>#REF!+"vlM!H&lt;"</f>
        <v>#REF!</v>
      </c>
      <c r="FM12" t="e">
        <f>#REF!+"vlM!H="</f>
        <v>#REF!</v>
      </c>
      <c r="FN12" t="e">
        <f>#REF!+"vlM!H&gt;"</f>
        <v>#REF!</v>
      </c>
      <c r="FO12" t="e">
        <f>#REF!+"vlM!H?"</f>
        <v>#REF!</v>
      </c>
      <c r="FP12" t="e">
        <f>#REF!+"vlM!H@"</f>
        <v>#REF!</v>
      </c>
      <c r="FQ12" t="e">
        <f>#REF!+"vlM!HA"</f>
        <v>#REF!</v>
      </c>
      <c r="FR12" t="e">
        <f>#REF!+"vlM!HB"</f>
        <v>#REF!</v>
      </c>
      <c r="FS12" t="e">
        <f>#REF!+"vlM!HC"</f>
        <v>#REF!</v>
      </c>
      <c r="FT12" t="e">
        <f>#REF!+"vlM!HD"</f>
        <v>#REF!</v>
      </c>
      <c r="FU12" t="e">
        <f>#REF!+"vlM!HE"</f>
        <v>#REF!</v>
      </c>
      <c r="FV12" t="e">
        <f>#REF!+"vlM!HF"</f>
        <v>#REF!</v>
      </c>
      <c r="FW12" s="1" t="e">
        <f>#REF!+"vlM!HG"</f>
        <v>#REF!</v>
      </c>
      <c r="FX12" t="e">
        <f>#REF!+"vlM!HH"</f>
        <v>#REF!</v>
      </c>
      <c r="FY12" t="e">
        <f>#REF!+"vlM!HI"</f>
        <v>#REF!</v>
      </c>
      <c r="FZ12" t="e">
        <f>#REF!+"vlM!HJ"</f>
        <v>#REF!</v>
      </c>
      <c r="GA12" t="e">
        <f>#REF!+"vlM!HK"</f>
        <v>#REF!</v>
      </c>
      <c r="GB12" t="e">
        <f>#REF!+"vlM!HL"</f>
        <v>#REF!</v>
      </c>
      <c r="GC12" t="e">
        <f>#REF!+"vlM!HM"</f>
        <v>#REF!</v>
      </c>
      <c r="GD12" t="e">
        <f>#REF!+"vlM!HN"</f>
        <v>#REF!</v>
      </c>
      <c r="GE12" t="e">
        <f>#REF!+"vlM!HO"</f>
        <v>#REF!</v>
      </c>
      <c r="GF12" t="e">
        <f>#REF!+"vlM!HP"</f>
        <v>#REF!</v>
      </c>
      <c r="GG12" t="e">
        <f>#REF!+"vlM!HQ"</f>
        <v>#REF!</v>
      </c>
      <c r="GH12" t="e">
        <f>#REF!+"vlM!HR"</f>
        <v>#REF!</v>
      </c>
      <c r="GI12" t="e">
        <f>#REF!+"vlM!HS"</f>
        <v>#REF!</v>
      </c>
      <c r="GJ12" t="e">
        <f>#REF!+"vlM!HT"</f>
        <v>#REF!</v>
      </c>
      <c r="GK12" t="e">
        <f>#REF!+"vlM!HU"</f>
        <v>#REF!</v>
      </c>
      <c r="GL12" s="1" t="e">
        <f>#REF!+"vlM!HV"</f>
        <v>#REF!</v>
      </c>
      <c r="GM12" t="e">
        <f>#REF!+"vlM!HW"</f>
        <v>#REF!</v>
      </c>
      <c r="GN12" t="e">
        <f>#REF!+"vlM!HX"</f>
        <v>#REF!</v>
      </c>
      <c r="GO12" t="e">
        <f>#REF!+"vlM!HY"</f>
        <v>#REF!</v>
      </c>
      <c r="GP12" t="e">
        <f>#REF!+"vlM!HZ"</f>
        <v>#REF!</v>
      </c>
      <c r="GQ12" t="e">
        <f>#REF!+"vlM!H["</f>
        <v>#REF!</v>
      </c>
      <c r="GR12" t="e">
        <f>#REF!+"vlM!H\"</f>
        <v>#REF!</v>
      </c>
      <c r="GS12" t="e">
        <f>#REF!+"vlM!H]"</f>
        <v>#REF!</v>
      </c>
      <c r="GT12" t="e">
        <f>#REF!+"vlM!H^"</f>
        <v>#REF!</v>
      </c>
      <c r="GU12" t="e">
        <f>#REF!+"vlM!H_"</f>
        <v>#REF!</v>
      </c>
      <c r="GV12" t="e">
        <f>#REF!+"vlM!H`"</f>
        <v>#REF!</v>
      </c>
      <c r="GW12" t="e">
        <f>#REF!+"vlM!Ha"</f>
        <v>#REF!</v>
      </c>
      <c r="GX12" t="e">
        <f>#REF!+"vlM!Hb"</f>
        <v>#REF!</v>
      </c>
      <c r="GY12" t="e">
        <f>#REF!+"vlM!Hc"</f>
        <v>#REF!</v>
      </c>
      <c r="GZ12" t="e">
        <f>#REF!+"vlM!Hd"</f>
        <v>#REF!</v>
      </c>
      <c r="HA12" s="1" t="e">
        <f>#REF!+"vlM!He"</f>
        <v>#REF!</v>
      </c>
      <c r="HB12" t="e">
        <f>#REF!+"vlM!Hf"</f>
        <v>#REF!</v>
      </c>
      <c r="HC12" t="e">
        <f>#REF!+"vlM!Hg"</f>
        <v>#REF!</v>
      </c>
      <c r="HD12" t="e">
        <f>#REF!+"vlM!Hh"</f>
        <v>#REF!</v>
      </c>
      <c r="HE12" t="e">
        <f>#REF!+"vlM!Hi"</f>
        <v>#REF!</v>
      </c>
      <c r="HF12" t="e">
        <f>#REF!+"vlM!Hj"</f>
        <v>#REF!</v>
      </c>
      <c r="HG12" t="e">
        <f>#REF!+"vlM!Hk"</f>
        <v>#REF!</v>
      </c>
      <c r="HH12" t="e">
        <f>#REF!+"vlM!Hl"</f>
        <v>#REF!</v>
      </c>
      <c r="HI12" t="e">
        <f>#REF!+"vlM!Hm"</f>
        <v>#REF!</v>
      </c>
      <c r="HJ12" t="e">
        <f>#REF!+"vlM!Hn"</f>
        <v>#REF!</v>
      </c>
      <c r="HK12" t="e">
        <f>#REF!+"vlM!Ho"</f>
        <v>#REF!</v>
      </c>
      <c r="HL12" t="e">
        <f>#REF!+"vlM!Hp"</f>
        <v>#REF!</v>
      </c>
      <c r="HM12" t="e">
        <f>#REF!+"vlM!Hq"</f>
        <v>#REF!</v>
      </c>
      <c r="HN12" t="e">
        <f>#REF!+"vlM!Hr"</f>
        <v>#REF!</v>
      </c>
      <c r="HO12" t="e">
        <f>#REF!+"vlM!Hs"</f>
        <v>#REF!</v>
      </c>
      <c r="HP12" s="1" t="e">
        <f>#REF!+"vlM!Ht"</f>
        <v>#REF!</v>
      </c>
      <c r="HQ12" t="e">
        <f>#REF!+"vlM!Hu"</f>
        <v>#REF!</v>
      </c>
      <c r="HR12" t="e">
        <f>#REF!+"vlM!Hv"</f>
        <v>#REF!</v>
      </c>
      <c r="HS12" t="e">
        <f>#REF!+"vlM!Hw"</f>
        <v>#REF!</v>
      </c>
      <c r="HT12" t="e">
        <f>#REF!+"vlM!Hx"</f>
        <v>#REF!</v>
      </c>
      <c r="HU12" t="e">
        <f>#REF!+"vlM!Hy"</f>
        <v>#REF!</v>
      </c>
      <c r="HV12" t="e">
        <f>#REF!+"vlM!Hz"</f>
        <v>#REF!</v>
      </c>
      <c r="HW12" t="e">
        <f>#REF!+"vlM!H{"</f>
        <v>#REF!</v>
      </c>
      <c r="HX12" t="e">
        <f>#REF!+"vlM!H|"</f>
        <v>#REF!</v>
      </c>
      <c r="HY12" t="e">
        <f>#REF!+"vlM!H}"</f>
        <v>#REF!</v>
      </c>
      <c r="HZ12" t="e">
        <f>#REF!+"vlM!H~"</f>
        <v>#REF!</v>
      </c>
      <c r="IA12" t="e">
        <f>#REF!+"vlM!I#"</f>
        <v>#REF!</v>
      </c>
      <c r="IB12" t="e">
        <f>#REF!+"vlM!I$"</f>
        <v>#REF!</v>
      </c>
      <c r="IC12" t="e">
        <f>#REF!+"vlM!I%"</f>
        <v>#REF!</v>
      </c>
      <c r="ID12" t="e">
        <f>#REF!+"vlM!I&amp;"</f>
        <v>#REF!</v>
      </c>
      <c r="IE12" s="1" t="e">
        <f>#REF!+"vlM!I'"</f>
        <v>#REF!</v>
      </c>
      <c r="IF12" t="e">
        <f>#REF!+"vlM!I("</f>
        <v>#REF!</v>
      </c>
      <c r="IG12" t="e">
        <f>#REF!+"vlM!I)"</f>
        <v>#REF!</v>
      </c>
      <c r="IH12" t="e">
        <f>#REF!+"vlM!I."</f>
        <v>#REF!</v>
      </c>
      <c r="II12" t="e">
        <f>#REF!+"vlM!I/"</f>
        <v>#REF!</v>
      </c>
      <c r="IJ12" t="e">
        <f>#REF!+"vlM!I0"</f>
        <v>#REF!</v>
      </c>
      <c r="IK12" t="e">
        <f>#REF!+"vlM!I1"</f>
        <v>#REF!</v>
      </c>
      <c r="IL12" t="e">
        <f>#REF!+"vlM!I2"</f>
        <v>#REF!</v>
      </c>
      <c r="IM12" t="e">
        <f>#REF!+"vlM!I3"</f>
        <v>#REF!</v>
      </c>
      <c r="IN12" t="e">
        <f>#REF!+"vlM!I4"</f>
        <v>#REF!</v>
      </c>
      <c r="IO12" t="e">
        <f>#REF!+"vlM!I5"</f>
        <v>#REF!</v>
      </c>
      <c r="IP12" t="e">
        <f>#REF!+"vlM!I6"</f>
        <v>#REF!</v>
      </c>
      <c r="IQ12" t="e">
        <f>#REF!+"vlM!I7"</f>
        <v>#REF!</v>
      </c>
      <c r="IR12" t="e">
        <f>#REF!+"vlM!I8"</f>
        <v>#REF!</v>
      </c>
      <c r="IS12" t="e">
        <f>#REF!+"vlM!I9"</f>
        <v>#REF!</v>
      </c>
      <c r="IT12" s="1" t="e">
        <f>#REF!+"vlM!I:"</f>
        <v>#REF!</v>
      </c>
      <c r="IU12" t="e">
        <f>#REF!+"vlM!I;"</f>
        <v>#REF!</v>
      </c>
      <c r="IV12" t="e">
        <f>#REF!+"vlM!I&lt;"</f>
        <v>#REF!</v>
      </c>
    </row>
    <row r="13" spans="1:256" x14ac:dyDescent="0.25">
      <c r="F13" t="e">
        <f>#REF!+"vlM!I="</f>
        <v>#REF!</v>
      </c>
      <c r="G13" t="e">
        <f>#REF!+"vlM!I&gt;"</f>
        <v>#REF!</v>
      </c>
      <c r="H13" t="e">
        <f>#REF!+"vlM!I?"</f>
        <v>#REF!</v>
      </c>
      <c r="I13" t="e">
        <f>#REF!+"vlM!I@"</f>
        <v>#REF!</v>
      </c>
      <c r="J13" t="e">
        <f>#REF!+"vlM!IA"</f>
        <v>#REF!</v>
      </c>
      <c r="K13" t="e">
        <f>#REF!+"vlM!IB"</f>
        <v>#REF!</v>
      </c>
      <c r="L13" t="e">
        <f>#REF!+"vlM!IC"</f>
        <v>#REF!</v>
      </c>
      <c r="M13" t="e">
        <f>#REF!+"vlM!ID"</f>
        <v>#REF!</v>
      </c>
      <c r="N13" t="e">
        <f>#REF!+"vlM!IE"</f>
        <v>#REF!</v>
      </c>
      <c r="O13" t="e">
        <f>#REF!+"vlM!IF"</f>
        <v>#REF!</v>
      </c>
      <c r="P13" t="e">
        <f>#REF!+"vlM!IG"</f>
        <v>#REF!</v>
      </c>
      <c r="Q13" t="e">
        <f>#REF!+"vlM!IH"</f>
        <v>#REF!</v>
      </c>
      <c r="R13" s="1" t="e">
        <f>#REF!+"vlM!II"</f>
        <v>#REF!</v>
      </c>
      <c r="S13" t="e">
        <f>#REF!+"vlM!IJ"</f>
        <v>#REF!</v>
      </c>
      <c r="T13" t="e">
        <f>#REF!+"vlM!IK"</f>
        <v>#REF!</v>
      </c>
      <c r="U13" t="e">
        <f>#REF!+"vlM!IL"</f>
        <v>#REF!</v>
      </c>
      <c r="V13" t="e">
        <f>#REF!+"vlM!IM"</f>
        <v>#REF!</v>
      </c>
      <c r="W13" t="e">
        <f>#REF!+"vlM!IN"</f>
        <v>#REF!</v>
      </c>
      <c r="X13" t="e">
        <f>#REF!+"vlM!IO"</f>
        <v>#REF!</v>
      </c>
      <c r="Y13" t="e">
        <f>#REF!+"vlM!IP"</f>
        <v>#REF!</v>
      </c>
      <c r="Z13" t="e">
        <f>#REF!+"vlM!IQ"</f>
        <v>#REF!</v>
      </c>
      <c r="AA13" t="e">
        <f>#REF!+"vlM!IR"</f>
        <v>#REF!</v>
      </c>
      <c r="AB13" t="e">
        <f>#REF!+"vlM!IS"</f>
        <v>#REF!</v>
      </c>
      <c r="AC13" t="e">
        <f>#REF!+"vlM!IT"</f>
        <v>#REF!</v>
      </c>
      <c r="AD13" t="e">
        <f>#REF!+"vlM!IU"</f>
        <v>#REF!</v>
      </c>
      <c r="AE13" t="e">
        <f>#REF!+"vlM!IV"</f>
        <v>#REF!</v>
      </c>
      <c r="AF13" t="e">
        <f>#REF!+"vlM!IW"</f>
        <v>#REF!</v>
      </c>
      <c r="AG13" s="1" t="e">
        <f>#REF!+"vlM!IX"</f>
        <v>#REF!</v>
      </c>
      <c r="AH13" t="e">
        <f>#REF!+"vlM!IY"</f>
        <v>#REF!</v>
      </c>
      <c r="AI13" t="e">
        <f>#REF!+"vlM!IZ"</f>
        <v>#REF!</v>
      </c>
      <c r="AJ13" t="e">
        <f>#REF!+"vlM!I["</f>
        <v>#REF!</v>
      </c>
      <c r="AK13" t="e">
        <f>#REF!+"vlM!I\"</f>
        <v>#REF!</v>
      </c>
      <c r="AL13" t="e">
        <f>#REF!+"vlM!I]"</f>
        <v>#REF!</v>
      </c>
      <c r="AM13" t="e">
        <f>#REF!+"vlM!I^"</f>
        <v>#REF!</v>
      </c>
      <c r="AN13" t="e">
        <f>#REF!+"vlM!I_"</f>
        <v>#REF!</v>
      </c>
      <c r="AO13" t="e">
        <f>#REF!+"vlM!I`"</f>
        <v>#REF!</v>
      </c>
      <c r="AP13" t="e">
        <f>#REF!+"vlM!Ia"</f>
        <v>#REF!</v>
      </c>
      <c r="AQ13" t="e">
        <f>#REF!+"vlM!Ib"</f>
        <v>#REF!</v>
      </c>
      <c r="AR13" t="e">
        <f>#REF!+"vlM!Ic"</f>
        <v>#REF!</v>
      </c>
      <c r="AS13" t="e">
        <f>#REF!+"vlM!Id"</f>
        <v>#REF!</v>
      </c>
      <c r="AT13" t="e">
        <f>#REF!+"vlM!Ie"</f>
        <v>#REF!</v>
      </c>
      <c r="AU13" t="e">
        <f>#REF!+"vlM!If"</f>
        <v>#REF!</v>
      </c>
      <c r="AV13" s="1" t="e">
        <f>#REF!+"vlM!Ig"</f>
        <v>#REF!</v>
      </c>
      <c r="AW13" t="e">
        <f>#REF!+"vlM!Ih"</f>
        <v>#REF!</v>
      </c>
      <c r="AX13" t="e">
        <f>#REF!+"vlM!Ii"</f>
        <v>#REF!</v>
      </c>
      <c r="AY13" t="e">
        <f>#REF!+"vlM!Ij"</f>
        <v>#REF!</v>
      </c>
      <c r="AZ13" t="e">
        <f>#REF!+"vlM!Ik"</f>
        <v>#REF!</v>
      </c>
      <c r="BA13" t="e">
        <f>#REF!+"vlM!Il"</f>
        <v>#REF!</v>
      </c>
      <c r="BB13" t="e">
        <f>#REF!+"vlM!Im"</f>
        <v>#REF!</v>
      </c>
      <c r="BC13" t="e">
        <f>#REF!+"vlM!In"</f>
        <v>#REF!</v>
      </c>
      <c r="BD13" t="e">
        <f>#REF!+"vlM!Io"</f>
        <v>#REF!</v>
      </c>
      <c r="BE13" t="e">
        <f>#REF!+"vlM!Ip"</f>
        <v>#REF!</v>
      </c>
      <c r="BF13" t="e">
        <f>#REF!+"vlM!Iq"</f>
        <v>#REF!</v>
      </c>
      <c r="BG13" t="e">
        <f>#REF!+"vlM!Ir"</f>
        <v>#REF!</v>
      </c>
      <c r="BH13" t="e">
        <f>#REF!+"vlM!Is"</f>
        <v>#REF!</v>
      </c>
      <c r="BI13" t="e">
        <f>#REF!+"vlM!It"</f>
        <v>#REF!</v>
      </c>
      <c r="BJ13" t="e">
        <f>#REF!+"vlM!Iu"</f>
        <v>#REF!</v>
      </c>
      <c r="BK13" s="1" t="e">
        <f>#REF!+"vlM!Iv"</f>
        <v>#REF!</v>
      </c>
      <c r="BL13" t="e">
        <f>#REF!+"vlM!Iw"</f>
        <v>#REF!</v>
      </c>
      <c r="BM13" t="e">
        <f>#REF!+"vlM!Ix"</f>
        <v>#REF!</v>
      </c>
      <c r="BN13" t="e">
        <f>#REF!+"vlM!Iy"</f>
        <v>#REF!</v>
      </c>
      <c r="BO13" t="e">
        <f>#REF!+"vlM!Iz"</f>
        <v>#REF!</v>
      </c>
      <c r="BP13" t="e">
        <f>#REF!+"vlM!I{"</f>
        <v>#REF!</v>
      </c>
      <c r="BQ13" t="e">
        <f>#REF!+"vlM!I|"</f>
        <v>#REF!</v>
      </c>
      <c r="BR13" t="e">
        <f>#REF!+"vlM!I}"</f>
        <v>#REF!</v>
      </c>
      <c r="BS13" t="e">
        <f>#REF!+"vlM!I~"</f>
        <v>#REF!</v>
      </c>
      <c r="BT13" t="e">
        <f>#REF!+"vlM!J#"</f>
        <v>#REF!</v>
      </c>
      <c r="BU13" t="e">
        <f>#REF!+"vlM!J$"</f>
        <v>#REF!</v>
      </c>
      <c r="BV13" t="e">
        <f>#REF!+"vlM!J%"</f>
        <v>#REF!</v>
      </c>
      <c r="BW13" t="e">
        <f>#REF!+"vlM!J&amp;"</f>
        <v>#REF!</v>
      </c>
      <c r="BX13" t="e">
        <f>#REF!+"vlM!J'"</f>
        <v>#REF!</v>
      </c>
      <c r="BY13" t="e">
        <f>#REF!+"vlM!J("</f>
        <v>#REF!</v>
      </c>
      <c r="BZ13" s="1" t="e">
        <f>#REF!+"vlM!J)"</f>
        <v>#REF!</v>
      </c>
      <c r="CA13" t="e">
        <f>#REF!+"vlM!J."</f>
        <v>#REF!</v>
      </c>
      <c r="CB13" t="e">
        <f>#REF!+"vlM!J/"</f>
        <v>#REF!</v>
      </c>
      <c r="CC13" t="e">
        <f>#REF!+"vlM!J0"</f>
        <v>#REF!</v>
      </c>
      <c r="CD13" t="e">
        <f>#REF!+"vlM!J1"</f>
        <v>#REF!</v>
      </c>
      <c r="CE13" t="e">
        <f>#REF!+"vlM!J2"</f>
        <v>#REF!</v>
      </c>
      <c r="CF13" t="e">
        <f>#REF!+"vlM!J3"</f>
        <v>#REF!</v>
      </c>
      <c r="CG13" t="e">
        <f>#REF!+"vlM!J4"</f>
        <v>#REF!</v>
      </c>
      <c r="CH13" t="e">
        <f>#REF!+"vlM!J5"</f>
        <v>#REF!</v>
      </c>
      <c r="CI13" t="e">
        <f>#REF!+"vlM!J6"</f>
        <v>#REF!</v>
      </c>
      <c r="CJ13" t="e">
        <f>#REF!+"vlM!J7"</f>
        <v>#REF!</v>
      </c>
      <c r="CK13" t="e">
        <f>#REF!+"vlM!J8"</f>
        <v>#REF!</v>
      </c>
      <c r="CL13" t="e">
        <f>#REF!+"vlM!J9"</f>
        <v>#REF!</v>
      </c>
      <c r="CM13" t="e">
        <f>#REF!+"vlM!J:"</f>
        <v>#REF!</v>
      </c>
      <c r="CN13" t="e">
        <f>#REF!+"vlM!J;"</f>
        <v>#REF!</v>
      </c>
      <c r="CO13" s="1" t="e">
        <f>#REF!+"vlM!J&lt;"</f>
        <v>#REF!</v>
      </c>
      <c r="CP13" t="e">
        <f>#REF!+"vlM!J="</f>
        <v>#REF!</v>
      </c>
      <c r="CQ13" t="e">
        <f>#REF!+"vlM!J&gt;"</f>
        <v>#REF!</v>
      </c>
      <c r="CR13" t="e">
        <f>#REF!+"vlM!J?"</f>
        <v>#REF!</v>
      </c>
      <c r="CS13" t="e">
        <f>#REF!+"vlM!J@"</f>
        <v>#REF!</v>
      </c>
      <c r="CT13" t="e">
        <f>#REF!+"vlM!JA"</f>
        <v>#REF!</v>
      </c>
      <c r="CU13" t="e">
        <f>#REF!+"vlM!JB"</f>
        <v>#REF!</v>
      </c>
      <c r="CV13" t="e">
        <f>#REF!+"vlM!JC"</f>
        <v>#REF!</v>
      </c>
      <c r="CW13" t="e">
        <f>#REF!+"vlM!JD"</f>
        <v>#REF!</v>
      </c>
      <c r="CX13" t="e">
        <f>#REF!+"vlM!JE"</f>
        <v>#REF!</v>
      </c>
      <c r="CY13" t="e">
        <f>#REF!+"vlM!JF"</f>
        <v>#REF!</v>
      </c>
      <c r="CZ13" t="e">
        <f>#REF!+"vlM!JG"</f>
        <v>#REF!</v>
      </c>
      <c r="DA13" t="e">
        <f>#REF!+"vlM!JH"</f>
        <v>#REF!</v>
      </c>
      <c r="DB13" t="e">
        <f>#REF!+"vlM!JI"</f>
        <v>#REF!</v>
      </c>
      <c r="DC13" t="e">
        <f>#REF!+"vlM!JJ"</f>
        <v>#REF!</v>
      </c>
      <c r="DD13" s="1" t="e">
        <f>#REF!+"vlM!JK"</f>
        <v>#REF!</v>
      </c>
      <c r="DE13" t="e">
        <f>#REF!+"vlM!JL"</f>
        <v>#REF!</v>
      </c>
      <c r="DF13" t="e">
        <f>#REF!+"vlM!JM"</f>
        <v>#REF!</v>
      </c>
      <c r="DG13" t="e">
        <f>#REF!+"vlM!JN"</f>
        <v>#REF!</v>
      </c>
      <c r="DH13" t="e">
        <f>#REF!+"vlM!JO"</f>
        <v>#REF!</v>
      </c>
      <c r="DI13" t="e">
        <f>#REF!+"vlM!JP"</f>
        <v>#REF!</v>
      </c>
      <c r="DJ13" t="e">
        <f>#REF!+"vlM!JQ"</f>
        <v>#REF!</v>
      </c>
      <c r="DK13" t="e">
        <f>#REF!+"vlM!JR"</f>
        <v>#REF!</v>
      </c>
      <c r="DL13" t="e">
        <f>#REF!+"vlM!JS"</f>
        <v>#REF!</v>
      </c>
      <c r="DM13" t="e">
        <f>#REF!+"vlM!JT"</f>
        <v>#REF!</v>
      </c>
      <c r="DN13" t="e">
        <f>#REF!+"vlM!JU"</f>
        <v>#REF!</v>
      </c>
      <c r="DO13" t="e">
        <f>#REF!+"vlM!JV"</f>
        <v>#REF!</v>
      </c>
      <c r="DP13" t="e">
        <f>#REF!+"vlM!JW"</f>
        <v>#REF!</v>
      </c>
      <c r="DQ13" t="e">
        <f>#REF!+"vlM!JX"</f>
        <v>#REF!</v>
      </c>
      <c r="DR13" t="e">
        <f>#REF!+"vlM!JY"</f>
        <v>#REF!</v>
      </c>
      <c r="DS13" s="1" t="e">
        <f>#REF!+"vlM!JZ"</f>
        <v>#REF!</v>
      </c>
      <c r="DT13" t="e">
        <f>#REF!+"vlM!J["</f>
        <v>#REF!</v>
      </c>
      <c r="DU13" t="e">
        <f>#REF!+"vlM!J\"</f>
        <v>#REF!</v>
      </c>
      <c r="DV13" t="e">
        <f>#REF!+"vlM!J]"</f>
        <v>#REF!</v>
      </c>
      <c r="DW13" t="e">
        <f>#REF!+"vlM!J^"</f>
        <v>#REF!</v>
      </c>
      <c r="DX13" t="e">
        <f>#REF!+"vlM!J_"</f>
        <v>#REF!</v>
      </c>
      <c r="DY13" t="e">
        <f>#REF!+"vlM!J`"</f>
        <v>#REF!</v>
      </c>
      <c r="DZ13" t="e">
        <f>#REF!+"vlM!Ja"</f>
        <v>#REF!</v>
      </c>
      <c r="EA13" t="e">
        <f>#REF!+"vlM!Jb"</f>
        <v>#REF!</v>
      </c>
      <c r="EB13" t="e">
        <f>#REF!+"vlM!Jc"</f>
        <v>#REF!</v>
      </c>
      <c r="EC13" t="e">
        <f>#REF!+"vlM!Jd"</f>
        <v>#REF!</v>
      </c>
      <c r="ED13" t="e">
        <f>#REF!+"vlM!Je"</f>
        <v>#REF!</v>
      </c>
      <c r="EE13" t="e">
        <f>#REF!+"vlM!Jf"</f>
        <v>#REF!</v>
      </c>
      <c r="EF13" t="e">
        <f>#REF!+"vlM!Jg"</f>
        <v>#REF!</v>
      </c>
      <c r="EG13" t="e">
        <f>#REF!+"vlM!Jh"</f>
        <v>#REF!</v>
      </c>
      <c r="EH13" s="1" t="e">
        <f>#REF!+"vlM!Ji"</f>
        <v>#REF!</v>
      </c>
      <c r="EI13" t="e">
        <f>#REF!+"vlM!Jj"</f>
        <v>#REF!</v>
      </c>
      <c r="EJ13" t="e">
        <f>#REF!+"vlM!Jk"</f>
        <v>#REF!</v>
      </c>
      <c r="EK13" t="e">
        <f>#REF!+"vlM!Jl"</f>
        <v>#REF!</v>
      </c>
      <c r="EL13" t="e">
        <f>#REF!+"vlM!Jm"</f>
        <v>#REF!</v>
      </c>
      <c r="EM13" t="e">
        <f>#REF!+"vlM!Jn"</f>
        <v>#REF!</v>
      </c>
      <c r="EN13" t="e">
        <f>#REF!+"vlM!Jo"</f>
        <v>#REF!</v>
      </c>
      <c r="EO13" t="e">
        <f>#REF!+"vlM!Jp"</f>
        <v>#REF!</v>
      </c>
      <c r="EP13" t="e">
        <f>#REF!+"vlM!Jq"</f>
        <v>#REF!</v>
      </c>
      <c r="EQ13" t="e">
        <f>#REF!+"vlM!Jr"</f>
        <v>#REF!</v>
      </c>
      <c r="ER13" t="e">
        <f>#REF!+"vlM!Js"</f>
        <v>#REF!</v>
      </c>
      <c r="ES13" t="e">
        <f>#REF!+"vlM!Jt"</f>
        <v>#REF!</v>
      </c>
      <c r="ET13" t="e">
        <f>#REF!+"vlM!Ju"</f>
        <v>#REF!</v>
      </c>
      <c r="EU13" t="e">
        <f>#REF!+"vlM!Jv"</f>
        <v>#REF!</v>
      </c>
      <c r="EV13" t="e">
        <f>#REF!+"vlM!Jw"</f>
        <v>#REF!</v>
      </c>
      <c r="EW13" s="1" t="e">
        <f>#REF!+"vlM!Jx"</f>
        <v>#REF!</v>
      </c>
      <c r="EX13" t="e">
        <f>#REF!+"vlM!Jy"</f>
        <v>#REF!</v>
      </c>
      <c r="EY13" t="e">
        <f>#REF!+"vlM!Jz"</f>
        <v>#REF!</v>
      </c>
      <c r="EZ13" t="e">
        <f>#REF!+"vlM!J{"</f>
        <v>#REF!</v>
      </c>
      <c r="FA13" t="e">
        <f>#REF!+"vlM!J|"</f>
        <v>#REF!</v>
      </c>
      <c r="FB13" t="e">
        <f>#REF!+"vlM!J}"</f>
        <v>#REF!</v>
      </c>
      <c r="FC13" t="e">
        <f>#REF!+"vlM!J~"</f>
        <v>#REF!</v>
      </c>
      <c r="FD13" t="e">
        <f>#REF!+"vlM!K#"</f>
        <v>#REF!</v>
      </c>
      <c r="FE13" t="e">
        <f>#REF!+"vlM!K$"</f>
        <v>#REF!</v>
      </c>
      <c r="FF13" t="e">
        <f>#REF!+"vlM!K%"</f>
        <v>#REF!</v>
      </c>
      <c r="FG13" t="e">
        <f>#REF!+"vlM!K&amp;"</f>
        <v>#REF!</v>
      </c>
      <c r="FH13" t="e">
        <f>#REF!+"vlM!K'"</f>
        <v>#REF!</v>
      </c>
      <c r="FI13" t="e">
        <f>#REF!+"vlM!K("</f>
        <v>#REF!</v>
      </c>
      <c r="FJ13" t="e">
        <f>#REF!+"vlM!K)"</f>
        <v>#REF!</v>
      </c>
      <c r="FK13" t="e">
        <f>#REF!+"vlM!K."</f>
        <v>#REF!</v>
      </c>
      <c r="FL13" s="1" t="e">
        <f>#REF!+"vlM!K/"</f>
        <v>#REF!</v>
      </c>
      <c r="FM13" t="e">
        <f>#REF!+"vlM!K0"</f>
        <v>#REF!</v>
      </c>
      <c r="FN13" t="e">
        <f>#REF!+"vlM!K1"</f>
        <v>#REF!</v>
      </c>
      <c r="FO13" t="e">
        <f>#REF!+"vlM!K2"</f>
        <v>#REF!</v>
      </c>
      <c r="FP13" t="e">
        <f>#REF!+"vlM!K3"</f>
        <v>#REF!</v>
      </c>
      <c r="FQ13" t="e">
        <f>#REF!+"vlM!K4"</f>
        <v>#REF!</v>
      </c>
      <c r="FR13" t="e">
        <f>#REF!+"vlM!K5"</f>
        <v>#REF!</v>
      </c>
      <c r="FS13" t="e">
        <f>#REF!+"vlM!K6"</f>
        <v>#REF!</v>
      </c>
      <c r="FT13" t="e">
        <f>#REF!+"vlM!K7"</f>
        <v>#REF!</v>
      </c>
      <c r="FU13" t="e">
        <f>#REF!+"vlM!K8"</f>
        <v>#REF!</v>
      </c>
      <c r="FV13" t="e">
        <f>#REF!+"vlM!K9"</f>
        <v>#REF!</v>
      </c>
      <c r="FW13" t="e">
        <f>#REF!+"vlM!K:"</f>
        <v>#REF!</v>
      </c>
      <c r="FX13" t="e">
        <f>#REF!+"vlM!K;"</f>
        <v>#REF!</v>
      </c>
      <c r="FY13" t="e">
        <f>#REF!+"vlM!K&lt;"</f>
        <v>#REF!</v>
      </c>
      <c r="FZ13" t="e">
        <f>#REF!+"vlM!K="</f>
        <v>#REF!</v>
      </c>
      <c r="GA13" s="1" t="e">
        <f>#REF!+"vlM!K&gt;"</f>
        <v>#REF!</v>
      </c>
      <c r="GB13" t="e">
        <f>#REF!+"vlM!K?"</f>
        <v>#REF!</v>
      </c>
      <c r="GC13" t="e">
        <f>#REF!+"vlM!K@"</f>
        <v>#REF!</v>
      </c>
      <c r="GD13" t="e">
        <f>#REF!+"vlM!KA"</f>
        <v>#REF!</v>
      </c>
      <c r="GE13" t="e">
        <f>#REF!+"vlM!KB"</f>
        <v>#REF!</v>
      </c>
      <c r="GF13" t="e">
        <f>#REF!+"vlM!KC"</f>
        <v>#REF!</v>
      </c>
      <c r="GG13" t="e">
        <f>#REF!+"vlM!KD"</f>
        <v>#REF!</v>
      </c>
      <c r="GH13" t="e">
        <f>#REF!+"vlM!KE"</f>
        <v>#REF!</v>
      </c>
      <c r="GI13" t="e">
        <f>#REF!+"vlM!KF"</f>
        <v>#REF!</v>
      </c>
      <c r="GJ13" t="e">
        <f>#REF!+"vlM!KG"</f>
        <v>#REF!</v>
      </c>
      <c r="GK13" t="e">
        <f>#REF!+"vlM!KH"</f>
        <v>#REF!</v>
      </c>
      <c r="GL13" t="e">
        <f>#REF!+"vlM!KI"</f>
        <v>#REF!</v>
      </c>
      <c r="GM13" t="e">
        <f>#REF!+"vlM!KJ"</f>
        <v>#REF!</v>
      </c>
      <c r="GN13" t="e">
        <f>#REF!+"vlM!KK"</f>
        <v>#REF!</v>
      </c>
      <c r="GO13" t="e">
        <f>#REF!+"vlM!KL"</f>
        <v>#REF!</v>
      </c>
      <c r="GP13" s="1" t="e">
        <f>#REF!+"vlM!KM"</f>
        <v>#REF!</v>
      </c>
      <c r="GQ13" t="e">
        <f>#REF!+"vlM!KN"</f>
        <v>#REF!</v>
      </c>
      <c r="GR13" t="e">
        <f>#REF!+"vlM!KO"</f>
        <v>#REF!</v>
      </c>
      <c r="GS13" t="e">
        <f>#REF!+"vlM!KP"</f>
        <v>#REF!</v>
      </c>
      <c r="GT13" t="e">
        <f>#REF!+"vlM!KQ"</f>
        <v>#REF!</v>
      </c>
      <c r="GU13" t="e">
        <f>#REF!+"vlM!KR"</f>
        <v>#REF!</v>
      </c>
      <c r="GV13" t="e">
        <f>#REF!+"vlM!KS"</f>
        <v>#REF!</v>
      </c>
      <c r="GW13" t="e">
        <f>#REF!+"vlM!KT"</f>
        <v>#REF!</v>
      </c>
      <c r="GX13" t="e">
        <f>#REF!+"vlM!KU"</f>
        <v>#REF!</v>
      </c>
      <c r="GY13" t="e">
        <f>#REF!+"vlM!KV"</f>
        <v>#REF!</v>
      </c>
      <c r="GZ13" t="e">
        <f>#REF!+"vlM!KW"</f>
        <v>#REF!</v>
      </c>
      <c r="HA13" t="e">
        <f>#REF!+"vlM!KX"</f>
        <v>#REF!</v>
      </c>
      <c r="HB13" t="e">
        <f>#REF!+"vlM!KY"</f>
        <v>#REF!</v>
      </c>
      <c r="HC13" t="e">
        <f>#REF!+"vlM!KZ"</f>
        <v>#REF!</v>
      </c>
      <c r="HD13" t="e">
        <f>#REF!+"vlM!K["</f>
        <v>#REF!</v>
      </c>
      <c r="HE13" s="1" t="e">
        <f>#REF!+"vlM!K\"</f>
        <v>#REF!</v>
      </c>
      <c r="HF13" t="e">
        <f>#REF!+"vlM!K]"</f>
        <v>#REF!</v>
      </c>
      <c r="HG13" t="e">
        <f>#REF!+"vlM!K^"</f>
        <v>#REF!</v>
      </c>
      <c r="HH13" t="e">
        <f>#REF!+"vlM!K_"</f>
        <v>#REF!</v>
      </c>
      <c r="HI13" t="e">
        <f>#REF!+"vlM!K`"</f>
        <v>#REF!</v>
      </c>
      <c r="HJ13" t="e">
        <f>#REF!+"vlM!Ka"</f>
        <v>#REF!</v>
      </c>
      <c r="HK13" t="e">
        <f>#REF!+"vlM!Kb"</f>
        <v>#REF!</v>
      </c>
      <c r="HL13" t="e">
        <f>#REF!+"vlM!Kc"</f>
        <v>#REF!</v>
      </c>
      <c r="HM13" t="e">
        <f>#REF!+"vlM!Kd"</f>
        <v>#REF!</v>
      </c>
      <c r="HN13" t="e">
        <f>#REF!+"vlM!Ke"</f>
        <v>#REF!</v>
      </c>
      <c r="HO13" t="e">
        <f>#REF!+"vlM!Kf"</f>
        <v>#REF!</v>
      </c>
      <c r="HP13" t="e">
        <f>#REF!+"vlM!Kg"</f>
        <v>#REF!</v>
      </c>
      <c r="HQ13" t="e">
        <f>#REF!+"vlM!Kh"</f>
        <v>#REF!</v>
      </c>
      <c r="HR13" t="e">
        <f>#REF!+"vlM!Ki"</f>
        <v>#REF!</v>
      </c>
      <c r="HS13" t="e">
        <f>#REF!+"vlM!Kj"</f>
        <v>#REF!</v>
      </c>
      <c r="HT13" s="1" t="e">
        <f>#REF!+"vlM!Kk"</f>
        <v>#REF!</v>
      </c>
      <c r="HU13" t="e">
        <f>#REF!+"vlM!Kl"</f>
        <v>#REF!</v>
      </c>
      <c r="HV13" t="e">
        <f>#REF!+"vlM!Km"</f>
        <v>#REF!</v>
      </c>
      <c r="HW13" t="e">
        <f>#REF!+"vlM!Kn"</f>
        <v>#REF!</v>
      </c>
      <c r="HX13" t="e">
        <f>#REF!+"vlM!Ko"</f>
        <v>#REF!</v>
      </c>
      <c r="HY13" t="e">
        <f>#REF!+"vlM!Kp"</f>
        <v>#REF!</v>
      </c>
      <c r="HZ13" t="e">
        <f>#REF!+"vlM!Kq"</f>
        <v>#REF!</v>
      </c>
      <c r="IA13" t="e">
        <f>#REF!+"vlM!Kr"</f>
        <v>#REF!</v>
      </c>
      <c r="IB13" t="e">
        <f>#REF!+"vlM!Ks"</f>
        <v>#REF!</v>
      </c>
      <c r="IC13" t="e">
        <f>#REF!+"vlM!Kt"</f>
        <v>#REF!</v>
      </c>
      <c r="ID13" t="e">
        <f>#REF!+"vlM!Ku"</f>
        <v>#REF!</v>
      </c>
      <c r="IE13" t="e">
        <f>#REF!+"vlM!Kv"</f>
        <v>#REF!</v>
      </c>
      <c r="IF13" t="e">
        <f>#REF!+"vlM!Kw"</f>
        <v>#REF!</v>
      </c>
      <c r="IG13" t="e">
        <f>#REF!+"vlM!Kx"</f>
        <v>#REF!</v>
      </c>
      <c r="IH13" t="e">
        <f>#REF!+"vlM!Ky"</f>
        <v>#REF!</v>
      </c>
      <c r="II13" s="1" t="e">
        <f>#REF!+"vlM!Kz"</f>
        <v>#REF!</v>
      </c>
      <c r="IJ13" t="e">
        <f>#REF!+"vlM!K{"</f>
        <v>#REF!</v>
      </c>
      <c r="IK13" t="e">
        <f>#REF!+"vlM!K|"</f>
        <v>#REF!</v>
      </c>
      <c r="IL13" t="e">
        <f>#REF!+"vlM!K}"</f>
        <v>#REF!</v>
      </c>
      <c r="IM13" t="e">
        <f>#REF!+"vlM!K~"</f>
        <v>#REF!</v>
      </c>
      <c r="IN13" t="e">
        <f>#REF!+"vlM!L#"</f>
        <v>#REF!</v>
      </c>
      <c r="IO13" t="e">
        <f>#REF!+"vlM!L$"</f>
        <v>#REF!</v>
      </c>
      <c r="IP13" t="e">
        <f>#REF!+"vlM!L%"</f>
        <v>#REF!</v>
      </c>
      <c r="IQ13" t="e">
        <f>#REF!+"vlM!L&amp;"</f>
        <v>#REF!</v>
      </c>
      <c r="IR13" t="e">
        <f>#REF!+"vlM!L'"</f>
        <v>#REF!</v>
      </c>
      <c r="IS13" t="e">
        <f>#REF!+"vlM!L("</f>
        <v>#REF!</v>
      </c>
      <c r="IT13" t="e">
        <f>#REF!+"vlM!L)"</f>
        <v>#REF!</v>
      </c>
      <c r="IU13" t="e">
        <f>#REF!+"vlM!L."</f>
        <v>#REF!</v>
      </c>
      <c r="IV13" t="e">
        <f>#REF!+"vlM!L/"</f>
        <v>#REF!</v>
      </c>
    </row>
    <row r="14" spans="1:256" x14ac:dyDescent="0.25">
      <c r="F14" t="e">
        <f>#REF!+"vlM!L0"</f>
        <v>#REF!</v>
      </c>
      <c r="G14" s="1" t="e">
        <f>#REF!+"vlM!L1"</f>
        <v>#REF!</v>
      </c>
      <c r="H14" t="e">
        <f>#REF!+"vlM!L2"</f>
        <v>#REF!</v>
      </c>
      <c r="I14" t="e">
        <f>#REF!+"vlM!L3"</f>
        <v>#REF!</v>
      </c>
      <c r="J14" t="e">
        <f>#REF!+"vlM!L4"</f>
        <v>#REF!</v>
      </c>
      <c r="K14" t="e">
        <f>#REF!+"vlM!L5"</f>
        <v>#REF!</v>
      </c>
      <c r="L14" t="e">
        <f>#REF!+"vlM!L6"</f>
        <v>#REF!</v>
      </c>
      <c r="M14" t="e">
        <f>#REF!+"vlM!L7"</f>
        <v>#REF!</v>
      </c>
      <c r="N14" t="e">
        <f>#REF!+"vlM!L8"</f>
        <v>#REF!</v>
      </c>
      <c r="O14" t="e">
        <f>#REF!+"vlM!L9"</f>
        <v>#REF!</v>
      </c>
      <c r="P14" t="e">
        <f>#REF!+"vlM!L:"</f>
        <v>#REF!</v>
      </c>
      <c r="Q14" t="e">
        <f>#REF!+"vlM!L;"</f>
        <v>#REF!</v>
      </c>
      <c r="R14" t="e">
        <f>#REF!+"vlM!L&lt;"</f>
        <v>#REF!</v>
      </c>
      <c r="S14" t="e">
        <f>#REF!+"vlM!L="</f>
        <v>#REF!</v>
      </c>
      <c r="T14" t="e">
        <f>#REF!+"vlM!L&gt;"</f>
        <v>#REF!</v>
      </c>
      <c r="U14" t="e">
        <f>#REF!+"vlM!L?"</f>
        <v>#REF!</v>
      </c>
      <c r="V14" s="1" t="e">
        <f>#REF!+"vlM!L@"</f>
        <v>#REF!</v>
      </c>
      <c r="W14" t="e">
        <f>#REF!+"vlM!LA"</f>
        <v>#REF!</v>
      </c>
      <c r="X14" t="e">
        <f>#REF!+"vlM!LB"</f>
        <v>#REF!</v>
      </c>
      <c r="Y14" t="e">
        <f>#REF!+"vlM!LC"</f>
        <v>#REF!</v>
      </c>
      <c r="Z14" t="e">
        <f>#REF!+"vlM!LD"</f>
        <v>#REF!</v>
      </c>
      <c r="AA14" t="e">
        <f>#REF!+"vlM!LE"</f>
        <v>#REF!</v>
      </c>
      <c r="AB14" t="e">
        <f>#REF!+"vlM!LF"</f>
        <v>#REF!</v>
      </c>
      <c r="AC14" t="e">
        <f>#REF!+"vlM!LG"</f>
        <v>#REF!</v>
      </c>
      <c r="AD14" t="e">
        <f>#REF!+"vlM!LH"</f>
        <v>#REF!</v>
      </c>
      <c r="AE14" t="e">
        <f>#REF!+"vlM!LI"</f>
        <v>#REF!</v>
      </c>
      <c r="AF14" t="e">
        <f>#REF!+"vlM!LJ"</f>
        <v>#REF!</v>
      </c>
      <c r="AG14" t="e">
        <f>#REF!+"vlM!LK"</f>
        <v>#REF!</v>
      </c>
      <c r="AH14" t="e">
        <f>#REF!+"vlM!LL"</f>
        <v>#REF!</v>
      </c>
      <c r="AI14" t="e">
        <f>#REF!+"vlM!LM"</f>
        <v>#REF!</v>
      </c>
      <c r="AJ14" t="e">
        <f>#REF!+"vlM!LN"</f>
        <v>#REF!</v>
      </c>
      <c r="AK14" s="1" t="e">
        <f>#REF!+"vlM!LO"</f>
        <v>#REF!</v>
      </c>
      <c r="AL14" t="e">
        <f>#REF!+"vlM!LP"</f>
        <v>#REF!</v>
      </c>
      <c r="AM14" t="e">
        <f>#REF!+"vlM!LQ"</f>
        <v>#REF!</v>
      </c>
      <c r="AN14" t="e">
        <f>#REF!+"vlM!LR"</f>
        <v>#REF!</v>
      </c>
      <c r="AO14" t="e">
        <f>#REF!+"vlM!LS"</f>
        <v>#REF!</v>
      </c>
      <c r="AP14" t="e">
        <f>#REF!+"vlM!LT"</f>
        <v>#REF!</v>
      </c>
      <c r="AQ14" t="e">
        <f>#REF!+"vlM!LU"</f>
        <v>#REF!</v>
      </c>
      <c r="AR14" t="e">
        <f>#REF!+"vlM!LV"</f>
        <v>#REF!</v>
      </c>
      <c r="AS14" t="e">
        <f>#REF!+"vlM!LW"</f>
        <v>#REF!</v>
      </c>
      <c r="AT14" t="e">
        <f>#REF!+"vlM!LX"</f>
        <v>#REF!</v>
      </c>
      <c r="AU14" t="e">
        <f>#REF!+"vlM!LY"</f>
        <v>#REF!</v>
      </c>
      <c r="AV14" t="e">
        <f>#REF!+"vlM!LZ"</f>
        <v>#REF!</v>
      </c>
      <c r="AW14" t="e">
        <f>#REF!+"vlM!L["</f>
        <v>#REF!</v>
      </c>
      <c r="AX14" t="e">
        <f>#REF!+"vlM!L\"</f>
        <v>#REF!</v>
      </c>
      <c r="AY14" t="e">
        <f>#REF!+"vlM!L]"</f>
        <v>#REF!</v>
      </c>
      <c r="AZ14" s="1" t="e">
        <f>#REF!+"vlM!L^"</f>
        <v>#REF!</v>
      </c>
      <c r="BA14" t="e">
        <f>#REF!+"vlM!L_"</f>
        <v>#REF!</v>
      </c>
      <c r="BB14" t="e">
        <f>#REF!+"vlM!L`"</f>
        <v>#REF!</v>
      </c>
      <c r="BC14" t="e">
        <f>#REF!+"vlM!La"</f>
        <v>#REF!</v>
      </c>
      <c r="BD14" t="e">
        <f>#REF!+"vlM!Lb"</f>
        <v>#REF!</v>
      </c>
      <c r="BE14" t="e">
        <f>#REF!+"vlM!Lc"</f>
        <v>#REF!</v>
      </c>
      <c r="BF14" t="e">
        <f>#REF!+"vlM!Ld"</f>
        <v>#REF!</v>
      </c>
      <c r="BG14" t="e">
        <f>#REF!+"vlM!Le"</f>
        <v>#REF!</v>
      </c>
      <c r="BH14" t="e">
        <f>#REF!+"vlM!Lf"</f>
        <v>#REF!</v>
      </c>
      <c r="BI14" t="e">
        <f>#REF!+"vlM!Lg"</f>
        <v>#REF!</v>
      </c>
      <c r="BJ14" t="e">
        <f>#REF!+"vlM!Lh"</f>
        <v>#REF!</v>
      </c>
      <c r="BK14" t="e">
        <f>#REF!+"vlM!Li"</f>
        <v>#REF!</v>
      </c>
      <c r="BL14" t="e">
        <f>#REF!+"vlM!Lj"</f>
        <v>#REF!</v>
      </c>
      <c r="BM14" t="e">
        <f>#REF!+"vlM!Lk"</f>
        <v>#REF!</v>
      </c>
      <c r="BN14" t="e">
        <f>#REF!+"vlM!Ll"</f>
        <v>#REF!</v>
      </c>
      <c r="BO14" s="1" t="e">
        <f>#REF!+"vlM!Lm"</f>
        <v>#REF!</v>
      </c>
      <c r="BP14" t="e">
        <f>#REF!+"vlM!Ln"</f>
        <v>#REF!</v>
      </c>
      <c r="BQ14" t="e">
        <f>#REF!+"vlM!Lo"</f>
        <v>#REF!</v>
      </c>
      <c r="BR14" t="e">
        <f>#REF!+"vlM!Lp"</f>
        <v>#REF!</v>
      </c>
      <c r="BS14" t="e">
        <f>#REF!+"vlM!Lq"</f>
        <v>#REF!</v>
      </c>
      <c r="BT14" t="e">
        <f>#REF!+"vlM!Lr"</f>
        <v>#REF!</v>
      </c>
      <c r="BU14" t="e">
        <f>#REF!+"vlM!Ls"</f>
        <v>#REF!</v>
      </c>
      <c r="BV14" t="e">
        <f>#REF!+"vlM!Lt"</f>
        <v>#REF!</v>
      </c>
      <c r="BW14" t="e">
        <f>#REF!+"vlM!Lu"</f>
        <v>#REF!</v>
      </c>
      <c r="BX14" t="e">
        <f>#REF!+"vlM!Lv"</f>
        <v>#REF!</v>
      </c>
      <c r="BY14" t="e">
        <f>#REF!+"vlM!Lw"</f>
        <v>#REF!</v>
      </c>
      <c r="BZ14" t="e">
        <f>#REF!+"vlM!Lx"</f>
        <v>#REF!</v>
      </c>
      <c r="CA14" t="e">
        <f>#REF!+"vlM!Ly"</f>
        <v>#REF!</v>
      </c>
      <c r="CB14" t="e">
        <f>#REF!+"vlM!Lz"</f>
        <v>#REF!</v>
      </c>
      <c r="CC14" t="e">
        <f>#REF!+"vlM!L{"</f>
        <v>#REF!</v>
      </c>
      <c r="CD14" s="1" t="e">
        <f>#REF!+"vlM!L|"</f>
        <v>#REF!</v>
      </c>
      <c r="CE14" t="e">
        <f>#REF!+"vlM!L}"</f>
        <v>#REF!</v>
      </c>
      <c r="CF14" t="e">
        <f>#REF!+"vlM!L~"</f>
        <v>#REF!</v>
      </c>
      <c r="CG14" t="e">
        <f>#REF!+"vlM!M#"</f>
        <v>#REF!</v>
      </c>
      <c r="CH14" t="e">
        <f>#REF!+"vlM!M$"</f>
        <v>#REF!</v>
      </c>
      <c r="CI14" t="e">
        <f>#REF!+"vlM!M%"</f>
        <v>#REF!</v>
      </c>
      <c r="CJ14" t="e">
        <f>#REF!+"vlM!M&amp;"</f>
        <v>#REF!</v>
      </c>
      <c r="CK14" t="e">
        <f>#REF!+"vlM!M'"</f>
        <v>#REF!</v>
      </c>
      <c r="CL14" t="e">
        <f>#REF!+"vlM!M("</f>
        <v>#REF!</v>
      </c>
      <c r="CM14" t="e">
        <f>#REF!+"vlM!M)"</f>
        <v>#REF!</v>
      </c>
      <c r="CN14" t="e">
        <f>#REF!+"vlM!M."</f>
        <v>#REF!</v>
      </c>
      <c r="CO14" t="e">
        <f>#REF!+"vlM!M/"</f>
        <v>#REF!</v>
      </c>
      <c r="CP14" t="e">
        <f>#REF!+"vlM!M0"</f>
        <v>#REF!</v>
      </c>
      <c r="CQ14" t="e">
        <f>#REF!+"vlM!M1"</f>
        <v>#REF!</v>
      </c>
      <c r="CR14" t="e">
        <f>#REF!+"vlM!M2"</f>
        <v>#REF!</v>
      </c>
      <c r="CS14" s="1" t="e">
        <f>#REF!+"vlM!M3"</f>
        <v>#REF!</v>
      </c>
      <c r="CT14" t="e">
        <f>#REF!+"vlM!M4"</f>
        <v>#REF!</v>
      </c>
      <c r="CU14" t="e">
        <f>#REF!+"vlM!M5"</f>
        <v>#REF!</v>
      </c>
      <c r="CV14" t="e">
        <f>#REF!+"vlM!M6"</f>
        <v>#REF!</v>
      </c>
      <c r="CW14" t="e">
        <f>#REF!+"vlM!M7"</f>
        <v>#REF!</v>
      </c>
      <c r="CX14" t="e">
        <f>#REF!+"vlM!M8"</f>
        <v>#REF!</v>
      </c>
      <c r="CY14" t="e">
        <f>#REF!+"vlM!M9"</f>
        <v>#REF!</v>
      </c>
      <c r="CZ14" t="e">
        <f>#REF!+"vlM!M:"</f>
        <v>#REF!</v>
      </c>
      <c r="DA14" t="e">
        <f>#REF!+"vlM!M;"</f>
        <v>#REF!</v>
      </c>
      <c r="DB14" t="e">
        <f>#REF!+"vlM!M&lt;"</f>
        <v>#REF!</v>
      </c>
      <c r="DC14" t="e">
        <f>#REF!+"vlM!M="</f>
        <v>#REF!</v>
      </c>
      <c r="DD14" t="e">
        <f>#REF!+"vlM!M&gt;"</f>
        <v>#REF!</v>
      </c>
      <c r="DE14" t="e">
        <f>#REF!+"vlM!M?"</f>
        <v>#REF!</v>
      </c>
      <c r="DF14" t="e">
        <f>#REF!+"vlM!M@"</f>
        <v>#REF!</v>
      </c>
      <c r="DG14" t="e">
        <f>#REF!+"vlM!MA"</f>
        <v>#REF!</v>
      </c>
      <c r="DH14" s="1" t="e">
        <f>#REF!+"vlM!MB"</f>
        <v>#REF!</v>
      </c>
      <c r="DI14" t="e">
        <f>#REF!+"vlM!MC"</f>
        <v>#REF!</v>
      </c>
      <c r="DJ14" t="e">
        <f>#REF!+"vlM!MD"</f>
        <v>#REF!</v>
      </c>
      <c r="DK14" t="e">
        <f>#REF!+"vlM!ME"</f>
        <v>#REF!</v>
      </c>
      <c r="DL14" t="e">
        <f>#REF!+"vlM!MF"</f>
        <v>#REF!</v>
      </c>
      <c r="DM14" t="e">
        <f>#REF!+"vlM!MG"</f>
        <v>#REF!</v>
      </c>
      <c r="DN14" t="e">
        <f>#REF!+"vlM!MH"</f>
        <v>#REF!</v>
      </c>
      <c r="DO14" t="e">
        <f>#REF!+"vlM!MI"</f>
        <v>#REF!</v>
      </c>
      <c r="DP14" t="e">
        <f>#REF!+"vlM!MJ"</f>
        <v>#REF!</v>
      </c>
      <c r="DQ14" t="e">
        <f>#REF!+"vlM!MK"</f>
        <v>#REF!</v>
      </c>
      <c r="DR14" t="e">
        <f>#REF!+"vlM!ML"</f>
        <v>#REF!</v>
      </c>
      <c r="DS14" t="e">
        <f>#REF!+"vlM!MM"</f>
        <v>#REF!</v>
      </c>
      <c r="DT14" t="e">
        <f>#REF!+"vlM!MN"</f>
        <v>#REF!</v>
      </c>
      <c r="DU14" t="e">
        <f>#REF!+"vlM!MO"</f>
        <v>#REF!</v>
      </c>
      <c r="DV14" t="e">
        <f>#REF!+"vlM!MP"</f>
        <v>#REF!</v>
      </c>
      <c r="DW14" s="1" t="e">
        <f>#REF!+"vlM!MQ"</f>
        <v>#REF!</v>
      </c>
      <c r="DX14" t="e">
        <f>#REF!+"vlM!MR"</f>
        <v>#REF!</v>
      </c>
      <c r="DY14" t="e">
        <f>#REF!+"vlM!MS"</f>
        <v>#REF!</v>
      </c>
      <c r="DZ14" t="e">
        <f>#REF!+"vlM!MT"</f>
        <v>#REF!</v>
      </c>
      <c r="EA14" t="e">
        <f>#REF!+"vlM!MU"</f>
        <v>#REF!</v>
      </c>
      <c r="EB14" t="e">
        <f>#REF!+"vlM!MV"</f>
        <v>#REF!</v>
      </c>
      <c r="EC14" t="e">
        <f>#REF!+"vlM!MW"</f>
        <v>#REF!</v>
      </c>
      <c r="ED14" t="e">
        <f>#REF!+"vlM!MX"</f>
        <v>#REF!</v>
      </c>
      <c r="EE14" t="e">
        <f>#REF!+"vlM!MY"</f>
        <v>#REF!</v>
      </c>
      <c r="EF14" t="e">
        <f>#REF!+"vlM!MZ"</f>
        <v>#REF!</v>
      </c>
      <c r="EG14" t="e">
        <f>#REF!+"vlM!M["</f>
        <v>#REF!</v>
      </c>
      <c r="EH14" t="e">
        <f>#REF!+"vlM!M\"</f>
        <v>#REF!</v>
      </c>
      <c r="EI14" t="e">
        <f>#REF!+"vlM!M]"</f>
        <v>#REF!</v>
      </c>
      <c r="EJ14" t="e">
        <f>#REF!+"vlM!M^"</f>
        <v>#REF!</v>
      </c>
      <c r="EK14" t="e">
        <f>#REF!+"vlM!M_"</f>
        <v>#REF!</v>
      </c>
      <c r="EL14" s="1" t="e">
        <f>#REF!+"vlM!M`"</f>
        <v>#REF!</v>
      </c>
      <c r="EM14" t="e">
        <f>#REF!+"vlM!Ma"</f>
        <v>#REF!</v>
      </c>
      <c r="EN14" t="e">
        <f>#REF!+"vlM!Mb"</f>
        <v>#REF!</v>
      </c>
      <c r="EO14" t="e">
        <f>#REF!+"vlM!Mc"</f>
        <v>#REF!</v>
      </c>
      <c r="EP14" t="e">
        <f>#REF!+"vlM!Md"</f>
        <v>#REF!</v>
      </c>
      <c r="EQ14" t="e">
        <f>#REF!+"vlM!Me"</f>
        <v>#REF!</v>
      </c>
      <c r="ER14" t="e">
        <f>#REF!+"vlM!Mf"</f>
        <v>#REF!</v>
      </c>
      <c r="ES14" t="e">
        <f>#REF!+"vlM!Mg"</f>
        <v>#REF!</v>
      </c>
      <c r="ET14" t="e">
        <f>#REF!+"vlM!Mh"</f>
        <v>#REF!</v>
      </c>
      <c r="EU14" t="e">
        <f>#REF!+"vlM!Mi"</f>
        <v>#REF!</v>
      </c>
      <c r="EV14" t="e">
        <f>#REF!+"vlM!Mj"</f>
        <v>#REF!</v>
      </c>
      <c r="EW14" t="e">
        <f>#REF!+"vlM!Mk"</f>
        <v>#REF!</v>
      </c>
      <c r="EX14" t="e">
        <f>#REF!+"vlM!Ml"</f>
        <v>#REF!</v>
      </c>
      <c r="EY14" t="e">
        <f>#REF!+"vlM!Mm"</f>
        <v>#REF!</v>
      </c>
      <c r="EZ14" t="e">
        <f>#REF!+"vlM!Mn"</f>
        <v>#REF!</v>
      </c>
      <c r="FA14" s="1" t="e">
        <f>#REF!+"vlM!Mo"</f>
        <v>#REF!</v>
      </c>
      <c r="FB14" t="e">
        <f>#REF!+"vlM!Mp"</f>
        <v>#REF!</v>
      </c>
      <c r="FC14" t="e">
        <f>#REF!+"vlM!Mq"</f>
        <v>#REF!</v>
      </c>
      <c r="FD14" t="e">
        <f>#REF!+"vlM!Mr"</f>
        <v>#REF!</v>
      </c>
      <c r="FE14" t="e">
        <f>#REF!+"vlM!Ms"</f>
        <v>#REF!</v>
      </c>
      <c r="FF14" t="e">
        <f>#REF!+"vlM!Mt"</f>
        <v>#REF!</v>
      </c>
      <c r="FG14" t="e">
        <f>#REF!+"vlM!Mu"</f>
        <v>#REF!</v>
      </c>
      <c r="FH14" t="e">
        <f>#REF!+"vlM!Mv"</f>
        <v>#REF!</v>
      </c>
      <c r="FI14" t="e">
        <f>#REF!+"vlM!Mw"</f>
        <v>#REF!</v>
      </c>
      <c r="FJ14" t="e">
        <f>#REF!+"vlM!Mx"</f>
        <v>#REF!</v>
      </c>
      <c r="FK14" t="e">
        <f>#REF!+"vlM!My"</f>
        <v>#REF!</v>
      </c>
      <c r="FL14" t="e">
        <f>#REF!+"vlM!Mz"</f>
        <v>#REF!</v>
      </c>
      <c r="FM14" t="e">
        <f>#REF!+"vlM!M{"</f>
        <v>#REF!</v>
      </c>
      <c r="FN14" t="e">
        <f>#REF!+"vlM!M|"</f>
        <v>#REF!</v>
      </c>
      <c r="FO14" t="e">
        <f>#REF!+"vlM!M}"</f>
        <v>#REF!</v>
      </c>
      <c r="FP14" s="1" t="e">
        <f>#REF!+"vlM!M~"</f>
        <v>#REF!</v>
      </c>
      <c r="FQ14" t="e">
        <f>#REF!+"vlM!N#"</f>
        <v>#REF!</v>
      </c>
      <c r="FR14" t="e">
        <f>#REF!+"vlM!N$"</f>
        <v>#REF!</v>
      </c>
      <c r="FS14" t="e">
        <f>#REF!+"vlM!N%"</f>
        <v>#REF!</v>
      </c>
      <c r="FT14" t="e">
        <f>#REF!+"vlM!N&amp;"</f>
        <v>#REF!</v>
      </c>
      <c r="FU14" t="e">
        <f>#REF!+"vlM!N'"</f>
        <v>#REF!</v>
      </c>
      <c r="FV14" t="e">
        <f>#REF!+"vlM!N("</f>
        <v>#REF!</v>
      </c>
      <c r="FW14" t="e">
        <f>#REF!+"vlM!N)"</f>
        <v>#REF!</v>
      </c>
      <c r="FX14" t="e">
        <f>#REF!+"vlM!N."</f>
        <v>#REF!</v>
      </c>
      <c r="FY14" t="e">
        <f>#REF!+"vlM!N/"</f>
        <v>#REF!</v>
      </c>
      <c r="FZ14" t="e">
        <f>#REF!+"vlM!N0"</f>
        <v>#REF!</v>
      </c>
      <c r="GA14" t="e">
        <f>#REF!+"vlM!N1"</f>
        <v>#REF!</v>
      </c>
      <c r="GB14" t="e">
        <f>#REF!+"vlM!N2"</f>
        <v>#REF!</v>
      </c>
      <c r="GC14" t="e">
        <f>#REF!+"vlM!N3"</f>
        <v>#REF!</v>
      </c>
      <c r="GD14" t="e">
        <f>#REF!+"vlM!N4"</f>
        <v>#REF!</v>
      </c>
      <c r="GE14" s="1" t="e">
        <f>#REF!+"vlM!N5"</f>
        <v>#REF!</v>
      </c>
      <c r="GF14" t="e">
        <f>#REF!+"vlM!N6"</f>
        <v>#REF!</v>
      </c>
      <c r="GG14" t="e">
        <f>#REF!+"vlM!N7"</f>
        <v>#REF!</v>
      </c>
      <c r="GH14" t="e">
        <f>#REF!+"vlM!N8"</f>
        <v>#REF!</v>
      </c>
      <c r="GI14" t="e">
        <f>#REF!+"vlM!N9"</f>
        <v>#REF!</v>
      </c>
      <c r="GJ14" t="e">
        <f>#REF!+"vlM!N:"</f>
        <v>#REF!</v>
      </c>
      <c r="GK14" t="e">
        <f>#REF!+"vlM!N;"</f>
        <v>#REF!</v>
      </c>
      <c r="GL14" t="e">
        <f>#REF!+"vlM!N&lt;"</f>
        <v>#REF!</v>
      </c>
      <c r="GM14" t="e">
        <f>#REF!+"vlM!N="</f>
        <v>#REF!</v>
      </c>
      <c r="GN14" t="e">
        <f>#REF!+"vlM!N&gt;"</f>
        <v>#REF!</v>
      </c>
      <c r="GO14" t="e">
        <f>#REF!+"vlM!N?"</f>
        <v>#REF!</v>
      </c>
      <c r="GP14" t="e">
        <f>#REF!+"vlM!N@"</f>
        <v>#REF!</v>
      </c>
      <c r="GQ14" t="e">
        <f>#REF!+"vlM!NA"</f>
        <v>#REF!</v>
      </c>
      <c r="GR14" t="e">
        <f>#REF!+"vlM!NB"</f>
        <v>#REF!</v>
      </c>
      <c r="GS14" t="e">
        <f>#REF!+"vlM!NC"</f>
        <v>#REF!</v>
      </c>
      <c r="GT14" s="1" t="e">
        <f>#REF!+"vlM!ND"</f>
        <v>#REF!</v>
      </c>
      <c r="GU14" t="e">
        <f>#REF!+"vlM!NE"</f>
        <v>#REF!</v>
      </c>
      <c r="GV14" t="e">
        <f>#REF!+"vlM!NF"</f>
        <v>#REF!</v>
      </c>
      <c r="GW14" t="e">
        <f>#REF!+"vlM!NG"</f>
        <v>#REF!</v>
      </c>
      <c r="GX14" t="e">
        <f>#REF!+"vlM!NH"</f>
        <v>#REF!</v>
      </c>
      <c r="GY14" t="e">
        <f>#REF!+"vlM!NI"</f>
        <v>#REF!</v>
      </c>
      <c r="GZ14" t="e">
        <f>#REF!+"vlM!NJ"</f>
        <v>#REF!</v>
      </c>
      <c r="HA14" t="e">
        <f>#REF!+"vlM!NK"</f>
        <v>#REF!</v>
      </c>
      <c r="HB14" t="e">
        <f>#REF!+"vlM!NL"</f>
        <v>#REF!</v>
      </c>
      <c r="HC14" t="e">
        <f>#REF!+"vlM!NM"</f>
        <v>#REF!</v>
      </c>
      <c r="HD14" t="e">
        <f>#REF!+"vlM!NN"</f>
        <v>#REF!</v>
      </c>
      <c r="HE14" t="e">
        <f>#REF!+"vlM!NO"</f>
        <v>#REF!</v>
      </c>
      <c r="HF14" t="e">
        <f>#REF!+"vlM!NP"</f>
        <v>#REF!</v>
      </c>
      <c r="HG14" t="e">
        <f>#REF!+"vlM!NQ"</f>
        <v>#REF!</v>
      </c>
      <c r="HH14" t="e">
        <f>#REF!+"vlM!NR"</f>
        <v>#REF!</v>
      </c>
      <c r="HI14" s="1" t="e">
        <f>#REF!+"vlM!NS"</f>
        <v>#REF!</v>
      </c>
      <c r="HJ14" t="e">
        <f>#REF!+"vlM!NT"</f>
        <v>#REF!</v>
      </c>
      <c r="HK14" t="e">
        <f>#REF!+"vlM!NU"</f>
        <v>#REF!</v>
      </c>
      <c r="HL14" t="e">
        <f>#REF!+"vlM!NV"</f>
        <v>#REF!</v>
      </c>
      <c r="HM14" t="e">
        <f>#REF!+"vlM!NW"</f>
        <v>#REF!</v>
      </c>
      <c r="HN14" t="e">
        <f>#REF!+"vlM!NX"</f>
        <v>#REF!</v>
      </c>
      <c r="HO14" t="e">
        <f>#REF!+"vlM!NY"</f>
        <v>#REF!</v>
      </c>
      <c r="HP14" t="e">
        <f>#REF!+"vlM!NZ"</f>
        <v>#REF!</v>
      </c>
      <c r="HQ14" t="e">
        <f>#REF!+"vlM!N["</f>
        <v>#REF!</v>
      </c>
      <c r="HR14" t="e">
        <f>#REF!+"vlM!N\"</f>
        <v>#REF!</v>
      </c>
      <c r="HS14" t="e">
        <f>#REF!+"vlM!N]"</f>
        <v>#REF!</v>
      </c>
      <c r="HT14" t="e">
        <f>#REF!+"vlM!N^"</f>
        <v>#REF!</v>
      </c>
      <c r="HU14" t="e">
        <f>#REF!+"vlM!N_"</f>
        <v>#REF!</v>
      </c>
      <c r="HV14" t="e">
        <f>#REF!+"vlM!N`"</f>
        <v>#REF!</v>
      </c>
      <c r="HW14" t="e">
        <f>#REF!+"vlM!Na"</f>
        <v>#REF!</v>
      </c>
      <c r="HX14" s="1" t="e">
        <f>#REF!+"vlM!Nb"</f>
        <v>#REF!</v>
      </c>
      <c r="HY14" t="e">
        <f>#REF!+"vlM!Nc"</f>
        <v>#REF!</v>
      </c>
      <c r="HZ14" t="e">
        <f>#REF!+"vlM!Nd"</f>
        <v>#REF!</v>
      </c>
      <c r="IA14" t="e">
        <f>#REF!+"vlM!Ne"</f>
        <v>#REF!</v>
      </c>
      <c r="IB14" t="e">
        <f>#REF!+"vlM!Nf"</f>
        <v>#REF!</v>
      </c>
      <c r="IC14" t="e">
        <f>#REF!+"vlM!Ng"</f>
        <v>#REF!</v>
      </c>
      <c r="ID14" t="e">
        <f>#REF!+"vlM!Nh"</f>
        <v>#REF!</v>
      </c>
      <c r="IE14" t="e">
        <f>#REF!+"vlM!Ni"</f>
        <v>#REF!</v>
      </c>
      <c r="IF14" t="e">
        <f>#REF!+"vlM!Nj"</f>
        <v>#REF!</v>
      </c>
      <c r="IG14" t="e">
        <f>#REF!+"vlM!Nk"</f>
        <v>#REF!</v>
      </c>
      <c r="IH14" t="e">
        <f>#REF!+"vlM!Nl"</f>
        <v>#REF!</v>
      </c>
      <c r="II14" t="e">
        <f>#REF!+"vlM!Nm"</f>
        <v>#REF!</v>
      </c>
      <c r="IJ14" t="e">
        <f>#REF!+"vlM!Nn"</f>
        <v>#REF!</v>
      </c>
      <c r="IK14" t="e">
        <f>#REF!+"vlM!No"</f>
        <v>#REF!</v>
      </c>
      <c r="IL14" t="e">
        <f>#REF!+"vlM!Np"</f>
        <v>#REF!</v>
      </c>
      <c r="IM14" s="1" t="e">
        <f>#REF!+"vlM!Nq"</f>
        <v>#REF!</v>
      </c>
      <c r="IN14" t="e">
        <f>#REF!+"vlM!Nr"</f>
        <v>#REF!</v>
      </c>
      <c r="IO14" t="e">
        <f>#REF!+"vlM!Ns"</f>
        <v>#REF!</v>
      </c>
      <c r="IP14" t="e">
        <f>#REF!+"vlM!Nt"</f>
        <v>#REF!</v>
      </c>
      <c r="IQ14" t="e">
        <f>#REF!+"vlM!Nu"</f>
        <v>#REF!</v>
      </c>
      <c r="IR14" t="e">
        <f>#REF!+"vlM!Nv"</f>
        <v>#REF!</v>
      </c>
      <c r="IS14" t="e">
        <f>#REF!+"vlM!Nw"</f>
        <v>#REF!</v>
      </c>
      <c r="IT14" t="e">
        <f>#REF!+"vlM!Nx"</f>
        <v>#REF!</v>
      </c>
      <c r="IU14" t="e">
        <f>#REF!+"vlM!Ny"</f>
        <v>#REF!</v>
      </c>
      <c r="IV14" t="e">
        <f>#REF!+"vlM!Nz"</f>
        <v>#REF!</v>
      </c>
    </row>
    <row r="15" spans="1:256" x14ac:dyDescent="0.25">
      <c r="F15" t="e">
        <f>#REF!+"vlM!N{"</f>
        <v>#REF!</v>
      </c>
      <c r="G15" t="e">
        <f>#REF!+"vlM!N|"</f>
        <v>#REF!</v>
      </c>
      <c r="H15" t="e">
        <f>#REF!+"vlM!N}"</f>
        <v>#REF!</v>
      </c>
      <c r="I15" t="e">
        <f>#REF!+"vlM!N~"</f>
        <v>#REF!</v>
      </c>
      <c r="J15" t="e">
        <f>#REF!+"vlM!O#"</f>
        <v>#REF!</v>
      </c>
      <c r="K15" s="1" t="e">
        <f>#REF!+"vlM!O$"</f>
        <v>#REF!</v>
      </c>
      <c r="L15" t="e">
        <f>#REF!+"vlM!O%"</f>
        <v>#REF!</v>
      </c>
      <c r="M15" t="e">
        <f>#REF!+"vlM!O&amp;"</f>
        <v>#REF!</v>
      </c>
      <c r="N15" t="e">
        <f>#REF!+"vlM!O'"</f>
        <v>#REF!</v>
      </c>
      <c r="O15" t="e">
        <f>#REF!+"vlM!O("</f>
        <v>#REF!</v>
      </c>
      <c r="P15" t="e">
        <f>#REF!+"vlM!O)"</f>
        <v>#REF!</v>
      </c>
      <c r="Q15" t="e">
        <f>#REF!+"vlM!O."</f>
        <v>#REF!</v>
      </c>
      <c r="R15" t="e">
        <f>#REF!+"vlM!O/"</f>
        <v>#REF!</v>
      </c>
      <c r="S15" t="e">
        <f>#REF!+"vlM!O0"</f>
        <v>#REF!</v>
      </c>
      <c r="T15" t="e">
        <f>#REF!+"vlM!O1"</f>
        <v>#REF!</v>
      </c>
      <c r="U15" t="e">
        <f>#REF!+"vlM!O2"</f>
        <v>#REF!</v>
      </c>
      <c r="V15" t="e">
        <f>#REF!+"vlM!O3"</f>
        <v>#REF!</v>
      </c>
      <c r="W15" t="e">
        <f>#REF!+"vlM!O4"</f>
        <v>#REF!</v>
      </c>
      <c r="X15" t="e">
        <f>#REF!+"vlM!O5"</f>
        <v>#REF!</v>
      </c>
      <c r="Y15" t="e">
        <f>#REF!+"vlM!O6"</f>
        <v>#REF!</v>
      </c>
      <c r="Z15" s="1" t="e">
        <f>#REF!+"vlM!O7"</f>
        <v>#REF!</v>
      </c>
      <c r="AA15" t="e">
        <f>#REF!+"vlM!O8"</f>
        <v>#REF!</v>
      </c>
      <c r="AB15" t="e">
        <f>#REF!+"vlM!O9"</f>
        <v>#REF!</v>
      </c>
      <c r="AC15" t="e">
        <f>#REF!+"vlM!O:"</f>
        <v>#REF!</v>
      </c>
      <c r="AD15" t="e">
        <f>#REF!+"vlM!O;"</f>
        <v>#REF!</v>
      </c>
      <c r="AE15" t="e">
        <f>#REF!+"vlM!O&lt;"</f>
        <v>#REF!</v>
      </c>
      <c r="AF15" t="e">
        <f>#REF!+"vlM!O="</f>
        <v>#REF!</v>
      </c>
      <c r="AG15" t="e">
        <f>#REF!+"vlM!O&gt;"</f>
        <v>#REF!</v>
      </c>
      <c r="AH15" t="e">
        <f>#REF!+"vlM!O?"</f>
        <v>#REF!</v>
      </c>
      <c r="AI15" t="e">
        <f>#REF!+"vlM!O@"</f>
        <v>#REF!</v>
      </c>
      <c r="AJ15" t="e">
        <f>#REF!+"vlM!OA"</f>
        <v>#REF!</v>
      </c>
      <c r="AK15" t="e">
        <f>#REF!+"vlM!OB"</f>
        <v>#REF!</v>
      </c>
      <c r="AL15" t="e">
        <f>#REF!+"vlM!OC"</f>
        <v>#REF!</v>
      </c>
      <c r="AM15" t="e">
        <f>#REF!+"vlM!OD"</f>
        <v>#REF!</v>
      </c>
      <c r="AN15" t="e">
        <f>#REF!+"vlM!OE"</f>
        <v>#REF!</v>
      </c>
      <c r="AO15" s="1" t="e">
        <f>#REF!+"vlM!OF"</f>
        <v>#REF!</v>
      </c>
      <c r="AP15" t="e">
        <f>#REF!+"vlM!OG"</f>
        <v>#REF!</v>
      </c>
      <c r="AQ15" t="e">
        <f>#REF!+"vlM!OH"</f>
        <v>#REF!</v>
      </c>
      <c r="AR15" t="e">
        <f>#REF!+"vlM!OI"</f>
        <v>#REF!</v>
      </c>
      <c r="AS15" t="e">
        <f>#REF!+"vlM!OJ"</f>
        <v>#REF!</v>
      </c>
      <c r="AT15" t="e">
        <f>#REF!+"vlM!OK"</f>
        <v>#REF!</v>
      </c>
      <c r="AU15" t="e">
        <f>#REF!+"vlM!OL"</f>
        <v>#REF!</v>
      </c>
      <c r="AV15" t="e">
        <f>#REF!+"vlM!OM"</f>
        <v>#REF!</v>
      </c>
      <c r="AW15" t="e">
        <f>#REF!+"vlM!ON"</f>
        <v>#REF!</v>
      </c>
      <c r="AX15" t="e">
        <f>#REF!+"vlM!OO"</f>
        <v>#REF!</v>
      </c>
      <c r="AY15" t="e">
        <f>#REF!+"vlM!OP"</f>
        <v>#REF!</v>
      </c>
      <c r="AZ15" t="e">
        <f>#REF!+"vlM!OQ"</f>
        <v>#REF!</v>
      </c>
      <c r="BA15" t="e">
        <f>#REF!+"vlM!OR"</f>
        <v>#REF!</v>
      </c>
      <c r="BB15" t="e">
        <f>#REF!+"vlM!OS"</f>
        <v>#REF!</v>
      </c>
      <c r="BC15" t="e">
        <f>#REF!+"vlM!OT"</f>
        <v>#REF!</v>
      </c>
      <c r="BD15" s="1" t="e">
        <f>#REF!+"vlM!OU"</f>
        <v>#REF!</v>
      </c>
      <c r="BE15" t="e">
        <f>#REF!+"vlM!OV"</f>
        <v>#REF!</v>
      </c>
      <c r="BF15" t="e">
        <f>#REF!+"vlM!OW"</f>
        <v>#REF!</v>
      </c>
      <c r="BG15" t="e">
        <f>#REF!+"vlM!OX"</f>
        <v>#REF!</v>
      </c>
      <c r="BH15" t="e">
        <f>#REF!+"vlM!OY"</f>
        <v>#REF!</v>
      </c>
      <c r="BI15" t="e">
        <f>#REF!+"vlM!OZ"</f>
        <v>#REF!</v>
      </c>
      <c r="BJ15" t="e">
        <f>#REF!+"vlM!O["</f>
        <v>#REF!</v>
      </c>
      <c r="BK15" t="e">
        <f>#REF!+"vlM!O\"</f>
        <v>#REF!</v>
      </c>
      <c r="BL15" t="e">
        <f>#REF!+"vlM!O]"</f>
        <v>#REF!</v>
      </c>
      <c r="BM15" t="e">
        <f>#REF!+"vlM!O^"</f>
        <v>#REF!</v>
      </c>
      <c r="BN15" t="e">
        <f>#REF!+"vlM!O_"</f>
        <v>#REF!</v>
      </c>
      <c r="BO15" t="e">
        <f>#REF!+"vlM!O`"</f>
        <v>#REF!</v>
      </c>
      <c r="BP15" t="e">
        <f>#REF!+"vlM!Oa"</f>
        <v>#REF!</v>
      </c>
      <c r="BQ15" t="e">
        <f>#REF!+"vlM!Ob"</f>
        <v>#REF!</v>
      </c>
      <c r="BR15" t="e">
        <f>#REF!+"vlM!Oc"</f>
        <v>#REF!</v>
      </c>
      <c r="BS15" s="1" t="e">
        <f>#REF!+"vlM!Od"</f>
        <v>#REF!</v>
      </c>
      <c r="BT15" t="e">
        <f>#REF!+"vlM!Oe"</f>
        <v>#REF!</v>
      </c>
      <c r="BU15" t="e">
        <f>#REF!+"vlM!Of"</f>
        <v>#REF!</v>
      </c>
      <c r="BV15" t="e">
        <f>#REF!+"vlM!Og"</f>
        <v>#REF!</v>
      </c>
      <c r="BW15" t="e">
        <f>#REF!+"vlM!Oh"</f>
        <v>#REF!</v>
      </c>
      <c r="BX15" t="e">
        <f>#REF!+"vlM!Oi"</f>
        <v>#REF!</v>
      </c>
      <c r="BY15" t="e">
        <f>#REF!+"vlM!Oj"</f>
        <v>#REF!</v>
      </c>
      <c r="BZ15" t="e">
        <f>#REF!+"vlM!Ok"</f>
        <v>#REF!</v>
      </c>
      <c r="CA15" t="e">
        <f>#REF!+"vlM!Ol"</f>
        <v>#REF!</v>
      </c>
      <c r="CB15" t="e">
        <f>#REF!+"vlM!Om"</f>
        <v>#REF!</v>
      </c>
      <c r="CC15" t="e">
        <f>#REF!+"vlM!On"</f>
        <v>#REF!</v>
      </c>
      <c r="CD15" t="e">
        <f>#REF!+"vlM!Oo"</f>
        <v>#REF!</v>
      </c>
      <c r="CE15" t="e">
        <f>#REF!+"vlM!Op"</f>
        <v>#REF!</v>
      </c>
      <c r="CF15" t="e">
        <f>#REF!+"vlM!Oq"</f>
        <v>#REF!</v>
      </c>
      <c r="CG15" t="e">
        <f>#REF!+"vlM!Or"</f>
        <v>#REF!</v>
      </c>
      <c r="CH15" s="1" t="e">
        <f>#REF!+"vlM!Os"</f>
        <v>#REF!</v>
      </c>
      <c r="CI15" t="e">
        <f>#REF!+"vlM!Ot"</f>
        <v>#REF!</v>
      </c>
      <c r="CJ15" t="e">
        <f>#REF!+"vlM!Ou"</f>
        <v>#REF!</v>
      </c>
      <c r="CK15" t="e">
        <f>#REF!+"vlM!Ov"</f>
        <v>#REF!</v>
      </c>
      <c r="CL15" t="e">
        <f>#REF!+"vlM!Ow"</f>
        <v>#REF!</v>
      </c>
      <c r="CM15" t="e">
        <f>#REF!+"vlM!Ox"</f>
        <v>#REF!</v>
      </c>
      <c r="CN15" t="e">
        <f>#REF!+"vlM!Oy"</f>
        <v>#REF!</v>
      </c>
      <c r="CO15" t="e">
        <f>#REF!+"vlM!Oz"</f>
        <v>#REF!</v>
      </c>
      <c r="CP15" t="e">
        <f>#REF!+"vlM!O{"</f>
        <v>#REF!</v>
      </c>
      <c r="CQ15" t="e">
        <f>#REF!+"vlM!O|"</f>
        <v>#REF!</v>
      </c>
      <c r="CR15" t="e">
        <f>#REF!+"vlM!O}"</f>
        <v>#REF!</v>
      </c>
      <c r="CS15" t="e">
        <f>#REF!+"vlM!O~"</f>
        <v>#REF!</v>
      </c>
      <c r="CT15" t="e">
        <f>#REF!+"vlM!P#"</f>
        <v>#REF!</v>
      </c>
      <c r="CU15" t="e">
        <f>#REF!+"vlM!P$"</f>
        <v>#REF!</v>
      </c>
      <c r="CV15" t="e">
        <f>#REF!+"vlM!P%"</f>
        <v>#REF!</v>
      </c>
      <c r="CW15" s="1" t="e">
        <f>#REF!+"vlM!P&amp;"</f>
        <v>#REF!</v>
      </c>
      <c r="CX15" t="e">
        <f>#REF!+"vlM!P'"</f>
        <v>#REF!</v>
      </c>
      <c r="CY15" t="e">
        <f>#REF!+"vlM!P("</f>
        <v>#REF!</v>
      </c>
      <c r="CZ15" t="e">
        <f>#REF!+"vlM!P)"</f>
        <v>#REF!</v>
      </c>
      <c r="DA15" t="e">
        <f>#REF!+"vlM!P."</f>
        <v>#REF!</v>
      </c>
      <c r="DB15" t="e">
        <f>#REF!+"vlM!P/"</f>
        <v>#REF!</v>
      </c>
      <c r="DC15" t="e">
        <f>#REF!+"vlM!P0"</f>
        <v>#REF!</v>
      </c>
      <c r="DD15" t="e">
        <f>#REF!+"vlM!P1"</f>
        <v>#REF!</v>
      </c>
      <c r="DE15" t="e">
        <f>#REF!+"vlM!P2"</f>
        <v>#REF!</v>
      </c>
      <c r="DF15" t="e">
        <f>#REF!+"vlM!P3"</f>
        <v>#REF!</v>
      </c>
      <c r="DG15" t="e">
        <f>#REF!+"vlM!P4"</f>
        <v>#REF!</v>
      </c>
      <c r="DH15" t="e">
        <f>#REF!+"vlM!P5"</f>
        <v>#REF!</v>
      </c>
      <c r="DI15" t="e">
        <f>#REF!+"vlM!P6"</f>
        <v>#REF!</v>
      </c>
      <c r="DJ15" t="e">
        <f>#REF!+"vlM!P7"</f>
        <v>#REF!</v>
      </c>
      <c r="DK15" t="e">
        <f>#REF!+"vlM!P8"</f>
        <v>#REF!</v>
      </c>
      <c r="DL15" s="1" t="e">
        <f>#REF!+"vlM!P9"</f>
        <v>#REF!</v>
      </c>
      <c r="DM15" t="e">
        <f>#REF!+"vlM!P:"</f>
        <v>#REF!</v>
      </c>
      <c r="DN15" t="e">
        <f>#REF!+"vlM!P;"</f>
        <v>#REF!</v>
      </c>
      <c r="DO15" t="e">
        <f>#REF!+"vlM!P&lt;"</f>
        <v>#REF!</v>
      </c>
      <c r="DP15" t="e">
        <f>#REF!+"vlM!P="</f>
        <v>#REF!</v>
      </c>
      <c r="DQ15" t="e">
        <f>#REF!+"vlM!P&gt;"</f>
        <v>#REF!</v>
      </c>
      <c r="DR15" t="e">
        <f>#REF!+"vlM!P?"</f>
        <v>#REF!</v>
      </c>
      <c r="DS15" t="e">
        <f>#REF!+"vlM!P@"</f>
        <v>#REF!</v>
      </c>
      <c r="DT15" t="e">
        <f>#REF!+"vlM!PA"</f>
        <v>#REF!</v>
      </c>
      <c r="DU15" t="e">
        <f>#REF!+"vlM!PB"</f>
        <v>#REF!</v>
      </c>
      <c r="DV15" t="e">
        <f>#REF!+"vlM!PC"</f>
        <v>#REF!</v>
      </c>
      <c r="DW15" t="e">
        <f>#REF!+"vlM!PD"</f>
        <v>#REF!</v>
      </c>
      <c r="DX15" t="e">
        <f>#REF!+"vlM!PE"</f>
        <v>#REF!</v>
      </c>
      <c r="DY15" t="e">
        <f>#REF!+"vlM!PF"</f>
        <v>#REF!</v>
      </c>
      <c r="DZ15" t="e">
        <f>#REF!+"vlM!PG"</f>
        <v>#REF!</v>
      </c>
      <c r="EA15" s="1" t="e">
        <f>#REF!+"vlM!PH"</f>
        <v>#REF!</v>
      </c>
      <c r="EB15" t="e">
        <f>#REF!+"vlM!PI"</f>
        <v>#REF!</v>
      </c>
      <c r="EC15" t="e">
        <f>#REF!+"vlM!PJ"</f>
        <v>#REF!</v>
      </c>
      <c r="ED15" t="e">
        <f>#REF!+"vlM!PK"</f>
        <v>#REF!</v>
      </c>
      <c r="EE15" t="e">
        <f>#REF!+"vlM!PL"</f>
        <v>#REF!</v>
      </c>
      <c r="EF15" t="e">
        <f>#REF!+"vlM!PM"</f>
        <v>#REF!</v>
      </c>
      <c r="EG15" t="e">
        <f>#REF!+"vlM!PN"</f>
        <v>#REF!</v>
      </c>
      <c r="EH15" t="e">
        <f>#REF!+"vlM!PO"</f>
        <v>#REF!</v>
      </c>
      <c r="EI15" t="e">
        <f>#REF!+"vlM!PP"</f>
        <v>#REF!</v>
      </c>
      <c r="EJ15" t="e">
        <f>#REF!+"vlM!PQ"</f>
        <v>#REF!</v>
      </c>
      <c r="EK15" t="e">
        <f>#REF!+"vlM!PR"</f>
        <v>#REF!</v>
      </c>
      <c r="EL15" t="e">
        <f>#REF!+"vlM!PS"</f>
        <v>#REF!</v>
      </c>
      <c r="EM15" t="e">
        <f>#REF!+"vlM!PT"</f>
        <v>#REF!</v>
      </c>
      <c r="EN15" t="e">
        <f>#REF!+"vlM!PU"</f>
        <v>#REF!</v>
      </c>
      <c r="EO15" t="e">
        <f>#REF!+"vlM!PV"</f>
        <v>#REF!</v>
      </c>
      <c r="EP15" s="1" t="e">
        <f>#REF!+"vlM!PW"</f>
        <v>#REF!</v>
      </c>
      <c r="EQ15" t="e">
        <f>#REF!+"vlM!PX"</f>
        <v>#REF!</v>
      </c>
      <c r="ER15" t="e">
        <f>#REF!+"vlM!PY"</f>
        <v>#REF!</v>
      </c>
      <c r="ES15" t="e">
        <f>#REF!+"vlM!PZ"</f>
        <v>#REF!</v>
      </c>
      <c r="ET15" t="e">
        <f>#REF!+"vlM!P["</f>
        <v>#REF!</v>
      </c>
      <c r="EU15" t="e">
        <f>#REF!+"vlM!P\"</f>
        <v>#REF!</v>
      </c>
      <c r="EV15" t="e">
        <f>#REF!+"vlM!P]"</f>
        <v>#REF!</v>
      </c>
      <c r="EW15" t="e">
        <f>#REF!+"vlM!P^"</f>
        <v>#REF!</v>
      </c>
      <c r="EX15" t="e">
        <f>#REF!+"vlM!P_"</f>
        <v>#REF!</v>
      </c>
      <c r="EY15" t="e">
        <f>#REF!+"vlM!P`"</f>
        <v>#REF!</v>
      </c>
      <c r="EZ15" t="e">
        <f>#REF!+"vlM!Pa"</f>
        <v>#REF!</v>
      </c>
      <c r="FA15" t="e">
        <f>#REF!+"vlM!Pb"</f>
        <v>#REF!</v>
      </c>
      <c r="FB15" t="e">
        <f>#REF!+"vlM!Pc"</f>
        <v>#REF!</v>
      </c>
      <c r="FC15" t="e">
        <f>#REF!+"vlM!Pd"</f>
        <v>#REF!</v>
      </c>
      <c r="FD15" t="e">
        <f>#REF!+"vlM!Pe"</f>
        <v>#REF!</v>
      </c>
      <c r="FE15" s="1" t="e">
        <f>#REF!+"vlM!Pf"</f>
        <v>#REF!</v>
      </c>
      <c r="FF15" t="e">
        <f>#REF!+"vlM!Pg"</f>
        <v>#REF!</v>
      </c>
      <c r="FG15" t="e">
        <f>#REF!+"vlM!Ph"</f>
        <v>#REF!</v>
      </c>
      <c r="FH15" t="e">
        <f>#REF!+"vlM!Pi"</f>
        <v>#REF!</v>
      </c>
      <c r="FI15" t="e">
        <f>#REF!+"vlM!Pj"</f>
        <v>#REF!</v>
      </c>
      <c r="FJ15" t="e">
        <f>#REF!+"vlM!Pk"</f>
        <v>#REF!</v>
      </c>
      <c r="FK15" t="e">
        <f>#REF!+"vlM!Pl"</f>
        <v>#REF!</v>
      </c>
      <c r="FL15" t="e">
        <f>#REF!+"vlM!Pm"</f>
        <v>#REF!</v>
      </c>
      <c r="FM15" t="e">
        <f>#REF!+"vlM!Pn"</f>
        <v>#REF!</v>
      </c>
      <c r="FN15" t="e">
        <f>#REF!+"vlM!Po"</f>
        <v>#REF!</v>
      </c>
      <c r="FO15" t="e">
        <f>#REF!+"vlM!Pp"</f>
        <v>#REF!</v>
      </c>
      <c r="FP15" t="e">
        <f>#REF!+"vlM!Pq"</f>
        <v>#REF!</v>
      </c>
      <c r="FQ15" t="e">
        <f>#REF!+"vlM!Pr"</f>
        <v>#REF!</v>
      </c>
      <c r="FR15" t="e">
        <f>#REF!+"vlM!Ps"</f>
        <v>#REF!</v>
      </c>
      <c r="FS15" t="e">
        <f>#REF!+"vlM!Pt"</f>
        <v>#REF!</v>
      </c>
      <c r="FT15" s="1" t="e">
        <f>#REF!+"vlM!Pu"</f>
        <v>#REF!</v>
      </c>
      <c r="FU15" t="e">
        <f>#REF!+"vlM!Pv"</f>
        <v>#REF!</v>
      </c>
      <c r="FV15" t="e">
        <f>#REF!+"vlM!Pw"</f>
        <v>#REF!</v>
      </c>
      <c r="FW15" t="e">
        <f>#REF!+"vlM!Px"</f>
        <v>#REF!</v>
      </c>
      <c r="FX15" t="e">
        <f>#REF!+"vlM!Py"</f>
        <v>#REF!</v>
      </c>
      <c r="FY15" t="e">
        <f>#REF!+"vlM!Pz"</f>
        <v>#REF!</v>
      </c>
      <c r="FZ15" t="e">
        <f>#REF!+"vlM!P{"</f>
        <v>#REF!</v>
      </c>
      <c r="GA15" t="e">
        <f>#REF!+"vlM!P|"</f>
        <v>#REF!</v>
      </c>
      <c r="GB15" t="e">
        <f>#REF!+"vlM!P}"</f>
        <v>#REF!</v>
      </c>
      <c r="GC15" t="e">
        <f>#REF!+"vlM!P~"</f>
        <v>#REF!</v>
      </c>
      <c r="GD15" t="e">
        <f>#REF!+"vlM!Q#"</f>
        <v>#REF!</v>
      </c>
      <c r="GE15" t="e">
        <f>#REF!+"vlM!Q$"</f>
        <v>#REF!</v>
      </c>
      <c r="GF15" t="e">
        <f>#REF!+"vlM!Q%"</f>
        <v>#REF!</v>
      </c>
      <c r="GG15" t="e">
        <f>#REF!+"vlM!Q&amp;"</f>
        <v>#REF!</v>
      </c>
      <c r="GH15" t="e">
        <f>#REF!+"vlM!Q'"</f>
        <v>#REF!</v>
      </c>
      <c r="GI15" s="1" t="e">
        <f>#REF!+"vlM!Q("</f>
        <v>#REF!</v>
      </c>
      <c r="GJ15" t="e">
        <f>#REF!+"vlM!Q)"</f>
        <v>#REF!</v>
      </c>
      <c r="GK15" t="e">
        <f>#REF!+"vlM!Q."</f>
        <v>#REF!</v>
      </c>
      <c r="GL15" t="e">
        <f>#REF!+"vlM!Q/"</f>
        <v>#REF!</v>
      </c>
      <c r="GM15" t="e">
        <f>#REF!+"vlM!Q0"</f>
        <v>#REF!</v>
      </c>
      <c r="GN15" t="e">
        <f>#REF!+"vlM!Q1"</f>
        <v>#REF!</v>
      </c>
      <c r="GO15" t="e">
        <f>#REF!+"vlM!Q2"</f>
        <v>#REF!</v>
      </c>
      <c r="GP15" t="e">
        <f>#REF!+"vlM!Q3"</f>
        <v>#REF!</v>
      </c>
      <c r="GQ15" t="e">
        <f>#REF!+"vlM!Q4"</f>
        <v>#REF!</v>
      </c>
      <c r="GR15" t="e">
        <f>#REF!+"vlM!Q5"</f>
        <v>#REF!</v>
      </c>
      <c r="GS15" t="e">
        <f>#REF!+"vlM!Q6"</f>
        <v>#REF!</v>
      </c>
      <c r="GT15" t="e">
        <f>#REF!+"vlM!Q7"</f>
        <v>#REF!</v>
      </c>
      <c r="GU15" t="e">
        <f>#REF!+"vlM!Q8"</f>
        <v>#REF!</v>
      </c>
      <c r="GV15" t="e">
        <f>#REF!+"vlM!Q9"</f>
        <v>#REF!</v>
      </c>
      <c r="GW15" t="e">
        <f>#REF!+"vlM!Q:"</f>
        <v>#REF!</v>
      </c>
      <c r="GX15" s="1" t="e">
        <f>#REF!+"vlM!Q;"</f>
        <v>#REF!</v>
      </c>
      <c r="GY15" t="e">
        <f>#REF!+"vlM!Q&lt;"</f>
        <v>#REF!</v>
      </c>
      <c r="GZ15" t="e">
        <f>#REF!+"vlM!Q="</f>
        <v>#REF!</v>
      </c>
      <c r="HA15" t="e">
        <f>#REF!+"vlM!Q&gt;"</f>
        <v>#REF!</v>
      </c>
      <c r="HB15" t="e">
        <f>#REF!+"vlM!Q?"</f>
        <v>#REF!</v>
      </c>
      <c r="HC15" t="e">
        <f>#REF!+"vlM!Q@"</f>
        <v>#REF!</v>
      </c>
      <c r="HD15" t="e">
        <f>#REF!+"vlM!QA"</f>
        <v>#REF!</v>
      </c>
      <c r="HE15" t="e">
        <f>#REF!+"vlM!QB"</f>
        <v>#REF!</v>
      </c>
      <c r="HF15" t="e">
        <f>#REF!+"vlM!QC"</f>
        <v>#REF!</v>
      </c>
      <c r="HG15" t="e">
        <f>#REF!+"vlM!QD"</f>
        <v>#REF!</v>
      </c>
      <c r="HH15" t="e">
        <f>#REF!+"vlM!QE"</f>
        <v>#REF!</v>
      </c>
      <c r="HI15" t="e">
        <f>#REF!+"vlM!QF"</f>
        <v>#REF!</v>
      </c>
      <c r="HJ15" t="e">
        <f>#REF!+"vlM!QG"</f>
        <v>#REF!</v>
      </c>
      <c r="HK15" t="e">
        <f>#REF!+"vlM!QH"</f>
        <v>#REF!</v>
      </c>
      <c r="HL15" t="e">
        <f>#REF!+"vlM!QI"</f>
        <v>#REF!</v>
      </c>
      <c r="HM15" s="1" t="e">
        <f>#REF!+"vlM!QJ"</f>
        <v>#REF!</v>
      </c>
      <c r="HN15" t="e">
        <f>#REF!+"vlM!QK"</f>
        <v>#REF!</v>
      </c>
      <c r="HO15" t="e">
        <f>#REF!+"vlM!QL"</f>
        <v>#REF!</v>
      </c>
      <c r="HP15" t="e">
        <f>#REF!+"vlM!QM"</f>
        <v>#REF!</v>
      </c>
      <c r="HQ15" t="e">
        <f>#REF!+"vlM!QN"</f>
        <v>#REF!</v>
      </c>
      <c r="HR15" t="e">
        <f>#REF!+"vlM!QO"</f>
        <v>#REF!</v>
      </c>
      <c r="HS15" t="e">
        <f>#REF!+"vlM!QP"</f>
        <v>#REF!</v>
      </c>
      <c r="HT15" t="e">
        <f>#REF!+"vlM!QQ"</f>
        <v>#REF!</v>
      </c>
      <c r="HU15" t="e">
        <f>#REF!+"vlM!QR"</f>
        <v>#REF!</v>
      </c>
      <c r="HV15" t="e">
        <f>#REF!+"vlM!QS"</f>
        <v>#REF!</v>
      </c>
      <c r="HW15" t="e">
        <f>#REF!+"vlM!QT"</f>
        <v>#REF!</v>
      </c>
      <c r="HX15" t="e">
        <f>#REF!+"vlM!QU"</f>
        <v>#REF!</v>
      </c>
      <c r="HY15" t="e">
        <f>#REF!+"vlM!QV"</f>
        <v>#REF!</v>
      </c>
      <c r="HZ15" t="e">
        <f>#REF!+"vlM!QW"</f>
        <v>#REF!</v>
      </c>
      <c r="IA15" t="e">
        <f>#REF!+"vlM!QX"</f>
        <v>#REF!</v>
      </c>
      <c r="IB15" s="1" t="e">
        <f>#REF!+"vlM!QY"</f>
        <v>#REF!</v>
      </c>
      <c r="IC15" t="e">
        <f>#REF!+"vlM!QZ"</f>
        <v>#REF!</v>
      </c>
      <c r="ID15" t="e">
        <f>#REF!+"vlM!Q["</f>
        <v>#REF!</v>
      </c>
      <c r="IE15" t="e">
        <f>#REF!+"vlM!Q\"</f>
        <v>#REF!</v>
      </c>
      <c r="IF15" t="e">
        <f>#REF!+"vlM!Q]"</f>
        <v>#REF!</v>
      </c>
      <c r="IG15" t="e">
        <f>#REF!+"vlM!Q^"</f>
        <v>#REF!</v>
      </c>
      <c r="IH15" t="e">
        <f>#REF!+"vlM!Q_"</f>
        <v>#REF!</v>
      </c>
      <c r="II15" t="e">
        <f>#REF!+"vlM!Q`"</f>
        <v>#REF!</v>
      </c>
      <c r="IJ15" t="e">
        <f>#REF!+"vlM!Qa"</f>
        <v>#REF!</v>
      </c>
      <c r="IK15" t="e">
        <f>#REF!+"vlM!Qb"</f>
        <v>#REF!</v>
      </c>
      <c r="IL15" t="e">
        <f>#REF!+"vlM!Qc"</f>
        <v>#REF!</v>
      </c>
      <c r="IM15" t="e">
        <f>#REF!+"vlM!Qd"</f>
        <v>#REF!</v>
      </c>
      <c r="IN15" t="e">
        <f>#REF!+"vlM!Qe"</f>
        <v>#REF!</v>
      </c>
      <c r="IO15" t="e">
        <f>#REF!+"vlM!Qf"</f>
        <v>#REF!</v>
      </c>
      <c r="IP15" t="e">
        <f>#REF!+"vlM!Qg"</f>
        <v>#REF!</v>
      </c>
      <c r="IQ15" s="1" t="e">
        <f>#REF!+"vlM!Qh"</f>
        <v>#REF!</v>
      </c>
      <c r="IR15" t="e">
        <f>#REF!+"vlM!Qi"</f>
        <v>#REF!</v>
      </c>
      <c r="IS15" t="e">
        <f>#REF!+"vlM!Qj"</f>
        <v>#REF!</v>
      </c>
      <c r="IT15" t="e">
        <f>#REF!+"vlM!Qk"</f>
        <v>#REF!</v>
      </c>
      <c r="IU15" t="e">
        <f>#REF!+"vlM!Ql"</f>
        <v>#REF!</v>
      </c>
      <c r="IV15" t="e">
        <f>#REF!+"vlM!Qm"</f>
        <v>#REF!</v>
      </c>
    </row>
    <row r="16" spans="1:256" x14ac:dyDescent="0.25">
      <c r="F16" t="e">
        <f>#REF!+"vlM!Qn"</f>
        <v>#REF!</v>
      </c>
      <c r="G16" t="e">
        <f>#REF!+"vlM!Qo"</f>
        <v>#REF!</v>
      </c>
      <c r="H16" t="e">
        <f>#REF!+"vlM!Qp"</f>
        <v>#REF!</v>
      </c>
      <c r="I16" t="e">
        <f>#REF!+"vlM!Qq"</f>
        <v>#REF!</v>
      </c>
      <c r="J16" t="e">
        <f>#REF!+"vlM!Qr"</f>
        <v>#REF!</v>
      </c>
      <c r="K16" t="e">
        <f>#REF!+"vlM!Qs"</f>
        <v>#REF!</v>
      </c>
      <c r="L16" t="e">
        <f>#REF!+"vlM!Qt"</f>
        <v>#REF!</v>
      </c>
      <c r="M16" t="e">
        <f>#REF!+"vlM!Qu"</f>
        <v>#REF!</v>
      </c>
      <c r="N16" t="e">
        <f>#REF!+"vlM!Qv"</f>
        <v>#REF!</v>
      </c>
      <c r="O16" s="1" t="e">
        <f>#REF!+"vlM!Qw"</f>
        <v>#REF!</v>
      </c>
      <c r="P16" t="e">
        <f>#REF!+"vlM!Qx"</f>
        <v>#REF!</v>
      </c>
      <c r="Q16" t="e">
        <f>#REF!+"vlM!Qy"</f>
        <v>#REF!</v>
      </c>
      <c r="R16" t="e">
        <f>#REF!+"vlM!Qz"</f>
        <v>#REF!</v>
      </c>
      <c r="S16" t="e">
        <f>#REF!+"vlM!Q{"</f>
        <v>#REF!</v>
      </c>
      <c r="T16" t="e">
        <f>#REF!+"vlM!Q|"</f>
        <v>#REF!</v>
      </c>
      <c r="U16" t="e">
        <f>#REF!+"vlM!Q}"</f>
        <v>#REF!</v>
      </c>
      <c r="V16" t="e">
        <f>#REF!+"vlM!Q~"</f>
        <v>#REF!</v>
      </c>
      <c r="W16" t="e">
        <f>#REF!+"vlM!R#"</f>
        <v>#REF!</v>
      </c>
      <c r="X16" t="e">
        <f>#REF!+"vlM!R$"</f>
        <v>#REF!</v>
      </c>
      <c r="Y16" t="e">
        <f>#REF!+"vlM!R%"</f>
        <v>#REF!</v>
      </c>
      <c r="Z16" t="e">
        <f>#REF!+"vlM!R&amp;"</f>
        <v>#REF!</v>
      </c>
      <c r="AA16" t="e">
        <f>#REF!+"vlM!R'"</f>
        <v>#REF!</v>
      </c>
      <c r="AB16" t="e">
        <f>#REF!+"vlM!R("</f>
        <v>#REF!</v>
      </c>
      <c r="AC16" t="e">
        <f>#REF!+"vlM!R)"</f>
        <v>#REF!</v>
      </c>
      <c r="AD16" s="1" t="e">
        <f>#REF!+"vlM!R."</f>
        <v>#REF!</v>
      </c>
      <c r="AE16" t="e">
        <f>#REF!+"vlM!R/"</f>
        <v>#REF!</v>
      </c>
      <c r="AF16" t="e">
        <f>#REF!+"vlM!R0"</f>
        <v>#REF!</v>
      </c>
      <c r="AG16" t="e">
        <f>#REF!+"vlM!R1"</f>
        <v>#REF!</v>
      </c>
      <c r="AH16" t="e">
        <f>#REF!+"vlM!R2"</f>
        <v>#REF!</v>
      </c>
      <c r="AI16" t="e">
        <f>#REF!+"vlM!R3"</f>
        <v>#REF!</v>
      </c>
      <c r="AJ16" t="e">
        <f>#REF!+"vlM!R4"</f>
        <v>#REF!</v>
      </c>
      <c r="AK16" t="e">
        <f>#REF!+"vlM!R5"</f>
        <v>#REF!</v>
      </c>
      <c r="AL16" t="e">
        <f>#REF!+"vlM!R6"</f>
        <v>#REF!</v>
      </c>
      <c r="AM16" t="e">
        <f>#REF!+"vlM!R7"</f>
        <v>#REF!</v>
      </c>
      <c r="AN16" t="e">
        <f>#REF!+"vlM!R8"</f>
        <v>#REF!</v>
      </c>
      <c r="AO16" t="e">
        <f>#REF!+"vlM!R9"</f>
        <v>#REF!</v>
      </c>
      <c r="AP16" t="e">
        <f>#REF!+"vlM!R:"</f>
        <v>#REF!</v>
      </c>
      <c r="AQ16" t="e">
        <f>#REF!+"vlM!R;"</f>
        <v>#REF!</v>
      </c>
      <c r="AR16" t="e">
        <f>#REF!+"vlM!R&lt;"</f>
        <v>#REF!</v>
      </c>
      <c r="AS16" s="1" t="e">
        <f>#REF!+"vlM!R="</f>
        <v>#REF!</v>
      </c>
      <c r="AT16" t="e">
        <f>#REF!+"vlM!R&gt;"</f>
        <v>#REF!</v>
      </c>
      <c r="AU16" t="e">
        <f>#REF!+"vlM!R?"</f>
        <v>#REF!</v>
      </c>
      <c r="AV16" t="e">
        <f>#REF!+"vlM!R@"</f>
        <v>#REF!</v>
      </c>
      <c r="AW16" t="e">
        <f>#REF!+"vlM!RA"</f>
        <v>#REF!</v>
      </c>
      <c r="AX16" t="e">
        <f>#REF!+"vlM!RB"</f>
        <v>#REF!</v>
      </c>
      <c r="AY16" t="e">
        <f>#REF!+"vlM!RC"</f>
        <v>#REF!</v>
      </c>
      <c r="AZ16" t="e">
        <f>#REF!+"vlM!RD"</f>
        <v>#REF!</v>
      </c>
      <c r="BA16" t="e">
        <f>#REF!+"vlM!RE"</f>
        <v>#REF!</v>
      </c>
      <c r="BB16" t="e">
        <f>#REF!+"vlM!RF"</f>
        <v>#REF!</v>
      </c>
      <c r="BC16" t="e">
        <f>#REF!+"vlM!RG"</f>
        <v>#REF!</v>
      </c>
      <c r="BD16" t="e">
        <f>#REF!+"vlM!RH"</f>
        <v>#REF!</v>
      </c>
      <c r="BE16" t="e">
        <f>#REF!+"vlM!RI"</f>
        <v>#REF!</v>
      </c>
      <c r="BF16" t="e">
        <f>#REF!+"vlM!RJ"</f>
        <v>#REF!</v>
      </c>
      <c r="BG16" t="e">
        <f>#REF!+"vlM!RK"</f>
        <v>#REF!</v>
      </c>
      <c r="BH16" s="1" t="e">
        <f>#REF!+"vlM!RL"</f>
        <v>#REF!</v>
      </c>
      <c r="BI16" t="e">
        <f>#REF!+"vlM!RM"</f>
        <v>#REF!</v>
      </c>
      <c r="BJ16" t="e">
        <f>#REF!+"vlM!RN"</f>
        <v>#REF!</v>
      </c>
      <c r="BK16" t="e">
        <f>#REF!+"vlM!RO"</f>
        <v>#REF!</v>
      </c>
      <c r="BL16" t="e">
        <f>#REF!+"vlM!RP"</f>
        <v>#REF!</v>
      </c>
      <c r="BM16" t="e">
        <f>#REF!+"vlM!RQ"</f>
        <v>#REF!</v>
      </c>
      <c r="BN16" t="e">
        <f>#REF!+"vlM!RR"</f>
        <v>#REF!</v>
      </c>
      <c r="BO16" t="e">
        <f>#REF!+"vlM!RS"</f>
        <v>#REF!</v>
      </c>
      <c r="BP16" t="e">
        <f>#REF!+"vlM!RT"</f>
        <v>#REF!</v>
      </c>
      <c r="BQ16" t="e">
        <f>#REF!+"vlM!RU"</f>
        <v>#REF!</v>
      </c>
      <c r="BR16" t="e">
        <f>#REF!+"vlM!RV"</f>
        <v>#REF!</v>
      </c>
      <c r="BS16" t="e">
        <f>#REF!+"vlM!RW"</f>
        <v>#REF!</v>
      </c>
      <c r="BT16" t="e">
        <f>#REF!+"vlM!RX"</f>
        <v>#REF!</v>
      </c>
      <c r="BU16" t="e">
        <f>#REF!+"vlM!RY"</f>
        <v>#REF!</v>
      </c>
      <c r="BV16" t="e">
        <f>#REF!+"vlM!RZ"</f>
        <v>#REF!</v>
      </c>
      <c r="BW16" s="1" t="e">
        <f>#REF!+"vlM!R["</f>
        <v>#REF!</v>
      </c>
      <c r="BX16" t="e">
        <f>#REF!+"vlM!R\"</f>
        <v>#REF!</v>
      </c>
      <c r="BY16" t="e">
        <f>#REF!+"vlM!R]"</f>
        <v>#REF!</v>
      </c>
      <c r="BZ16" t="e">
        <f>#REF!+"vlM!R^"</f>
        <v>#REF!</v>
      </c>
      <c r="CA16" t="e">
        <f>#REF!+"vlM!R_"</f>
        <v>#REF!</v>
      </c>
      <c r="CB16" t="e">
        <f>#REF!+"vlM!R`"</f>
        <v>#REF!</v>
      </c>
      <c r="CC16" t="e">
        <f>#REF!+"vlM!Ra"</f>
        <v>#REF!</v>
      </c>
      <c r="CD16" t="e">
        <f>#REF!+"vlM!Rb"</f>
        <v>#REF!</v>
      </c>
      <c r="CE16" t="e">
        <f>#REF!+"vlM!Rc"</f>
        <v>#REF!</v>
      </c>
      <c r="CF16" t="e">
        <f>#REF!+"vlM!Rd"</f>
        <v>#REF!</v>
      </c>
      <c r="CG16" t="e">
        <f>#REF!+"vlM!Re"</f>
        <v>#REF!</v>
      </c>
      <c r="CH16" t="e">
        <f>#REF!+"vlM!Rf"</f>
        <v>#REF!</v>
      </c>
      <c r="CI16" t="e">
        <f>#REF!+"vlM!Rg"</f>
        <v>#REF!</v>
      </c>
      <c r="CJ16" t="e">
        <f>#REF!+"vlM!Rh"</f>
        <v>#REF!</v>
      </c>
      <c r="CK16" t="e">
        <f>#REF!+"vlM!Ri"</f>
        <v>#REF!</v>
      </c>
      <c r="CL16" s="1" t="e">
        <f>#REF!+"vlM!Rj"</f>
        <v>#REF!</v>
      </c>
      <c r="CM16" t="e">
        <f>#REF!+"vlM!Rk"</f>
        <v>#REF!</v>
      </c>
      <c r="CN16" t="e">
        <f>#REF!+"vlM!Rl"</f>
        <v>#REF!</v>
      </c>
      <c r="CO16" t="e">
        <f>#REF!+"vlM!Rm"</f>
        <v>#REF!</v>
      </c>
      <c r="CP16" t="e">
        <f>#REF!+"vlM!Rn"</f>
        <v>#REF!</v>
      </c>
      <c r="CQ16" t="e">
        <f>#REF!+"vlM!Ro"</f>
        <v>#REF!</v>
      </c>
      <c r="CR16" t="e">
        <f>#REF!+"vlM!Rp"</f>
        <v>#REF!</v>
      </c>
      <c r="CS16" t="e">
        <f>#REF!+"vlM!Rq"</f>
        <v>#REF!</v>
      </c>
      <c r="CT16" t="e">
        <f>#REF!+"vlM!Rr"</f>
        <v>#REF!</v>
      </c>
      <c r="CU16" t="e">
        <f>#REF!+"vlM!Rs"</f>
        <v>#REF!</v>
      </c>
      <c r="CV16" t="e">
        <f>#REF!+"vlM!Rt"</f>
        <v>#REF!</v>
      </c>
      <c r="CW16" t="e">
        <f>#REF!+"vlM!Ru"</f>
        <v>#REF!</v>
      </c>
      <c r="CX16" t="e">
        <f>#REF!+"vlM!Rv"</f>
        <v>#REF!</v>
      </c>
      <c r="CY16" t="e">
        <f>#REF!+"vlM!Rw"</f>
        <v>#REF!</v>
      </c>
      <c r="CZ16" t="e">
        <f>#REF!+"vlM!Rx"</f>
        <v>#REF!</v>
      </c>
      <c r="DA16" s="1" t="e">
        <f>#REF!+"vlM!Ry"</f>
        <v>#REF!</v>
      </c>
      <c r="DB16" t="e">
        <f>#REF!+"vlM!Rz"</f>
        <v>#REF!</v>
      </c>
      <c r="DC16" t="e">
        <f>#REF!+"vlM!R{"</f>
        <v>#REF!</v>
      </c>
      <c r="DD16" t="e">
        <f>#REF!+"vlM!R|"</f>
        <v>#REF!</v>
      </c>
      <c r="DE16" t="e">
        <f>#REF!+"vlM!R}"</f>
        <v>#REF!</v>
      </c>
      <c r="DF16" t="e">
        <f>#REF!+"vlM!R~"</f>
        <v>#REF!</v>
      </c>
      <c r="DG16" t="e">
        <f>#REF!+"vlM!S#"</f>
        <v>#REF!</v>
      </c>
      <c r="DH16" t="e">
        <f>#REF!+"vlM!S$"</f>
        <v>#REF!</v>
      </c>
      <c r="DI16" t="e">
        <f>#REF!+"vlM!S%"</f>
        <v>#REF!</v>
      </c>
      <c r="DJ16" t="e">
        <f>#REF!+"vlM!S&amp;"</f>
        <v>#REF!</v>
      </c>
      <c r="DK16" t="e">
        <f>#REF!+"vlM!S'"</f>
        <v>#REF!</v>
      </c>
      <c r="DL16" t="e">
        <f>#REF!+"vlM!S("</f>
        <v>#REF!</v>
      </c>
      <c r="DM16" t="e">
        <f>#REF!+"vlM!S)"</f>
        <v>#REF!</v>
      </c>
      <c r="DN16" t="e">
        <f>#REF!+"vlM!S."</f>
        <v>#REF!</v>
      </c>
      <c r="DO16" t="e">
        <f>#REF!+"vlM!S/"</f>
        <v>#REF!</v>
      </c>
      <c r="DP16" s="1" t="e">
        <f>#REF!+"vlM!S0"</f>
        <v>#REF!</v>
      </c>
      <c r="DQ16" t="e">
        <f>#REF!+"vlM!S1"</f>
        <v>#REF!</v>
      </c>
      <c r="DR16" t="e">
        <f>#REF!+"vlM!S2"</f>
        <v>#REF!</v>
      </c>
      <c r="DS16" t="e">
        <f>#REF!+"vlM!S3"</f>
        <v>#REF!</v>
      </c>
      <c r="DT16" t="e">
        <f>#REF!+"vlM!S4"</f>
        <v>#REF!</v>
      </c>
      <c r="DU16" t="e">
        <f>#REF!+"vlM!S5"</f>
        <v>#REF!</v>
      </c>
      <c r="DV16" t="e">
        <f>#REF!+"vlM!S6"</f>
        <v>#REF!</v>
      </c>
      <c r="DW16" t="e">
        <f>#REF!+"vlM!S7"</f>
        <v>#REF!</v>
      </c>
      <c r="DX16" t="e">
        <f>#REF!+"vlM!S8"</f>
        <v>#REF!</v>
      </c>
      <c r="DY16" t="e">
        <f>#REF!+"vlM!S9"</f>
        <v>#REF!</v>
      </c>
      <c r="DZ16" t="e">
        <f>#REF!+"vlM!S:"</f>
        <v>#REF!</v>
      </c>
      <c r="EA16" t="e">
        <f>#REF!+"vlM!S;"</f>
        <v>#REF!</v>
      </c>
      <c r="EB16" t="e">
        <f>#REF!+"vlM!S&lt;"</f>
        <v>#REF!</v>
      </c>
      <c r="EC16" t="e">
        <f>#REF!+"vlM!S="</f>
        <v>#REF!</v>
      </c>
      <c r="ED16" t="e">
        <f>#REF!+"vlM!S&gt;"</f>
        <v>#REF!</v>
      </c>
      <c r="EE16" s="1" t="e">
        <f>#REF!+"vlM!S?"</f>
        <v>#REF!</v>
      </c>
      <c r="EF16" t="e">
        <f>#REF!+"vlM!S@"</f>
        <v>#REF!</v>
      </c>
      <c r="EG16" t="e">
        <f>#REF!+"vlM!SA"</f>
        <v>#REF!</v>
      </c>
      <c r="EH16" t="e">
        <f>#REF!+"vlM!SB"</f>
        <v>#REF!</v>
      </c>
      <c r="EI16" t="e">
        <f>#REF!+"vlM!SC"</f>
        <v>#REF!</v>
      </c>
      <c r="EJ16" t="e">
        <f>#REF!+"vlM!SD"</f>
        <v>#REF!</v>
      </c>
      <c r="EK16" t="e">
        <f>#REF!+"vlM!SE"</f>
        <v>#REF!</v>
      </c>
      <c r="EL16" t="e">
        <f>#REF!+"vlM!SF"</f>
        <v>#REF!</v>
      </c>
      <c r="EM16" t="e">
        <f>#REF!+"vlM!SG"</f>
        <v>#REF!</v>
      </c>
      <c r="EN16" t="e">
        <f>#REF!+"vlM!SH"</f>
        <v>#REF!</v>
      </c>
      <c r="EO16" t="e">
        <f>#REF!+"vlM!SI"</f>
        <v>#REF!</v>
      </c>
      <c r="EP16" t="e">
        <f>#REF!+"vlM!SJ"</f>
        <v>#REF!</v>
      </c>
      <c r="EQ16" t="e">
        <f>#REF!+"vlM!SK"</f>
        <v>#REF!</v>
      </c>
      <c r="ER16" t="e">
        <f>#REF!+"vlM!SL"</f>
        <v>#REF!</v>
      </c>
      <c r="ES16" t="e">
        <f>#REF!+"vlM!SM"</f>
        <v>#REF!</v>
      </c>
      <c r="ET16" s="1" t="e">
        <f>#REF!+"vlM!SN"</f>
        <v>#REF!</v>
      </c>
      <c r="EU16" t="e">
        <f>#REF!+"vlM!SO"</f>
        <v>#REF!</v>
      </c>
      <c r="EV16" t="e">
        <f>#REF!+"vlM!SP"</f>
        <v>#REF!</v>
      </c>
      <c r="EW16" t="e">
        <f>#REF!+"vlM!SQ"</f>
        <v>#REF!</v>
      </c>
      <c r="EX16" t="e">
        <f>#REF!+"vlM!SR"</f>
        <v>#REF!</v>
      </c>
      <c r="EY16" t="e">
        <f>#REF!+"vlM!SS"</f>
        <v>#REF!</v>
      </c>
      <c r="EZ16" t="e">
        <f>#REF!+"vlM!ST"</f>
        <v>#REF!</v>
      </c>
      <c r="FA16" t="e">
        <f>#REF!+"vlM!SU"</f>
        <v>#REF!</v>
      </c>
      <c r="FB16" t="e">
        <f>#REF!+"vlM!SV"</f>
        <v>#REF!</v>
      </c>
      <c r="FC16" t="e">
        <f>#REF!+"vlM!SW"</f>
        <v>#REF!</v>
      </c>
      <c r="FD16" t="e">
        <f>#REF!+"vlM!SX"</f>
        <v>#REF!</v>
      </c>
      <c r="FE16" t="e">
        <f>#REF!+"vlM!SY"</f>
        <v>#REF!</v>
      </c>
      <c r="FF16" t="e">
        <f>#REF!+"vlM!SZ"</f>
        <v>#REF!</v>
      </c>
      <c r="FG16" t="e">
        <f>#REF!+"vlM!S["</f>
        <v>#REF!</v>
      </c>
      <c r="FH16" t="e">
        <f>#REF!+"vlM!S\"</f>
        <v>#REF!</v>
      </c>
      <c r="FI16" s="1" t="e">
        <f>#REF!+"vlM!S]"</f>
        <v>#REF!</v>
      </c>
      <c r="FJ16" t="e">
        <f>#REF!+"vlM!S^"</f>
        <v>#REF!</v>
      </c>
      <c r="FK16" t="e">
        <f>#REF!+"vlM!S_"</f>
        <v>#REF!</v>
      </c>
      <c r="FL16" t="e">
        <f>#REF!+"vlM!S`"</f>
        <v>#REF!</v>
      </c>
      <c r="FM16" t="e">
        <f>#REF!+"vlM!Sa"</f>
        <v>#REF!</v>
      </c>
      <c r="FN16" t="e">
        <f>#REF!+"vlM!Sb"</f>
        <v>#REF!</v>
      </c>
      <c r="FO16" t="e">
        <f>#REF!+"vlM!Sc"</f>
        <v>#REF!</v>
      </c>
      <c r="FP16" t="e">
        <f>#REF!+"vlM!Sd"</f>
        <v>#REF!</v>
      </c>
      <c r="FQ16" t="e">
        <f>#REF!+"vlM!Se"</f>
        <v>#REF!</v>
      </c>
      <c r="FR16" t="e">
        <f>#REF!+"vlM!Sf"</f>
        <v>#REF!</v>
      </c>
      <c r="FS16" t="e">
        <f>#REF!+"vlM!Sg"</f>
        <v>#REF!</v>
      </c>
      <c r="FT16" t="e">
        <f>#REF!+"vlM!Sh"</f>
        <v>#REF!</v>
      </c>
      <c r="FU16" t="e">
        <f>#REF!+"vlM!Si"</f>
        <v>#REF!</v>
      </c>
      <c r="FV16" t="e">
        <f>#REF!+"vlM!Sj"</f>
        <v>#REF!</v>
      </c>
      <c r="FW16" t="e">
        <f>#REF!+"vlM!Sk"</f>
        <v>#REF!</v>
      </c>
      <c r="FX16" s="1" t="e">
        <f>#REF!+"vlM!Sl"</f>
        <v>#REF!</v>
      </c>
      <c r="FY16" t="e">
        <f>#REF!+"vlM!Sm"</f>
        <v>#REF!</v>
      </c>
      <c r="FZ16" t="e">
        <f>#REF!+"vlM!Sn"</f>
        <v>#REF!</v>
      </c>
      <c r="GA16" t="e">
        <f>#REF!+"vlM!So"</f>
        <v>#REF!</v>
      </c>
      <c r="GB16" t="e">
        <f>#REF!+"vlM!Sp"</f>
        <v>#REF!</v>
      </c>
      <c r="GC16" t="e">
        <f>#REF!+"vlM!Sq"</f>
        <v>#REF!</v>
      </c>
      <c r="GD16" t="e">
        <f>#REF!+"vlM!Sr"</f>
        <v>#REF!</v>
      </c>
      <c r="GE16" t="e">
        <f>#REF!+"vlM!Ss"</f>
        <v>#REF!</v>
      </c>
      <c r="GF16" t="e">
        <f>#REF!+"vlM!St"</f>
        <v>#REF!</v>
      </c>
      <c r="GG16" t="e">
        <f>#REF!+"vlM!Su"</f>
        <v>#REF!</v>
      </c>
      <c r="GH16" t="e">
        <f>#REF!+"vlM!Sv"</f>
        <v>#REF!</v>
      </c>
      <c r="GI16" t="e">
        <f>#REF!+"vlM!Sw"</f>
        <v>#REF!</v>
      </c>
      <c r="GJ16" t="e">
        <f>#REF!+"vlM!Sx"</f>
        <v>#REF!</v>
      </c>
      <c r="GK16" t="e">
        <f>#REF!+"vlM!Sy"</f>
        <v>#REF!</v>
      </c>
      <c r="GL16" t="e">
        <f>#REF!+"vlM!Sz"</f>
        <v>#REF!</v>
      </c>
      <c r="GM16" s="1" t="e">
        <f>#REF!+"vlM!S{"</f>
        <v>#REF!</v>
      </c>
      <c r="GN16" t="e">
        <f>#REF!+"vlM!S|"</f>
        <v>#REF!</v>
      </c>
      <c r="GO16" t="e">
        <f>#REF!+"vlM!S}"</f>
        <v>#REF!</v>
      </c>
      <c r="GP16" t="e">
        <f>#REF!+"vlM!S~"</f>
        <v>#REF!</v>
      </c>
      <c r="GQ16" t="e">
        <f>#REF!+"vlM!T#"</f>
        <v>#REF!</v>
      </c>
      <c r="GR16" t="e">
        <f>#REF!+"vlM!T$"</f>
        <v>#REF!</v>
      </c>
      <c r="GS16" t="e">
        <f>#REF!+"vlM!T%"</f>
        <v>#REF!</v>
      </c>
      <c r="GT16" t="e">
        <f>#REF!+"vlM!T&amp;"</f>
        <v>#REF!</v>
      </c>
      <c r="GU16" t="e">
        <f>#REF!+"vlM!T'"</f>
        <v>#REF!</v>
      </c>
      <c r="GV16" t="e">
        <f>#REF!+"vlM!T("</f>
        <v>#REF!</v>
      </c>
      <c r="GW16" t="e">
        <f>#REF!+"vlM!T)"</f>
        <v>#REF!</v>
      </c>
      <c r="GX16" t="e">
        <f>#REF!+"vlM!T."</f>
        <v>#REF!</v>
      </c>
      <c r="GY16" t="e">
        <f>#REF!+"vlM!T/"</f>
        <v>#REF!</v>
      </c>
      <c r="GZ16" t="e">
        <f>#REF!+"vlM!T0"</f>
        <v>#REF!</v>
      </c>
      <c r="HA16" t="e">
        <f>#REF!+"vlM!T1"</f>
        <v>#REF!</v>
      </c>
      <c r="HB16" s="1" t="e">
        <f>#REF!+"vlM!T2"</f>
        <v>#REF!</v>
      </c>
      <c r="HC16" t="e">
        <f>#REF!+"vlM!T3"</f>
        <v>#REF!</v>
      </c>
      <c r="HD16" t="e">
        <f>#REF!+"vlM!T4"</f>
        <v>#REF!</v>
      </c>
      <c r="HE16" t="e">
        <f>#REF!+"vlM!T5"</f>
        <v>#REF!</v>
      </c>
      <c r="HF16" t="e">
        <f>#REF!+"vlM!T6"</f>
        <v>#REF!</v>
      </c>
      <c r="HG16" t="e">
        <f>#REF!+"vlM!T7"</f>
        <v>#REF!</v>
      </c>
      <c r="HH16" t="e">
        <f>#REF!+"vlM!T8"</f>
        <v>#REF!</v>
      </c>
      <c r="HI16" t="e">
        <f>#REF!+"vlM!T9"</f>
        <v>#REF!</v>
      </c>
      <c r="HJ16" t="e">
        <f>#REF!+"vlM!T:"</f>
        <v>#REF!</v>
      </c>
      <c r="HK16" t="e">
        <f>#REF!+"vlM!T;"</f>
        <v>#REF!</v>
      </c>
      <c r="HL16" t="e">
        <f>#REF!+"vlM!T&lt;"</f>
        <v>#REF!</v>
      </c>
      <c r="HM16" t="e">
        <f>#REF!+"vlM!T="</f>
        <v>#REF!</v>
      </c>
      <c r="HN16" t="e">
        <f>#REF!+"vlM!T&gt;"</f>
        <v>#REF!</v>
      </c>
      <c r="HO16" t="e">
        <f>#REF!+"vlM!T?"</f>
        <v>#REF!</v>
      </c>
      <c r="HP16" t="e">
        <f>#REF!+"vlM!T@"</f>
        <v>#REF!</v>
      </c>
      <c r="HQ16" s="1" t="e">
        <f>#REF!+"vlM!TA"</f>
        <v>#REF!</v>
      </c>
      <c r="HR16" t="e">
        <f>#REF!+"vlM!TB"</f>
        <v>#REF!</v>
      </c>
      <c r="HS16" t="e">
        <f>#REF!+"vlM!TC"</f>
        <v>#REF!</v>
      </c>
      <c r="HT16" t="e">
        <f>#REF!+"vlM!TD"</f>
        <v>#REF!</v>
      </c>
      <c r="HU16" t="e">
        <f>#REF!+"vlM!TE"</f>
        <v>#REF!</v>
      </c>
      <c r="HV16" t="e">
        <f>#REF!+"vlM!TF"</f>
        <v>#REF!</v>
      </c>
      <c r="HW16" t="e">
        <f>#REF!+"vlM!TG"</f>
        <v>#REF!</v>
      </c>
      <c r="HX16" t="e">
        <f>#REF!+"vlM!TH"</f>
        <v>#REF!</v>
      </c>
      <c r="HY16" t="e">
        <f>#REF!+"vlM!TI"</f>
        <v>#REF!</v>
      </c>
      <c r="HZ16" t="e">
        <f>#REF!+"vlM!TJ"</f>
        <v>#REF!</v>
      </c>
      <c r="IA16" t="e">
        <f>#REF!+"vlM!TK"</f>
        <v>#REF!</v>
      </c>
      <c r="IB16" t="e">
        <f>#REF!+"vlM!TL"</f>
        <v>#REF!</v>
      </c>
      <c r="IC16" t="e">
        <f>#REF!+"vlM!TM"</f>
        <v>#REF!</v>
      </c>
      <c r="ID16" t="e">
        <f>#REF!+"vlM!TN"</f>
        <v>#REF!</v>
      </c>
      <c r="IE16" t="e">
        <f>#REF!+"vlM!TO"</f>
        <v>#REF!</v>
      </c>
      <c r="IF16" s="1" t="e">
        <f>#REF!+"vlM!TP"</f>
        <v>#REF!</v>
      </c>
      <c r="IG16" t="e">
        <f>#REF!+"vlM!TQ"</f>
        <v>#REF!</v>
      </c>
      <c r="IH16" t="e">
        <f>#REF!+"vlM!TR"</f>
        <v>#REF!</v>
      </c>
      <c r="II16" t="e">
        <f>#REF!+"vlM!TS"</f>
        <v>#REF!</v>
      </c>
      <c r="IJ16" t="e">
        <f>#REF!+"vlM!TT"</f>
        <v>#REF!</v>
      </c>
      <c r="IK16" t="e">
        <f>#REF!+"vlM!TU"</f>
        <v>#REF!</v>
      </c>
      <c r="IL16" t="e">
        <f>#REF!+"vlM!TV"</f>
        <v>#REF!</v>
      </c>
      <c r="IM16" t="e">
        <f>#REF!+"vlM!TW"</f>
        <v>#REF!</v>
      </c>
      <c r="IN16" t="e">
        <f>#REF!+"vlM!TX"</f>
        <v>#REF!</v>
      </c>
      <c r="IO16" t="e">
        <f>#REF!+"vlM!TY"</f>
        <v>#REF!</v>
      </c>
      <c r="IP16" t="e">
        <f>#REF!+"vlM!TZ"</f>
        <v>#REF!</v>
      </c>
      <c r="IQ16" t="e">
        <f>#REF!+"vlM!T["</f>
        <v>#REF!</v>
      </c>
      <c r="IR16" t="e">
        <f>#REF!+"vlM!T\"</f>
        <v>#REF!</v>
      </c>
      <c r="IS16" t="e">
        <f>#REF!+"vlM!T]"</f>
        <v>#REF!</v>
      </c>
      <c r="IT16" t="e">
        <f>#REF!+"vlM!T^"</f>
        <v>#REF!</v>
      </c>
      <c r="IU16" s="1" t="e">
        <f>#REF!+"vlM!T_"</f>
        <v>#REF!</v>
      </c>
      <c r="IV16" t="e">
        <f>#REF!+"vlM!T`"</f>
        <v>#REF!</v>
      </c>
    </row>
    <row r="17" spans="6:256" x14ac:dyDescent="0.25">
      <c r="F17" t="e">
        <f>#REF!+"vlM!Ta"</f>
        <v>#REF!</v>
      </c>
      <c r="G17" t="e">
        <f>#REF!+"vlM!Tb"</f>
        <v>#REF!</v>
      </c>
      <c r="H17" t="e">
        <f>#REF!+"vlM!Tc"</f>
        <v>#REF!</v>
      </c>
      <c r="I17" t="e">
        <f>#REF!+"vlM!Td"</f>
        <v>#REF!</v>
      </c>
      <c r="J17" t="e">
        <f>#REF!+"vlM!Te"</f>
        <v>#REF!</v>
      </c>
      <c r="K17" t="e">
        <f>#REF!+"vlM!Tf"</f>
        <v>#REF!</v>
      </c>
      <c r="L17" t="e">
        <f>#REF!+"vlM!Tg"</f>
        <v>#REF!</v>
      </c>
      <c r="M17" t="e">
        <f>#REF!+"vlM!Th"</f>
        <v>#REF!</v>
      </c>
      <c r="N17" t="e">
        <f>#REF!+"vlM!Ti"</f>
        <v>#REF!</v>
      </c>
      <c r="O17" t="e">
        <f>#REF!+"vlM!Tj"</f>
        <v>#REF!</v>
      </c>
      <c r="P17" t="e">
        <f>#REF!+"vlM!Tk"</f>
        <v>#REF!</v>
      </c>
      <c r="Q17" t="e">
        <f>#REF!+"vlM!Tl"</f>
        <v>#REF!</v>
      </c>
      <c r="R17" t="e">
        <f>#REF!+"vlM!Tm"</f>
        <v>#REF!</v>
      </c>
      <c r="S17" s="1" t="e">
        <f>#REF!+"vlM!Tn"</f>
        <v>#REF!</v>
      </c>
      <c r="T17" t="e">
        <f>#REF!+"vlM!To"</f>
        <v>#REF!</v>
      </c>
      <c r="U17" t="e">
        <f>#REF!+"vlM!Tp"</f>
        <v>#REF!</v>
      </c>
      <c r="V17" t="e">
        <f>#REF!+"vlM!Tq"</f>
        <v>#REF!</v>
      </c>
      <c r="W17" t="e">
        <f>#REF!+"vlM!Tr"</f>
        <v>#REF!</v>
      </c>
      <c r="X17" t="e">
        <f>#REF!+"vlM!Ts"</f>
        <v>#REF!</v>
      </c>
      <c r="Y17" t="e">
        <f>#REF!+"vlM!Tt"</f>
        <v>#REF!</v>
      </c>
      <c r="Z17" t="e">
        <f>#REF!+"vlM!Tu"</f>
        <v>#REF!</v>
      </c>
      <c r="AA17" t="e">
        <f>#REF!+"vlM!Tv"</f>
        <v>#REF!</v>
      </c>
      <c r="AB17" t="e">
        <f>#REF!+"vlM!Tw"</f>
        <v>#REF!</v>
      </c>
      <c r="AC17" t="e">
        <f>#REF!+"vlM!Tx"</f>
        <v>#REF!</v>
      </c>
      <c r="AD17" t="e">
        <f>#REF!+"vlM!Ty"</f>
        <v>#REF!</v>
      </c>
      <c r="AE17" t="e">
        <f>#REF!+"vlM!Tz"</f>
        <v>#REF!</v>
      </c>
      <c r="AF17" t="e">
        <f>#REF!+"vlM!T{"</f>
        <v>#REF!</v>
      </c>
      <c r="AG17" t="e">
        <f>#REF!+"vlM!T|"</f>
        <v>#REF!</v>
      </c>
      <c r="AH17" s="1" t="e">
        <f>#REF!+"vlM!T}"</f>
        <v>#REF!</v>
      </c>
      <c r="AI17" t="e">
        <f>#REF!+"vlM!T~"</f>
        <v>#REF!</v>
      </c>
      <c r="AJ17" t="e">
        <f>#REF!+"vlM!U#"</f>
        <v>#REF!</v>
      </c>
      <c r="AK17" t="e">
        <f>#REF!+"vlM!U$"</f>
        <v>#REF!</v>
      </c>
      <c r="AL17" t="e">
        <f>#REF!+"vlM!U%"</f>
        <v>#REF!</v>
      </c>
      <c r="AM17" t="e">
        <f>#REF!+"vlM!U&amp;"</f>
        <v>#REF!</v>
      </c>
      <c r="AN17" t="e">
        <f>#REF!+"vlM!U'"</f>
        <v>#REF!</v>
      </c>
      <c r="AO17" t="e">
        <f>#REF!+"vlM!U("</f>
        <v>#REF!</v>
      </c>
      <c r="AP17" t="e">
        <f>#REF!+"vlM!U)"</f>
        <v>#REF!</v>
      </c>
      <c r="AQ17" t="e">
        <f>#REF!+"vlM!U."</f>
        <v>#REF!</v>
      </c>
      <c r="AR17" t="e">
        <f>#REF!+"vlM!U/"</f>
        <v>#REF!</v>
      </c>
      <c r="AS17" t="e">
        <f>#REF!+"vlM!U0"</f>
        <v>#REF!</v>
      </c>
      <c r="AT17" t="e">
        <f>#REF!+"vlM!U1"</f>
        <v>#REF!</v>
      </c>
      <c r="AU17" t="e">
        <f>#REF!+"vlM!U2"</f>
        <v>#REF!</v>
      </c>
      <c r="AV17" t="e">
        <f>#REF!+"vlM!U3"</f>
        <v>#REF!</v>
      </c>
      <c r="AW17" s="1" t="e">
        <f>#REF!+"vlM!U4"</f>
        <v>#REF!</v>
      </c>
      <c r="AX17" t="e">
        <f>#REF!+"vlM!U5"</f>
        <v>#REF!</v>
      </c>
      <c r="AY17" t="e">
        <f>#REF!+"vlM!U6"</f>
        <v>#REF!</v>
      </c>
      <c r="AZ17" t="e">
        <f>#REF!+"vlM!U7"</f>
        <v>#REF!</v>
      </c>
      <c r="BA17" t="e">
        <f>#REF!+"vlM!U8"</f>
        <v>#REF!</v>
      </c>
      <c r="BB17" t="e">
        <f>#REF!+"vlM!U9"</f>
        <v>#REF!</v>
      </c>
      <c r="BC17" t="e">
        <f>#REF!+"vlM!U:"</f>
        <v>#REF!</v>
      </c>
      <c r="BD17" t="e">
        <f>#REF!+"vlM!U;"</f>
        <v>#REF!</v>
      </c>
      <c r="BE17" t="e">
        <f>#REF!+"vlM!U&lt;"</f>
        <v>#REF!</v>
      </c>
      <c r="BF17" t="e">
        <f>#REF!+"vlM!U="</f>
        <v>#REF!</v>
      </c>
      <c r="BG17" t="e">
        <f>#REF!+"vlM!U&gt;"</f>
        <v>#REF!</v>
      </c>
      <c r="BH17" t="e">
        <f>#REF!+"vlM!U?"</f>
        <v>#REF!</v>
      </c>
      <c r="BI17" t="e">
        <f>#REF!+"vlM!U@"</f>
        <v>#REF!</v>
      </c>
      <c r="BJ17" t="e">
        <f>#REF!+"vlM!UA"</f>
        <v>#REF!</v>
      </c>
      <c r="BK17" t="e">
        <f>#REF!+"vlM!UB"</f>
        <v>#REF!</v>
      </c>
      <c r="BL17" s="1" t="e">
        <f>#REF!+"vlM!UC"</f>
        <v>#REF!</v>
      </c>
      <c r="BM17" t="e">
        <f>#REF!+"vlM!UD"</f>
        <v>#REF!</v>
      </c>
      <c r="BN17" t="e">
        <f>#REF!+"vlM!UE"</f>
        <v>#REF!</v>
      </c>
      <c r="BO17" t="e">
        <f>#REF!+"vlM!UF"</f>
        <v>#REF!</v>
      </c>
      <c r="BP17" t="e">
        <f>#REF!+"vlM!UG"</f>
        <v>#REF!</v>
      </c>
      <c r="BQ17" t="e">
        <f>#REF!+"vlM!UH"</f>
        <v>#REF!</v>
      </c>
      <c r="BR17" t="e">
        <f>#REF!+"vlM!UI"</f>
        <v>#REF!</v>
      </c>
      <c r="BS17" t="e">
        <f>#REF!+"vlM!UJ"</f>
        <v>#REF!</v>
      </c>
      <c r="BT17" t="e">
        <f>#REF!+"vlM!UK"</f>
        <v>#REF!</v>
      </c>
      <c r="BU17" t="e">
        <f>#REF!+"vlM!UL"</f>
        <v>#REF!</v>
      </c>
      <c r="BV17" t="e">
        <f>#REF!+"vlM!UM"</f>
        <v>#REF!</v>
      </c>
      <c r="BW17" t="e">
        <f>#REF!+"vlM!UN"</f>
        <v>#REF!</v>
      </c>
      <c r="BX17" t="e">
        <f>#REF!+"vlM!UO"</f>
        <v>#REF!</v>
      </c>
      <c r="BY17" t="e">
        <f>#REF!+"vlM!UP"</f>
        <v>#REF!</v>
      </c>
      <c r="BZ17" t="e">
        <f>#REF!+"vlM!UQ"</f>
        <v>#REF!</v>
      </c>
      <c r="CA17" s="1" t="e">
        <f>#REF!+"vlM!UR"</f>
        <v>#REF!</v>
      </c>
      <c r="CB17" t="e">
        <f>#REF!+"vlM!US"</f>
        <v>#REF!</v>
      </c>
      <c r="CC17" t="e">
        <f>#REF!+"vlM!UT"</f>
        <v>#REF!</v>
      </c>
      <c r="CD17" t="e">
        <f>#REF!+"vlM!UU"</f>
        <v>#REF!</v>
      </c>
      <c r="CE17" t="e">
        <f>#REF!+"vlM!UV"</f>
        <v>#REF!</v>
      </c>
      <c r="CF17" t="e">
        <f>#REF!+"vlM!UW"</f>
        <v>#REF!</v>
      </c>
      <c r="CG17" t="e">
        <f>#REF!+"vlM!UX"</f>
        <v>#REF!</v>
      </c>
      <c r="CH17" t="e">
        <f>#REF!+"vlM!UY"</f>
        <v>#REF!</v>
      </c>
      <c r="CI17" t="e">
        <f>#REF!+"vlM!UZ"</f>
        <v>#REF!</v>
      </c>
      <c r="CJ17" t="e">
        <f>#REF!+"vlM!U["</f>
        <v>#REF!</v>
      </c>
      <c r="CK17" t="e">
        <f>#REF!+"vlM!U\"</f>
        <v>#REF!</v>
      </c>
      <c r="CL17" t="e">
        <f>#REF!+"vlM!U]"</f>
        <v>#REF!</v>
      </c>
      <c r="CM17" t="e">
        <f>#REF!+"vlM!U^"</f>
        <v>#REF!</v>
      </c>
      <c r="CN17" t="e">
        <f>#REF!+"vlM!U_"</f>
        <v>#REF!</v>
      </c>
      <c r="CO17" t="e">
        <f>#REF!+"vlM!U`"</f>
        <v>#REF!</v>
      </c>
      <c r="CP17" s="1" t="e">
        <f>#REF!+"vlM!Ua"</f>
        <v>#REF!</v>
      </c>
      <c r="CQ17" t="e">
        <f>#REF!+"vlM!Ub"</f>
        <v>#REF!</v>
      </c>
      <c r="CR17" t="e">
        <f>#REF!+"vlM!Uc"</f>
        <v>#REF!</v>
      </c>
      <c r="CS17" t="e">
        <f>#REF!+"vlM!Ud"</f>
        <v>#REF!</v>
      </c>
      <c r="CT17" t="e">
        <f>#REF!+"vlM!Ue"</f>
        <v>#REF!</v>
      </c>
      <c r="CU17" t="e">
        <f>#REF!+"vlM!Uf"</f>
        <v>#REF!</v>
      </c>
      <c r="CV17" t="e">
        <f>#REF!+"vlM!Ug"</f>
        <v>#REF!</v>
      </c>
      <c r="CW17" t="e">
        <f>#REF!+"vlM!Uh"</f>
        <v>#REF!</v>
      </c>
      <c r="CX17" t="e">
        <f>#REF!+"vlM!Ui"</f>
        <v>#REF!</v>
      </c>
      <c r="CY17" t="e">
        <f>#REF!+"vlM!Uj"</f>
        <v>#REF!</v>
      </c>
      <c r="CZ17" t="e">
        <f>#REF!+"vlM!Uk"</f>
        <v>#REF!</v>
      </c>
      <c r="DA17" t="e">
        <f>#REF!+"vlM!Ul"</f>
        <v>#REF!</v>
      </c>
      <c r="DB17" t="e">
        <f>#REF!+"vlM!Um"</f>
        <v>#REF!</v>
      </c>
      <c r="DC17" t="e">
        <f>#REF!+"vlM!Un"</f>
        <v>#REF!</v>
      </c>
      <c r="DD17" t="e">
        <f>#REF!+"vlM!Uo"</f>
        <v>#REF!</v>
      </c>
      <c r="DE17" s="1" t="e">
        <f>#REF!+"vlM!Up"</f>
        <v>#REF!</v>
      </c>
      <c r="DF17" t="e">
        <f>#REF!+"vlM!Uq"</f>
        <v>#REF!</v>
      </c>
      <c r="DG17" t="e">
        <f>#REF!+"vlM!Ur"</f>
        <v>#REF!</v>
      </c>
      <c r="DH17" t="e">
        <f>#REF!+"vlM!Us"</f>
        <v>#REF!</v>
      </c>
      <c r="DI17" t="e">
        <f>#REF!+"vlM!Ut"</f>
        <v>#REF!</v>
      </c>
      <c r="DJ17" t="e">
        <f>#REF!+"vlM!Uu"</f>
        <v>#REF!</v>
      </c>
      <c r="DK17" t="e">
        <f>#REF!+"vlM!Uv"</f>
        <v>#REF!</v>
      </c>
      <c r="DL17" t="e">
        <f>#REF!+"vlM!Uw"</f>
        <v>#REF!</v>
      </c>
      <c r="DM17" t="e">
        <f>#REF!+"vlM!Ux"</f>
        <v>#REF!</v>
      </c>
      <c r="DN17" t="e">
        <f>#REF!+"vlM!Uy"</f>
        <v>#REF!</v>
      </c>
      <c r="DO17" t="e">
        <f>#REF!+"vlM!Uz"</f>
        <v>#REF!</v>
      </c>
      <c r="DP17" t="e">
        <f>#REF!+"vlM!U{"</f>
        <v>#REF!</v>
      </c>
      <c r="DQ17" t="e">
        <f>#REF!+"vlM!U|"</f>
        <v>#REF!</v>
      </c>
      <c r="DR17" t="e">
        <f>#REF!+"vlM!U}"</f>
        <v>#REF!</v>
      </c>
      <c r="DS17" t="e">
        <f>#REF!+"vlM!U~"</f>
        <v>#REF!</v>
      </c>
      <c r="DT17" s="1" t="e">
        <f>#REF!+"vlM!V#"</f>
        <v>#REF!</v>
      </c>
      <c r="DU17" t="e">
        <f>#REF!+"vlM!V$"</f>
        <v>#REF!</v>
      </c>
      <c r="DV17" t="e">
        <f>#REF!+"vlM!V%"</f>
        <v>#REF!</v>
      </c>
      <c r="DW17" t="e">
        <f>#REF!+"vlM!V&amp;"</f>
        <v>#REF!</v>
      </c>
      <c r="DX17" t="e">
        <f>#REF!+"vlM!V'"</f>
        <v>#REF!</v>
      </c>
      <c r="DY17" t="e">
        <f>#REF!+"vlM!V("</f>
        <v>#REF!</v>
      </c>
      <c r="DZ17" t="e">
        <f>#REF!+"vlM!V)"</f>
        <v>#REF!</v>
      </c>
      <c r="EA17" t="e">
        <f>#REF!+"vlM!V."</f>
        <v>#REF!</v>
      </c>
      <c r="EB17" t="e">
        <f>#REF!+"vlM!V/"</f>
        <v>#REF!</v>
      </c>
      <c r="EC17" t="e">
        <f>#REF!+"vlM!V0"</f>
        <v>#REF!</v>
      </c>
      <c r="ED17" t="e">
        <f>#REF!+"vlM!V1"</f>
        <v>#REF!</v>
      </c>
      <c r="EE17" t="e">
        <f>#REF!+"vlM!V2"</f>
        <v>#REF!</v>
      </c>
      <c r="EF17" t="e">
        <f>#REF!+"vlM!V3"</f>
        <v>#REF!</v>
      </c>
      <c r="EG17" t="e">
        <f>#REF!+"vlM!V4"</f>
        <v>#REF!</v>
      </c>
      <c r="EH17" t="e">
        <f>#REF!+"vlM!V5"</f>
        <v>#REF!</v>
      </c>
      <c r="EI17" s="1" t="e">
        <f>#REF!+"vlM!V6"</f>
        <v>#REF!</v>
      </c>
      <c r="EJ17" t="e">
        <f>#REF!+"vlM!V7"</f>
        <v>#REF!</v>
      </c>
      <c r="EK17" t="e">
        <f>#REF!+"vlM!V8"</f>
        <v>#REF!</v>
      </c>
      <c r="EL17" t="e">
        <f>#REF!+"vlM!V9"</f>
        <v>#REF!</v>
      </c>
      <c r="EM17" t="e">
        <f>#REF!+"vlM!V:"</f>
        <v>#REF!</v>
      </c>
      <c r="EN17" t="e">
        <f>#REF!+"vlM!V;"</f>
        <v>#REF!</v>
      </c>
      <c r="EO17" t="e">
        <f>#REF!+"vlM!V&lt;"</f>
        <v>#REF!</v>
      </c>
      <c r="EP17" t="e">
        <f>#REF!+"vlM!V="</f>
        <v>#REF!</v>
      </c>
      <c r="EQ17" t="e">
        <f>#REF!+"vlM!V&gt;"</f>
        <v>#REF!</v>
      </c>
      <c r="ER17" t="e">
        <f>#REF!+"vlM!V?"</f>
        <v>#REF!</v>
      </c>
      <c r="ES17" t="e">
        <f>#REF!+"vlM!V@"</f>
        <v>#REF!</v>
      </c>
      <c r="ET17" t="e">
        <f>#REF!+"vlM!VA"</f>
        <v>#REF!</v>
      </c>
      <c r="EU17" t="e">
        <f>#REF!+"vlM!VB"</f>
        <v>#REF!</v>
      </c>
      <c r="EV17" t="e">
        <f>#REF!+"vlM!VC"</f>
        <v>#REF!</v>
      </c>
      <c r="EW17" t="e">
        <f>#REF!+"vlM!VD"</f>
        <v>#REF!</v>
      </c>
      <c r="EX17" s="1" t="e">
        <f>#REF!+"vlM!VE"</f>
        <v>#REF!</v>
      </c>
      <c r="EY17" t="e">
        <f>#REF!+"vlM!VF"</f>
        <v>#REF!</v>
      </c>
      <c r="EZ17" t="e">
        <f>#REF!+"vlM!VG"</f>
        <v>#REF!</v>
      </c>
      <c r="FA17" t="e">
        <f>#REF!+"vlM!VH"</f>
        <v>#REF!</v>
      </c>
      <c r="FB17" t="e">
        <f>#REF!+"vlM!VI"</f>
        <v>#REF!</v>
      </c>
      <c r="FC17" t="e">
        <f>#REF!+"vlM!VJ"</f>
        <v>#REF!</v>
      </c>
      <c r="FD17" t="e">
        <f>#REF!+"vlM!VK"</f>
        <v>#REF!</v>
      </c>
      <c r="FE17" t="e">
        <f>#REF!+"vlM!VL"</f>
        <v>#REF!</v>
      </c>
      <c r="FF17" t="e">
        <f>#REF!+"vlM!VM"</f>
        <v>#REF!</v>
      </c>
      <c r="FG17" t="e">
        <f>#REF!+"vlM!VN"</f>
        <v>#REF!</v>
      </c>
      <c r="FH17" t="e">
        <f>#REF!+"vlM!VO"</f>
        <v>#REF!</v>
      </c>
      <c r="FI17" t="e">
        <f>#REF!+"vlM!VP"</f>
        <v>#REF!</v>
      </c>
      <c r="FJ17" t="e">
        <f>#REF!+"vlM!VQ"</f>
        <v>#REF!</v>
      </c>
      <c r="FK17" t="e">
        <f>#REF!+"vlM!VR"</f>
        <v>#REF!</v>
      </c>
      <c r="FL17" t="e">
        <f>#REF!+"vlM!VS"</f>
        <v>#REF!</v>
      </c>
      <c r="FM17" s="1" t="e">
        <f>#REF!+"vlM!VT"</f>
        <v>#REF!</v>
      </c>
      <c r="FN17" t="e">
        <f>#REF!+"vlM!VU"</f>
        <v>#REF!</v>
      </c>
      <c r="FO17" t="e">
        <f>#REF!+"vlM!VV"</f>
        <v>#REF!</v>
      </c>
      <c r="FP17" t="e">
        <f>#REF!+"vlM!VW"</f>
        <v>#REF!</v>
      </c>
      <c r="FQ17" t="e">
        <f>#REF!+"vlM!VX"</f>
        <v>#REF!</v>
      </c>
      <c r="FR17" t="e">
        <f>#REF!+"vlM!VY"</f>
        <v>#REF!</v>
      </c>
      <c r="FS17" t="e">
        <f>#REF!+"vlM!VZ"</f>
        <v>#REF!</v>
      </c>
      <c r="FT17" t="e">
        <f>#REF!+"vlM!V["</f>
        <v>#REF!</v>
      </c>
      <c r="FU17" t="e">
        <f>#REF!+"vlM!V\"</f>
        <v>#REF!</v>
      </c>
      <c r="FV17" t="e">
        <f>#REF!+"vlM!V]"</f>
        <v>#REF!</v>
      </c>
      <c r="FW17" t="e">
        <f>#REF!+"vlM!V^"</f>
        <v>#REF!</v>
      </c>
      <c r="FX17" t="e">
        <f>#REF!+"vlM!V_"</f>
        <v>#REF!</v>
      </c>
      <c r="FY17" t="e">
        <f>#REF!+"vlM!V`"</f>
        <v>#REF!</v>
      </c>
      <c r="FZ17" t="e">
        <f>#REF!+"vlM!Va"</f>
        <v>#REF!</v>
      </c>
      <c r="GA17" t="e">
        <f>#REF!+"vlM!Vb"</f>
        <v>#REF!</v>
      </c>
      <c r="GB17" s="1" t="e">
        <f>#REF!+"vlM!Vc"</f>
        <v>#REF!</v>
      </c>
      <c r="GC17" t="e">
        <f>#REF!+"vlM!Vd"</f>
        <v>#REF!</v>
      </c>
      <c r="GD17" t="e">
        <f>#REF!+"vlM!Ve"</f>
        <v>#REF!</v>
      </c>
      <c r="GE17" t="e">
        <f>#REF!+"vlM!Vf"</f>
        <v>#REF!</v>
      </c>
      <c r="GF17" t="e">
        <f>#REF!+"vlM!Vg"</f>
        <v>#REF!</v>
      </c>
      <c r="GG17" t="e">
        <f>#REF!+"vlM!Vh"</f>
        <v>#REF!</v>
      </c>
      <c r="GH17" t="e">
        <f>#REF!+"vlM!Vi"</f>
        <v>#REF!</v>
      </c>
      <c r="GI17" t="e">
        <f>#REF!+"vlM!Vj"</f>
        <v>#REF!</v>
      </c>
      <c r="GJ17" t="e">
        <f>#REF!+"vlM!Vk"</f>
        <v>#REF!</v>
      </c>
      <c r="GK17" t="e">
        <f>#REF!+"vlM!Vl"</f>
        <v>#REF!</v>
      </c>
      <c r="GL17" t="e">
        <f>#REF!+"vlM!Vm"</f>
        <v>#REF!</v>
      </c>
      <c r="GM17" t="e">
        <f>#REF!+"vlM!Vn"</f>
        <v>#REF!</v>
      </c>
      <c r="GN17" t="e">
        <f>#REF!+"vlM!Vo"</f>
        <v>#REF!</v>
      </c>
      <c r="GO17" t="e">
        <f>#REF!+"vlM!Vp"</f>
        <v>#REF!</v>
      </c>
      <c r="GP17" t="e">
        <f>#REF!+"vlM!Vq"</f>
        <v>#REF!</v>
      </c>
      <c r="GQ17" s="1" t="e">
        <f>#REF!+"vlM!Vr"</f>
        <v>#REF!</v>
      </c>
      <c r="GR17" t="e">
        <f>#REF!+"vlM!Vs"</f>
        <v>#REF!</v>
      </c>
      <c r="GS17" t="e">
        <f>#REF!+"vlM!Vt"</f>
        <v>#REF!</v>
      </c>
      <c r="GT17" t="e">
        <f>#REF!+"vlM!Vu"</f>
        <v>#REF!</v>
      </c>
      <c r="GU17" t="e">
        <f>#REF!+"vlM!Vv"</f>
        <v>#REF!</v>
      </c>
      <c r="GV17" t="e">
        <f>#REF!+"vlM!Vw"</f>
        <v>#REF!</v>
      </c>
      <c r="GW17" t="e">
        <f>#REF!+"vlM!Vx"</f>
        <v>#REF!</v>
      </c>
      <c r="GX17" t="e">
        <f>#REF!+"vlM!Vy"</f>
        <v>#REF!</v>
      </c>
      <c r="GY17" t="e">
        <f>#REF!+"vlM!Vz"</f>
        <v>#REF!</v>
      </c>
      <c r="GZ17" t="e">
        <f>#REF!+"vlM!V{"</f>
        <v>#REF!</v>
      </c>
      <c r="HA17" t="e">
        <f>#REF!+"vlM!V|"</f>
        <v>#REF!</v>
      </c>
      <c r="HB17" t="e">
        <f>#REF!+"vlM!V}"</f>
        <v>#REF!</v>
      </c>
      <c r="HC17" t="e">
        <f>#REF!+"vlM!V~"</f>
        <v>#REF!</v>
      </c>
      <c r="HD17" t="e">
        <f>#REF!+"vlM!W#"</f>
        <v>#REF!</v>
      </c>
      <c r="HE17" t="e">
        <f>#REF!+"vlM!W$"</f>
        <v>#REF!</v>
      </c>
      <c r="HF17" s="1" t="e">
        <f>#REF!+"vlM!W%"</f>
        <v>#REF!</v>
      </c>
      <c r="HG17" t="e">
        <f>#REF!+"vlM!W&amp;"</f>
        <v>#REF!</v>
      </c>
      <c r="HH17" t="e">
        <f>#REF!+"vlM!W'"</f>
        <v>#REF!</v>
      </c>
      <c r="HI17" t="e">
        <f>#REF!+"vlM!W("</f>
        <v>#REF!</v>
      </c>
      <c r="HJ17" t="e">
        <f>#REF!+"vlM!W)"</f>
        <v>#REF!</v>
      </c>
      <c r="HK17" t="e">
        <f>#REF!+"vlM!W."</f>
        <v>#REF!</v>
      </c>
      <c r="HL17" t="e">
        <f>#REF!+"vlM!W/"</f>
        <v>#REF!</v>
      </c>
      <c r="HM17" t="e">
        <f>#REF!+"vlM!W0"</f>
        <v>#REF!</v>
      </c>
      <c r="HN17" t="e">
        <f>#REF!+"vlM!W1"</f>
        <v>#REF!</v>
      </c>
      <c r="HO17" t="e">
        <f>#REF!+"vlM!W2"</f>
        <v>#REF!</v>
      </c>
      <c r="HP17" t="e">
        <f>#REF!+"vlM!W3"</f>
        <v>#REF!</v>
      </c>
      <c r="HQ17" t="e">
        <f>#REF!+"vlM!W4"</f>
        <v>#REF!</v>
      </c>
      <c r="HR17" t="e">
        <f>#REF!+"vlM!W5"</f>
        <v>#REF!</v>
      </c>
      <c r="HS17" t="e">
        <f>#REF!+"vlM!W6"</f>
        <v>#REF!</v>
      </c>
      <c r="HT17" t="e">
        <f>#REF!+"vlM!W7"</f>
        <v>#REF!</v>
      </c>
      <c r="HU17" s="1" t="e">
        <f>#REF!+"vlM!W8"</f>
        <v>#REF!</v>
      </c>
      <c r="HV17" t="e">
        <f>#REF!+"vlM!W9"</f>
        <v>#REF!</v>
      </c>
      <c r="HW17" t="e">
        <f>#REF!+"vlM!W:"</f>
        <v>#REF!</v>
      </c>
      <c r="HX17" t="e">
        <f>#REF!+"vlM!W;"</f>
        <v>#REF!</v>
      </c>
      <c r="HY17" t="e">
        <f>#REF!+"vlM!W&lt;"</f>
        <v>#REF!</v>
      </c>
      <c r="HZ17" t="e">
        <f>#REF!+"vlM!W="</f>
        <v>#REF!</v>
      </c>
      <c r="IA17" t="e">
        <f>#REF!+"vlM!W&gt;"</f>
        <v>#REF!</v>
      </c>
      <c r="IB17" t="e">
        <f>#REF!+"vlM!W?"</f>
        <v>#REF!</v>
      </c>
      <c r="IC17" t="e">
        <f>#REF!+"vlM!W@"</f>
        <v>#REF!</v>
      </c>
      <c r="ID17" t="e">
        <f>#REF!+"vlM!WA"</f>
        <v>#REF!</v>
      </c>
      <c r="IE17" t="e">
        <f>#REF!+"vlM!WB"</f>
        <v>#REF!</v>
      </c>
      <c r="IF17" t="e">
        <f>#REF!+"vlM!WC"</f>
        <v>#REF!</v>
      </c>
      <c r="IG17" t="e">
        <f>#REF!+"vlM!WD"</f>
        <v>#REF!</v>
      </c>
      <c r="IH17" t="e">
        <f>#REF!+"vlM!WE"</f>
        <v>#REF!</v>
      </c>
      <c r="II17" t="e">
        <f>#REF!+"vlM!WF"</f>
        <v>#REF!</v>
      </c>
      <c r="IJ17" s="1" t="e">
        <f>#REF!+"vlM!WG"</f>
        <v>#REF!</v>
      </c>
      <c r="IK17" t="e">
        <f>#REF!+"vlM!WH"</f>
        <v>#REF!</v>
      </c>
      <c r="IL17" t="e">
        <f>#REF!+"vlM!WI"</f>
        <v>#REF!</v>
      </c>
      <c r="IM17" t="e">
        <f>#REF!+"vlM!WJ"</f>
        <v>#REF!</v>
      </c>
      <c r="IN17" t="e">
        <f>#REF!+"vlM!WK"</f>
        <v>#REF!</v>
      </c>
      <c r="IO17" t="e">
        <f>#REF!+"vlM!WL"</f>
        <v>#REF!</v>
      </c>
      <c r="IP17" t="e">
        <f>#REF!+"vlM!WM"</f>
        <v>#REF!</v>
      </c>
      <c r="IQ17" t="e">
        <f>#REF!+"vlM!WN"</f>
        <v>#REF!</v>
      </c>
      <c r="IR17" t="e">
        <f>#REF!+"vlM!WO"</f>
        <v>#REF!</v>
      </c>
      <c r="IS17" t="e">
        <f>#REF!+"vlM!WP"</f>
        <v>#REF!</v>
      </c>
      <c r="IT17" t="e">
        <f>#REF!+"vlM!WQ"</f>
        <v>#REF!</v>
      </c>
      <c r="IU17" t="e">
        <f>#REF!+"vlM!WR"</f>
        <v>#REF!</v>
      </c>
      <c r="IV17" t="e">
        <f>#REF!+"vlM!WS"</f>
        <v>#REF!</v>
      </c>
    </row>
    <row r="18" spans="6:256" x14ac:dyDescent="0.25">
      <c r="F18" t="e">
        <f>#REF!+"vlM!WT"</f>
        <v>#REF!</v>
      </c>
      <c r="G18" t="e">
        <f>#REF!+"vlM!WU"</f>
        <v>#REF!</v>
      </c>
      <c r="H18" s="1" t="e">
        <f>#REF!+"vlM!WV"</f>
        <v>#REF!</v>
      </c>
      <c r="I18" t="e">
        <f>#REF!+"vlM!WW"</f>
        <v>#REF!</v>
      </c>
      <c r="J18" t="e">
        <f>#REF!+"vlM!WX"</f>
        <v>#REF!</v>
      </c>
      <c r="K18" t="e">
        <f>#REF!+"vlM!WY"</f>
        <v>#REF!</v>
      </c>
      <c r="L18" t="e">
        <f>#REF!+"vlM!WZ"</f>
        <v>#REF!</v>
      </c>
      <c r="M18" t="e">
        <f>#REF!+"vlM!W["</f>
        <v>#REF!</v>
      </c>
      <c r="N18" t="e">
        <f>#REF!+"vlM!W\"</f>
        <v>#REF!</v>
      </c>
      <c r="O18" t="e">
        <f>#REF!+"vlM!W]"</f>
        <v>#REF!</v>
      </c>
      <c r="P18" t="e">
        <f>#REF!+"vlM!W^"</f>
        <v>#REF!</v>
      </c>
      <c r="Q18" t="e">
        <f>#REF!+"vlM!W_"</f>
        <v>#REF!</v>
      </c>
      <c r="R18" t="e">
        <f>#REF!+"vlM!W`"</f>
        <v>#REF!</v>
      </c>
      <c r="S18" t="e">
        <f>#REF!+"vlM!Wa"</f>
        <v>#REF!</v>
      </c>
      <c r="T18" t="e">
        <f>#REF!+"vlM!Wb"</f>
        <v>#REF!</v>
      </c>
      <c r="U18" t="e">
        <f>#REF!+"vlM!Wc"</f>
        <v>#REF!</v>
      </c>
      <c r="V18" t="e">
        <f>#REF!+"vlM!Wd"</f>
        <v>#REF!</v>
      </c>
      <c r="W18" s="1" t="e">
        <f>#REF!+"vlM!We"</f>
        <v>#REF!</v>
      </c>
      <c r="X18" t="e">
        <f>#REF!+"vlM!Wf"</f>
        <v>#REF!</v>
      </c>
      <c r="Y18" t="e">
        <f>#REF!+"vlM!Wg"</f>
        <v>#REF!</v>
      </c>
      <c r="Z18" t="e">
        <f>#REF!+"vlM!Wh"</f>
        <v>#REF!</v>
      </c>
      <c r="AA18" t="e">
        <f>#REF!+"vlM!Wi"</f>
        <v>#REF!</v>
      </c>
      <c r="AB18" t="e">
        <f>#REF!+"vlM!Wj"</f>
        <v>#REF!</v>
      </c>
      <c r="AC18" t="e">
        <f>#REF!+"vlM!Wk"</f>
        <v>#REF!</v>
      </c>
      <c r="AD18" t="e">
        <f>#REF!+"vlM!Wl"</f>
        <v>#REF!</v>
      </c>
      <c r="AE18" t="e">
        <f>#REF!+"vlM!Wm"</f>
        <v>#REF!</v>
      </c>
      <c r="AF18" t="e">
        <f>#REF!+"vlM!Wn"</f>
        <v>#REF!</v>
      </c>
      <c r="AG18" t="e">
        <f>#REF!+"vlM!Wo"</f>
        <v>#REF!</v>
      </c>
      <c r="AH18" t="e">
        <f>#REF!+"vlM!Wp"</f>
        <v>#REF!</v>
      </c>
      <c r="AI18" t="e">
        <f>#REF!+"vlM!Wq"</f>
        <v>#REF!</v>
      </c>
      <c r="AJ18" t="e">
        <f>#REF!+"vlM!Wr"</f>
        <v>#REF!</v>
      </c>
      <c r="AK18" t="e">
        <f>#REF!+"vlM!Ws"</f>
        <v>#REF!</v>
      </c>
      <c r="AL18" s="1" t="e">
        <f>#REF!+"vlM!Wt"</f>
        <v>#REF!</v>
      </c>
      <c r="AM18" t="e">
        <f>#REF!+"vlM!Wu"</f>
        <v>#REF!</v>
      </c>
      <c r="AN18" t="e">
        <f>#REF!+"vlM!Wv"</f>
        <v>#REF!</v>
      </c>
      <c r="AO18" t="e">
        <f>#REF!+"vlM!Ww"</f>
        <v>#REF!</v>
      </c>
      <c r="AP18" t="e">
        <f>#REF!+"vlM!Wx"</f>
        <v>#REF!</v>
      </c>
      <c r="AQ18" t="e">
        <f>#REF!+"vlM!Wy"</f>
        <v>#REF!</v>
      </c>
      <c r="AR18" t="e">
        <f>#REF!+"vlM!Wz"</f>
        <v>#REF!</v>
      </c>
      <c r="AS18" t="e">
        <f>#REF!+"vlM!W{"</f>
        <v>#REF!</v>
      </c>
      <c r="AT18" t="e">
        <f>#REF!+"vlM!W|"</f>
        <v>#REF!</v>
      </c>
      <c r="AU18" t="e">
        <f>#REF!+"vlM!W}"</f>
        <v>#REF!</v>
      </c>
      <c r="AV18" t="e">
        <f>#REF!+"vlM!W~"</f>
        <v>#REF!</v>
      </c>
      <c r="AW18" t="e">
        <f>#REF!+"vlM!X#"</f>
        <v>#REF!</v>
      </c>
      <c r="AX18" t="e">
        <f>#REF!+"vlM!X$"</f>
        <v>#REF!</v>
      </c>
      <c r="AY18" t="e">
        <f>#REF!+"vlM!X%"</f>
        <v>#REF!</v>
      </c>
      <c r="AZ18" t="e">
        <f>#REF!+"vlM!X&amp;"</f>
        <v>#REF!</v>
      </c>
      <c r="BA18" s="1" t="e">
        <f>#REF!+"vlM!X'"</f>
        <v>#REF!</v>
      </c>
      <c r="BB18" t="e">
        <f>#REF!+"vlM!X("</f>
        <v>#REF!</v>
      </c>
      <c r="BC18" t="e">
        <f>#REF!+"vlM!X)"</f>
        <v>#REF!</v>
      </c>
      <c r="BD18" t="e">
        <f>#REF!+"vlM!X."</f>
        <v>#REF!</v>
      </c>
      <c r="BE18" t="e">
        <f>#REF!+"vlM!X/"</f>
        <v>#REF!</v>
      </c>
      <c r="BF18" t="e">
        <f>#REF!+"vlM!X0"</f>
        <v>#REF!</v>
      </c>
      <c r="BG18" t="e">
        <f>#REF!+"vlM!X1"</f>
        <v>#REF!</v>
      </c>
      <c r="BH18" t="e">
        <f>#REF!+"vlM!X2"</f>
        <v>#REF!</v>
      </c>
      <c r="BI18" t="e">
        <f>#REF!+"vlM!X3"</f>
        <v>#REF!</v>
      </c>
      <c r="BJ18" t="e">
        <f>#REF!+"vlM!X4"</f>
        <v>#REF!</v>
      </c>
      <c r="BK18" t="e">
        <f>#REF!+"vlM!X5"</f>
        <v>#REF!</v>
      </c>
      <c r="BL18" t="e">
        <f>#REF!+"vlM!X6"</f>
        <v>#REF!</v>
      </c>
      <c r="BM18" t="e">
        <f>#REF!+"vlM!X7"</f>
        <v>#REF!</v>
      </c>
      <c r="BN18" t="e">
        <f>#REF!+"vlM!X8"</f>
        <v>#REF!</v>
      </c>
      <c r="BO18" t="e">
        <f>#REF!+"vlM!X9"</f>
        <v>#REF!</v>
      </c>
      <c r="BP18" s="1" t="e">
        <f>#REF!+"vlM!X:"</f>
        <v>#REF!</v>
      </c>
      <c r="BQ18" t="e">
        <f>#REF!+"vlM!X;"</f>
        <v>#REF!</v>
      </c>
      <c r="BR18" t="e">
        <f>#REF!+"vlM!X&lt;"</f>
        <v>#REF!</v>
      </c>
      <c r="BS18" t="e">
        <f>#REF!+"vlM!X="</f>
        <v>#REF!</v>
      </c>
      <c r="BT18" t="e">
        <f>#REF!+"vlM!X&gt;"</f>
        <v>#REF!</v>
      </c>
      <c r="BU18" t="e">
        <f>#REF!+"vlM!X?"</f>
        <v>#REF!</v>
      </c>
      <c r="BV18" t="e">
        <f>#REF!+"vlM!X@"</f>
        <v>#REF!</v>
      </c>
      <c r="BW18" t="e">
        <f>#REF!+"vlM!XA"</f>
        <v>#REF!</v>
      </c>
      <c r="BX18" t="e">
        <f>#REF!+"vlM!XB"</f>
        <v>#REF!</v>
      </c>
      <c r="BY18" t="e">
        <f>#REF!+"vlM!XC"</f>
        <v>#REF!</v>
      </c>
      <c r="BZ18" t="e">
        <f>#REF!+"vlM!XD"</f>
        <v>#REF!</v>
      </c>
      <c r="CA18" t="e">
        <f>#REF!+"vlM!XE"</f>
        <v>#REF!</v>
      </c>
      <c r="CB18" t="e">
        <f>#REF!+"vlM!XF"</f>
        <v>#REF!</v>
      </c>
      <c r="CC18" t="e">
        <f>#REF!+"vlM!XG"</f>
        <v>#REF!</v>
      </c>
      <c r="CD18" t="e">
        <f>#REF!+"vlM!XH"</f>
        <v>#REF!</v>
      </c>
      <c r="CE18" s="1" t="e">
        <f>#REF!+"vlM!XI"</f>
        <v>#REF!</v>
      </c>
      <c r="CF18" t="e">
        <f>#REF!+"vlM!XJ"</f>
        <v>#REF!</v>
      </c>
      <c r="CG18" t="e">
        <f>#REF!+"vlM!XK"</f>
        <v>#REF!</v>
      </c>
      <c r="CH18" t="e">
        <f>#REF!+"vlM!XL"</f>
        <v>#REF!</v>
      </c>
      <c r="CI18" t="e">
        <f>#REF!+"vlM!XM"</f>
        <v>#REF!</v>
      </c>
      <c r="CJ18" t="e">
        <f>#REF!+"vlM!XN"</f>
        <v>#REF!</v>
      </c>
      <c r="CK18" t="e">
        <f>#REF!+"vlM!XO"</f>
        <v>#REF!</v>
      </c>
      <c r="CL18" t="e">
        <f>#REF!+"vlM!XP"</f>
        <v>#REF!</v>
      </c>
      <c r="CM18" t="e">
        <f>#REF!+"vlM!XQ"</f>
        <v>#REF!</v>
      </c>
      <c r="CN18" t="e">
        <f>#REF!+"vlM!XR"</f>
        <v>#REF!</v>
      </c>
      <c r="CO18" t="e">
        <f>#REF!+"vlM!XS"</f>
        <v>#REF!</v>
      </c>
      <c r="CP18" t="e">
        <f>#REF!+"vlM!XT"</f>
        <v>#REF!</v>
      </c>
      <c r="CQ18" t="e">
        <f>#REF!+"vlM!XU"</f>
        <v>#REF!</v>
      </c>
      <c r="CR18" t="e">
        <f>#REF!+"vlM!XV"</f>
        <v>#REF!</v>
      </c>
      <c r="CS18" t="e">
        <f>#REF!+"vlM!XW"</f>
        <v>#REF!</v>
      </c>
      <c r="CT18" s="1" t="e">
        <f>#REF!+"vlM!XX"</f>
        <v>#REF!</v>
      </c>
      <c r="CU18" t="e">
        <f>#REF!+"vlM!XY"</f>
        <v>#REF!</v>
      </c>
      <c r="CV18" t="e">
        <f>#REF!+"vlM!XZ"</f>
        <v>#REF!</v>
      </c>
      <c r="CW18" t="e">
        <f>#REF!+"vlM!X["</f>
        <v>#REF!</v>
      </c>
      <c r="CX18" t="e">
        <f>#REF!+"vlM!X\"</f>
        <v>#REF!</v>
      </c>
      <c r="CY18" t="e">
        <f>#REF!+"vlM!X]"</f>
        <v>#REF!</v>
      </c>
      <c r="CZ18" t="e">
        <f>#REF!+"vlM!X^"</f>
        <v>#REF!</v>
      </c>
      <c r="DA18" t="e">
        <f>#REF!+"vlM!X_"</f>
        <v>#REF!</v>
      </c>
      <c r="DB18" t="e">
        <f>#REF!+"vlM!X`"</f>
        <v>#REF!</v>
      </c>
      <c r="DC18" t="e">
        <f>#REF!+"vlM!Xa"</f>
        <v>#REF!</v>
      </c>
      <c r="DD18" t="e">
        <f>#REF!+"vlM!Xb"</f>
        <v>#REF!</v>
      </c>
      <c r="DE18" t="e">
        <f>#REF!+"vlM!Xc"</f>
        <v>#REF!</v>
      </c>
      <c r="DF18" t="e">
        <f>#REF!+"vlM!Xd"</f>
        <v>#REF!</v>
      </c>
      <c r="DG18" t="e">
        <f>#REF!+"vlM!Xe"</f>
        <v>#REF!</v>
      </c>
      <c r="DH18" t="e">
        <f>#REF!+"vlM!Xf"</f>
        <v>#REF!</v>
      </c>
      <c r="DI18" s="1" t="e">
        <f>#REF!+"vlM!Xg"</f>
        <v>#REF!</v>
      </c>
      <c r="DJ18" t="e">
        <f>#REF!+"vlM!Xh"</f>
        <v>#REF!</v>
      </c>
      <c r="DK18" t="e">
        <f>#REF!+"vlM!Xi"</f>
        <v>#REF!</v>
      </c>
      <c r="DL18" t="e">
        <f>#REF!+"vlM!Xj"</f>
        <v>#REF!</v>
      </c>
      <c r="DM18" t="e">
        <f>#REF!+"vlM!Xk"</f>
        <v>#REF!</v>
      </c>
      <c r="DN18" t="e">
        <f>#REF!+"vlM!Xl"</f>
        <v>#REF!</v>
      </c>
      <c r="DO18" t="e">
        <f>#REF!+"vlM!Xm"</f>
        <v>#REF!</v>
      </c>
      <c r="DP18" t="e">
        <f>#REF!+"vlM!Xn"</f>
        <v>#REF!</v>
      </c>
      <c r="DQ18" t="e">
        <f>#REF!+"vlM!Xo"</f>
        <v>#REF!</v>
      </c>
      <c r="DR18" t="e">
        <f>#REF!+"vlM!Xp"</f>
        <v>#REF!</v>
      </c>
      <c r="DS18" t="e">
        <f>#REF!+"vlM!Xq"</f>
        <v>#REF!</v>
      </c>
      <c r="DT18" t="e">
        <f>#REF!+"vlM!Xr"</f>
        <v>#REF!</v>
      </c>
      <c r="DU18" t="e">
        <f>#REF!+"vlM!Xs"</f>
        <v>#REF!</v>
      </c>
      <c r="DV18" t="e">
        <f>#REF!+"vlM!Xt"</f>
        <v>#REF!</v>
      </c>
      <c r="DW18" t="e">
        <f>#REF!+"vlM!Xu"</f>
        <v>#REF!</v>
      </c>
      <c r="DX18" s="1" t="e">
        <f>#REF!+"vlM!Xv"</f>
        <v>#REF!</v>
      </c>
      <c r="DY18" t="e">
        <f>#REF!+"vlM!Xw"</f>
        <v>#REF!</v>
      </c>
      <c r="DZ18" t="e">
        <f>#REF!+"vlM!Xx"</f>
        <v>#REF!</v>
      </c>
      <c r="EA18" t="e">
        <f>#REF!+"vlM!Xy"</f>
        <v>#REF!</v>
      </c>
      <c r="EB18" t="e">
        <f>#REF!+"vlM!Xz"</f>
        <v>#REF!</v>
      </c>
      <c r="EC18" t="e">
        <f>#REF!+"vlM!X{"</f>
        <v>#REF!</v>
      </c>
      <c r="ED18" t="e">
        <f>#REF!+"vlM!X|"</f>
        <v>#REF!</v>
      </c>
      <c r="EE18" t="e">
        <f>#REF!+"vlM!X}"</f>
        <v>#REF!</v>
      </c>
      <c r="EF18" t="e">
        <f>#REF!+"vlM!X~"</f>
        <v>#REF!</v>
      </c>
      <c r="EG18" t="e">
        <f>#REF!+"vlM!Y#"</f>
        <v>#REF!</v>
      </c>
      <c r="EH18" t="e">
        <f>#REF!+"vlM!Y$"</f>
        <v>#REF!</v>
      </c>
      <c r="EI18" t="e">
        <f>#REF!+"vlM!Y%"</f>
        <v>#REF!</v>
      </c>
      <c r="EJ18" t="e">
        <f>#REF!+"vlM!Y&amp;"</f>
        <v>#REF!</v>
      </c>
      <c r="EK18" t="e">
        <f>#REF!+"vlM!Y'"</f>
        <v>#REF!</v>
      </c>
      <c r="EL18" t="e">
        <f>#REF!+"vlM!Y("</f>
        <v>#REF!</v>
      </c>
      <c r="EM18" s="1" t="e">
        <f>#REF!+"vlM!Y)"</f>
        <v>#REF!</v>
      </c>
      <c r="EN18" t="e">
        <f>#REF!+"vlM!Y."</f>
        <v>#REF!</v>
      </c>
      <c r="EO18" t="e">
        <f>#REF!+"vlM!Y/"</f>
        <v>#REF!</v>
      </c>
      <c r="EP18" t="e">
        <f>#REF!+"vlM!Y0"</f>
        <v>#REF!</v>
      </c>
      <c r="EQ18" t="e">
        <f>#REF!+"vlM!Y1"</f>
        <v>#REF!</v>
      </c>
      <c r="ER18" t="e">
        <f>#REF!+"vlM!Y2"</f>
        <v>#REF!</v>
      </c>
      <c r="ES18" t="e">
        <f>#REF!+"vlM!Y3"</f>
        <v>#REF!</v>
      </c>
      <c r="ET18" t="e">
        <f>#REF!+"vlM!Y4"</f>
        <v>#REF!</v>
      </c>
      <c r="EU18" t="e">
        <f>#REF!+"vlM!Y5"</f>
        <v>#REF!</v>
      </c>
      <c r="EV18" t="e">
        <f>#REF!+"vlM!Y6"</f>
        <v>#REF!</v>
      </c>
      <c r="EW18" t="e">
        <f>#REF!+"vlM!Y7"</f>
        <v>#REF!</v>
      </c>
      <c r="EX18" t="e">
        <f>#REF!+"vlM!Y8"</f>
        <v>#REF!</v>
      </c>
      <c r="EY18" t="e">
        <f>#REF!+"vlM!Y9"</f>
        <v>#REF!</v>
      </c>
      <c r="EZ18" t="e">
        <f>#REF!+"vlM!Y:"</f>
        <v>#REF!</v>
      </c>
      <c r="FA18" t="e">
        <f>#REF!+"vlM!Y;"</f>
        <v>#REF!</v>
      </c>
      <c r="FB18" s="1" t="e">
        <f>#REF!+"vlM!Y&lt;"</f>
        <v>#REF!</v>
      </c>
      <c r="FC18" t="e">
        <f>#REF!+"vlM!Y="</f>
        <v>#REF!</v>
      </c>
      <c r="FD18" t="e">
        <f>#REF!+"vlM!Y&gt;"</f>
        <v>#REF!</v>
      </c>
      <c r="FE18" t="e">
        <f>#REF!+"vlM!Y?"</f>
        <v>#REF!</v>
      </c>
      <c r="FF18" t="e">
        <f>#REF!+"vlM!Y@"</f>
        <v>#REF!</v>
      </c>
      <c r="FG18" t="e">
        <f>#REF!+"vlM!YA"</f>
        <v>#REF!</v>
      </c>
      <c r="FH18" t="e">
        <f>#REF!+"vlM!YB"</f>
        <v>#REF!</v>
      </c>
      <c r="FI18" t="e">
        <f>#REF!+"vlM!YC"</f>
        <v>#REF!</v>
      </c>
      <c r="FJ18" t="e">
        <f>#REF!+"vlM!YD"</f>
        <v>#REF!</v>
      </c>
      <c r="FK18" t="e">
        <f>#REF!+"vlM!YE"</f>
        <v>#REF!</v>
      </c>
      <c r="FL18" t="e">
        <f>#REF!+"vlM!YF"</f>
        <v>#REF!</v>
      </c>
      <c r="FM18" t="e">
        <f>#REF!+"vlM!YG"</f>
        <v>#REF!</v>
      </c>
      <c r="FN18" t="e">
        <f>#REF!+"vlM!YH"</f>
        <v>#REF!</v>
      </c>
      <c r="FO18" t="e">
        <f>#REF!+"vlM!YI"</f>
        <v>#REF!</v>
      </c>
      <c r="FP18" t="e">
        <f>#REF!+"vlM!YJ"</f>
        <v>#REF!</v>
      </c>
      <c r="FQ18" s="1" t="e">
        <f>#REF!+"vlM!YK"</f>
        <v>#REF!</v>
      </c>
      <c r="FR18" t="e">
        <f>#REF!+"vlM!YL"</f>
        <v>#REF!</v>
      </c>
      <c r="FS18" t="e">
        <f>#REF!+"vlM!YM"</f>
        <v>#REF!</v>
      </c>
      <c r="FT18" t="e">
        <f>#REF!+"vlM!YN"</f>
        <v>#REF!</v>
      </c>
      <c r="FU18" t="e">
        <f>#REF!+"vlM!YO"</f>
        <v>#REF!</v>
      </c>
      <c r="FV18" t="e">
        <f>#REF!+"vlM!YP"</f>
        <v>#REF!</v>
      </c>
      <c r="FW18" t="e">
        <f>#REF!+"vlM!YQ"</f>
        <v>#REF!</v>
      </c>
      <c r="FX18" t="e">
        <f>#REF!+"vlM!YR"</f>
        <v>#REF!</v>
      </c>
      <c r="FY18" t="e">
        <f>#REF!+"vlM!YS"</f>
        <v>#REF!</v>
      </c>
      <c r="FZ18" t="e">
        <f>#REF!+"vlM!YT"</f>
        <v>#REF!</v>
      </c>
      <c r="GA18" t="e">
        <f>#REF!+"vlM!YU"</f>
        <v>#REF!</v>
      </c>
      <c r="GB18" t="e">
        <f>#REF!+"vlM!YV"</f>
        <v>#REF!</v>
      </c>
      <c r="GC18" t="e">
        <f>#REF!+"vlM!YW"</f>
        <v>#REF!</v>
      </c>
      <c r="GD18" t="e">
        <f>#REF!+"vlM!YX"</f>
        <v>#REF!</v>
      </c>
      <c r="GE18" t="e">
        <f>#REF!+"vlM!YY"</f>
        <v>#REF!</v>
      </c>
      <c r="GF18" s="1" t="e">
        <f>#REF!+"vlM!YZ"</f>
        <v>#REF!</v>
      </c>
      <c r="GG18" t="e">
        <f>#REF!+"vlM!Y["</f>
        <v>#REF!</v>
      </c>
      <c r="GH18" t="e">
        <f>#REF!+"vlM!Y\"</f>
        <v>#REF!</v>
      </c>
      <c r="GI18" t="e">
        <f>#REF!+"vlM!Y]"</f>
        <v>#REF!</v>
      </c>
      <c r="GJ18" t="e">
        <f>#REF!+"vlM!Y^"</f>
        <v>#REF!</v>
      </c>
      <c r="GK18" t="e">
        <f>#REF!+"vlM!Y_"</f>
        <v>#REF!</v>
      </c>
      <c r="GL18" t="e">
        <f>#REF!+"vlM!Y`"</f>
        <v>#REF!</v>
      </c>
      <c r="GM18" t="e">
        <f>#REF!+"vlM!Ya"</f>
        <v>#REF!</v>
      </c>
      <c r="GN18" t="e">
        <f>#REF!+"vlM!Yb"</f>
        <v>#REF!</v>
      </c>
      <c r="GO18" t="e">
        <f>#REF!+"vlM!Yc"</f>
        <v>#REF!</v>
      </c>
      <c r="GP18" t="e">
        <f>#REF!+"vlM!Yd"</f>
        <v>#REF!</v>
      </c>
      <c r="GQ18" t="e">
        <f>#REF!+"vlM!Ye"</f>
        <v>#REF!</v>
      </c>
      <c r="GR18" t="e">
        <f>#REF!+"vlM!Yf"</f>
        <v>#REF!</v>
      </c>
      <c r="GS18" t="e">
        <f>#REF!+"vlM!Yg"</f>
        <v>#REF!</v>
      </c>
      <c r="GT18" t="e">
        <f>#REF!+"vlM!Yh"</f>
        <v>#REF!</v>
      </c>
      <c r="GU18" s="1" t="e">
        <f>#REF!+"vlM!Yi"</f>
        <v>#REF!</v>
      </c>
      <c r="GV18" t="e">
        <f>#REF!+"vlM!Yj"</f>
        <v>#REF!</v>
      </c>
      <c r="GW18" t="e">
        <f>#REF!+"vlM!Yk"</f>
        <v>#REF!</v>
      </c>
      <c r="GX18" t="e">
        <f>#REF!+"vlM!Yl"</f>
        <v>#REF!</v>
      </c>
      <c r="GY18" t="e">
        <f>#REF!+"vlM!Ym"</f>
        <v>#REF!</v>
      </c>
      <c r="GZ18" t="e">
        <f>#REF!+"vlM!Yn"</f>
        <v>#REF!</v>
      </c>
      <c r="HA18" t="e">
        <f>#REF!+"vlM!Yo"</f>
        <v>#REF!</v>
      </c>
      <c r="HB18" t="e">
        <f>#REF!+"vlM!Yp"</f>
        <v>#REF!</v>
      </c>
      <c r="HC18" t="e">
        <f>#REF!+"vlM!Yq"</f>
        <v>#REF!</v>
      </c>
      <c r="HD18" t="e">
        <f>#REF!+"vlM!Yr"</f>
        <v>#REF!</v>
      </c>
      <c r="HE18" t="e">
        <f>#REF!+"vlM!Ys"</f>
        <v>#REF!</v>
      </c>
      <c r="HF18" t="e">
        <f>#REF!+"vlM!Yt"</f>
        <v>#REF!</v>
      </c>
      <c r="HG18" t="e">
        <f>#REF!+"vlM!Yu"</f>
        <v>#REF!</v>
      </c>
      <c r="HH18" t="e">
        <f>#REF!+"vlM!Yv"</f>
        <v>#REF!</v>
      </c>
      <c r="HI18" t="e">
        <f>#REF!+"vlM!Yw"</f>
        <v>#REF!</v>
      </c>
      <c r="HJ18" s="1" t="e">
        <f>#REF!+"vlM!Yx"</f>
        <v>#REF!</v>
      </c>
      <c r="HK18" t="e">
        <f>#REF!+"vlM!Yy"</f>
        <v>#REF!</v>
      </c>
      <c r="HL18" t="e">
        <f>#REF!+"vlM!Yz"</f>
        <v>#REF!</v>
      </c>
      <c r="HM18" t="e">
        <f>#REF!+"vlM!Y{"</f>
        <v>#REF!</v>
      </c>
      <c r="HN18" t="e">
        <f>#REF!+"vlM!Y|"</f>
        <v>#REF!</v>
      </c>
      <c r="HO18" t="e">
        <f>#REF!+"vlM!Y}"</f>
        <v>#REF!</v>
      </c>
      <c r="HP18" t="e">
        <f>#REF!+"vlM!Y~"</f>
        <v>#REF!</v>
      </c>
      <c r="HQ18" t="e">
        <f>#REF!+"vlM!Z#"</f>
        <v>#REF!</v>
      </c>
      <c r="HR18" t="e">
        <f>#REF!+"vlM!Z$"</f>
        <v>#REF!</v>
      </c>
      <c r="HS18" t="e">
        <f>#REF!+"vlM!Z%"</f>
        <v>#REF!</v>
      </c>
      <c r="HT18" t="e">
        <f>#REF!+"vlM!Z&amp;"</f>
        <v>#REF!</v>
      </c>
      <c r="HU18" t="e">
        <f>#REF!+"vlM!Z'"</f>
        <v>#REF!</v>
      </c>
      <c r="HV18" t="e">
        <f>#REF!+"vlM!Z("</f>
        <v>#REF!</v>
      </c>
      <c r="HW18" t="e">
        <f>#REF!+"vlM!Z)"</f>
        <v>#REF!</v>
      </c>
      <c r="HX18" t="e">
        <f>#REF!+"vlM!Z."</f>
        <v>#REF!</v>
      </c>
      <c r="HY18" s="1" t="e">
        <f>#REF!+"vlM!Z/"</f>
        <v>#REF!</v>
      </c>
      <c r="HZ18" t="e">
        <f>#REF!+"vlM!Z0"</f>
        <v>#REF!</v>
      </c>
      <c r="IA18" t="e">
        <f>#REF!+"vlM!Z1"</f>
        <v>#REF!</v>
      </c>
      <c r="IB18" t="e">
        <f>#REF!+"vlM!Z2"</f>
        <v>#REF!</v>
      </c>
      <c r="IC18" t="e">
        <f>#REF!+"vlM!Z3"</f>
        <v>#REF!</v>
      </c>
      <c r="ID18" t="e">
        <f>#REF!+"vlM!Z4"</f>
        <v>#REF!</v>
      </c>
      <c r="IE18" t="e">
        <f>#REF!+"vlM!Z5"</f>
        <v>#REF!</v>
      </c>
      <c r="IF18" t="e">
        <f>#REF!+"vlM!Z6"</f>
        <v>#REF!</v>
      </c>
      <c r="IG18" t="e">
        <f>#REF!+"vlM!Z7"</f>
        <v>#REF!</v>
      </c>
      <c r="IH18" t="e">
        <f>#REF!+"vlM!Z8"</f>
        <v>#REF!</v>
      </c>
      <c r="II18" t="e">
        <f>#REF!+"vlM!Z9"</f>
        <v>#REF!</v>
      </c>
      <c r="IJ18" t="e">
        <f>#REF!+"vlM!Z:"</f>
        <v>#REF!</v>
      </c>
      <c r="IK18" t="e">
        <f>#REF!+"vlM!Z;"</f>
        <v>#REF!</v>
      </c>
      <c r="IL18" t="e">
        <f>#REF!+"vlM!Z&lt;"</f>
        <v>#REF!</v>
      </c>
      <c r="IM18" t="e">
        <f>#REF!+"vlM!Z="</f>
        <v>#REF!</v>
      </c>
      <c r="IN18" s="1" t="e">
        <f>#REF!+"vlM!Z&gt;"</f>
        <v>#REF!</v>
      </c>
      <c r="IO18" t="e">
        <f>#REF!+"vlM!Z?"</f>
        <v>#REF!</v>
      </c>
      <c r="IP18" t="e">
        <f>#REF!+"vlM!Z@"</f>
        <v>#REF!</v>
      </c>
      <c r="IQ18" t="e">
        <f>#REF!+"vlM!ZA"</f>
        <v>#REF!</v>
      </c>
      <c r="IR18" t="e">
        <f>#REF!+"vlM!ZB"</f>
        <v>#REF!</v>
      </c>
      <c r="IS18" t="e">
        <f>#REF!+"vlM!ZC"</f>
        <v>#REF!</v>
      </c>
      <c r="IT18" t="e">
        <f>#REF!+"vlM!ZD"</f>
        <v>#REF!</v>
      </c>
      <c r="IU18" t="e">
        <f>#REF!+"vlM!ZE"</f>
        <v>#REF!</v>
      </c>
      <c r="IV18" t="e">
        <f>#REF!+"vlM!ZF"</f>
        <v>#REF!</v>
      </c>
    </row>
    <row r="19" spans="6:256" x14ac:dyDescent="0.25">
      <c r="F19" t="e">
        <f>#REF!+"vlM!ZG"</f>
        <v>#REF!</v>
      </c>
      <c r="G19" t="e">
        <f>#REF!+"vlM!ZH"</f>
        <v>#REF!</v>
      </c>
      <c r="H19" t="e">
        <f>#REF!+"vlM!ZI"</f>
        <v>#REF!</v>
      </c>
      <c r="I19" t="e">
        <f>#REF!+"vlM!ZJ"</f>
        <v>#REF!</v>
      </c>
      <c r="J19" t="e">
        <f>#REF!+"vlM!ZK"</f>
        <v>#REF!</v>
      </c>
      <c r="K19" t="e">
        <f>#REF!+"vlM!ZL"</f>
        <v>#REF!</v>
      </c>
      <c r="L19" s="1" t="e">
        <f>#REF!+"vlM!ZM"</f>
        <v>#REF!</v>
      </c>
      <c r="M19" t="e">
        <f>#REF!+"vlM!ZN"</f>
        <v>#REF!</v>
      </c>
      <c r="N19" t="e">
        <f>#REF!+"vlM!ZO"</f>
        <v>#REF!</v>
      </c>
      <c r="O19" t="e">
        <f>#REF!+"vlM!ZP"</f>
        <v>#REF!</v>
      </c>
      <c r="P19" t="e">
        <f>#REF!+"vlM!ZQ"</f>
        <v>#REF!</v>
      </c>
      <c r="Q19" t="e">
        <f>#REF!+"vlM!ZR"</f>
        <v>#REF!</v>
      </c>
      <c r="R19" t="e">
        <f>#REF!+"vlM!ZS"</f>
        <v>#REF!</v>
      </c>
      <c r="S19" t="e">
        <f>#REF!+"vlM!ZT"</f>
        <v>#REF!</v>
      </c>
      <c r="T19" t="e">
        <f>#REF!+"vlM!ZU"</f>
        <v>#REF!</v>
      </c>
      <c r="U19" t="e">
        <f>#REF!+"vlM!ZV"</f>
        <v>#REF!</v>
      </c>
      <c r="V19" t="e">
        <f>#REF!+"vlM!ZW"</f>
        <v>#REF!</v>
      </c>
      <c r="W19" t="e">
        <f>#REF!+"vlM!ZX"</f>
        <v>#REF!</v>
      </c>
      <c r="X19" t="e">
        <f>#REF!+"vlM!ZY"</f>
        <v>#REF!</v>
      </c>
      <c r="Y19" t="e">
        <f>#REF!+"vlM!ZZ"</f>
        <v>#REF!</v>
      </c>
      <c r="Z19" t="e">
        <f>#REF!+"vlM!Z["</f>
        <v>#REF!</v>
      </c>
      <c r="AA19" s="1" t="e">
        <f>#REF!+"vlM!Z\"</f>
        <v>#REF!</v>
      </c>
      <c r="AB19" t="e">
        <f>#REF!+"vlM!Z]"</f>
        <v>#REF!</v>
      </c>
      <c r="AC19" t="e">
        <f>#REF!+"vlM!Z^"</f>
        <v>#REF!</v>
      </c>
      <c r="AD19" t="e">
        <f>#REF!+"vlM!Z_"</f>
        <v>#REF!</v>
      </c>
      <c r="AE19" t="e">
        <f>#REF!+"vlM!Z`"</f>
        <v>#REF!</v>
      </c>
      <c r="AF19" t="e">
        <f>#REF!+"vlM!Za"</f>
        <v>#REF!</v>
      </c>
      <c r="AG19" t="e">
        <f>#REF!+"vlM!Zb"</f>
        <v>#REF!</v>
      </c>
      <c r="AH19" t="e">
        <f>#REF!+"vlM!Zc"</f>
        <v>#REF!</v>
      </c>
      <c r="AI19" t="e">
        <f>#REF!+"vlM!Zd"</f>
        <v>#REF!</v>
      </c>
      <c r="AJ19" t="e">
        <f>#REF!+"vlM!Ze"</f>
        <v>#REF!</v>
      </c>
      <c r="AK19" t="e">
        <f>#REF!+"vlM!Zf"</f>
        <v>#REF!</v>
      </c>
      <c r="AL19" t="e">
        <f>#REF!+"vlM!Zg"</f>
        <v>#REF!</v>
      </c>
      <c r="AM19" t="e">
        <f>#REF!+"vlM!Zh"</f>
        <v>#REF!</v>
      </c>
      <c r="AN19" t="e">
        <f>#REF!+"vlM!Zi"</f>
        <v>#REF!</v>
      </c>
      <c r="AO19" t="e">
        <f>#REF!+"vlM!Zj"</f>
        <v>#REF!</v>
      </c>
      <c r="AP19" s="1" t="e">
        <f>#REF!+"vlM!Zk"</f>
        <v>#REF!</v>
      </c>
      <c r="AQ19" t="e">
        <f>#REF!+"vlM!Zl"</f>
        <v>#REF!</v>
      </c>
      <c r="AR19" t="e">
        <f>#REF!+"vlM!Zm"</f>
        <v>#REF!</v>
      </c>
      <c r="AS19" t="e">
        <f>#REF!+"vlM!Zn"</f>
        <v>#REF!</v>
      </c>
      <c r="AT19" t="e">
        <f>#REF!+"vlM!Zo"</f>
        <v>#REF!</v>
      </c>
      <c r="AU19" t="e">
        <f>#REF!+"vlM!Zp"</f>
        <v>#REF!</v>
      </c>
      <c r="AV19" t="e">
        <f>#REF!+"vlM!Zq"</f>
        <v>#REF!</v>
      </c>
      <c r="AW19" t="e">
        <f>#REF!+"vlM!Zr"</f>
        <v>#REF!</v>
      </c>
      <c r="AX19" t="e">
        <f>#REF!+"vlM!Zs"</f>
        <v>#REF!</v>
      </c>
      <c r="AY19" t="e">
        <f>#REF!+"vlM!Zt"</f>
        <v>#REF!</v>
      </c>
      <c r="AZ19" t="e">
        <f>#REF!+"vlM!Zu"</f>
        <v>#REF!</v>
      </c>
      <c r="BA19" t="e">
        <f>#REF!+"vlM!Zv"</f>
        <v>#REF!</v>
      </c>
      <c r="BB19" t="e">
        <f>#REF!+"vlM!Zw"</f>
        <v>#REF!</v>
      </c>
      <c r="BC19" t="e">
        <f>#REF!+"vlM!Zx"</f>
        <v>#REF!</v>
      </c>
      <c r="BD19" t="e">
        <f>#REF!+"vlM!Zy"</f>
        <v>#REF!</v>
      </c>
      <c r="BE19" s="1" t="e">
        <f>#REF!+"vlM!Zz"</f>
        <v>#REF!</v>
      </c>
      <c r="BF19" t="e">
        <f>#REF!+"vlM!Z{"</f>
        <v>#REF!</v>
      </c>
      <c r="BG19" t="e">
        <f>#REF!+"vlM!Z|"</f>
        <v>#REF!</v>
      </c>
      <c r="BH19" t="e">
        <f>#REF!+"vlM!Z}"</f>
        <v>#REF!</v>
      </c>
      <c r="BI19" t="e">
        <f>#REF!+"vlM!Z~"</f>
        <v>#REF!</v>
      </c>
      <c r="BJ19" t="e">
        <f>#REF!+"vlM![#"</f>
        <v>#REF!</v>
      </c>
      <c r="BK19" t="e">
        <f>#REF!+"vlM![$"</f>
        <v>#REF!</v>
      </c>
      <c r="BL19" t="e">
        <f>#REF!+"vlM![%"</f>
        <v>#REF!</v>
      </c>
      <c r="BM19" t="e">
        <f>#REF!+"vlM![&amp;"</f>
        <v>#REF!</v>
      </c>
      <c r="BN19" t="e">
        <f>#REF!+"vlM!['"</f>
        <v>#REF!</v>
      </c>
      <c r="BO19" t="e">
        <f>#REF!+"vlM![("</f>
        <v>#REF!</v>
      </c>
      <c r="BP19" t="e">
        <f>#REF!+"vlM![)"</f>
        <v>#REF!</v>
      </c>
      <c r="BQ19" t="e">
        <f>#REF!+"vlM![."</f>
        <v>#REF!</v>
      </c>
      <c r="BR19" t="e">
        <f>#REF!+"vlM![/"</f>
        <v>#REF!</v>
      </c>
      <c r="BS19" t="e">
        <f>#REF!+"vlM![0"</f>
        <v>#REF!</v>
      </c>
      <c r="BT19" s="1" t="e">
        <f>#REF!+"vlM![1"</f>
        <v>#REF!</v>
      </c>
      <c r="BU19" t="e">
        <f>#REF!+"vlM![2"</f>
        <v>#REF!</v>
      </c>
      <c r="BV19" t="e">
        <f>#REF!+"vlM![3"</f>
        <v>#REF!</v>
      </c>
      <c r="BW19" t="e">
        <f>#REF!+"vlM![4"</f>
        <v>#REF!</v>
      </c>
      <c r="BX19" t="e">
        <f>#REF!+"vlM![5"</f>
        <v>#REF!</v>
      </c>
      <c r="BY19" t="e">
        <f>#REF!+"vlM![6"</f>
        <v>#REF!</v>
      </c>
      <c r="BZ19" t="e">
        <f>#REF!+"vlM![7"</f>
        <v>#REF!</v>
      </c>
      <c r="CA19" t="e">
        <f>#REF!+"vlM![8"</f>
        <v>#REF!</v>
      </c>
      <c r="CB19" t="e">
        <f>#REF!+"vlM![9"</f>
        <v>#REF!</v>
      </c>
      <c r="CC19" t="e">
        <f>#REF!+"vlM![:"</f>
        <v>#REF!</v>
      </c>
      <c r="CD19" t="e">
        <f>#REF!+"vlM![;"</f>
        <v>#REF!</v>
      </c>
      <c r="CE19" t="e">
        <f>#REF!+"vlM![&lt;"</f>
        <v>#REF!</v>
      </c>
      <c r="CF19" t="e">
        <f>#REF!+"vlM![="</f>
        <v>#REF!</v>
      </c>
      <c r="CG19" t="e">
        <f>#REF!+"vlM![&gt;"</f>
        <v>#REF!</v>
      </c>
      <c r="CH19" t="e">
        <f>#REF!+"vlM![?"</f>
        <v>#REF!</v>
      </c>
      <c r="CI19" s="1" t="e">
        <f>#REF!+"vlM![@"</f>
        <v>#REF!</v>
      </c>
      <c r="CJ19" t="e">
        <f>#REF!+"vlM![A"</f>
        <v>#REF!</v>
      </c>
      <c r="CK19" t="e">
        <f>#REF!+"vlM![B"</f>
        <v>#REF!</v>
      </c>
      <c r="CL19" t="e">
        <f>#REF!+"vlM![C"</f>
        <v>#REF!</v>
      </c>
      <c r="CM19" t="e">
        <f>#REF!+"vlM![D"</f>
        <v>#REF!</v>
      </c>
      <c r="CN19" t="e">
        <f>#REF!+"vlM![E"</f>
        <v>#REF!</v>
      </c>
      <c r="CO19" t="e">
        <f>#REF!+"vlM![F"</f>
        <v>#REF!</v>
      </c>
      <c r="CP19" t="e">
        <f>#REF!+"vlM![G"</f>
        <v>#REF!</v>
      </c>
      <c r="CQ19" t="e">
        <f>#REF!+"vlM![H"</f>
        <v>#REF!</v>
      </c>
      <c r="CR19" t="e">
        <f>#REF!+"vlM![I"</f>
        <v>#REF!</v>
      </c>
      <c r="CS19" t="e">
        <f>#REF!+"vlM![J"</f>
        <v>#REF!</v>
      </c>
      <c r="CT19" t="e">
        <f>#REF!+"vlM![K"</f>
        <v>#REF!</v>
      </c>
      <c r="CU19" t="e">
        <f>#REF!+"vlM![L"</f>
        <v>#REF!</v>
      </c>
      <c r="CV19" t="e">
        <f>#REF!+"vlM![M"</f>
        <v>#REF!</v>
      </c>
      <c r="CW19" t="e">
        <f>#REF!+"vlM![N"</f>
        <v>#REF!</v>
      </c>
      <c r="CX19" s="1" t="e">
        <f>#REF!+"vlM![O"</f>
        <v>#REF!</v>
      </c>
      <c r="CY19" t="e">
        <f>#REF!+"vlM![P"</f>
        <v>#REF!</v>
      </c>
      <c r="CZ19" t="e">
        <f>#REF!+"vlM![Q"</f>
        <v>#REF!</v>
      </c>
      <c r="DA19" t="e">
        <f>#REF!+"vlM![R"</f>
        <v>#REF!</v>
      </c>
      <c r="DB19" t="e">
        <f>#REF!+"vlM![S"</f>
        <v>#REF!</v>
      </c>
      <c r="DC19" t="e">
        <f>#REF!+"vlM![T"</f>
        <v>#REF!</v>
      </c>
      <c r="DD19" t="e">
        <f>#REF!+"vlM![U"</f>
        <v>#REF!</v>
      </c>
      <c r="DE19" t="e">
        <f>#REF!+"vlM![V"</f>
        <v>#REF!</v>
      </c>
      <c r="DF19" t="e">
        <f>#REF!+"vlM![W"</f>
        <v>#REF!</v>
      </c>
      <c r="DG19" t="e">
        <f>#REF!+"vlM![X"</f>
        <v>#REF!</v>
      </c>
      <c r="DH19" t="e">
        <f>#REF!+"vlM![Y"</f>
        <v>#REF!</v>
      </c>
      <c r="DI19" t="e">
        <f>#REF!+"vlM![Z"</f>
        <v>#REF!</v>
      </c>
      <c r="DJ19" t="e">
        <f>#REF!+"vlM![["</f>
        <v>#REF!</v>
      </c>
      <c r="DK19" t="e">
        <f>#REF!+"vlM![\"</f>
        <v>#REF!</v>
      </c>
      <c r="DL19" t="e">
        <f>#REF!+"vlM![]"</f>
        <v>#REF!</v>
      </c>
      <c r="DM19" s="1" t="e">
        <f>#REF!+"vlM![^"</f>
        <v>#REF!</v>
      </c>
      <c r="DN19" t="e">
        <f>#REF!+"vlM![_"</f>
        <v>#REF!</v>
      </c>
      <c r="DO19" t="e">
        <f>#REF!+"vlM![`"</f>
        <v>#REF!</v>
      </c>
      <c r="DP19" t="e">
        <f>#REF!+"vlM![a"</f>
        <v>#REF!</v>
      </c>
      <c r="DQ19" t="e">
        <f>#REF!+"vlM![b"</f>
        <v>#REF!</v>
      </c>
      <c r="DR19" t="e">
        <f>#REF!+"vlM![c"</f>
        <v>#REF!</v>
      </c>
      <c r="DS19" t="e">
        <f>#REF!+"vlM![d"</f>
        <v>#REF!</v>
      </c>
      <c r="DT19" t="e">
        <f>#REF!+"vlM![e"</f>
        <v>#REF!</v>
      </c>
      <c r="DU19" t="e">
        <f>#REF!+"vlM![f"</f>
        <v>#REF!</v>
      </c>
      <c r="DV19" t="e">
        <f>#REF!+"vlM![g"</f>
        <v>#REF!</v>
      </c>
      <c r="DW19" t="e">
        <f>#REF!+"vlM![h"</f>
        <v>#REF!</v>
      </c>
      <c r="DX19" t="e">
        <f>#REF!+"vlM![i"</f>
        <v>#REF!</v>
      </c>
      <c r="DY19" t="e">
        <f>#REF!+"vlM![j"</f>
        <v>#REF!</v>
      </c>
      <c r="DZ19" t="e">
        <f>#REF!+"vlM![k"</f>
        <v>#REF!</v>
      </c>
      <c r="EA19" t="e">
        <f>#REF!+"vlM![l"</f>
        <v>#REF!</v>
      </c>
      <c r="EB19" s="1" t="e">
        <f>#REF!+"vlM![m"</f>
        <v>#REF!</v>
      </c>
      <c r="EC19" t="e">
        <f>#REF!+"vlM![n"</f>
        <v>#REF!</v>
      </c>
      <c r="ED19" t="e">
        <f>#REF!+"vlM![o"</f>
        <v>#REF!</v>
      </c>
      <c r="EE19" t="e">
        <f>#REF!+"vlM![p"</f>
        <v>#REF!</v>
      </c>
      <c r="EF19" t="e">
        <f>#REF!+"vlM![q"</f>
        <v>#REF!</v>
      </c>
      <c r="EG19" t="e">
        <f>#REF!+"vlM![r"</f>
        <v>#REF!</v>
      </c>
      <c r="EH19" t="e">
        <f>#REF!+"vlM![s"</f>
        <v>#REF!</v>
      </c>
      <c r="EI19" t="e">
        <f>#REF!+"vlM![t"</f>
        <v>#REF!</v>
      </c>
      <c r="EJ19" t="e">
        <f>#REF!+"vlM![u"</f>
        <v>#REF!</v>
      </c>
      <c r="EK19" t="e">
        <f>#REF!+"vlM![v"</f>
        <v>#REF!</v>
      </c>
      <c r="EL19" t="e">
        <f>#REF!+"vlM![w"</f>
        <v>#REF!</v>
      </c>
      <c r="EM19" t="e">
        <f>#REF!+"vlM![x"</f>
        <v>#REF!</v>
      </c>
      <c r="EN19" t="e">
        <f>#REF!+"vlM![y"</f>
        <v>#REF!</v>
      </c>
      <c r="EO19" t="e">
        <f>#REF!+"vlM![z"</f>
        <v>#REF!</v>
      </c>
      <c r="EP19" t="e">
        <f>#REF!+"vlM![{"</f>
        <v>#REF!</v>
      </c>
      <c r="EQ19" s="1" t="e">
        <f>#REF!+"vlM![|"</f>
        <v>#REF!</v>
      </c>
      <c r="ER19" t="e">
        <f>#REF!+"vlM![}"</f>
        <v>#REF!</v>
      </c>
      <c r="ES19" t="e">
        <f>#REF!+"vlM![~"</f>
        <v>#REF!</v>
      </c>
      <c r="ET19" t="e">
        <f>#REF!+"vlM!\#"</f>
        <v>#REF!</v>
      </c>
      <c r="EU19" t="e">
        <f>#REF!+"vlM!\$"</f>
        <v>#REF!</v>
      </c>
      <c r="EV19" t="e">
        <f>#REF!+"vlM!\%"</f>
        <v>#REF!</v>
      </c>
      <c r="EW19" t="e">
        <f>#REF!+"vlM!\&amp;"</f>
        <v>#REF!</v>
      </c>
      <c r="EX19" t="e">
        <f>#REF!+"vlM!\'"</f>
        <v>#REF!</v>
      </c>
      <c r="EY19" t="e">
        <f>#REF!+"vlM!\("</f>
        <v>#REF!</v>
      </c>
      <c r="EZ19" t="e">
        <f>#REF!+"vlM!\)"</f>
        <v>#REF!</v>
      </c>
      <c r="FA19" t="e">
        <f>#REF!+"vlM!\."</f>
        <v>#REF!</v>
      </c>
      <c r="FB19" t="e">
        <f>#REF!+"vlM!\/"</f>
        <v>#REF!</v>
      </c>
      <c r="FC19" t="e">
        <f>#REF!+"vlM!\0"</f>
        <v>#REF!</v>
      </c>
      <c r="FD19" t="e">
        <f>#REF!+"vlM!\1"</f>
        <v>#REF!</v>
      </c>
      <c r="FE19" t="e">
        <f>#REF!+"vlM!\2"</f>
        <v>#REF!</v>
      </c>
      <c r="FF19" s="1" t="e">
        <f>#REF!+"vlM!\3"</f>
        <v>#REF!</v>
      </c>
      <c r="FG19" t="e">
        <f>#REF!+"vlM!\4"</f>
        <v>#REF!</v>
      </c>
      <c r="FH19" t="e">
        <f>#REF!+"vlM!\5"</f>
        <v>#REF!</v>
      </c>
      <c r="FI19" t="e">
        <f>#REF!+"vlM!\6"</f>
        <v>#REF!</v>
      </c>
      <c r="FJ19" t="e">
        <f>#REF!+"vlM!\7"</f>
        <v>#REF!</v>
      </c>
      <c r="FK19" t="e">
        <f>#REF!+"vlM!\8"</f>
        <v>#REF!</v>
      </c>
      <c r="FL19" t="e">
        <f>#REF!+"vlM!\9"</f>
        <v>#REF!</v>
      </c>
      <c r="FM19" t="e">
        <f>#REF!+"vlM!\:"</f>
        <v>#REF!</v>
      </c>
      <c r="FN19" t="e">
        <f>#REF!+"vlM!\;"</f>
        <v>#REF!</v>
      </c>
      <c r="FO19" t="e">
        <f>#REF!+"vlM!\&lt;"</f>
        <v>#REF!</v>
      </c>
      <c r="FP19" t="e">
        <f>#REF!+"vlM!\="</f>
        <v>#REF!</v>
      </c>
      <c r="FQ19" t="e">
        <f>#REF!+"vlM!\&gt;"</f>
        <v>#REF!</v>
      </c>
      <c r="FR19" t="e">
        <f>#REF!+"vlM!\?"</f>
        <v>#REF!</v>
      </c>
      <c r="FS19" t="e">
        <f>#REF!+"vlM!\@"</f>
        <v>#REF!</v>
      </c>
      <c r="FT19" t="e">
        <f>#REF!+"vlM!\A"</f>
        <v>#REF!</v>
      </c>
      <c r="FU19" s="1" t="e">
        <f>#REF!+"vlM!\B"</f>
        <v>#REF!</v>
      </c>
      <c r="FV19" t="e">
        <f>#REF!+"vlM!\C"</f>
        <v>#REF!</v>
      </c>
      <c r="FW19" t="e">
        <f>#REF!+"vlM!\D"</f>
        <v>#REF!</v>
      </c>
      <c r="FX19" t="e">
        <f>#REF!+"vlM!\E"</f>
        <v>#REF!</v>
      </c>
      <c r="FY19" t="e">
        <f>#REF!+"vlM!\F"</f>
        <v>#REF!</v>
      </c>
      <c r="FZ19" t="e">
        <f>#REF!+"vlM!\G"</f>
        <v>#REF!</v>
      </c>
      <c r="GA19" t="e">
        <f>#REF!+"vlM!\H"</f>
        <v>#REF!</v>
      </c>
      <c r="GB19" t="e">
        <f>#REF!+"vlM!\I"</f>
        <v>#REF!</v>
      </c>
      <c r="GC19" t="e">
        <f>#REF!+"vlM!\J"</f>
        <v>#REF!</v>
      </c>
      <c r="GD19" t="e">
        <f>#REF!+"vlM!\K"</f>
        <v>#REF!</v>
      </c>
      <c r="GE19" t="e">
        <f>#REF!+"vlM!\L"</f>
        <v>#REF!</v>
      </c>
      <c r="GF19" t="e">
        <f>#REF!+"vlM!\M"</f>
        <v>#REF!</v>
      </c>
      <c r="GG19" t="e">
        <f>#REF!+"vlM!\N"</f>
        <v>#REF!</v>
      </c>
      <c r="GH19" t="e">
        <f>#REF!+"vlM!\O"</f>
        <v>#REF!</v>
      </c>
      <c r="GI19" t="e">
        <f>#REF!+"vlM!\P"</f>
        <v>#REF!</v>
      </c>
      <c r="GJ19" s="1" t="e">
        <f>#REF!+"vlM!\Q"</f>
        <v>#REF!</v>
      </c>
      <c r="GK19" t="e">
        <f>#REF!+"vlM!\R"</f>
        <v>#REF!</v>
      </c>
      <c r="GL19" t="e">
        <f>#REF!+"vlM!\S"</f>
        <v>#REF!</v>
      </c>
      <c r="GM19" t="e">
        <f>#REF!+"vlM!\T"</f>
        <v>#REF!</v>
      </c>
      <c r="GN19" t="e">
        <f>#REF!+"vlM!\U"</f>
        <v>#REF!</v>
      </c>
      <c r="GO19" t="e">
        <f>#REF!+"vlM!\V"</f>
        <v>#REF!</v>
      </c>
      <c r="GP19" t="e">
        <f>#REF!+"vlM!\W"</f>
        <v>#REF!</v>
      </c>
      <c r="GQ19" t="e">
        <f>#REF!+"vlM!\X"</f>
        <v>#REF!</v>
      </c>
      <c r="GR19" t="e">
        <f>#REF!+"vlM!\Y"</f>
        <v>#REF!</v>
      </c>
      <c r="GS19" t="e">
        <f>#REF!+"vlM!\Z"</f>
        <v>#REF!</v>
      </c>
      <c r="GT19" t="e">
        <f>#REF!+"vlM!\["</f>
        <v>#REF!</v>
      </c>
      <c r="GU19" t="e">
        <f>#REF!+"vlM!\\"</f>
        <v>#REF!</v>
      </c>
      <c r="GV19" t="e">
        <f>#REF!+"vlM!\]"</f>
        <v>#REF!</v>
      </c>
      <c r="GW19" t="e">
        <f>#REF!+"vlM!\^"</f>
        <v>#REF!</v>
      </c>
      <c r="GX19" t="e">
        <f>#REF!+"vlM!\_"</f>
        <v>#REF!</v>
      </c>
      <c r="GY19" s="1" t="e">
        <f>#REF!+"vlM!\`"</f>
        <v>#REF!</v>
      </c>
      <c r="GZ19" t="e">
        <f>#REF!+"vlM!\a"</f>
        <v>#REF!</v>
      </c>
      <c r="HA19" t="e">
        <f>#REF!+"vlM!\b"</f>
        <v>#REF!</v>
      </c>
      <c r="HB19" t="e">
        <f>#REF!+"vlM!\c"</f>
        <v>#REF!</v>
      </c>
      <c r="HC19" t="e">
        <f>#REF!+"vlM!\d"</f>
        <v>#REF!</v>
      </c>
      <c r="HD19" t="e">
        <f>#REF!+"vlM!\e"</f>
        <v>#REF!</v>
      </c>
      <c r="HE19" t="e">
        <f>#REF!+"vlM!\f"</f>
        <v>#REF!</v>
      </c>
      <c r="HF19" t="e">
        <f>#REF!+"vlM!\g"</f>
        <v>#REF!</v>
      </c>
      <c r="HG19" t="e">
        <f>#REF!+"vlM!\h"</f>
        <v>#REF!</v>
      </c>
      <c r="HH19" t="e">
        <f>#REF!+"vlM!\i"</f>
        <v>#REF!</v>
      </c>
      <c r="HI19" t="e">
        <f>#REF!+"vlM!\j"</f>
        <v>#REF!</v>
      </c>
      <c r="HJ19" t="e">
        <f>#REF!+"vlM!\k"</f>
        <v>#REF!</v>
      </c>
      <c r="HK19" t="e">
        <f>#REF!+"vlM!\l"</f>
        <v>#REF!</v>
      </c>
      <c r="HL19" t="e">
        <f>#REF!+"vlM!\m"</f>
        <v>#REF!</v>
      </c>
      <c r="HM19" t="e">
        <f>#REF!+"vlM!\n"</f>
        <v>#REF!</v>
      </c>
      <c r="HN19" s="1" t="e">
        <f>#REF!+"vlM!\o"</f>
        <v>#REF!</v>
      </c>
      <c r="HO19" t="e">
        <f>#REF!+"vlM!\p"</f>
        <v>#REF!</v>
      </c>
      <c r="HP19" t="e">
        <f>#REF!+"vlM!\q"</f>
        <v>#REF!</v>
      </c>
      <c r="HQ19" t="e">
        <f>#REF!+"vlM!\r"</f>
        <v>#REF!</v>
      </c>
      <c r="HR19" t="e">
        <f>#REF!+"vlM!\s"</f>
        <v>#REF!</v>
      </c>
      <c r="HS19" t="e">
        <f>#REF!+"vlM!\t"</f>
        <v>#REF!</v>
      </c>
      <c r="HT19" t="e">
        <f>#REF!+"vlM!\u"</f>
        <v>#REF!</v>
      </c>
      <c r="HU19" t="e">
        <f>#REF!+"vlM!\v"</f>
        <v>#REF!</v>
      </c>
      <c r="HV19" t="e">
        <f>#REF!+"vlM!\w"</f>
        <v>#REF!</v>
      </c>
      <c r="HW19" t="e">
        <f>#REF!+"vlM!\x"</f>
        <v>#REF!</v>
      </c>
      <c r="HX19" t="e">
        <f>#REF!+"vlM!\y"</f>
        <v>#REF!</v>
      </c>
      <c r="HY19" t="e">
        <f>#REF!+"vlM!\z"</f>
        <v>#REF!</v>
      </c>
      <c r="HZ19" t="e">
        <f>#REF!+"vlM!\{"</f>
        <v>#REF!</v>
      </c>
      <c r="IA19" t="e">
        <f>#REF!+"vlM!\|"</f>
        <v>#REF!</v>
      </c>
      <c r="IB19" t="e">
        <f>#REF!+"vlM!\}"</f>
        <v>#REF!</v>
      </c>
      <c r="IC19" s="1" t="e">
        <f>#REF!+"vlM!\~"</f>
        <v>#REF!</v>
      </c>
      <c r="ID19" t="e">
        <f>#REF!+"vlM!]#"</f>
        <v>#REF!</v>
      </c>
      <c r="IE19" t="e">
        <f>#REF!+"vlM!]$"</f>
        <v>#REF!</v>
      </c>
      <c r="IF19" t="e">
        <f>#REF!+"vlM!]%"</f>
        <v>#REF!</v>
      </c>
      <c r="IG19" t="e">
        <f>#REF!+"vlM!]&amp;"</f>
        <v>#REF!</v>
      </c>
      <c r="IH19" t="e">
        <f>#REF!+"vlM!]'"</f>
        <v>#REF!</v>
      </c>
      <c r="II19" t="e">
        <f>#REF!+"vlM!]("</f>
        <v>#REF!</v>
      </c>
      <c r="IJ19" t="e">
        <f>#REF!+"vlM!])"</f>
        <v>#REF!</v>
      </c>
      <c r="IK19" t="e">
        <f>#REF!+"vlM!]."</f>
        <v>#REF!</v>
      </c>
      <c r="IL19" t="e">
        <f>#REF!+"vlM!]/"</f>
        <v>#REF!</v>
      </c>
      <c r="IM19" t="e">
        <f>#REF!+"vlM!]0"</f>
        <v>#REF!</v>
      </c>
      <c r="IN19" t="e">
        <f>#REF!+"vlM!]1"</f>
        <v>#REF!</v>
      </c>
      <c r="IO19" t="e">
        <f>#REF!+"vlM!]2"</f>
        <v>#REF!</v>
      </c>
      <c r="IP19" t="e">
        <f>#REF!+"vlM!]3"</f>
        <v>#REF!</v>
      </c>
      <c r="IQ19" t="e">
        <f>#REF!+"vlM!]4"</f>
        <v>#REF!</v>
      </c>
      <c r="IR19" s="1" t="e">
        <f>#REF!+"vlM!]5"</f>
        <v>#REF!</v>
      </c>
      <c r="IS19" t="e">
        <f>#REF!+"vlM!]6"</f>
        <v>#REF!</v>
      </c>
      <c r="IT19" t="e">
        <f>#REF!+"vlM!]7"</f>
        <v>#REF!</v>
      </c>
      <c r="IU19" t="e">
        <f>#REF!+"vlM!]8"</f>
        <v>#REF!</v>
      </c>
      <c r="IV19" t="e">
        <f>#REF!+"vlM!]9"</f>
        <v>#REF!</v>
      </c>
    </row>
    <row r="20" spans="6:256" x14ac:dyDescent="0.25">
      <c r="F20" t="e">
        <f>#REF!+"vlM!]:"</f>
        <v>#REF!</v>
      </c>
      <c r="G20" t="e">
        <f>#REF!+"vlM!];"</f>
        <v>#REF!</v>
      </c>
      <c r="H20" t="e">
        <f>#REF!+"vlM!]&lt;"</f>
        <v>#REF!</v>
      </c>
      <c r="I20" t="e">
        <f>#REF!+"vlM!]="</f>
        <v>#REF!</v>
      </c>
      <c r="J20" t="e">
        <f>#REF!+"vlM!]&gt;"</f>
        <v>#REF!</v>
      </c>
      <c r="K20" t="e">
        <f>#REF!+"vlM!]?"</f>
        <v>#REF!</v>
      </c>
      <c r="L20" t="e">
        <f>#REF!+"vlM!]@"</f>
        <v>#REF!</v>
      </c>
      <c r="M20" t="e">
        <f>#REF!+"vlM!]A"</f>
        <v>#REF!</v>
      </c>
      <c r="N20" t="e">
        <f>#REF!+"vlM!]B"</f>
        <v>#REF!</v>
      </c>
      <c r="O20" t="e">
        <f>#REF!+"vlM!]C"</f>
        <v>#REF!</v>
      </c>
      <c r="P20" s="1" t="e">
        <f>#REF!+"vlM!]D"</f>
        <v>#REF!</v>
      </c>
      <c r="Q20" t="e">
        <f>#REF!+"vlM!]E"</f>
        <v>#REF!</v>
      </c>
      <c r="R20" t="e">
        <f>#REF!+"vlM!]F"</f>
        <v>#REF!</v>
      </c>
      <c r="S20" t="e">
        <f>#REF!+"vlM!]G"</f>
        <v>#REF!</v>
      </c>
      <c r="T20" t="e">
        <f>#REF!+"vlM!]H"</f>
        <v>#REF!</v>
      </c>
      <c r="U20" t="e">
        <f>#REF!+"vlM!]I"</f>
        <v>#REF!</v>
      </c>
      <c r="V20" t="e">
        <f>#REF!+"vlM!]J"</f>
        <v>#REF!</v>
      </c>
      <c r="W20" t="e">
        <f>#REF!+"vlM!]K"</f>
        <v>#REF!</v>
      </c>
      <c r="X20" t="e">
        <f>#REF!+"vlM!]L"</f>
        <v>#REF!</v>
      </c>
      <c r="Y20" t="e">
        <f>#REF!+"vlM!]M"</f>
        <v>#REF!</v>
      </c>
      <c r="Z20" t="e">
        <f>#REF!+"vlM!]N"</f>
        <v>#REF!</v>
      </c>
      <c r="AA20" t="e">
        <f>#REF!+"vlM!]O"</f>
        <v>#REF!</v>
      </c>
      <c r="AB20" t="e">
        <f>#REF!+"vlM!]P"</f>
        <v>#REF!</v>
      </c>
      <c r="AC20" t="e">
        <f>#REF!+"vlM!]Q"</f>
        <v>#REF!</v>
      </c>
      <c r="AD20" t="e">
        <f>#REF!+"vlM!]R"</f>
        <v>#REF!</v>
      </c>
      <c r="AE20" s="1" t="e">
        <f>#REF!+"vlM!]S"</f>
        <v>#REF!</v>
      </c>
      <c r="AF20" t="e">
        <f>#REF!+"vlM!]T"</f>
        <v>#REF!</v>
      </c>
      <c r="AG20" t="e">
        <f>#REF!+"vlM!]U"</f>
        <v>#REF!</v>
      </c>
      <c r="AH20" t="e">
        <f>#REF!+"vlM!]V"</f>
        <v>#REF!</v>
      </c>
      <c r="AI20" t="e">
        <f>#REF!+"vlM!]W"</f>
        <v>#REF!</v>
      </c>
      <c r="AJ20" t="e">
        <f>#REF!+"vlM!]X"</f>
        <v>#REF!</v>
      </c>
      <c r="AK20" t="e">
        <f>#REF!+"vlM!]Y"</f>
        <v>#REF!</v>
      </c>
      <c r="AL20" t="e">
        <f>#REF!+"vlM!]Z"</f>
        <v>#REF!</v>
      </c>
      <c r="AM20" t="e">
        <f>#REF!+"vlM!]["</f>
        <v>#REF!</v>
      </c>
      <c r="AN20" t="e">
        <f>#REF!+"vlM!]\"</f>
        <v>#REF!</v>
      </c>
      <c r="AO20" t="e">
        <f>#REF!+"vlM!]]"</f>
        <v>#REF!</v>
      </c>
      <c r="AP20" t="e">
        <f>#REF!+"vlM!]^"</f>
        <v>#REF!</v>
      </c>
      <c r="AQ20" t="e">
        <f>#REF!+"vlM!]_"</f>
        <v>#REF!</v>
      </c>
      <c r="AR20" t="e">
        <f>#REF!+"vlM!]`"</f>
        <v>#REF!</v>
      </c>
      <c r="AS20" t="e">
        <f>#REF!+"vlM!]a"</f>
        <v>#REF!</v>
      </c>
      <c r="AT20" s="1" t="e">
        <f>#REF!+"vlM!]b"</f>
        <v>#REF!</v>
      </c>
      <c r="AU20" t="e">
        <f>#REF!+"vlM!]c"</f>
        <v>#REF!</v>
      </c>
      <c r="AV20" t="e">
        <f>#REF!+"vlM!]d"</f>
        <v>#REF!</v>
      </c>
      <c r="AW20" t="e">
        <f>#REF!+"vlM!]e"</f>
        <v>#REF!</v>
      </c>
      <c r="AX20" t="e">
        <f>#REF!+"vlM!]f"</f>
        <v>#REF!</v>
      </c>
      <c r="AY20" t="e">
        <f>#REF!+"vlM!]g"</f>
        <v>#REF!</v>
      </c>
      <c r="AZ20" t="e">
        <f>#REF!+"vlM!]h"</f>
        <v>#REF!</v>
      </c>
      <c r="BA20" t="e">
        <f>#REF!+"vlM!]i"</f>
        <v>#REF!</v>
      </c>
      <c r="BB20" t="e">
        <f>#REF!+"vlM!]j"</f>
        <v>#REF!</v>
      </c>
      <c r="BC20" t="e">
        <f>#REF!+"vlM!]k"</f>
        <v>#REF!</v>
      </c>
      <c r="BD20" t="e">
        <f>#REF!+"vlM!]l"</f>
        <v>#REF!</v>
      </c>
      <c r="BE20" t="e">
        <f>#REF!+"vlM!]m"</f>
        <v>#REF!</v>
      </c>
      <c r="BF20" t="e">
        <f>#REF!+"vlM!]n"</f>
        <v>#REF!</v>
      </c>
      <c r="BG20" t="e">
        <f>#REF!+"vlM!]o"</f>
        <v>#REF!</v>
      </c>
      <c r="BH20" t="e">
        <f>#REF!+"vlM!]p"</f>
        <v>#REF!</v>
      </c>
      <c r="BI20" s="1" t="e">
        <f>#REF!+"vlM!]q"</f>
        <v>#REF!</v>
      </c>
      <c r="BJ20" t="e">
        <f>#REF!+"vlM!]r"</f>
        <v>#REF!</v>
      </c>
      <c r="BK20" t="e">
        <f>#REF!+"vlM!]s"</f>
        <v>#REF!</v>
      </c>
      <c r="BL20" t="e">
        <f>#REF!+"vlM!]t"</f>
        <v>#REF!</v>
      </c>
      <c r="BM20" t="e">
        <f>#REF!+"vlM!]u"</f>
        <v>#REF!</v>
      </c>
      <c r="BN20" t="e">
        <f>#REF!+"vlM!]v"</f>
        <v>#REF!</v>
      </c>
      <c r="BO20" t="e">
        <f>#REF!+"vlM!]w"</f>
        <v>#REF!</v>
      </c>
      <c r="BP20" t="e">
        <f>#REF!+"vlM!]x"</f>
        <v>#REF!</v>
      </c>
      <c r="BQ20" t="e">
        <f>#REF!+"vlM!]y"</f>
        <v>#REF!</v>
      </c>
      <c r="BR20" t="e">
        <f>#REF!+"vlM!]z"</f>
        <v>#REF!</v>
      </c>
      <c r="BS20" t="e">
        <f>#REF!+"vlM!]{"</f>
        <v>#REF!</v>
      </c>
      <c r="BT20" t="e">
        <f>#REF!+"vlM!]|"</f>
        <v>#REF!</v>
      </c>
      <c r="BU20" t="e">
        <f>#REF!+"vlM!]}"</f>
        <v>#REF!</v>
      </c>
      <c r="BV20" t="e">
        <f>#REF!+"vlM!]~"</f>
        <v>#REF!</v>
      </c>
      <c r="BW20" t="e">
        <f>#REF!+"vlM!^#"</f>
        <v>#REF!</v>
      </c>
      <c r="BX20" s="1" t="e">
        <f>#REF!+"vlM!^$"</f>
        <v>#REF!</v>
      </c>
      <c r="BY20" t="e">
        <f>#REF!+"vlM!^%"</f>
        <v>#REF!</v>
      </c>
      <c r="BZ20" t="e">
        <f>#REF!+"vlM!^&amp;"</f>
        <v>#REF!</v>
      </c>
      <c r="CA20" t="e">
        <f>#REF!+"vlM!^'"</f>
        <v>#REF!</v>
      </c>
      <c r="CB20" t="e">
        <f>#REF!+"vlM!^("</f>
        <v>#REF!</v>
      </c>
      <c r="CC20" t="e">
        <f>#REF!+"vlM!^)"</f>
        <v>#REF!</v>
      </c>
      <c r="CD20" t="e">
        <f>#REF!+"vlM!^."</f>
        <v>#REF!</v>
      </c>
      <c r="CE20" t="e">
        <f>#REF!+"vlM!^/"</f>
        <v>#REF!</v>
      </c>
      <c r="CF20" t="e">
        <f>#REF!+"vlM!^0"</f>
        <v>#REF!</v>
      </c>
      <c r="CG20" t="e">
        <f>#REF!+"vlM!^1"</f>
        <v>#REF!</v>
      </c>
      <c r="CH20" t="e">
        <f>#REF!+"vlM!^2"</f>
        <v>#REF!</v>
      </c>
      <c r="CI20" t="e">
        <f>#REF!+"vlM!^3"</f>
        <v>#REF!</v>
      </c>
      <c r="CJ20" t="e">
        <f>#REF!+"vlM!^4"</f>
        <v>#REF!</v>
      </c>
      <c r="CK20" t="e">
        <f>#REF!+"vlM!^5"</f>
        <v>#REF!</v>
      </c>
      <c r="CL20" t="e">
        <f>#REF!+"vlM!^6"</f>
        <v>#REF!</v>
      </c>
      <c r="CM20" s="1" t="e">
        <f>#REF!+"vlM!^7"</f>
        <v>#REF!</v>
      </c>
      <c r="CN20" t="e">
        <f>#REF!+"vlM!^8"</f>
        <v>#REF!</v>
      </c>
      <c r="CO20" t="e">
        <f>#REF!+"vlM!^9"</f>
        <v>#REF!</v>
      </c>
      <c r="CP20" t="e">
        <f>#REF!+"vlM!^:"</f>
        <v>#REF!</v>
      </c>
      <c r="CQ20" t="e">
        <f>#REF!+"vlM!^;"</f>
        <v>#REF!</v>
      </c>
      <c r="CR20" t="e">
        <f>#REF!+"vlM!^&lt;"</f>
        <v>#REF!</v>
      </c>
      <c r="CS20" t="e">
        <f>#REF!+"vlM!^="</f>
        <v>#REF!</v>
      </c>
      <c r="CT20" t="e">
        <f>#REF!+"vlM!^&gt;"</f>
        <v>#REF!</v>
      </c>
      <c r="CU20" t="e">
        <f>#REF!+"vlM!^?"</f>
        <v>#REF!</v>
      </c>
      <c r="CV20" t="e">
        <f>#REF!+"vlM!^@"</f>
        <v>#REF!</v>
      </c>
      <c r="CW20" t="e">
        <f>#REF!+"vlM!^A"</f>
        <v>#REF!</v>
      </c>
      <c r="CX20" t="e">
        <f>#REF!+"vlM!^B"</f>
        <v>#REF!</v>
      </c>
      <c r="CY20" t="e">
        <f>#REF!+"vlM!^C"</f>
        <v>#REF!</v>
      </c>
      <c r="CZ20" t="e">
        <f>#REF!+"vlM!^D"</f>
        <v>#REF!</v>
      </c>
      <c r="DA20" t="e">
        <f>#REF!+"vlM!^E"</f>
        <v>#REF!</v>
      </c>
      <c r="DB20" s="1" t="e">
        <f>#REF!+"vlM!^F"</f>
        <v>#REF!</v>
      </c>
      <c r="DC20" t="e">
        <f>#REF!+"vlM!^G"</f>
        <v>#REF!</v>
      </c>
      <c r="DD20" t="e">
        <f>#REF!+"vlM!^H"</f>
        <v>#REF!</v>
      </c>
      <c r="DE20" t="e">
        <f>#REF!+"vlM!^I"</f>
        <v>#REF!</v>
      </c>
      <c r="DF20" t="e">
        <f>#REF!+"vlM!^J"</f>
        <v>#REF!</v>
      </c>
      <c r="DG20" t="e">
        <f>#REF!+"vlM!^K"</f>
        <v>#REF!</v>
      </c>
      <c r="DH20" t="e">
        <f>#REF!+"vlM!^L"</f>
        <v>#REF!</v>
      </c>
      <c r="DI20" t="e">
        <f>#REF!+"vlM!^M"</f>
        <v>#REF!</v>
      </c>
      <c r="DJ20" t="e">
        <f>#REF!+"vlM!^N"</f>
        <v>#REF!</v>
      </c>
      <c r="DK20" t="e">
        <f>#REF!+"vlM!^O"</f>
        <v>#REF!</v>
      </c>
      <c r="DL20" t="e">
        <f>#REF!+"vlM!^P"</f>
        <v>#REF!</v>
      </c>
      <c r="DM20" t="e">
        <f>#REF!+"vlM!^Q"</f>
        <v>#REF!</v>
      </c>
      <c r="DN20" t="e">
        <f>#REF!+"vlM!^R"</f>
        <v>#REF!</v>
      </c>
      <c r="DO20" t="e">
        <f>#REF!+"vlM!^S"</f>
        <v>#REF!</v>
      </c>
      <c r="DP20" t="e">
        <f>#REF!+"vlM!^T"</f>
        <v>#REF!</v>
      </c>
      <c r="DQ20" s="1" t="e">
        <f>#REF!+"vlM!^U"</f>
        <v>#REF!</v>
      </c>
      <c r="DR20" t="e">
        <f>#REF!+"vlM!^V"</f>
        <v>#REF!</v>
      </c>
      <c r="DS20" t="e">
        <f>#REF!+"vlM!^W"</f>
        <v>#REF!</v>
      </c>
      <c r="DT20" t="e">
        <f>#REF!+"vlM!^X"</f>
        <v>#REF!</v>
      </c>
      <c r="DU20" t="e">
        <f>#REF!+"vlM!^Y"</f>
        <v>#REF!</v>
      </c>
      <c r="DV20" t="e">
        <f>#REF!+"vlM!^Z"</f>
        <v>#REF!</v>
      </c>
      <c r="DW20" t="e">
        <f>#REF!+"vlM!^["</f>
        <v>#REF!</v>
      </c>
      <c r="DX20" t="e">
        <f>#REF!+"vlM!^\"</f>
        <v>#REF!</v>
      </c>
      <c r="DY20" t="e">
        <f>#REF!+"vlM!^]"</f>
        <v>#REF!</v>
      </c>
      <c r="DZ20" t="e">
        <f>#REF!+"vlM!^^"</f>
        <v>#REF!</v>
      </c>
      <c r="EA20" t="e">
        <f>#REF!+"vlM!^_"</f>
        <v>#REF!</v>
      </c>
      <c r="EB20" t="e">
        <f>#REF!+"vlM!^`"</f>
        <v>#REF!</v>
      </c>
      <c r="EC20" t="e">
        <f>#REF!+"vlM!^a"</f>
        <v>#REF!</v>
      </c>
      <c r="ED20" t="e">
        <f>#REF!+"vlM!^b"</f>
        <v>#REF!</v>
      </c>
      <c r="EE20" t="e">
        <f>#REF!+"vlM!^c"</f>
        <v>#REF!</v>
      </c>
      <c r="EF20" s="1" t="e">
        <f>#REF!+"vlM!^d"</f>
        <v>#REF!</v>
      </c>
      <c r="EG20" t="e">
        <f>#REF!+"vlM!^e"</f>
        <v>#REF!</v>
      </c>
      <c r="EH20" t="e">
        <f>#REF!+"vlM!^f"</f>
        <v>#REF!</v>
      </c>
      <c r="EI20" t="e">
        <f>#REF!+"vlM!^g"</f>
        <v>#REF!</v>
      </c>
      <c r="EJ20" t="e">
        <f>#REF!+"vlM!^h"</f>
        <v>#REF!</v>
      </c>
      <c r="EK20" t="e">
        <f>#REF!+"vlM!^i"</f>
        <v>#REF!</v>
      </c>
      <c r="EL20" t="e">
        <f>#REF!+"vlM!^j"</f>
        <v>#REF!</v>
      </c>
      <c r="EM20" t="e">
        <f>#REF!+"vlM!^k"</f>
        <v>#REF!</v>
      </c>
      <c r="EN20" t="e">
        <f>#REF!+"vlM!^l"</f>
        <v>#REF!</v>
      </c>
      <c r="EO20" t="e">
        <f>#REF!+"vlM!^m"</f>
        <v>#REF!</v>
      </c>
      <c r="EP20" t="e">
        <f>#REF!+"vlM!^n"</f>
        <v>#REF!</v>
      </c>
      <c r="EQ20" t="e">
        <f>#REF!+"vlM!^o"</f>
        <v>#REF!</v>
      </c>
      <c r="ER20" t="e">
        <f>#REF!+"vlM!^p"</f>
        <v>#REF!</v>
      </c>
      <c r="ES20" t="e">
        <f>#REF!+"vlM!^q"</f>
        <v>#REF!</v>
      </c>
      <c r="ET20" t="e">
        <f>#REF!+"vlM!^r"</f>
        <v>#REF!</v>
      </c>
      <c r="EU20" s="1" t="e">
        <f>#REF!+"vlM!^s"</f>
        <v>#REF!</v>
      </c>
      <c r="EV20" t="e">
        <f>#REF!+"vlM!^t"</f>
        <v>#REF!</v>
      </c>
      <c r="EW20" t="e">
        <f>#REF!+"vlM!^u"</f>
        <v>#REF!</v>
      </c>
      <c r="EX20" t="e">
        <f>#REF!+"vlM!^v"</f>
        <v>#REF!</v>
      </c>
      <c r="EY20" t="e">
        <f>#REF!+"vlM!^w"</f>
        <v>#REF!</v>
      </c>
      <c r="EZ20" t="e">
        <f>#REF!+"vlM!^x"</f>
        <v>#REF!</v>
      </c>
      <c r="FA20" t="e">
        <f>#REF!+"vlM!^y"</f>
        <v>#REF!</v>
      </c>
      <c r="FB20" t="e">
        <f>#REF!+"vlM!^z"</f>
        <v>#REF!</v>
      </c>
      <c r="FC20" t="e">
        <f>#REF!+"vlM!^{"</f>
        <v>#REF!</v>
      </c>
      <c r="FD20" t="e">
        <f>#REF!+"vlM!^|"</f>
        <v>#REF!</v>
      </c>
      <c r="FE20" t="e">
        <f>#REF!+"vlM!^}"</f>
        <v>#REF!</v>
      </c>
      <c r="FF20" t="e">
        <f>#REF!+"vlM!^~"</f>
        <v>#REF!</v>
      </c>
      <c r="FG20" t="e">
        <f>#REF!+"vlM!_#"</f>
        <v>#REF!</v>
      </c>
      <c r="FH20" t="e">
        <f>#REF!+"vlM!_$"</f>
        <v>#REF!</v>
      </c>
      <c r="FI20" t="e">
        <f>#REF!+"vlM!_%"</f>
        <v>#REF!</v>
      </c>
      <c r="FJ20" s="1" t="e">
        <f>#REF!+"vlM!_&amp;"</f>
        <v>#REF!</v>
      </c>
      <c r="FK20" t="e">
        <f>#REF!+"vlM!_'"</f>
        <v>#REF!</v>
      </c>
      <c r="FL20" t="e">
        <f>#REF!+"vlM!_("</f>
        <v>#REF!</v>
      </c>
      <c r="FM20" t="e">
        <f>#REF!+"vlM!_)"</f>
        <v>#REF!</v>
      </c>
      <c r="FN20" t="e">
        <f>#REF!+"vlM!_."</f>
        <v>#REF!</v>
      </c>
      <c r="FO20" t="e">
        <f>#REF!+"vlM!_/"</f>
        <v>#REF!</v>
      </c>
      <c r="FP20" t="e">
        <f>#REF!+"vlM!_0"</f>
        <v>#REF!</v>
      </c>
      <c r="FQ20" t="e">
        <f>#REF!+"vlM!_1"</f>
        <v>#REF!</v>
      </c>
      <c r="FR20" t="e">
        <f>#REF!+"vlM!_2"</f>
        <v>#REF!</v>
      </c>
      <c r="FS20" t="e">
        <f>#REF!+"vlM!_3"</f>
        <v>#REF!</v>
      </c>
      <c r="FT20" t="e">
        <f>#REF!+"vlM!_4"</f>
        <v>#REF!</v>
      </c>
      <c r="FU20" t="e">
        <f>#REF!+"vlM!_5"</f>
        <v>#REF!</v>
      </c>
      <c r="FV20" t="e">
        <f>#REF!+"vlM!_6"</f>
        <v>#REF!</v>
      </c>
      <c r="FW20" t="e">
        <f>#REF!+"vlM!_7"</f>
        <v>#REF!</v>
      </c>
      <c r="FX20" t="e">
        <f>#REF!+"vlM!_8"</f>
        <v>#REF!</v>
      </c>
      <c r="FY20" s="1" t="e">
        <f>#REF!+"vlM!_9"</f>
        <v>#REF!</v>
      </c>
      <c r="FZ20" t="e">
        <f>#REF!+"vlM!_:"</f>
        <v>#REF!</v>
      </c>
      <c r="GA20" t="e">
        <f>#REF!+"vlM!_;"</f>
        <v>#REF!</v>
      </c>
      <c r="GB20" t="e">
        <f>#REF!+"vlM!_&lt;"</f>
        <v>#REF!</v>
      </c>
      <c r="GC20" t="e">
        <f>#REF!+"vlM!_="</f>
        <v>#REF!</v>
      </c>
      <c r="GD20" t="e">
        <f>#REF!+"vlM!_&gt;"</f>
        <v>#REF!</v>
      </c>
      <c r="GE20" t="e">
        <f>#REF!+"vlM!_?"</f>
        <v>#REF!</v>
      </c>
      <c r="GF20" t="e">
        <f>#REF!+"vlM!_@"</f>
        <v>#REF!</v>
      </c>
      <c r="GG20" t="e">
        <f>#REF!+"vlM!_A"</f>
        <v>#REF!</v>
      </c>
      <c r="GH20" t="e">
        <f>#REF!+"vlM!_B"</f>
        <v>#REF!</v>
      </c>
      <c r="GI20" t="e">
        <f>#REF!+"vlM!_C"</f>
        <v>#REF!</v>
      </c>
      <c r="GJ20" t="e">
        <f>#REF!+"vlM!_D"</f>
        <v>#REF!</v>
      </c>
      <c r="GK20" t="e">
        <f>#REF!+"vlM!_E"</f>
        <v>#REF!</v>
      </c>
      <c r="GL20" t="e">
        <f>#REF!+"vlM!_F"</f>
        <v>#REF!</v>
      </c>
      <c r="GM20" t="e">
        <f>#REF!+"vlM!_G"</f>
        <v>#REF!</v>
      </c>
      <c r="GN20" s="1" t="e">
        <f>#REF!+"vlM!_H"</f>
        <v>#REF!</v>
      </c>
      <c r="GO20" t="e">
        <f>#REF!+"vlM!_I"</f>
        <v>#REF!</v>
      </c>
      <c r="GP20" t="e">
        <f>#REF!+"vlM!_J"</f>
        <v>#REF!</v>
      </c>
      <c r="GQ20" t="e">
        <f>#REF!+"vlM!_K"</f>
        <v>#REF!</v>
      </c>
      <c r="GR20" t="e">
        <f>#REF!+"vlM!_L"</f>
        <v>#REF!</v>
      </c>
      <c r="GS20" t="e">
        <f>#REF!+"vlM!_M"</f>
        <v>#REF!</v>
      </c>
      <c r="GT20" t="e">
        <f>#REF!+"vlM!_N"</f>
        <v>#REF!</v>
      </c>
      <c r="GU20" t="e">
        <f>#REF!+"vlM!_O"</f>
        <v>#REF!</v>
      </c>
      <c r="GV20" t="e">
        <f>#REF!+"vlM!_P"</f>
        <v>#REF!</v>
      </c>
      <c r="GW20" t="e">
        <f>#REF!+"vlM!_Q"</f>
        <v>#REF!</v>
      </c>
      <c r="GX20" t="e">
        <f>#REF!+"vlM!_R"</f>
        <v>#REF!</v>
      </c>
      <c r="GY20" t="e">
        <f>#REF!+"vlM!_S"</f>
        <v>#REF!</v>
      </c>
      <c r="GZ20" t="e">
        <f>#REF!+"vlM!_T"</f>
        <v>#REF!</v>
      </c>
      <c r="HA20" t="e">
        <f>#REF!+"vlM!_U"</f>
        <v>#REF!</v>
      </c>
      <c r="HB20" t="e">
        <f>#REF!+"vlM!_V"</f>
        <v>#REF!</v>
      </c>
      <c r="HC20" s="1" t="e">
        <f>#REF!+"vlM!_W"</f>
        <v>#REF!</v>
      </c>
      <c r="HD20" t="e">
        <f>#REF!+"vlM!_X"</f>
        <v>#REF!</v>
      </c>
      <c r="HE20" t="e">
        <f>#REF!+"vlM!_Y"</f>
        <v>#REF!</v>
      </c>
      <c r="HF20" t="e">
        <f>#REF!+"vlM!_Z"</f>
        <v>#REF!</v>
      </c>
      <c r="HG20" t="e">
        <f>#REF!+"vlM!_["</f>
        <v>#REF!</v>
      </c>
      <c r="HH20" t="e">
        <f>#REF!+"vlM!_\"</f>
        <v>#REF!</v>
      </c>
      <c r="HI20" t="e">
        <f>#REF!+"vlM!_]"</f>
        <v>#REF!</v>
      </c>
      <c r="HJ20" t="e">
        <f>#REF!+"vlM!_^"</f>
        <v>#REF!</v>
      </c>
      <c r="HK20" t="e">
        <f>#REF!+"vlM!__"</f>
        <v>#REF!</v>
      </c>
      <c r="HL20" t="e">
        <f>#REF!+"vlM!_`"</f>
        <v>#REF!</v>
      </c>
      <c r="HM20" t="e">
        <f>#REF!+"vlM!_a"</f>
        <v>#REF!</v>
      </c>
      <c r="HN20" t="e">
        <f>#REF!+"vlM!_b"</f>
        <v>#REF!</v>
      </c>
      <c r="HO20" t="e">
        <f>#REF!+"vlM!_c"</f>
        <v>#REF!</v>
      </c>
      <c r="HP20" t="e">
        <f>#REF!+"vlM!_d"</f>
        <v>#REF!</v>
      </c>
      <c r="HQ20" t="e">
        <f>#REF!+"vlM!_e"</f>
        <v>#REF!</v>
      </c>
      <c r="HR20" s="1" t="e">
        <f>#REF!+"vlM!_f"</f>
        <v>#REF!</v>
      </c>
      <c r="HS20" t="e">
        <f>#REF!+"vlM!_g"</f>
        <v>#REF!</v>
      </c>
      <c r="HT20" t="e">
        <f>#REF!+"vlM!_h"</f>
        <v>#REF!</v>
      </c>
      <c r="HU20" t="e">
        <f>#REF!+"vlM!_i"</f>
        <v>#REF!</v>
      </c>
      <c r="HV20" t="e">
        <f>#REF!+"vlM!_j"</f>
        <v>#REF!</v>
      </c>
      <c r="HW20" t="e">
        <f>#REF!+"vlM!_k"</f>
        <v>#REF!</v>
      </c>
      <c r="HX20" t="e">
        <f>#REF!+"vlM!_l"</f>
        <v>#REF!</v>
      </c>
      <c r="HY20" t="e">
        <f>#REF!+"vlM!_m"</f>
        <v>#REF!</v>
      </c>
      <c r="HZ20" t="e">
        <f>#REF!+"vlM!_n"</f>
        <v>#REF!</v>
      </c>
      <c r="IA20" t="e">
        <f>#REF!+"vlM!_o"</f>
        <v>#REF!</v>
      </c>
      <c r="IB20" t="e">
        <f>#REF!+"vlM!_p"</f>
        <v>#REF!</v>
      </c>
      <c r="IC20" t="e">
        <f>#REF!+"vlM!_q"</f>
        <v>#REF!</v>
      </c>
      <c r="ID20" t="e">
        <f>#REF!+"vlM!_r"</f>
        <v>#REF!</v>
      </c>
      <c r="IE20" t="e">
        <f>#REF!+"vlM!_s"</f>
        <v>#REF!</v>
      </c>
      <c r="IF20" t="e">
        <f>#REF!+"vlM!_t"</f>
        <v>#REF!</v>
      </c>
      <c r="IG20" s="1" t="e">
        <f>#REF!+"vlM!_u"</f>
        <v>#REF!</v>
      </c>
      <c r="IH20" t="e">
        <f>#REF!+"vlM!_v"</f>
        <v>#REF!</v>
      </c>
      <c r="II20" t="e">
        <f>#REF!+"vlM!_w"</f>
        <v>#REF!</v>
      </c>
      <c r="IJ20" t="e">
        <f>#REF!+"vlM!_x"</f>
        <v>#REF!</v>
      </c>
      <c r="IK20" t="e">
        <f>#REF!+"vlM!_y"</f>
        <v>#REF!</v>
      </c>
      <c r="IL20" t="e">
        <f>#REF!+"vlM!_z"</f>
        <v>#REF!</v>
      </c>
      <c r="IM20" t="e">
        <f>#REF!+"vlM!_{"</f>
        <v>#REF!</v>
      </c>
      <c r="IN20" t="e">
        <f>#REF!+"vlM!_|"</f>
        <v>#REF!</v>
      </c>
      <c r="IO20" t="e">
        <f>#REF!+"vlM!_}"</f>
        <v>#REF!</v>
      </c>
      <c r="IP20" t="e">
        <f>#REF!+"vlM!_~"</f>
        <v>#REF!</v>
      </c>
      <c r="IQ20" t="e">
        <f>#REF!+"vlM!`#"</f>
        <v>#REF!</v>
      </c>
      <c r="IR20" t="e">
        <f>#REF!+"vlM!`$"</f>
        <v>#REF!</v>
      </c>
      <c r="IS20" t="e">
        <f>#REF!+"vlM!`%"</f>
        <v>#REF!</v>
      </c>
      <c r="IT20" t="e">
        <f>#REF!+"vlM!`&amp;"</f>
        <v>#REF!</v>
      </c>
      <c r="IU20" t="e">
        <f>#REF!+"vlM!`'"</f>
        <v>#REF!</v>
      </c>
      <c r="IV20" s="1" t="e">
        <f>#REF!+"vlM!`("</f>
        <v>#REF!</v>
      </c>
    </row>
    <row r="21" spans="6:256" x14ac:dyDescent="0.25">
      <c r="F21" t="e">
        <f>#REF!+"vlM!`)"</f>
        <v>#REF!</v>
      </c>
      <c r="G21" t="e">
        <f>#REF!+"vlM!`."</f>
        <v>#REF!</v>
      </c>
      <c r="H21" t="e">
        <f>#REF!+"vlM!`/"</f>
        <v>#REF!</v>
      </c>
      <c r="I21" t="e">
        <f>#REF!+"vlM!`0"</f>
        <v>#REF!</v>
      </c>
      <c r="J21" t="e">
        <f>#REF!+"vlM!`1"</f>
        <v>#REF!</v>
      </c>
      <c r="K21" t="e">
        <f>#REF!+"vlM!`2"</f>
        <v>#REF!</v>
      </c>
      <c r="L21" t="e">
        <f>#REF!+"vlM!`3"</f>
        <v>#REF!</v>
      </c>
      <c r="M21" t="e">
        <f>#REF!+"vlM!`4"</f>
        <v>#REF!</v>
      </c>
      <c r="N21" t="e">
        <f>#REF!+"vlM!`5"</f>
        <v>#REF!</v>
      </c>
      <c r="O21" t="e">
        <f>#REF!+"vlM!`6"</f>
        <v>#REF!</v>
      </c>
      <c r="P21" t="e">
        <f>#REF!+"vlM!`7"</f>
        <v>#REF!</v>
      </c>
      <c r="Q21" t="e">
        <f>#REF!+"vlM!`8"</f>
        <v>#REF!</v>
      </c>
      <c r="R21" t="e">
        <f>#REF!+"vlM!`9"</f>
        <v>#REF!</v>
      </c>
      <c r="S21" t="e">
        <f>#REF!+"vlM!`:"</f>
        <v>#REF!</v>
      </c>
      <c r="T21" s="1" t="e">
        <f>#REF!+"vlM!`;"</f>
        <v>#REF!</v>
      </c>
      <c r="U21" t="e">
        <f>#REF!+"vlM!`&lt;"</f>
        <v>#REF!</v>
      </c>
      <c r="V21" t="e">
        <f>#REF!+"vlM!`="</f>
        <v>#REF!</v>
      </c>
      <c r="W21" t="e">
        <f>#REF!+"vlM!`&gt;"</f>
        <v>#REF!</v>
      </c>
      <c r="X21" t="e">
        <f>#REF!+"vlM!`?"</f>
        <v>#REF!</v>
      </c>
      <c r="Y21" t="e">
        <f>#REF!+"vlM!`@"</f>
        <v>#REF!</v>
      </c>
      <c r="Z21" t="e">
        <f>#REF!+"vlM!`A"</f>
        <v>#REF!</v>
      </c>
      <c r="AA21" t="e">
        <f>#REF!+"vlM!`B"</f>
        <v>#REF!</v>
      </c>
      <c r="AB21" t="e">
        <f>#REF!+"vlM!`C"</f>
        <v>#REF!</v>
      </c>
      <c r="AC21" t="e">
        <f>#REF!+"vlM!`D"</f>
        <v>#REF!</v>
      </c>
      <c r="AD21" t="e">
        <f>#REF!+"vlM!`E"</f>
        <v>#REF!</v>
      </c>
      <c r="AE21" t="e">
        <f>#REF!+"vlM!`F"</f>
        <v>#REF!</v>
      </c>
      <c r="AF21" t="e">
        <f>#REF!+"vlM!`G"</f>
        <v>#REF!</v>
      </c>
      <c r="AG21" t="e">
        <f>#REF!+"vlM!`H"</f>
        <v>#REF!</v>
      </c>
      <c r="AH21" t="e">
        <f>#REF!+"vlM!`I"</f>
        <v>#REF!</v>
      </c>
      <c r="AI21" s="1" t="e">
        <f>#REF!+"vlM!`J"</f>
        <v>#REF!</v>
      </c>
      <c r="AJ21" t="e">
        <f>#REF!+"vlM!`K"</f>
        <v>#REF!</v>
      </c>
      <c r="AK21" t="e">
        <f>#REF!+"vlM!`L"</f>
        <v>#REF!</v>
      </c>
      <c r="AL21" t="e">
        <f>#REF!+"vlM!`M"</f>
        <v>#REF!</v>
      </c>
      <c r="AM21" t="e">
        <f>#REF!+"vlM!`N"</f>
        <v>#REF!</v>
      </c>
      <c r="AN21" t="e">
        <f>#REF!+"vlM!`O"</f>
        <v>#REF!</v>
      </c>
      <c r="AO21" t="e">
        <f>#REF!+"vlM!`P"</f>
        <v>#REF!</v>
      </c>
      <c r="AP21" t="e">
        <f>#REF!+"vlM!`Q"</f>
        <v>#REF!</v>
      </c>
      <c r="AQ21" t="e">
        <f>#REF!+"vlM!`R"</f>
        <v>#REF!</v>
      </c>
      <c r="AR21" t="e">
        <f>#REF!+"vlM!`S"</f>
        <v>#REF!</v>
      </c>
      <c r="AS21" t="e">
        <f>#REF!+"vlM!`T"</f>
        <v>#REF!</v>
      </c>
      <c r="AT21" t="e">
        <f>#REF!+"vlM!`U"</f>
        <v>#REF!</v>
      </c>
      <c r="AU21" t="e">
        <f>#REF!+"vlM!`V"</f>
        <v>#REF!</v>
      </c>
      <c r="AV21" t="e">
        <f>#REF!+"vlM!`W"</f>
        <v>#REF!</v>
      </c>
      <c r="AW21" t="e">
        <f>#REF!+"vlM!`X"</f>
        <v>#REF!</v>
      </c>
      <c r="AX21" s="1" t="e">
        <f>#REF!+"vlM!`Y"</f>
        <v>#REF!</v>
      </c>
      <c r="AY21" t="e">
        <f>#REF!+"vlM!`Z"</f>
        <v>#REF!</v>
      </c>
      <c r="AZ21" t="e">
        <f>#REF!+"vlM!`["</f>
        <v>#REF!</v>
      </c>
      <c r="BA21" t="e">
        <f>#REF!+"vlM!`\"</f>
        <v>#REF!</v>
      </c>
      <c r="BB21" t="e">
        <f>#REF!+"vlM!`]"</f>
        <v>#REF!</v>
      </c>
      <c r="BC21" t="e">
        <f>#REF!+"vlM!`^"</f>
        <v>#REF!</v>
      </c>
      <c r="BD21" t="e">
        <f>#REF!+"vlM!`_"</f>
        <v>#REF!</v>
      </c>
      <c r="BE21" t="e">
        <f>#REF!+"vlM!``"</f>
        <v>#REF!</v>
      </c>
      <c r="BF21" t="e">
        <f>#REF!+"vlM!`a"</f>
        <v>#REF!</v>
      </c>
      <c r="BG21" t="e">
        <f>#REF!+"vlM!`b"</f>
        <v>#REF!</v>
      </c>
      <c r="BH21" t="e">
        <f>#REF!+"vlM!`c"</f>
        <v>#REF!</v>
      </c>
      <c r="BI21" t="e">
        <f>#REF!+"vlM!`d"</f>
        <v>#REF!</v>
      </c>
      <c r="BJ21" t="e">
        <f>#REF!+"vlM!`e"</f>
        <v>#REF!</v>
      </c>
      <c r="BK21" t="e">
        <f>#REF!+"vlM!`f"</f>
        <v>#REF!</v>
      </c>
      <c r="BL21" t="e">
        <f>#REF!+"vlM!`g"</f>
        <v>#REF!</v>
      </c>
      <c r="BM21" s="1" t="e">
        <f>#REF!+"vlM!`h"</f>
        <v>#REF!</v>
      </c>
      <c r="BN21" t="e">
        <f>#REF!+"vlM!`i"</f>
        <v>#REF!</v>
      </c>
      <c r="BO21" t="e">
        <f>#REF!+"vlM!`j"</f>
        <v>#REF!</v>
      </c>
      <c r="BP21" t="e">
        <f>#REF!+"vlM!`k"</f>
        <v>#REF!</v>
      </c>
      <c r="BQ21" t="e">
        <f>#REF!+"vlM!`l"</f>
        <v>#REF!</v>
      </c>
      <c r="BR21" t="e">
        <f>#REF!+"vlM!`m"</f>
        <v>#REF!</v>
      </c>
      <c r="BS21" t="e">
        <f>#REF!+"vlM!`n"</f>
        <v>#REF!</v>
      </c>
      <c r="BT21" t="e">
        <f>#REF!+"vlM!`o"</f>
        <v>#REF!</v>
      </c>
      <c r="BU21" t="e">
        <f>#REF!+"vlM!`p"</f>
        <v>#REF!</v>
      </c>
      <c r="BV21" t="e">
        <f>#REF!+"vlM!`q"</f>
        <v>#REF!</v>
      </c>
      <c r="BW21" t="e">
        <f>#REF!+"vlM!`r"</f>
        <v>#REF!</v>
      </c>
      <c r="BX21" t="e">
        <f>#REF!+"vlM!`s"</f>
        <v>#REF!</v>
      </c>
      <c r="BY21" t="e">
        <f>#REF!+"vlM!`t"</f>
        <v>#REF!</v>
      </c>
      <c r="BZ21" t="e">
        <f>#REF!+"vlM!`u"</f>
        <v>#REF!</v>
      </c>
      <c r="CA21" t="e">
        <f>#REF!+"vlM!`v"</f>
        <v>#REF!</v>
      </c>
      <c r="CB21" s="1" t="e">
        <f>#REF!+"vlM!`w"</f>
        <v>#REF!</v>
      </c>
      <c r="CC21" t="e">
        <f>#REF!+"vlM!`x"</f>
        <v>#REF!</v>
      </c>
      <c r="CD21" t="e">
        <f>#REF!+"vlM!`y"</f>
        <v>#REF!</v>
      </c>
      <c r="CE21" t="e">
        <f>#REF!+"vlM!`z"</f>
        <v>#REF!</v>
      </c>
      <c r="CF21" t="e">
        <f>#REF!+"vlM!`{"</f>
        <v>#REF!</v>
      </c>
      <c r="CG21" t="e">
        <f>#REF!+"vlM!`|"</f>
        <v>#REF!</v>
      </c>
      <c r="CH21" t="e">
        <f>#REF!+"vlM!`}"</f>
        <v>#REF!</v>
      </c>
      <c r="CI21" t="e">
        <f>#REF!+"vlM!`~"</f>
        <v>#REF!</v>
      </c>
      <c r="CJ21" t="e">
        <f>#REF!+"vlM!a#"</f>
        <v>#REF!</v>
      </c>
      <c r="CK21" t="e">
        <f>#REF!+"vlM!a$"</f>
        <v>#REF!</v>
      </c>
      <c r="CL21" t="e">
        <f>#REF!+"vlM!a%"</f>
        <v>#REF!</v>
      </c>
      <c r="CM21" t="e">
        <f>#REF!+"vlM!a&amp;"</f>
        <v>#REF!</v>
      </c>
      <c r="CN21" t="e">
        <f>#REF!+"vlM!a'"</f>
        <v>#REF!</v>
      </c>
      <c r="CO21" t="e">
        <f>#REF!+"vlM!a("</f>
        <v>#REF!</v>
      </c>
      <c r="CP21" t="e">
        <f>#REF!+"vlM!a)"</f>
        <v>#REF!</v>
      </c>
      <c r="CQ21" s="1" t="e">
        <f>#REF!+"vlM!a."</f>
        <v>#REF!</v>
      </c>
      <c r="CR21" t="e">
        <f>#REF!+"vlM!a/"</f>
        <v>#REF!</v>
      </c>
      <c r="CS21" t="e">
        <f>#REF!+"vlM!a0"</f>
        <v>#REF!</v>
      </c>
      <c r="CT21" t="e">
        <f>#REF!+"vlM!a1"</f>
        <v>#REF!</v>
      </c>
      <c r="CU21" t="e">
        <f>#REF!+"vlM!a2"</f>
        <v>#REF!</v>
      </c>
      <c r="CV21" t="e">
        <f>#REF!+"vlM!a3"</f>
        <v>#REF!</v>
      </c>
      <c r="CW21" t="e">
        <f>#REF!+"vlM!a4"</f>
        <v>#REF!</v>
      </c>
      <c r="CX21" t="e">
        <f>#REF!+"vlM!a5"</f>
        <v>#REF!</v>
      </c>
      <c r="CY21" t="e">
        <f>#REF!+"vlM!a6"</f>
        <v>#REF!</v>
      </c>
      <c r="CZ21" t="e">
        <f>#REF!+"vlM!a7"</f>
        <v>#REF!</v>
      </c>
      <c r="DA21" t="e">
        <f>#REF!+"vlM!a8"</f>
        <v>#REF!</v>
      </c>
      <c r="DB21" t="e">
        <f>#REF!+"vlM!a9"</f>
        <v>#REF!</v>
      </c>
      <c r="DC21" t="e">
        <f>#REF!+"vlM!a:"</f>
        <v>#REF!</v>
      </c>
      <c r="DD21" t="e">
        <f>#REF!+"vlM!a;"</f>
        <v>#REF!</v>
      </c>
      <c r="DE21" t="e">
        <f>#REF!+"vlM!a&lt;"</f>
        <v>#REF!</v>
      </c>
      <c r="DF21" s="1" t="e">
        <f>#REF!+"vlM!a="</f>
        <v>#REF!</v>
      </c>
      <c r="DG21" t="e">
        <f>#REF!+"vlM!a&gt;"</f>
        <v>#REF!</v>
      </c>
      <c r="DH21" t="e">
        <f>#REF!+"vlM!a?"</f>
        <v>#REF!</v>
      </c>
      <c r="DI21" t="e">
        <f>#REF!+"vlM!a@"</f>
        <v>#REF!</v>
      </c>
      <c r="DJ21" t="e">
        <f>#REF!+"vlM!aA"</f>
        <v>#REF!</v>
      </c>
      <c r="DK21" t="e">
        <f>#REF!+"vlM!aB"</f>
        <v>#REF!</v>
      </c>
      <c r="DL21" t="e">
        <f>#REF!+"vlM!aC"</f>
        <v>#REF!</v>
      </c>
      <c r="DM21" t="e">
        <f>#REF!+"vlM!aD"</f>
        <v>#REF!</v>
      </c>
      <c r="DN21" t="e">
        <f>#REF!+"vlM!aE"</f>
        <v>#REF!</v>
      </c>
      <c r="DO21" t="e">
        <f>#REF!+"vlM!aF"</f>
        <v>#REF!</v>
      </c>
      <c r="DP21" t="e">
        <f>#REF!+"vlM!aG"</f>
        <v>#REF!</v>
      </c>
      <c r="DQ21" t="e">
        <f>#REF!+"vlM!aH"</f>
        <v>#REF!</v>
      </c>
      <c r="DR21" t="e">
        <f>#REF!+"vlM!aI"</f>
        <v>#REF!</v>
      </c>
      <c r="DS21" t="e">
        <f>#REF!+"vlM!aJ"</f>
        <v>#REF!</v>
      </c>
      <c r="DT21" t="e">
        <f>#REF!+"vlM!aK"</f>
        <v>#REF!</v>
      </c>
      <c r="DU21" s="1" t="e">
        <f>#REF!+"vlM!aL"</f>
        <v>#REF!</v>
      </c>
      <c r="DV21" t="e">
        <f>#REF!+"vlM!aM"</f>
        <v>#REF!</v>
      </c>
      <c r="DW21" t="e">
        <f>#REF!+"vlM!aN"</f>
        <v>#REF!</v>
      </c>
      <c r="DX21" t="e">
        <f>#REF!+"vlM!aO"</f>
        <v>#REF!</v>
      </c>
      <c r="DY21" t="e">
        <f>#REF!+"vlM!aP"</f>
        <v>#REF!</v>
      </c>
      <c r="DZ21" t="e">
        <f>#REF!+"vlM!aQ"</f>
        <v>#REF!</v>
      </c>
      <c r="EA21" t="e">
        <f>#REF!+"vlM!aR"</f>
        <v>#REF!</v>
      </c>
      <c r="EB21" t="e">
        <f>#REF!+"vlM!aS"</f>
        <v>#REF!</v>
      </c>
      <c r="EC21" t="e">
        <f>#REF!+"vlM!aT"</f>
        <v>#REF!</v>
      </c>
      <c r="ED21" t="e">
        <f>#REF!+"vlM!aU"</f>
        <v>#REF!</v>
      </c>
      <c r="EE21" t="e">
        <f>#REF!+"vlM!aV"</f>
        <v>#REF!</v>
      </c>
      <c r="EF21" t="e">
        <f>#REF!+"vlM!aW"</f>
        <v>#REF!</v>
      </c>
      <c r="EG21" t="e">
        <f>#REF!+"vlM!aX"</f>
        <v>#REF!</v>
      </c>
      <c r="EH21" t="e">
        <f>#REF!+"vlM!aY"</f>
        <v>#REF!</v>
      </c>
      <c r="EI21" t="e">
        <f>#REF!+"vlM!aZ"</f>
        <v>#REF!</v>
      </c>
      <c r="EJ21" s="1" t="e">
        <f>#REF!+"vlM!a["</f>
        <v>#REF!</v>
      </c>
      <c r="EK21" t="e">
        <f>#REF!+"vlM!a\"</f>
        <v>#REF!</v>
      </c>
      <c r="EL21" t="e">
        <f>#REF!+"vlM!a]"</f>
        <v>#REF!</v>
      </c>
      <c r="EM21" t="e">
        <f>#REF!+"vlM!a^"</f>
        <v>#REF!</v>
      </c>
      <c r="EN21" t="e">
        <f>#REF!+"vlM!a_"</f>
        <v>#REF!</v>
      </c>
      <c r="EO21" t="e">
        <f>#REF!+"vlM!a`"</f>
        <v>#REF!</v>
      </c>
      <c r="EP21" t="e">
        <f>#REF!+"vlM!aa"</f>
        <v>#REF!</v>
      </c>
      <c r="EQ21" t="e">
        <f>#REF!+"vlM!ab"</f>
        <v>#REF!</v>
      </c>
      <c r="ER21" t="e">
        <f>#REF!+"vlM!ac"</f>
        <v>#REF!</v>
      </c>
      <c r="ES21" t="e">
        <f>#REF!+"vlM!ad"</f>
        <v>#REF!</v>
      </c>
      <c r="ET21" t="e">
        <f>#REF!+"vlM!ae"</f>
        <v>#REF!</v>
      </c>
      <c r="EU21" t="e">
        <f>#REF!+"vlM!af"</f>
        <v>#REF!</v>
      </c>
      <c r="EV21" t="e">
        <f>#REF!+"vlM!ag"</f>
        <v>#REF!</v>
      </c>
      <c r="EW21" t="e">
        <f>#REF!+"vlM!ah"</f>
        <v>#REF!</v>
      </c>
      <c r="EX21" t="e">
        <f>#REF!+"vlM!ai"</f>
        <v>#REF!</v>
      </c>
      <c r="EY21" s="1" t="e">
        <f>#REF!+"vlM!aj"</f>
        <v>#REF!</v>
      </c>
      <c r="EZ21" t="e">
        <f>#REF!+"vlM!ak"</f>
        <v>#REF!</v>
      </c>
      <c r="FA21" t="e">
        <f>#REF!+"vlM!al"</f>
        <v>#REF!</v>
      </c>
      <c r="FB21" t="e">
        <f>#REF!+"vlM!am"</f>
        <v>#REF!</v>
      </c>
      <c r="FC21" t="e">
        <f>#REF!+"vlM!an"</f>
        <v>#REF!</v>
      </c>
      <c r="FD21" t="e">
        <f>#REF!+"vlM!ao"</f>
        <v>#REF!</v>
      </c>
      <c r="FE21" t="e">
        <f>#REF!+"vlM!ap"</f>
        <v>#REF!</v>
      </c>
      <c r="FF21" t="e">
        <f>#REF!+"vlM!aq"</f>
        <v>#REF!</v>
      </c>
      <c r="FG21" t="e">
        <f>#REF!+"vlM!ar"</f>
        <v>#REF!</v>
      </c>
      <c r="FH21" t="e">
        <f>#REF!+"vlM!as"</f>
        <v>#REF!</v>
      </c>
      <c r="FI21" t="e">
        <f>#REF!+"vlM!at"</f>
        <v>#REF!</v>
      </c>
      <c r="FJ21" t="e">
        <f>#REF!+"vlM!au"</f>
        <v>#REF!</v>
      </c>
      <c r="FK21" t="e">
        <f>#REF!+"vlM!av"</f>
        <v>#REF!</v>
      </c>
      <c r="FL21" t="e">
        <f>#REF!+"vlM!aw"</f>
        <v>#REF!</v>
      </c>
      <c r="FM21" t="e">
        <f>#REF!+"vlM!ax"</f>
        <v>#REF!</v>
      </c>
      <c r="FN21" s="1" t="e">
        <f>#REF!+"vlM!ay"</f>
        <v>#REF!</v>
      </c>
      <c r="FO21" t="e">
        <f>#REF!+"vlM!az"</f>
        <v>#REF!</v>
      </c>
      <c r="FP21" t="e">
        <f>#REF!+"vlM!a{"</f>
        <v>#REF!</v>
      </c>
      <c r="FQ21" t="e">
        <f>#REF!+"vlM!a|"</f>
        <v>#REF!</v>
      </c>
      <c r="FR21" t="e">
        <f>#REF!+"vlM!a}"</f>
        <v>#REF!</v>
      </c>
      <c r="FS21" t="e">
        <f>#REF!+"vlM!a~"</f>
        <v>#REF!</v>
      </c>
      <c r="FT21" t="e">
        <f>#REF!+"vlM!b#"</f>
        <v>#REF!</v>
      </c>
      <c r="FU21" t="e">
        <f>#REF!+"vlM!b$"</f>
        <v>#REF!</v>
      </c>
      <c r="FV21" t="e">
        <f>#REF!+"vlM!b%"</f>
        <v>#REF!</v>
      </c>
      <c r="FW21" t="e">
        <f>#REF!+"vlM!b&amp;"</f>
        <v>#REF!</v>
      </c>
      <c r="FX21" t="e">
        <f>#REF!+"vlM!b'"</f>
        <v>#REF!</v>
      </c>
      <c r="FY21" t="e">
        <f>#REF!+"vlM!b("</f>
        <v>#REF!</v>
      </c>
      <c r="FZ21" t="e">
        <f>#REF!+"vlM!b)"</f>
        <v>#REF!</v>
      </c>
      <c r="GA21" t="e">
        <f>#REF!+"vlM!b."</f>
        <v>#REF!</v>
      </c>
      <c r="GB21" t="e">
        <f>#REF!+"vlM!b/"</f>
        <v>#REF!</v>
      </c>
      <c r="GC21" s="1" t="e">
        <f>#REF!+"vlM!b0"</f>
        <v>#REF!</v>
      </c>
      <c r="GD21" t="e">
        <f>#REF!+"vlM!b1"</f>
        <v>#REF!</v>
      </c>
      <c r="GE21" t="e">
        <f>#REF!+"vlM!b2"</f>
        <v>#REF!</v>
      </c>
      <c r="GF21" t="e">
        <f>#REF!+"vlM!b3"</f>
        <v>#REF!</v>
      </c>
      <c r="GG21" t="e">
        <f>#REF!+"vlM!b4"</f>
        <v>#REF!</v>
      </c>
      <c r="GH21" t="e">
        <f>#REF!+"vlM!b5"</f>
        <v>#REF!</v>
      </c>
      <c r="GI21" t="e">
        <f>#REF!+"vlM!b6"</f>
        <v>#REF!</v>
      </c>
      <c r="GJ21" t="e">
        <f>#REF!+"vlM!b7"</f>
        <v>#REF!</v>
      </c>
      <c r="GK21" t="e">
        <f>#REF!+"vlM!b8"</f>
        <v>#REF!</v>
      </c>
      <c r="GL21" t="e">
        <f>#REF!+"vlM!b9"</f>
        <v>#REF!</v>
      </c>
      <c r="GM21" t="e">
        <f>#REF!+"vlM!b:"</f>
        <v>#REF!</v>
      </c>
      <c r="GN21" t="e">
        <f>#REF!+"vlM!b;"</f>
        <v>#REF!</v>
      </c>
      <c r="GO21" t="e">
        <f>#REF!+"vlM!b&lt;"</f>
        <v>#REF!</v>
      </c>
      <c r="GP21" t="e">
        <f>#REF!+"vlM!b="</f>
        <v>#REF!</v>
      </c>
      <c r="GQ21" t="e">
        <f>#REF!+"vlM!b&gt;"</f>
        <v>#REF!</v>
      </c>
      <c r="GR21" s="1" t="e">
        <f>#REF!+"vlM!b?"</f>
        <v>#REF!</v>
      </c>
      <c r="GS21" t="e">
        <f>#REF!+"vlM!b@"</f>
        <v>#REF!</v>
      </c>
      <c r="GT21" t="e">
        <f>#REF!+"vlM!bA"</f>
        <v>#REF!</v>
      </c>
      <c r="GU21" t="e">
        <f>#REF!+"vlM!bB"</f>
        <v>#REF!</v>
      </c>
      <c r="GV21" t="e">
        <f>#REF!+"vlM!bC"</f>
        <v>#REF!</v>
      </c>
      <c r="GW21" t="e">
        <f>#REF!+"vlM!bD"</f>
        <v>#REF!</v>
      </c>
      <c r="GX21" t="e">
        <f>#REF!+"vlM!bE"</f>
        <v>#REF!</v>
      </c>
      <c r="GY21" t="e">
        <f>#REF!+"vlM!bF"</f>
        <v>#REF!</v>
      </c>
      <c r="GZ21" t="e">
        <f>#REF!+"vlM!bG"</f>
        <v>#REF!</v>
      </c>
      <c r="HA21" t="e">
        <f>#REF!+"vlM!bH"</f>
        <v>#REF!</v>
      </c>
      <c r="HB21" t="e">
        <f>#REF!+"vlM!bI"</f>
        <v>#REF!</v>
      </c>
      <c r="HC21" t="e">
        <f>#REF!+"vlM!bJ"</f>
        <v>#REF!</v>
      </c>
      <c r="HD21" t="e">
        <f>#REF!+"vlM!bK"</f>
        <v>#REF!</v>
      </c>
      <c r="HE21" t="e">
        <f>#REF!+"vlM!bL"</f>
        <v>#REF!</v>
      </c>
      <c r="HF21" t="e">
        <f>#REF!+"vlM!bM"</f>
        <v>#REF!</v>
      </c>
      <c r="HG21" s="1" t="e">
        <f>#REF!+"vlM!bN"</f>
        <v>#REF!</v>
      </c>
      <c r="HH21" t="e">
        <f>#REF!+"vlM!bO"</f>
        <v>#REF!</v>
      </c>
      <c r="HI21" t="e">
        <f>#REF!+"vlM!bP"</f>
        <v>#REF!</v>
      </c>
      <c r="HJ21" t="e">
        <f>#REF!+"vlM!bQ"</f>
        <v>#REF!</v>
      </c>
      <c r="HK21" t="e">
        <f>#REF!+"vlM!bR"</f>
        <v>#REF!</v>
      </c>
      <c r="HL21" t="e">
        <f>#REF!+"vlM!bS"</f>
        <v>#REF!</v>
      </c>
      <c r="HM21" t="e">
        <f>#REF!+"vlM!bT"</f>
        <v>#REF!</v>
      </c>
      <c r="HN21" t="e">
        <f>#REF!+"vlM!bU"</f>
        <v>#REF!</v>
      </c>
      <c r="HO21" t="e">
        <f>#REF!+"vlM!bV"</f>
        <v>#REF!</v>
      </c>
      <c r="HP21" t="e">
        <f>#REF!+"vlM!bW"</f>
        <v>#REF!</v>
      </c>
      <c r="HQ21" t="e">
        <f>#REF!+"vlM!bX"</f>
        <v>#REF!</v>
      </c>
      <c r="HR21" t="e">
        <f>#REF!+"vlM!bY"</f>
        <v>#REF!</v>
      </c>
      <c r="HS21" t="e">
        <f>#REF!+"vlM!bZ"</f>
        <v>#REF!</v>
      </c>
      <c r="HT21" t="e">
        <f>#REF!+"vlM!b["</f>
        <v>#REF!</v>
      </c>
      <c r="HU21" t="e">
        <f>#REF!+"vlM!b\"</f>
        <v>#REF!</v>
      </c>
      <c r="HV21" s="1" t="e">
        <f>#REF!+"vlM!b]"</f>
        <v>#REF!</v>
      </c>
      <c r="HW21" t="e">
        <f>#REF!+"vlM!b^"</f>
        <v>#REF!</v>
      </c>
      <c r="HX21" t="e">
        <f>#REF!+"vlM!b_"</f>
        <v>#REF!</v>
      </c>
      <c r="HY21" t="e">
        <f>#REF!+"vlM!b`"</f>
        <v>#REF!</v>
      </c>
      <c r="HZ21" t="e">
        <f>#REF!+"vlM!ba"</f>
        <v>#REF!</v>
      </c>
      <c r="IA21" t="e">
        <f>#REF!+"vlM!bb"</f>
        <v>#REF!</v>
      </c>
      <c r="IB21" t="e">
        <f>#REF!+"vlM!bc"</f>
        <v>#REF!</v>
      </c>
      <c r="IC21" t="e">
        <f>#REF!+"vlM!bd"</f>
        <v>#REF!</v>
      </c>
      <c r="ID21" t="e">
        <f>#REF!+"vlM!be"</f>
        <v>#REF!</v>
      </c>
      <c r="IE21" t="e">
        <f>#REF!+"vlM!bf"</f>
        <v>#REF!</v>
      </c>
      <c r="IF21" t="e">
        <f>#REF!+"vlM!bg"</f>
        <v>#REF!</v>
      </c>
      <c r="IG21" t="e">
        <f>#REF!+"vlM!bh"</f>
        <v>#REF!</v>
      </c>
      <c r="IH21" t="e">
        <f>#REF!+"vlM!bi"</f>
        <v>#REF!</v>
      </c>
      <c r="II21" t="e">
        <f>#REF!+"vlM!bj"</f>
        <v>#REF!</v>
      </c>
      <c r="IJ21" t="e">
        <f>#REF!+"vlM!bk"</f>
        <v>#REF!</v>
      </c>
      <c r="IK21" s="1" t="e">
        <f>#REF!+"vlM!bl"</f>
        <v>#REF!</v>
      </c>
      <c r="IL21" t="e">
        <f>#REF!+"vlM!bm"</f>
        <v>#REF!</v>
      </c>
      <c r="IM21" t="e">
        <f>#REF!+"vlM!bn"</f>
        <v>#REF!</v>
      </c>
      <c r="IN21" t="e">
        <f>#REF!+"vlM!bo"</f>
        <v>#REF!</v>
      </c>
      <c r="IO21" t="e">
        <f>#REF!+"vlM!bp"</f>
        <v>#REF!</v>
      </c>
      <c r="IP21" t="e">
        <f>#REF!+"vlM!bq"</f>
        <v>#REF!</v>
      </c>
      <c r="IQ21" t="e">
        <f>#REF!+"vlM!br"</f>
        <v>#REF!</v>
      </c>
      <c r="IR21" t="e">
        <f>#REF!+"vlM!bs"</f>
        <v>#REF!</v>
      </c>
      <c r="IS21" t="e">
        <f>#REF!+"vlM!bt"</f>
        <v>#REF!</v>
      </c>
      <c r="IT21" t="e">
        <f>#REF!+"vlM!bu"</f>
        <v>#REF!</v>
      </c>
      <c r="IU21" t="e">
        <f>#REF!+"vlM!bv"</f>
        <v>#REF!</v>
      </c>
      <c r="IV21" t="e">
        <f>#REF!+"vlM!bw"</f>
        <v>#REF!</v>
      </c>
    </row>
    <row r="22" spans="6:256" x14ac:dyDescent="0.25">
      <c r="F22" t="e">
        <f>#REF!+"vlM!bx"</f>
        <v>#REF!</v>
      </c>
      <c r="G22" t="e">
        <f>#REF!+"vlM!by"</f>
        <v>#REF!</v>
      </c>
      <c r="H22" t="e">
        <f>#REF!+"vlM!bz"</f>
        <v>#REF!</v>
      </c>
      <c r="I22" s="1" t="e">
        <f>#REF!+"vlM!b{"</f>
        <v>#REF!</v>
      </c>
      <c r="J22" t="e">
        <f>#REF!+"vlM!b|"</f>
        <v>#REF!</v>
      </c>
      <c r="K22" t="e">
        <f>#REF!+"vlM!b}"</f>
        <v>#REF!</v>
      </c>
      <c r="L22" t="e">
        <f>#REF!+"vlM!b~"</f>
        <v>#REF!</v>
      </c>
      <c r="M22" t="e">
        <f>#REF!+"vlM!c#"</f>
        <v>#REF!</v>
      </c>
      <c r="N22" t="e">
        <f>#REF!+"vlM!c$"</f>
        <v>#REF!</v>
      </c>
      <c r="O22" t="e">
        <f>#REF!+"vlM!c%"</f>
        <v>#REF!</v>
      </c>
      <c r="P22" t="e">
        <f>#REF!+"vlM!c&amp;"</f>
        <v>#REF!</v>
      </c>
      <c r="Q22" t="e">
        <f>#REF!+"vlM!c'"</f>
        <v>#REF!</v>
      </c>
      <c r="R22" t="e">
        <f>#REF!+"vlM!c("</f>
        <v>#REF!</v>
      </c>
      <c r="S22" t="e">
        <f>#REF!+"vlM!c)"</f>
        <v>#REF!</v>
      </c>
      <c r="T22" t="e">
        <f>#REF!+"vlM!c."</f>
        <v>#REF!</v>
      </c>
      <c r="U22" t="e">
        <f>#REF!+"vlM!c/"</f>
        <v>#REF!</v>
      </c>
      <c r="V22" t="e">
        <f>#REF!+"vlM!c0"</f>
        <v>#REF!</v>
      </c>
      <c r="W22" t="e">
        <f>#REF!+"vlM!c1"</f>
        <v>#REF!</v>
      </c>
      <c r="X22" s="1" t="e">
        <f>#REF!+"vlM!c2"</f>
        <v>#REF!</v>
      </c>
      <c r="Y22" t="e">
        <f>#REF!+"vlM!c3"</f>
        <v>#REF!</v>
      </c>
      <c r="Z22" t="e">
        <f>#REF!+"vlM!c4"</f>
        <v>#REF!</v>
      </c>
      <c r="AA22" t="e">
        <f>#REF!+"vlM!c5"</f>
        <v>#REF!</v>
      </c>
      <c r="AB22" t="e">
        <f>#REF!+"vlM!c6"</f>
        <v>#REF!</v>
      </c>
      <c r="AC22" t="e">
        <f>#REF!+"vlM!c7"</f>
        <v>#REF!</v>
      </c>
      <c r="AD22" t="e">
        <f>#REF!+"vlM!c8"</f>
        <v>#REF!</v>
      </c>
      <c r="AE22" t="e">
        <f>#REF!+"vlM!c9"</f>
        <v>#REF!</v>
      </c>
      <c r="AF22" t="e">
        <f>#REF!+"vlM!c:"</f>
        <v>#REF!</v>
      </c>
      <c r="AG22" t="e">
        <f>#REF!+"vlM!c;"</f>
        <v>#REF!</v>
      </c>
      <c r="AH22" t="e">
        <f>#REF!+"vlM!c&lt;"</f>
        <v>#REF!</v>
      </c>
      <c r="AI22" t="e">
        <f>#REF!+"vlM!c="</f>
        <v>#REF!</v>
      </c>
      <c r="AJ22" t="e">
        <f>#REF!+"vlM!c&gt;"</f>
        <v>#REF!</v>
      </c>
      <c r="AK22" t="e">
        <f>#REF!+"vlM!c?"</f>
        <v>#REF!</v>
      </c>
      <c r="AL22" t="e">
        <f>#REF!+"vlM!c@"</f>
        <v>#REF!</v>
      </c>
      <c r="AM22" s="1" t="e">
        <f>#REF!+"vlM!cA"</f>
        <v>#REF!</v>
      </c>
      <c r="AN22" t="e">
        <f>#REF!+"vlM!cB"</f>
        <v>#REF!</v>
      </c>
      <c r="AO22" t="e">
        <f>#REF!+"vlM!cC"</f>
        <v>#REF!</v>
      </c>
      <c r="AP22" t="e">
        <f>#REF!+"vlM!cD"</f>
        <v>#REF!</v>
      </c>
      <c r="AQ22" t="e">
        <f>#REF!+"vlM!cE"</f>
        <v>#REF!</v>
      </c>
      <c r="AR22" t="e">
        <f>#REF!+"vlM!cF"</f>
        <v>#REF!</v>
      </c>
      <c r="AS22" t="e">
        <f>#REF!+"vlM!cG"</f>
        <v>#REF!</v>
      </c>
      <c r="AT22" t="e">
        <f>#REF!+"vlM!cH"</f>
        <v>#REF!</v>
      </c>
      <c r="AU22" t="e">
        <f>#REF!+"vlM!cI"</f>
        <v>#REF!</v>
      </c>
      <c r="AV22" t="e">
        <f>#REF!+"vlM!cJ"</f>
        <v>#REF!</v>
      </c>
      <c r="AW22" t="e">
        <f>#REF!+"vlM!cK"</f>
        <v>#REF!</v>
      </c>
      <c r="AX22" t="e">
        <f>#REF!+"vlM!cL"</f>
        <v>#REF!</v>
      </c>
      <c r="AY22" t="e">
        <f>#REF!+"vlM!cM"</f>
        <v>#REF!</v>
      </c>
      <c r="AZ22" t="e">
        <f>#REF!+"vlM!cN"</f>
        <v>#REF!</v>
      </c>
      <c r="BA22" t="e">
        <f>#REF!+"vlM!cO"</f>
        <v>#REF!</v>
      </c>
      <c r="BB22" s="1" t="e">
        <f>#REF!+"vlM!cP"</f>
        <v>#REF!</v>
      </c>
      <c r="BC22" t="e">
        <f>#REF!+"vlM!cQ"</f>
        <v>#REF!</v>
      </c>
      <c r="BD22" t="e">
        <f>#REF!+"vlM!cR"</f>
        <v>#REF!</v>
      </c>
      <c r="BE22" t="e">
        <f>#REF!+"vlM!cS"</f>
        <v>#REF!</v>
      </c>
      <c r="BF22" t="e">
        <f>#REF!+"vlM!cT"</f>
        <v>#REF!</v>
      </c>
      <c r="BG22" t="e">
        <f>#REF!+"vlM!cU"</f>
        <v>#REF!</v>
      </c>
      <c r="BH22" t="e">
        <f>#REF!+"vlM!cV"</f>
        <v>#REF!</v>
      </c>
      <c r="BI22" t="e">
        <f>#REF!+"vlM!cW"</f>
        <v>#REF!</v>
      </c>
      <c r="BJ22" t="e">
        <f>#REF!+"vlM!cX"</f>
        <v>#REF!</v>
      </c>
      <c r="BK22" t="e">
        <f>#REF!+"vlM!cY"</f>
        <v>#REF!</v>
      </c>
      <c r="BL22" t="e">
        <f>#REF!+"vlM!cZ"</f>
        <v>#REF!</v>
      </c>
      <c r="BM22" t="e">
        <f>#REF!+"vlM!c["</f>
        <v>#REF!</v>
      </c>
      <c r="BN22" t="e">
        <f>#REF!+"vlM!c\"</f>
        <v>#REF!</v>
      </c>
      <c r="BO22" t="e">
        <f>#REF!+"vlM!c]"</f>
        <v>#REF!</v>
      </c>
      <c r="BP22" t="e">
        <f>#REF!+"vlM!c^"</f>
        <v>#REF!</v>
      </c>
      <c r="BQ22" s="1" t="e">
        <f>#REF!+"vlM!c_"</f>
        <v>#REF!</v>
      </c>
      <c r="BR22" t="e">
        <f>#REF!+"vlM!c`"</f>
        <v>#REF!</v>
      </c>
      <c r="BS22" t="e">
        <f>#REF!+"vlM!ca"</f>
        <v>#REF!</v>
      </c>
      <c r="BT22" t="e">
        <f>#REF!+"vlM!cb"</f>
        <v>#REF!</v>
      </c>
      <c r="BU22" t="e">
        <f>#REF!+"vlM!cc"</f>
        <v>#REF!</v>
      </c>
      <c r="BV22" t="e">
        <f>#REF!+"vlM!cd"</f>
        <v>#REF!</v>
      </c>
      <c r="BW22" t="e">
        <f>#REF!+"vlM!ce"</f>
        <v>#REF!</v>
      </c>
      <c r="BX22" t="e">
        <f>#REF!+"vlM!cf"</f>
        <v>#REF!</v>
      </c>
      <c r="BY22" t="e">
        <f>#REF!+"vlM!cg"</f>
        <v>#REF!</v>
      </c>
      <c r="BZ22" t="e">
        <f>#REF!+"vlM!ch"</f>
        <v>#REF!</v>
      </c>
      <c r="CA22" t="e">
        <f>#REF!+"vlM!ci"</f>
        <v>#REF!</v>
      </c>
      <c r="CB22" t="e">
        <f>#REF!+"vlM!cj"</f>
        <v>#REF!</v>
      </c>
      <c r="CC22" t="e">
        <f>#REF!+"vlM!ck"</f>
        <v>#REF!</v>
      </c>
      <c r="CD22" t="e">
        <f>#REF!+"vlM!cl"</f>
        <v>#REF!</v>
      </c>
      <c r="CE22" t="e">
        <f>#REF!+"vlM!cm"</f>
        <v>#REF!</v>
      </c>
      <c r="CF22" s="1" t="e">
        <f>#REF!+"vlM!cn"</f>
        <v>#REF!</v>
      </c>
      <c r="CG22" t="e">
        <f>#REF!+"vlM!co"</f>
        <v>#REF!</v>
      </c>
      <c r="CH22" t="e">
        <f>#REF!+"vlM!cp"</f>
        <v>#REF!</v>
      </c>
      <c r="CI22" t="e">
        <f>#REF!+"vlM!cq"</f>
        <v>#REF!</v>
      </c>
      <c r="CJ22" t="e">
        <f>#REF!+"vlM!cr"</f>
        <v>#REF!</v>
      </c>
      <c r="CK22" t="e">
        <f>#REF!+"vlM!cs"</f>
        <v>#REF!</v>
      </c>
      <c r="CL22" t="e">
        <f>#REF!+"vlM!ct"</f>
        <v>#REF!</v>
      </c>
      <c r="CM22" t="e">
        <f>#REF!+"vlM!cu"</f>
        <v>#REF!</v>
      </c>
      <c r="CN22" t="e">
        <f>#REF!+"vlM!cv"</f>
        <v>#REF!</v>
      </c>
      <c r="CO22" t="e">
        <f>#REF!+"vlM!cw"</f>
        <v>#REF!</v>
      </c>
      <c r="CP22" t="e">
        <f>#REF!+"vlM!cx"</f>
        <v>#REF!</v>
      </c>
      <c r="CQ22" t="e">
        <f>#REF!+"vlM!cy"</f>
        <v>#REF!</v>
      </c>
      <c r="CR22" t="e">
        <f>#REF!+"vlM!cz"</f>
        <v>#REF!</v>
      </c>
      <c r="CS22" t="e">
        <f>#REF!+"vlM!c{"</f>
        <v>#REF!</v>
      </c>
      <c r="CT22" t="e">
        <f>#REF!+"vlM!c|"</f>
        <v>#REF!</v>
      </c>
      <c r="CU22" s="1" t="e">
        <f>#REF!+"vlM!c}"</f>
        <v>#REF!</v>
      </c>
      <c r="CV22" t="e">
        <f>#REF!+"vlM!c~"</f>
        <v>#REF!</v>
      </c>
      <c r="CW22" t="e">
        <f>#REF!+"vlM!d#"</f>
        <v>#REF!</v>
      </c>
      <c r="CX22" t="e">
        <f>#REF!+"vlM!d$"</f>
        <v>#REF!</v>
      </c>
      <c r="CY22" t="e">
        <f>#REF!+"vlM!d%"</f>
        <v>#REF!</v>
      </c>
      <c r="CZ22" t="e">
        <f>#REF!+"vlM!d&amp;"</f>
        <v>#REF!</v>
      </c>
      <c r="DA22" t="e">
        <f>#REF!+"vlM!d'"</f>
        <v>#REF!</v>
      </c>
      <c r="DB22" t="e">
        <f>#REF!+"vlM!d("</f>
        <v>#REF!</v>
      </c>
      <c r="DC22" t="e">
        <f>#REF!+"vlM!d)"</f>
        <v>#REF!</v>
      </c>
      <c r="DD22" t="e">
        <f>#REF!+"vlM!d."</f>
        <v>#REF!</v>
      </c>
      <c r="DE22" t="e">
        <f>#REF!+"vlM!d/"</f>
        <v>#REF!</v>
      </c>
      <c r="DF22" t="e">
        <f>#REF!+"vlM!d0"</f>
        <v>#REF!</v>
      </c>
      <c r="DG22" t="e">
        <f>#REF!+"vlM!d1"</f>
        <v>#REF!</v>
      </c>
      <c r="DH22" t="e">
        <f>#REF!+"vlM!d2"</f>
        <v>#REF!</v>
      </c>
      <c r="DI22" t="e">
        <f>#REF!+"vlM!d3"</f>
        <v>#REF!</v>
      </c>
      <c r="DJ22" s="1" t="e">
        <f>#REF!+"vlM!d4"</f>
        <v>#REF!</v>
      </c>
      <c r="DK22" t="e">
        <f>#REF!+"vlM!d5"</f>
        <v>#REF!</v>
      </c>
      <c r="DL22" t="e">
        <f>#REF!+"vlM!d6"</f>
        <v>#REF!</v>
      </c>
      <c r="DM22" t="e">
        <f>#REF!+"vlM!d7"</f>
        <v>#REF!</v>
      </c>
      <c r="DN22" t="e">
        <f>#REF!+"vlM!d8"</f>
        <v>#REF!</v>
      </c>
      <c r="DO22" t="e">
        <f>#REF!+"vlM!d9"</f>
        <v>#REF!</v>
      </c>
      <c r="DP22" t="e">
        <f>#REF!+"vlM!d:"</f>
        <v>#REF!</v>
      </c>
      <c r="DQ22" t="e">
        <f>#REF!+"vlM!d;"</f>
        <v>#REF!</v>
      </c>
      <c r="DR22" t="e">
        <f>#REF!+"vlM!d&lt;"</f>
        <v>#REF!</v>
      </c>
      <c r="DS22" t="e">
        <f>#REF!+"vlM!d="</f>
        <v>#REF!</v>
      </c>
      <c r="DT22" t="e">
        <f>#REF!+"vlM!d&gt;"</f>
        <v>#REF!</v>
      </c>
      <c r="DU22" t="e">
        <f>#REF!+"vlM!d?"</f>
        <v>#REF!</v>
      </c>
      <c r="DV22" t="e">
        <f>#REF!+"vlM!d@"</f>
        <v>#REF!</v>
      </c>
      <c r="DW22" t="e">
        <f>#REF!+"vlM!dA"</f>
        <v>#REF!</v>
      </c>
      <c r="DX22" t="e">
        <f>#REF!+"vlM!dB"</f>
        <v>#REF!</v>
      </c>
      <c r="DY22" s="1" t="e">
        <f>#REF!+"vlM!dC"</f>
        <v>#REF!</v>
      </c>
      <c r="DZ22" t="e">
        <f>#REF!+"vlM!dD"</f>
        <v>#REF!</v>
      </c>
      <c r="EA22" t="e">
        <f>#REF!+"vlM!dE"</f>
        <v>#REF!</v>
      </c>
      <c r="EB22" t="e">
        <f>#REF!+"vlM!dF"</f>
        <v>#REF!</v>
      </c>
      <c r="EC22" t="e">
        <f>#REF!+"vlM!dG"</f>
        <v>#REF!</v>
      </c>
      <c r="ED22" t="e">
        <f>#REF!+"vlM!dH"</f>
        <v>#REF!</v>
      </c>
      <c r="EE22" t="e">
        <f>#REF!+"vlM!dI"</f>
        <v>#REF!</v>
      </c>
      <c r="EF22" t="e">
        <f>#REF!+"vlM!dJ"</f>
        <v>#REF!</v>
      </c>
      <c r="EG22" t="e">
        <f>#REF!+"vlM!dK"</f>
        <v>#REF!</v>
      </c>
      <c r="EH22" t="e">
        <f>#REF!+"vlM!dL"</f>
        <v>#REF!</v>
      </c>
      <c r="EI22" t="e">
        <f>#REF!+"vlM!dM"</f>
        <v>#REF!</v>
      </c>
      <c r="EJ22" t="e">
        <f>#REF!+"vlM!dN"</f>
        <v>#REF!</v>
      </c>
      <c r="EK22" t="e">
        <f>#REF!+"vlM!dO"</f>
        <v>#REF!</v>
      </c>
      <c r="EL22" t="e">
        <f>#REF!+"vlM!dP"</f>
        <v>#REF!</v>
      </c>
      <c r="EM22" t="e">
        <f>#REF!+"vlM!dQ"</f>
        <v>#REF!</v>
      </c>
      <c r="EN22" s="1" t="e">
        <f>#REF!+"vlM!dR"</f>
        <v>#REF!</v>
      </c>
      <c r="EO22" t="e">
        <f>#REF!+"vlM!dS"</f>
        <v>#REF!</v>
      </c>
      <c r="EP22" t="e">
        <f>#REF!+"vlM!dT"</f>
        <v>#REF!</v>
      </c>
      <c r="EQ22" t="e">
        <f>#REF!+"vlM!dU"</f>
        <v>#REF!</v>
      </c>
      <c r="ER22" t="e">
        <f>#REF!+"vlM!dV"</f>
        <v>#REF!</v>
      </c>
      <c r="ES22" t="e">
        <f>#REF!+"vlM!dW"</f>
        <v>#REF!</v>
      </c>
      <c r="ET22" t="e">
        <f>#REF!+"vlM!dX"</f>
        <v>#REF!</v>
      </c>
      <c r="EU22" t="e">
        <f>#REF!+"vlM!dY"</f>
        <v>#REF!</v>
      </c>
      <c r="EV22" t="e">
        <f>#REF!+"vlM!dZ"</f>
        <v>#REF!</v>
      </c>
      <c r="EW22" t="e">
        <f>#REF!+"vlM!d["</f>
        <v>#REF!</v>
      </c>
      <c r="EX22" t="e">
        <f>#REF!+"vlM!d\"</f>
        <v>#REF!</v>
      </c>
      <c r="EY22" t="e">
        <f>#REF!+"vlM!d]"</f>
        <v>#REF!</v>
      </c>
      <c r="EZ22" t="e">
        <f>#REF!+"vlM!d^"</f>
        <v>#REF!</v>
      </c>
      <c r="FA22" t="e">
        <f>#REF!+"vlM!d_"</f>
        <v>#REF!</v>
      </c>
      <c r="FB22" t="e">
        <f>#REF!+"vlM!d`"</f>
        <v>#REF!</v>
      </c>
      <c r="FC22" s="1" t="e">
        <f>#REF!+"vlM!da"</f>
        <v>#REF!</v>
      </c>
      <c r="FD22" t="e">
        <f>#REF!+"vlM!db"</f>
        <v>#REF!</v>
      </c>
      <c r="FE22" t="e">
        <f>#REF!+"vlM!dc"</f>
        <v>#REF!</v>
      </c>
      <c r="FF22" t="e">
        <f>#REF!+"vlM!dd"</f>
        <v>#REF!</v>
      </c>
      <c r="FG22" t="e">
        <f>#REF!+"vlM!de"</f>
        <v>#REF!</v>
      </c>
      <c r="FH22" t="e">
        <f>#REF!+"vlM!df"</f>
        <v>#REF!</v>
      </c>
      <c r="FI22" t="e">
        <f>#REF!+"vlM!dg"</f>
        <v>#REF!</v>
      </c>
      <c r="FJ22" t="e">
        <f>#REF!+"vlM!dh"</f>
        <v>#REF!</v>
      </c>
      <c r="FK22" t="e">
        <f>#REF!+"vlM!di"</f>
        <v>#REF!</v>
      </c>
      <c r="FL22" t="e">
        <f>#REF!+"vlM!dj"</f>
        <v>#REF!</v>
      </c>
      <c r="FM22" t="e">
        <f>#REF!+"vlM!dk"</f>
        <v>#REF!</v>
      </c>
      <c r="FN22" t="e">
        <f>#REF!+"vlM!dl"</f>
        <v>#REF!</v>
      </c>
      <c r="FO22" t="e">
        <f>#REF!+"vlM!dm"</f>
        <v>#REF!</v>
      </c>
      <c r="FP22" t="e">
        <f>#REF!+"vlM!dn"</f>
        <v>#REF!</v>
      </c>
      <c r="FQ22" t="e">
        <f>#REF!+"vlM!do"</f>
        <v>#REF!</v>
      </c>
      <c r="FR22" s="1" t="e">
        <f>#REF!+"vlM!dp"</f>
        <v>#REF!</v>
      </c>
      <c r="FS22" t="e">
        <f>#REF!+"vlM!dq"</f>
        <v>#REF!</v>
      </c>
      <c r="FT22" t="e">
        <f>#REF!+"vlM!dr"</f>
        <v>#REF!</v>
      </c>
      <c r="FU22" t="e">
        <f>#REF!+"vlM!ds"</f>
        <v>#REF!</v>
      </c>
      <c r="FV22" t="e">
        <f>#REF!+"vlM!dt"</f>
        <v>#REF!</v>
      </c>
      <c r="FW22" t="e">
        <f>#REF!+"vlM!du"</f>
        <v>#REF!</v>
      </c>
      <c r="FX22" t="e">
        <f>#REF!+"vlM!dv"</f>
        <v>#REF!</v>
      </c>
      <c r="FY22" t="e">
        <f>#REF!+"vlM!dw"</f>
        <v>#REF!</v>
      </c>
      <c r="FZ22" t="e">
        <f>#REF!+"vlM!dx"</f>
        <v>#REF!</v>
      </c>
      <c r="GA22" t="e">
        <f>#REF!+"vlM!dy"</f>
        <v>#REF!</v>
      </c>
      <c r="GB22" t="e">
        <f>#REF!+"vlM!dz"</f>
        <v>#REF!</v>
      </c>
      <c r="GC22" t="e">
        <f>#REF!+"vlM!d{"</f>
        <v>#REF!</v>
      </c>
      <c r="GD22" t="e">
        <f>#REF!+"vlM!d|"</f>
        <v>#REF!</v>
      </c>
      <c r="GE22" t="e">
        <f>#REF!+"vlM!d}"</f>
        <v>#REF!</v>
      </c>
      <c r="GF22" t="e">
        <f>#REF!+"vlM!d~"</f>
        <v>#REF!</v>
      </c>
      <c r="GG22" s="1" t="e">
        <f>#REF!+"vlM!e#"</f>
        <v>#REF!</v>
      </c>
      <c r="GH22" t="e">
        <f>#REF!+"vlM!e$"</f>
        <v>#REF!</v>
      </c>
      <c r="GI22" t="e">
        <f>#REF!+"vlM!e%"</f>
        <v>#REF!</v>
      </c>
      <c r="GJ22" t="e">
        <f>#REF!+"vlM!e&amp;"</f>
        <v>#REF!</v>
      </c>
      <c r="GK22" t="e">
        <f>#REF!+"vlM!e'"</f>
        <v>#REF!</v>
      </c>
      <c r="GL22" t="e">
        <f>#REF!+"vlM!e("</f>
        <v>#REF!</v>
      </c>
      <c r="GM22" t="e">
        <f>#REF!+"vlM!e)"</f>
        <v>#REF!</v>
      </c>
      <c r="GN22" t="e">
        <f>#REF!+"vlM!e."</f>
        <v>#REF!</v>
      </c>
      <c r="GO22" t="e">
        <f>#REF!+"vlM!e/"</f>
        <v>#REF!</v>
      </c>
      <c r="GP22" t="e">
        <f>#REF!+"vlM!e0"</f>
        <v>#REF!</v>
      </c>
      <c r="GQ22" t="e">
        <f>#REF!+"vlM!e1"</f>
        <v>#REF!</v>
      </c>
      <c r="GR22" t="e">
        <f>#REF!+"vlM!e2"</f>
        <v>#REF!</v>
      </c>
      <c r="GS22" t="e">
        <f>#REF!+"vlM!e3"</f>
        <v>#REF!</v>
      </c>
      <c r="GT22" t="e">
        <f>#REF!+"vlM!e4"</f>
        <v>#REF!</v>
      </c>
      <c r="GU22" t="e">
        <f>#REF!+"vlM!e5"</f>
        <v>#REF!</v>
      </c>
      <c r="GV22" s="1" t="e">
        <f>#REF!+"vlM!e6"</f>
        <v>#REF!</v>
      </c>
      <c r="GW22" t="e">
        <f>#REF!+"vlM!e7"</f>
        <v>#REF!</v>
      </c>
      <c r="GX22" t="e">
        <f>#REF!+"vlM!e8"</f>
        <v>#REF!</v>
      </c>
      <c r="GY22" t="e">
        <f>#REF!+"vlM!e9"</f>
        <v>#REF!</v>
      </c>
      <c r="GZ22" t="e">
        <f>#REF!+"vlM!e:"</f>
        <v>#REF!</v>
      </c>
      <c r="HA22" t="e">
        <f>#REF!+"vlM!e;"</f>
        <v>#REF!</v>
      </c>
      <c r="HB22" t="e">
        <f>#REF!+"vlM!e&lt;"</f>
        <v>#REF!</v>
      </c>
      <c r="HC22" t="e">
        <f>#REF!+"vlM!e="</f>
        <v>#REF!</v>
      </c>
      <c r="HD22" t="e">
        <f>#REF!+"vlM!e&gt;"</f>
        <v>#REF!</v>
      </c>
      <c r="HE22" t="e">
        <f>#REF!+"vlM!e?"</f>
        <v>#REF!</v>
      </c>
      <c r="HF22" t="e">
        <f>#REF!+"vlM!e@"</f>
        <v>#REF!</v>
      </c>
      <c r="HG22" t="e">
        <f>#REF!+"vlM!eA"</f>
        <v>#REF!</v>
      </c>
      <c r="HH22" t="e">
        <f>#REF!+"vlM!eB"</f>
        <v>#REF!</v>
      </c>
      <c r="HI22" t="e">
        <f>#REF!+"vlM!eC"</f>
        <v>#REF!</v>
      </c>
      <c r="HJ22" t="e">
        <f>#REF!+"vlM!eD"</f>
        <v>#REF!</v>
      </c>
      <c r="HK22" s="1" t="e">
        <f>#REF!+"vlM!eE"</f>
        <v>#REF!</v>
      </c>
      <c r="HL22" t="e">
        <f>#REF!+"vlM!eF"</f>
        <v>#REF!</v>
      </c>
      <c r="HM22" t="e">
        <f>#REF!+"vlM!eG"</f>
        <v>#REF!</v>
      </c>
      <c r="HN22" t="e">
        <f>#REF!+"vlM!eH"</f>
        <v>#REF!</v>
      </c>
      <c r="HO22" t="e">
        <f>#REF!+"vlM!eI"</f>
        <v>#REF!</v>
      </c>
      <c r="HP22" t="e">
        <f>#REF!+"vlM!eJ"</f>
        <v>#REF!</v>
      </c>
      <c r="HQ22" t="e">
        <f>#REF!+"vlM!eK"</f>
        <v>#REF!</v>
      </c>
      <c r="HR22" t="e">
        <f>#REF!+"vlM!eL"</f>
        <v>#REF!</v>
      </c>
      <c r="HS22" t="e">
        <f>#REF!+"vlM!eM"</f>
        <v>#REF!</v>
      </c>
      <c r="HT22" t="e">
        <f>#REF!+"vlM!eN"</f>
        <v>#REF!</v>
      </c>
      <c r="HU22" t="e">
        <f>#REF!+"vlM!eO"</f>
        <v>#REF!</v>
      </c>
      <c r="HV22" t="e">
        <f>#REF!+"vlM!eP"</f>
        <v>#REF!</v>
      </c>
      <c r="HW22" t="e">
        <f>#REF!+"vlM!eQ"</f>
        <v>#REF!</v>
      </c>
      <c r="HX22" t="e">
        <f>#REF!+"vlM!eR"</f>
        <v>#REF!</v>
      </c>
      <c r="HY22" t="e">
        <f>#REF!+"vlM!eS"</f>
        <v>#REF!</v>
      </c>
      <c r="HZ22" s="1" t="e">
        <f>#REF!+"vlM!eT"</f>
        <v>#REF!</v>
      </c>
      <c r="IA22" t="e">
        <f>#REF!+"vlM!eU"</f>
        <v>#REF!</v>
      </c>
      <c r="IB22" t="e">
        <f>#REF!+"vlM!eV"</f>
        <v>#REF!</v>
      </c>
      <c r="IC22" t="e">
        <f>#REF!+"vlM!eW"</f>
        <v>#REF!</v>
      </c>
      <c r="ID22" t="e">
        <f>#REF!+"vlM!eX"</f>
        <v>#REF!</v>
      </c>
      <c r="IE22" t="e">
        <f>#REF!+"vlM!eY"</f>
        <v>#REF!</v>
      </c>
      <c r="IF22" t="e">
        <f>#REF!+"vlM!eZ"</f>
        <v>#REF!</v>
      </c>
      <c r="IG22" t="e">
        <f>#REF!+"vlM!e["</f>
        <v>#REF!</v>
      </c>
      <c r="IH22" t="e">
        <f>#REF!+"vlM!e\"</f>
        <v>#REF!</v>
      </c>
      <c r="II22" t="e">
        <f>#REF!+"vlM!e]"</f>
        <v>#REF!</v>
      </c>
      <c r="IJ22" t="e">
        <f>#REF!+"vlM!e^"</f>
        <v>#REF!</v>
      </c>
      <c r="IK22" t="e">
        <f>#REF!+"vlM!e_"</f>
        <v>#REF!</v>
      </c>
      <c r="IL22" t="e">
        <f>#REF!+"vlM!e`"</f>
        <v>#REF!</v>
      </c>
      <c r="IM22" t="e">
        <f>#REF!+"vlM!ea"</f>
        <v>#REF!</v>
      </c>
      <c r="IN22" t="e">
        <f>#REF!+"vlM!eb"</f>
        <v>#REF!</v>
      </c>
      <c r="IO22" s="1" t="e">
        <f>#REF!+"vlM!ec"</f>
        <v>#REF!</v>
      </c>
      <c r="IP22" t="e">
        <f>#REF!+"vlM!ed"</f>
        <v>#REF!</v>
      </c>
      <c r="IQ22" t="e">
        <f>#REF!+"vlM!ee"</f>
        <v>#REF!</v>
      </c>
      <c r="IR22" t="e">
        <f>#REF!+"vlM!ef"</f>
        <v>#REF!</v>
      </c>
      <c r="IS22" t="e">
        <f>#REF!+"vlM!eg"</f>
        <v>#REF!</v>
      </c>
      <c r="IT22" t="e">
        <f>#REF!+"vlM!eh"</f>
        <v>#REF!</v>
      </c>
      <c r="IU22" t="e">
        <f>#REF!+"vlM!ei"</f>
        <v>#REF!</v>
      </c>
      <c r="IV22" t="e">
        <f>#REF!+"vlM!ej"</f>
        <v>#REF!</v>
      </c>
    </row>
    <row r="23" spans="6:256" x14ac:dyDescent="0.25">
      <c r="F23" t="e">
        <f>#REF!+"vlM!ek"</f>
        <v>#REF!</v>
      </c>
      <c r="G23" t="e">
        <f>#REF!+"vlM!el"</f>
        <v>#REF!</v>
      </c>
      <c r="H23" t="e">
        <f>#REF!+"vlM!em"</f>
        <v>#REF!</v>
      </c>
      <c r="I23" t="e">
        <f>#REF!+"vlM!en"</f>
        <v>#REF!</v>
      </c>
      <c r="J23" t="e">
        <f>#REF!+"vlM!eo"</f>
        <v>#REF!</v>
      </c>
      <c r="K23" t="e">
        <f>#REF!+"vlM!ep"</f>
        <v>#REF!</v>
      </c>
      <c r="L23" t="e">
        <f>#REF!+"vlM!eq"</f>
        <v>#REF!</v>
      </c>
      <c r="M23" s="1" t="e">
        <f>#REF!+"vlM!er"</f>
        <v>#REF!</v>
      </c>
      <c r="N23" t="e">
        <f>#REF!+"vlM!es"</f>
        <v>#REF!</v>
      </c>
      <c r="O23" t="e">
        <f>#REF!+"vlM!et"</f>
        <v>#REF!</v>
      </c>
      <c r="P23" t="e">
        <f>#REF!+"vlM!eu"</f>
        <v>#REF!</v>
      </c>
      <c r="Q23" t="e">
        <f>#REF!+"vlM!ev"</f>
        <v>#REF!</v>
      </c>
      <c r="R23" t="e">
        <f>#REF!+"vlM!ew"</f>
        <v>#REF!</v>
      </c>
      <c r="S23" t="e">
        <f>#REF!+"vlM!ex"</f>
        <v>#REF!</v>
      </c>
      <c r="T23" t="e">
        <f>#REF!+"vlM!ey"</f>
        <v>#REF!</v>
      </c>
      <c r="U23" t="e">
        <f>#REF!+"vlM!ez"</f>
        <v>#REF!</v>
      </c>
      <c r="V23" t="e">
        <f>#REF!+"vlM!e{"</f>
        <v>#REF!</v>
      </c>
      <c r="W23" t="e">
        <f>#REF!+"vlM!e|"</f>
        <v>#REF!</v>
      </c>
      <c r="X23" t="e">
        <f>#REF!+"vlM!e}"</f>
        <v>#REF!</v>
      </c>
      <c r="Y23" t="e">
        <f>#REF!+"vlM!e~"</f>
        <v>#REF!</v>
      </c>
      <c r="Z23" t="e">
        <f>#REF!+"vlM!f#"</f>
        <v>#REF!</v>
      </c>
      <c r="AA23" t="e">
        <f>#REF!+"vlM!f$"</f>
        <v>#REF!</v>
      </c>
      <c r="AB23" s="1" t="e">
        <f>#REF!+"vlM!f%"</f>
        <v>#REF!</v>
      </c>
      <c r="AC23" t="e">
        <f>#REF!+"vlM!f&amp;"</f>
        <v>#REF!</v>
      </c>
      <c r="AD23" t="e">
        <f>#REF!+"vlM!f'"</f>
        <v>#REF!</v>
      </c>
      <c r="AE23" t="e">
        <f>#REF!+"vlM!f("</f>
        <v>#REF!</v>
      </c>
      <c r="AF23" t="e">
        <f>#REF!+"vlM!f)"</f>
        <v>#REF!</v>
      </c>
      <c r="AG23" t="e">
        <f>#REF!+"vlM!f."</f>
        <v>#REF!</v>
      </c>
      <c r="AH23" t="e">
        <f>#REF!+"vlM!f/"</f>
        <v>#REF!</v>
      </c>
      <c r="AI23" t="e">
        <f>#REF!+"vlM!f0"</f>
        <v>#REF!</v>
      </c>
      <c r="AJ23" t="e">
        <f>#REF!+"vlM!f1"</f>
        <v>#REF!</v>
      </c>
      <c r="AK23" t="e">
        <f>#REF!+"vlM!f2"</f>
        <v>#REF!</v>
      </c>
      <c r="AL23" t="e">
        <f>#REF!+"vlM!f3"</f>
        <v>#REF!</v>
      </c>
      <c r="AM23" t="e">
        <f>#REF!+"vlM!f4"</f>
        <v>#REF!</v>
      </c>
      <c r="AN23" t="e">
        <f>#REF!+"vlM!f5"</f>
        <v>#REF!</v>
      </c>
      <c r="AO23" t="e">
        <f>#REF!+"vlM!f6"</f>
        <v>#REF!</v>
      </c>
      <c r="AP23" t="e">
        <f>#REF!+"vlM!f7"</f>
        <v>#REF!</v>
      </c>
      <c r="AQ23" s="1" t="e">
        <f>#REF!+"vlM!f8"</f>
        <v>#REF!</v>
      </c>
      <c r="AR23" t="e">
        <f>#REF!+"vlM!f9"</f>
        <v>#REF!</v>
      </c>
      <c r="AS23" t="e">
        <f>#REF!+"vlM!f:"</f>
        <v>#REF!</v>
      </c>
      <c r="AT23" t="e">
        <f>#REF!+"vlM!f;"</f>
        <v>#REF!</v>
      </c>
      <c r="AU23" t="e">
        <f>#REF!+"vlM!f&lt;"</f>
        <v>#REF!</v>
      </c>
      <c r="AV23" t="e">
        <f>#REF!+"vlM!f="</f>
        <v>#REF!</v>
      </c>
      <c r="AW23" t="e">
        <f>#REF!+"vlM!f&gt;"</f>
        <v>#REF!</v>
      </c>
      <c r="AX23" t="e">
        <f>#REF!+"vlM!f?"</f>
        <v>#REF!</v>
      </c>
      <c r="AY23" t="e">
        <f>#REF!+"vlM!f@"</f>
        <v>#REF!</v>
      </c>
      <c r="AZ23" t="e">
        <f>#REF!+"vlM!fA"</f>
        <v>#REF!</v>
      </c>
      <c r="BA23" t="e">
        <f>#REF!+"vlM!fB"</f>
        <v>#REF!</v>
      </c>
      <c r="BB23" t="e">
        <f>#REF!+"vlM!fC"</f>
        <v>#REF!</v>
      </c>
      <c r="BC23" t="e">
        <f>#REF!+"vlM!fD"</f>
        <v>#REF!</v>
      </c>
      <c r="BD23" t="e">
        <f>#REF!+"vlM!fE"</f>
        <v>#REF!</v>
      </c>
      <c r="BE23" t="e">
        <f>#REF!+"vlM!fF"</f>
        <v>#REF!</v>
      </c>
      <c r="BF23" s="1" t="e">
        <f>#REF!+"vlM!fG"</f>
        <v>#REF!</v>
      </c>
      <c r="BG23" t="e">
        <f>#REF!+"vlM!fH"</f>
        <v>#REF!</v>
      </c>
      <c r="BH23" t="e">
        <f>#REF!+"vlM!fI"</f>
        <v>#REF!</v>
      </c>
      <c r="BI23" t="e">
        <f>#REF!+"vlM!fJ"</f>
        <v>#REF!</v>
      </c>
      <c r="BJ23" t="e">
        <f>#REF!+"vlM!fK"</f>
        <v>#REF!</v>
      </c>
      <c r="BK23" t="e">
        <f>#REF!+"vlM!fL"</f>
        <v>#REF!</v>
      </c>
      <c r="BL23" t="e">
        <f>#REF!+"vlM!fM"</f>
        <v>#REF!</v>
      </c>
      <c r="BM23" t="e">
        <f>#REF!+"vlM!fN"</f>
        <v>#REF!</v>
      </c>
      <c r="BN23" t="e">
        <f>#REF!+"vlM!fO"</f>
        <v>#REF!</v>
      </c>
      <c r="BO23" t="e">
        <f>#REF!+"vlM!fP"</f>
        <v>#REF!</v>
      </c>
      <c r="BP23" t="e">
        <f>#REF!+"vlM!fQ"</f>
        <v>#REF!</v>
      </c>
      <c r="BQ23" t="e">
        <f>#REF!+"vlM!fR"</f>
        <v>#REF!</v>
      </c>
      <c r="BR23" t="e">
        <f>#REF!+"vlM!fS"</f>
        <v>#REF!</v>
      </c>
      <c r="BS23" t="e">
        <f>#REF!+"vlM!fT"</f>
        <v>#REF!</v>
      </c>
      <c r="BT23" t="e">
        <f>#REF!+"vlM!fU"</f>
        <v>#REF!</v>
      </c>
      <c r="BU23" s="1" t="e">
        <f>#REF!+"vlM!fV"</f>
        <v>#REF!</v>
      </c>
      <c r="BV23" t="e">
        <f>#REF!+"vlM!fW"</f>
        <v>#REF!</v>
      </c>
      <c r="BW23" t="e">
        <f>#REF!+"vlM!fX"</f>
        <v>#REF!</v>
      </c>
      <c r="BX23" t="e">
        <f>#REF!+"vlM!fY"</f>
        <v>#REF!</v>
      </c>
      <c r="BY23" t="e">
        <f>#REF!+"vlM!fZ"</f>
        <v>#REF!</v>
      </c>
      <c r="BZ23" t="e">
        <f>#REF!+"vlM!f["</f>
        <v>#REF!</v>
      </c>
      <c r="CA23" t="e">
        <f>#REF!+"vlM!f\"</f>
        <v>#REF!</v>
      </c>
      <c r="CB23" t="e">
        <f>#REF!+"vlM!f]"</f>
        <v>#REF!</v>
      </c>
      <c r="CC23" t="e">
        <f>#REF!+"vlM!f^"</f>
        <v>#REF!</v>
      </c>
      <c r="CD23" t="e">
        <f>#REF!+"vlM!f_"</f>
        <v>#REF!</v>
      </c>
      <c r="CE23" t="e">
        <f>#REF!+"vlM!f`"</f>
        <v>#REF!</v>
      </c>
      <c r="CF23" t="e">
        <f>#REF!+"vlM!fa"</f>
        <v>#REF!</v>
      </c>
      <c r="CG23" t="e">
        <f>#REF!+"vlM!fb"</f>
        <v>#REF!</v>
      </c>
      <c r="CH23" t="e">
        <f>#REF!+"vlM!fc"</f>
        <v>#REF!</v>
      </c>
      <c r="CI23" t="e">
        <f>#REF!+"vlM!fd"</f>
        <v>#REF!</v>
      </c>
      <c r="CJ23" s="1" t="e">
        <f>#REF!+"vlM!fe"</f>
        <v>#REF!</v>
      </c>
      <c r="CK23" t="e">
        <f>#REF!+"vlM!ff"</f>
        <v>#REF!</v>
      </c>
      <c r="CL23" t="e">
        <f>#REF!+"vlM!fg"</f>
        <v>#REF!</v>
      </c>
      <c r="CM23" t="e">
        <f>#REF!+"vlM!fh"</f>
        <v>#REF!</v>
      </c>
      <c r="CN23" t="e">
        <f>#REF!+"vlM!fi"</f>
        <v>#REF!</v>
      </c>
      <c r="CO23" t="e">
        <f>#REF!+"vlM!fj"</f>
        <v>#REF!</v>
      </c>
      <c r="CP23" t="e">
        <f>#REF!+"vlM!fk"</f>
        <v>#REF!</v>
      </c>
      <c r="CQ23" t="e">
        <f>#REF!+"vlM!fl"</f>
        <v>#REF!</v>
      </c>
      <c r="CR23" t="e">
        <f>#REF!+"vlM!fm"</f>
        <v>#REF!</v>
      </c>
      <c r="CS23" t="e">
        <f>#REF!+"vlM!fn"</f>
        <v>#REF!</v>
      </c>
      <c r="CT23" t="e">
        <f>#REF!+"vlM!fo"</f>
        <v>#REF!</v>
      </c>
      <c r="CU23" t="e">
        <f>#REF!+"vlM!fp"</f>
        <v>#REF!</v>
      </c>
      <c r="CV23" t="e">
        <f>#REF!+"vlM!fq"</f>
        <v>#REF!</v>
      </c>
      <c r="CW23" t="e">
        <f>#REF!+"vlM!fr"</f>
        <v>#REF!</v>
      </c>
      <c r="CX23" t="e">
        <f>#REF!+"vlM!fs"</f>
        <v>#REF!</v>
      </c>
      <c r="CY23" s="1" t="e">
        <f>#REF!+"vlM!ft"</f>
        <v>#REF!</v>
      </c>
      <c r="CZ23" t="e">
        <f>#REF!+"vlM!fu"</f>
        <v>#REF!</v>
      </c>
      <c r="DA23" t="e">
        <f>#REF!+"vlM!fv"</f>
        <v>#REF!</v>
      </c>
      <c r="DB23" t="e">
        <f>#REF!+"vlM!fw"</f>
        <v>#REF!</v>
      </c>
      <c r="DC23" t="e">
        <f>#REF!+"vlM!fx"</f>
        <v>#REF!</v>
      </c>
      <c r="DD23" t="e">
        <f>#REF!+"vlM!fy"</f>
        <v>#REF!</v>
      </c>
      <c r="DE23" t="e">
        <f>#REF!+"vlM!fz"</f>
        <v>#REF!</v>
      </c>
      <c r="DF23" t="e">
        <f>#REF!+"vlM!f{"</f>
        <v>#REF!</v>
      </c>
      <c r="DG23" t="e">
        <f>#REF!+"vlM!f|"</f>
        <v>#REF!</v>
      </c>
      <c r="DH23" t="e">
        <f>#REF!+"vlM!f}"</f>
        <v>#REF!</v>
      </c>
      <c r="DI23" t="e">
        <f>#REF!+"vlM!f~"</f>
        <v>#REF!</v>
      </c>
      <c r="DJ23" t="e">
        <f>#REF!+"vlM!g#"</f>
        <v>#REF!</v>
      </c>
      <c r="DK23" t="e">
        <f>#REF!+"vlM!g$"</f>
        <v>#REF!</v>
      </c>
      <c r="DL23" t="e">
        <f>#REF!+"vlM!g%"</f>
        <v>#REF!</v>
      </c>
      <c r="DM23" t="e">
        <f>#REF!+"vlM!g&amp;"</f>
        <v>#REF!</v>
      </c>
      <c r="DN23" s="1" t="e">
        <f>#REF!+"vlM!g'"</f>
        <v>#REF!</v>
      </c>
      <c r="DO23" t="e">
        <f>#REF!+"vlM!g("</f>
        <v>#REF!</v>
      </c>
      <c r="DP23" t="e">
        <f>#REF!+"vlM!g)"</f>
        <v>#REF!</v>
      </c>
      <c r="DQ23" t="e">
        <f>#REF!+"vlM!g."</f>
        <v>#REF!</v>
      </c>
      <c r="DR23" t="e">
        <f>#REF!+"vlM!g/"</f>
        <v>#REF!</v>
      </c>
      <c r="DS23" t="e">
        <f>#REF!+"vlM!g0"</f>
        <v>#REF!</v>
      </c>
      <c r="DT23" t="e">
        <f>#REF!+"vlM!g1"</f>
        <v>#REF!</v>
      </c>
      <c r="DU23" t="e">
        <f>#REF!+"vlM!g2"</f>
        <v>#REF!</v>
      </c>
      <c r="DV23" t="e">
        <f>#REF!+"vlM!g3"</f>
        <v>#REF!</v>
      </c>
      <c r="DW23" t="e">
        <f>#REF!+"vlM!g4"</f>
        <v>#REF!</v>
      </c>
      <c r="DX23" t="e">
        <f>#REF!+"vlM!g5"</f>
        <v>#REF!</v>
      </c>
      <c r="DY23" t="e">
        <f>#REF!+"vlM!g6"</f>
        <v>#REF!</v>
      </c>
      <c r="DZ23" t="e">
        <f>#REF!+"vlM!g7"</f>
        <v>#REF!</v>
      </c>
      <c r="EA23" t="e">
        <f>#REF!+"vlM!g8"</f>
        <v>#REF!</v>
      </c>
      <c r="EB23" t="e">
        <f>#REF!+"vlM!g9"</f>
        <v>#REF!</v>
      </c>
      <c r="EC23" s="1" t="e">
        <f>#REF!+"vlM!g:"</f>
        <v>#REF!</v>
      </c>
      <c r="ED23" t="e">
        <f>#REF!+"vlM!g;"</f>
        <v>#REF!</v>
      </c>
      <c r="EE23" t="e">
        <f>#REF!+"vlM!g&lt;"</f>
        <v>#REF!</v>
      </c>
      <c r="EF23" t="e">
        <f>#REF!+"vlM!g="</f>
        <v>#REF!</v>
      </c>
      <c r="EG23" t="e">
        <f>#REF!+"vlM!g&gt;"</f>
        <v>#REF!</v>
      </c>
      <c r="EH23" t="e">
        <f>#REF!+"vlM!g?"</f>
        <v>#REF!</v>
      </c>
      <c r="EI23" t="e">
        <f>#REF!+"vlM!g@"</f>
        <v>#REF!</v>
      </c>
      <c r="EJ23" t="e">
        <f>#REF!+"vlM!gA"</f>
        <v>#REF!</v>
      </c>
      <c r="EK23" t="e">
        <f>#REF!+"vlM!gB"</f>
        <v>#REF!</v>
      </c>
      <c r="EL23" t="e">
        <f>#REF!+"vlM!gC"</f>
        <v>#REF!</v>
      </c>
      <c r="EM23" t="e">
        <f>#REF!+"vlM!gD"</f>
        <v>#REF!</v>
      </c>
      <c r="EN23" t="e">
        <f>#REF!+"vlM!gE"</f>
        <v>#REF!</v>
      </c>
      <c r="EO23" t="e">
        <f>#REF!+"vlM!gF"</f>
        <v>#REF!</v>
      </c>
      <c r="EP23" t="e">
        <f>#REF!+"vlM!gG"</f>
        <v>#REF!</v>
      </c>
      <c r="EQ23" t="e">
        <f>#REF!+"vlM!gH"</f>
        <v>#REF!</v>
      </c>
      <c r="ER23" s="1" t="e">
        <f>#REF!+"vlM!gI"</f>
        <v>#REF!</v>
      </c>
      <c r="ES23" t="e">
        <f>#REF!+"vlM!gJ"</f>
        <v>#REF!</v>
      </c>
      <c r="ET23" t="e">
        <f>#REF!+"vlM!gK"</f>
        <v>#REF!</v>
      </c>
      <c r="EU23" t="e">
        <f>#REF!+"vlM!gL"</f>
        <v>#REF!</v>
      </c>
      <c r="EV23" t="e">
        <f>#REF!+"vlM!gM"</f>
        <v>#REF!</v>
      </c>
      <c r="EW23" t="e">
        <f>#REF!+"vlM!gN"</f>
        <v>#REF!</v>
      </c>
      <c r="EX23" t="e">
        <f>#REF!+"vlM!gO"</f>
        <v>#REF!</v>
      </c>
      <c r="EY23" t="e">
        <f>#REF!+"vlM!gP"</f>
        <v>#REF!</v>
      </c>
      <c r="EZ23" t="e">
        <f>#REF!+"vlM!gQ"</f>
        <v>#REF!</v>
      </c>
      <c r="FA23" t="e">
        <f>#REF!+"vlM!gR"</f>
        <v>#REF!</v>
      </c>
      <c r="FB23" t="e">
        <f>#REF!+"vlM!gS"</f>
        <v>#REF!</v>
      </c>
      <c r="FC23" t="e">
        <f>#REF!+"vlM!gT"</f>
        <v>#REF!</v>
      </c>
      <c r="FD23" t="e">
        <f>#REF!+"vlM!gU"</f>
        <v>#REF!</v>
      </c>
      <c r="FE23" t="e">
        <f>#REF!+"vlM!gV"</f>
        <v>#REF!</v>
      </c>
      <c r="FF23" t="e">
        <f>#REF!+"vlM!gW"</f>
        <v>#REF!</v>
      </c>
      <c r="FG23" s="1" t="e">
        <f>#REF!+"vlM!gX"</f>
        <v>#REF!</v>
      </c>
      <c r="FH23" t="e">
        <f>#REF!+"vlM!gY"</f>
        <v>#REF!</v>
      </c>
      <c r="FI23" t="e">
        <f>#REF!+"vlM!gZ"</f>
        <v>#REF!</v>
      </c>
      <c r="FJ23" t="e">
        <f>#REF!+"vlM!g["</f>
        <v>#REF!</v>
      </c>
      <c r="FK23" t="e">
        <f>#REF!+"vlM!g\"</f>
        <v>#REF!</v>
      </c>
      <c r="FL23" t="e">
        <f>#REF!+"vlM!g]"</f>
        <v>#REF!</v>
      </c>
      <c r="FM23" t="e">
        <f>#REF!+"vlM!g^"</f>
        <v>#REF!</v>
      </c>
      <c r="FN23" t="e">
        <f>#REF!+"vlM!g_"</f>
        <v>#REF!</v>
      </c>
      <c r="FO23" t="e">
        <f>#REF!+"vlM!g`"</f>
        <v>#REF!</v>
      </c>
      <c r="FP23" t="e">
        <f>#REF!+"vlM!ga"</f>
        <v>#REF!</v>
      </c>
      <c r="FQ23" t="e">
        <f>#REF!+"vlM!gb"</f>
        <v>#REF!</v>
      </c>
      <c r="FR23" t="e">
        <f>#REF!+"vlM!gc"</f>
        <v>#REF!</v>
      </c>
      <c r="FS23" t="e">
        <f>#REF!+"vlM!gd"</f>
        <v>#REF!</v>
      </c>
      <c r="FT23" t="e">
        <f>#REF!+"vlM!ge"</f>
        <v>#REF!</v>
      </c>
      <c r="FU23" t="e">
        <f>#REF!+"vlM!gf"</f>
        <v>#REF!</v>
      </c>
      <c r="FV23" s="1" t="e">
        <f>#REF!+"vlM!gg"</f>
        <v>#REF!</v>
      </c>
      <c r="FW23" t="e">
        <f>#REF!+"vlM!gh"</f>
        <v>#REF!</v>
      </c>
      <c r="FX23" t="e">
        <f>#REF!+"vlM!gi"</f>
        <v>#REF!</v>
      </c>
      <c r="FY23" t="e">
        <f>#REF!+"vlM!gj"</f>
        <v>#REF!</v>
      </c>
      <c r="FZ23" t="e">
        <f>#REF!+"vlM!gk"</f>
        <v>#REF!</v>
      </c>
      <c r="GA23" t="e">
        <f>#REF!+"vlM!gl"</f>
        <v>#REF!</v>
      </c>
      <c r="GB23" t="e">
        <f>#REF!+"vlM!gm"</f>
        <v>#REF!</v>
      </c>
      <c r="GC23" t="e">
        <f>#REF!+"vlM!gn"</f>
        <v>#REF!</v>
      </c>
      <c r="GD23" t="e">
        <f>#REF!+"vlM!go"</f>
        <v>#REF!</v>
      </c>
      <c r="GE23" t="e">
        <f>#REF!+"vlM!gp"</f>
        <v>#REF!</v>
      </c>
      <c r="GF23" t="e">
        <f>#REF!+"vlM!gq"</f>
        <v>#REF!</v>
      </c>
      <c r="GG23" t="e">
        <f>#REF!+"vlM!gr"</f>
        <v>#REF!</v>
      </c>
      <c r="GH23" t="e">
        <f>#REF!+"vlM!gs"</f>
        <v>#REF!</v>
      </c>
      <c r="GI23" t="e">
        <f>#REF!+"vlM!gt"</f>
        <v>#REF!</v>
      </c>
      <c r="GJ23" t="e">
        <f>#REF!+"vlM!gu"</f>
        <v>#REF!</v>
      </c>
      <c r="GK23" s="1" t="e">
        <f>#REF!+"vlM!gv"</f>
        <v>#REF!</v>
      </c>
      <c r="GL23" t="e">
        <f>#REF!+"vlM!gw"</f>
        <v>#REF!</v>
      </c>
      <c r="GM23" t="e">
        <f>#REF!+"vlM!gx"</f>
        <v>#REF!</v>
      </c>
      <c r="GN23" t="e">
        <f>#REF!+"vlM!gy"</f>
        <v>#REF!</v>
      </c>
      <c r="GO23" t="e">
        <f>#REF!+"vlM!gz"</f>
        <v>#REF!</v>
      </c>
      <c r="GP23" t="e">
        <f>#REF!+"vlM!g{"</f>
        <v>#REF!</v>
      </c>
      <c r="GQ23" t="e">
        <f>#REF!+"vlM!g|"</f>
        <v>#REF!</v>
      </c>
      <c r="GR23" t="e">
        <f>#REF!+"vlM!g}"</f>
        <v>#REF!</v>
      </c>
      <c r="GS23" t="e">
        <f>#REF!+"vlM!g~"</f>
        <v>#REF!</v>
      </c>
      <c r="GT23" t="e">
        <f>#REF!+"vlM!h#"</f>
        <v>#REF!</v>
      </c>
      <c r="GU23" t="e">
        <f>#REF!+"vlM!h$"</f>
        <v>#REF!</v>
      </c>
      <c r="GV23" t="e">
        <f>#REF!+"vlM!h%"</f>
        <v>#REF!</v>
      </c>
      <c r="GW23" t="e">
        <f>#REF!+"vlM!h&amp;"</f>
        <v>#REF!</v>
      </c>
      <c r="GX23" t="e">
        <f>#REF!+"vlM!h'"</f>
        <v>#REF!</v>
      </c>
      <c r="GY23" t="e">
        <f>#REF!+"vlM!h("</f>
        <v>#REF!</v>
      </c>
      <c r="GZ23" s="1" t="e">
        <f>#REF!+"vlM!h)"</f>
        <v>#REF!</v>
      </c>
      <c r="HA23" t="e">
        <f>#REF!+"vlM!h."</f>
        <v>#REF!</v>
      </c>
      <c r="HB23" t="e">
        <f>#REF!+"vlM!h/"</f>
        <v>#REF!</v>
      </c>
      <c r="HC23" t="e">
        <f>#REF!+"vlM!h0"</f>
        <v>#REF!</v>
      </c>
      <c r="HD23" t="e">
        <f>#REF!+"vlM!h1"</f>
        <v>#REF!</v>
      </c>
      <c r="HE23" t="e">
        <f>#REF!+"vlM!h2"</f>
        <v>#REF!</v>
      </c>
      <c r="HF23" t="e">
        <f>#REF!+"vlM!h3"</f>
        <v>#REF!</v>
      </c>
      <c r="HG23" t="e">
        <f>#REF!+"vlM!h4"</f>
        <v>#REF!</v>
      </c>
      <c r="HH23" t="e">
        <f>#REF!+"vlM!h5"</f>
        <v>#REF!</v>
      </c>
      <c r="HI23" t="e">
        <f>#REF!+"vlM!h6"</f>
        <v>#REF!</v>
      </c>
      <c r="HJ23" t="e">
        <f>#REF!+"vlM!h7"</f>
        <v>#REF!</v>
      </c>
      <c r="HK23" t="e">
        <f>#REF!+"vlM!h8"</f>
        <v>#REF!</v>
      </c>
      <c r="HL23" t="e">
        <f>#REF!+"vlM!h9"</f>
        <v>#REF!</v>
      </c>
      <c r="HM23" t="e">
        <f>#REF!+"vlM!h:"</f>
        <v>#REF!</v>
      </c>
      <c r="HN23" t="e">
        <f>#REF!+"vlM!h;"</f>
        <v>#REF!</v>
      </c>
      <c r="HO23" s="1" t="e">
        <f>#REF!+"vlM!h&lt;"</f>
        <v>#REF!</v>
      </c>
      <c r="HP23" t="e">
        <f>#REF!+"vlM!h="</f>
        <v>#REF!</v>
      </c>
      <c r="HQ23" t="e">
        <f>#REF!+"vlM!h&gt;"</f>
        <v>#REF!</v>
      </c>
      <c r="HR23" t="e">
        <f>#REF!+"vlM!h?"</f>
        <v>#REF!</v>
      </c>
      <c r="HS23" t="e">
        <f>#REF!+"vlM!h@"</f>
        <v>#REF!</v>
      </c>
      <c r="HT23" t="e">
        <f>#REF!+"vlM!hA"</f>
        <v>#REF!</v>
      </c>
      <c r="HU23" t="e">
        <f>#REF!+"vlM!hB"</f>
        <v>#REF!</v>
      </c>
      <c r="HV23" t="e">
        <f>#REF!+"vlM!hC"</f>
        <v>#REF!</v>
      </c>
      <c r="HW23" t="e">
        <f>#REF!+"vlM!hD"</f>
        <v>#REF!</v>
      </c>
      <c r="HX23" t="e">
        <f>#REF!+"vlM!hE"</f>
        <v>#REF!</v>
      </c>
      <c r="HY23" t="e">
        <f>#REF!+"vlM!hF"</f>
        <v>#REF!</v>
      </c>
      <c r="HZ23" t="e">
        <f>#REF!+"vlM!hG"</f>
        <v>#REF!</v>
      </c>
      <c r="IA23" t="e">
        <f>#REF!+"vlM!hH"</f>
        <v>#REF!</v>
      </c>
      <c r="IB23" t="e">
        <f>#REF!+"vlM!hI"</f>
        <v>#REF!</v>
      </c>
      <c r="IC23" t="e">
        <f>#REF!+"vlM!hJ"</f>
        <v>#REF!</v>
      </c>
      <c r="ID23" s="1" t="e">
        <f>#REF!+"vlM!hK"</f>
        <v>#REF!</v>
      </c>
      <c r="IE23" t="e">
        <f>#REF!+"vlM!hL"</f>
        <v>#REF!</v>
      </c>
      <c r="IF23" t="e">
        <f>#REF!+"vlM!hM"</f>
        <v>#REF!</v>
      </c>
      <c r="IG23" t="e">
        <f>#REF!+"vlM!hN"</f>
        <v>#REF!</v>
      </c>
      <c r="IH23" t="e">
        <f>#REF!+"vlM!hO"</f>
        <v>#REF!</v>
      </c>
      <c r="II23" t="e">
        <f>#REF!+"vlM!hP"</f>
        <v>#REF!</v>
      </c>
      <c r="IJ23" t="e">
        <f>#REF!+"vlM!hQ"</f>
        <v>#REF!</v>
      </c>
      <c r="IK23" t="e">
        <f>#REF!+"vlM!hR"</f>
        <v>#REF!</v>
      </c>
      <c r="IL23" t="e">
        <f>#REF!+"vlM!hS"</f>
        <v>#REF!</v>
      </c>
      <c r="IM23" t="e">
        <f>#REF!+"vlM!hT"</f>
        <v>#REF!</v>
      </c>
      <c r="IN23" t="e">
        <f>#REF!+"vlM!hU"</f>
        <v>#REF!</v>
      </c>
      <c r="IO23" t="e">
        <f>#REF!+"vlM!hV"</f>
        <v>#REF!</v>
      </c>
      <c r="IP23" t="e">
        <f>#REF!+"vlM!hW"</f>
        <v>#REF!</v>
      </c>
      <c r="IQ23" t="e">
        <f>#REF!+"vlM!hX"</f>
        <v>#REF!</v>
      </c>
      <c r="IR23" t="e">
        <f>#REF!+"vlM!hY"</f>
        <v>#REF!</v>
      </c>
      <c r="IS23" s="1" t="e">
        <f>#REF!+"vlM!hZ"</f>
        <v>#REF!</v>
      </c>
      <c r="IT23" t="e">
        <f>#REF!+"vlM!h["</f>
        <v>#REF!</v>
      </c>
      <c r="IU23" t="e">
        <f>#REF!+"vlM!h\"</f>
        <v>#REF!</v>
      </c>
      <c r="IV23" t="e">
        <f>#REF!+"vlM!h]"</f>
        <v>#REF!</v>
      </c>
    </row>
    <row r="24" spans="6:256" x14ac:dyDescent="0.25">
      <c r="F24" t="e">
        <f>#REF!+"vlM!h^"</f>
        <v>#REF!</v>
      </c>
      <c r="G24" t="e">
        <f>#REF!+"vlM!h_"</f>
        <v>#REF!</v>
      </c>
      <c r="H24" t="e">
        <f>#REF!+"vlM!h`"</f>
        <v>#REF!</v>
      </c>
      <c r="I24" t="e">
        <f>#REF!+"vlM!ha"</f>
        <v>#REF!</v>
      </c>
      <c r="J24" t="e">
        <f>#REF!+"vlM!hb"</f>
        <v>#REF!</v>
      </c>
      <c r="K24" t="e">
        <f>#REF!+"vlM!hc"</f>
        <v>#REF!</v>
      </c>
      <c r="L24" t="e">
        <f>#REF!+"vlM!hd"</f>
        <v>#REF!</v>
      </c>
      <c r="M24" t="e">
        <f>#REF!+"vlM!he"</f>
        <v>#REF!</v>
      </c>
      <c r="N24" t="e">
        <f>#REF!+"vlM!hf"</f>
        <v>#REF!</v>
      </c>
      <c r="O24" t="e">
        <f>#REF!+"vlM!hg"</f>
        <v>#REF!</v>
      </c>
      <c r="P24" t="e">
        <f>#REF!+"vlM!hh"</f>
        <v>#REF!</v>
      </c>
      <c r="Q24" s="1" t="e">
        <f>#REF!+"vlM!hi"</f>
        <v>#REF!</v>
      </c>
      <c r="R24" t="e">
        <f>#REF!+"vlM!hj"</f>
        <v>#REF!</v>
      </c>
      <c r="S24" t="e">
        <f>#REF!+"vlM!hk"</f>
        <v>#REF!</v>
      </c>
      <c r="T24" t="e">
        <f>#REF!+"vlM!hl"</f>
        <v>#REF!</v>
      </c>
      <c r="U24" t="e">
        <f>#REF!+"vlM!hm"</f>
        <v>#REF!</v>
      </c>
      <c r="V24" t="e">
        <f>#REF!+"vlM!hn"</f>
        <v>#REF!</v>
      </c>
      <c r="W24" t="e">
        <f>#REF!+"vlM!ho"</f>
        <v>#REF!</v>
      </c>
      <c r="X24" t="e">
        <f>#REF!+"vlM!hp"</f>
        <v>#REF!</v>
      </c>
      <c r="Y24" t="e">
        <f>#REF!+"vlM!hq"</f>
        <v>#REF!</v>
      </c>
      <c r="Z24" t="e">
        <f>#REF!+"vlM!hr"</f>
        <v>#REF!</v>
      </c>
      <c r="AA24" t="e">
        <f>#REF!+"vlM!hs"</f>
        <v>#REF!</v>
      </c>
      <c r="AB24" t="e">
        <f>#REF!+"vlM!ht"</f>
        <v>#REF!</v>
      </c>
      <c r="AC24" t="e">
        <f>#REF!+"vlM!hu"</f>
        <v>#REF!</v>
      </c>
      <c r="AD24" t="e">
        <f>#REF!+"vlM!hv"</f>
        <v>#REF!</v>
      </c>
      <c r="AE24" t="e">
        <f>#REF!+"vlM!hw"</f>
        <v>#REF!</v>
      </c>
      <c r="AF24" s="1" t="e">
        <f>#REF!+"vlM!hx"</f>
        <v>#REF!</v>
      </c>
      <c r="AG24" t="e">
        <f>#REF!+"vlM!hy"</f>
        <v>#REF!</v>
      </c>
      <c r="AH24" t="e">
        <f>#REF!+"vlM!hz"</f>
        <v>#REF!</v>
      </c>
      <c r="AI24" t="e">
        <f>#REF!+"vlM!h{"</f>
        <v>#REF!</v>
      </c>
      <c r="AJ24" t="e">
        <f>#REF!+"vlM!h|"</f>
        <v>#REF!</v>
      </c>
      <c r="AK24" t="e">
        <f>#REF!+"vlM!h}"</f>
        <v>#REF!</v>
      </c>
      <c r="AL24" t="e">
        <f>#REF!+"vlM!h~"</f>
        <v>#REF!</v>
      </c>
      <c r="AM24" t="e">
        <f>#REF!+"vlM!i#"</f>
        <v>#REF!</v>
      </c>
      <c r="AN24" t="e">
        <f>#REF!+"vlM!i$"</f>
        <v>#REF!</v>
      </c>
      <c r="AO24" t="e">
        <f>#REF!+"vlM!i%"</f>
        <v>#REF!</v>
      </c>
      <c r="AP24" t="e">
        <f>#REF!+"vlM!i&amp;"</f>
        <v>#REF!</v>
      </c>
      <c r="AQ24" t="e">
        <f>#REF!+"vlM!i'"</f>
        <v>#REF!</v>
      </c>
      <c r="AR24" t="e">
        <f>#REF!+"vlM!i("</f>
        <v>#REF!</v>
      </c>
      <c r="AS24" t="e">
        <f>#REF!+"vlM!i)"</f>
        <v>#REF!</v>
      </c>
      <c r="AT24" t="e">
        <f>#REF!+"vlM!i."</f>
        <v>#REF!</v>
      </c>
      <c r="AU24" s="1" t="e">
        <f>#REF!+"vlM!i/"</f>
        <v>#REF!</v>
      </c>
      <c r="AV24" t="e">
        <f>#REF!+"vlM!i0"</f>
        <v>#REF!</v>
      </c>
      <c r="AW24" t="e">
        <f>#REF!+"vlM!i1"</f>
        <v>#REF!</v>
      </c>
      <c r="AX24" t="e">
        <f>#REF!+"vlM!i2"</f>
        <v>#REF!</v>
      </c>
      <c r="AY24" t="e">
        <f>#REF!+"vlM!i3"</f>
        <v>#REF!</v>
      </c>
      <c r="AZ24" t="e">
        <f>#REF!+"vlM!i4"</f>
        <v>#REF!</v>
      </c>
      <c r="BA24" t="e">
        <f>#REF!+"vlM!i5"</f>
        <v>#REF!</v>
      </c>
      <c r="BB24" t="e">
        <f>#REF!+"vlM!i6"</f>
        <v>#REF!</v>
      </c>
      <c r="BC24" t="e">
        <f>#REF!+"vlM!i7"</f>
        <v>#REF!</v>
      </c>
      <c r="BD24" t="e">
        <f>#REF!+"vlM!i8"</f>
        <v>#REF!</v>
      </c>
      <c r="BE24" t="e">
        <f>#REF!+"vlM!i9"</f>
        <v>#REF!</v>
      </c>
      <c r="BF24" t="e">
        <f>#REF!+"vlM!i:"</f>
        <v>#REF!</v>
      </c>
      <c r="BG24" t="e">
        <f>#REF!+"vlM!i;"</f>
        <v>#REF!</v>
      </c>
      <c r="BH24" t="e">
        <f>#REF!+"vlM!i&lt;"</f>
        <v>#REF!</v>
      </c>
      <c r="BI24" t="e">
        <f>#REF!+"vlM!i="</f>
        <v>#REF!</v>
      </c>
      <c r="BJ24" s="1" t="e">
        <f>#REF!+"vlM!i&gt;"</f>
        <v>#REF!</v>
      </c>
      <c r="BK24" t="e">
        <f>#REF!+"vlM!i?"</f>
        <v>#REF!</v>
      </c>
      <c r="BL24" t="e">
        <f>#REF!+"vlM!i@"</f>
        <v>#REF!</v>
      </c>
      <c r="BM24" t="e">
        <f>#REF!+"vlM!iA"</f>
        <v>#REF!</v>
      </c>
      <c r="BN24" t="e">
        <f>#REF!+"vlM!iB"</f>
        <v>#REF!</v>
      </c>
      <c r="BO24" t="e">
        <f>#REF!+"vlM!iC"</f>
        <v>#REF!</v>
      </c>
      <c r="BP24" t="e">
        <f>#REF!+"vlM!iD"</f>
        <v>#REF!</v>
      </c>
      <c r="BQ24" t="e">
        <f>#REF!+"vlM!iE"</f>
        <v>#REF!</v>
      </c>
      <c r="BR24" t="e">
        <f>#REF!+"vlM!iF"</f>
        <v>#REF!</v>
      </c>
      <c r="BS24" t="e">
        <f>#REF!+"vlM!iG"</f>
        <v>#REF!</v>
      </c>
      <c r="BT24" t="e">
        <f>#REF!+"vlM!iH"</f>
        <v>#REF!</v>
      </c>
      <c r="BU24" t="e">
        <f>#REF!+"vlM!iI"</f>
        <v>#REF!</v>
      </c>
      <c r="BV24" t="e">
        <f>#REF!+"vlM!iJ"</f>
        <v>#REF!</v>
      </c>
      <c r="BW24" t="e">
        <f>#REF!+"vlM!iK"</f>
        <v>#REF!</v>
      </c>
      <c r="BX24" t="e">
        <f>#REF!+"vlM!iL"</f>
        <v>#REF!</v>
      </c>
      <c r="BY24" s="1" t="e">
        <f>#REF!+"vlM!iM"</f>
        <v>#REF!</v>
      </c>
      <c r="BZ24" t="e">
        <f>#REF!+"vlM!iN"</f>
        <v>#REF!</v>
      </c>
      <c r="CA24" t="e">
        <f>#REF!+"vlM!iO"</f>
        <v>#REF!</v>
      </c>
      <c r="CB24" t="e">
        <f>#REF!+"vlM!iP"</f>
        <v>#REF!</v>
      </c>
      <c r="CC24" t="e">
        <f>#REF!+"vlM!iQ"</f>
        <v>#REF!</v>
      </c>
      <c r="CD24" t="e">
        <f>#REF!+"vlM!iR"</f>
        <v>#REF!</v>
      </c>
      <c r="CE24" t="e">
        <f>#REF!+"vlM!iS"</f>
        <v>#REF!</v>
      </c>
      <c r="CF24" t="e">
        <f>#REF!+"vlM!iT"</f>
        <v>#REF!</v>
      </c>
      <c r="CG24" t="e">
        <f>#REF!+"vlM!iU"</f>
        <v>#REF!</v>
      </c>
      <c r="CH24" t="e">
        <f>#REF!+"vlM!iV"</f>
        <v>#REF!</v>
      </c>
      <c r="CI24" t="e">
        <f>#REF!+"vlM!iW"</f>
        <v>#REF!</v>
      </c>
      <c r="CJ24" t="e">
        <f>#REF!+"vlM!iX"</f>
        <v>#REF!</v>
      </c>
      <c r="CK24" t="e">
        <f>#REF!+"vlM!iY"</f>
        <v>#REF!</v>
      </c>
      <c r="CL24" t="e">
        <f>#REF!+"vlM!iZ"</f>
        <v>#REF!</v>
      </c>
      <c r="CM24" t="e">
        <f>#REF!+"vlM!i["</f>
        <v>#REF!</v>
      </c>
      <c r="CN24" s="1" t="e">
        <f>#REF!+"vlM!i\"</f>
        <v>#REF!</v>
      </c>
      <c r="CO24" t="e">
        <f>#REF!+"vlM!i]"</f>
        <v>#REF!</v>
      </c>
      <c r="CP24" t="e">
        <f>#REF!+"vlM!i^"</f>
        <v>#REF!</v>
      </c>
      <c r="CQ24" t="e">
        <f>#REF!+"vlM!i_"</f>
        <v>#REF!</v>
      </c>
      <c r="CR24" t="e">
        <f>#REF!+"vlM!i`"</f>
        <v>#REF!</v>
      </c>
      <c r="CS24" t="e">
        <f>#REF!+"vlM!ia"</f>
        <v>#REF!</v>
      </c>
      <c r="CT24" t="e">
        <f>#REF!+"vlM!ib"</f>
        <v>#REF!</v>
      </c>
      <c r="CU24" t="e">
        <f>#REF!+"vlM!ic"</f>
        <v>#REF!</v>
      </c>
      <c r="CV24" t="e">
        <f>#REF!+"vlM!id"</f>
        <v>#REF!</v>
      </c>
      <c r="CW24" t="e">
        <f>#REF!+"vlM!ie"</f>
        <v>#REF!</v>
      </c>
      <c r="CX24" t="e">
        <f>#REF!+"vlM!if"</f>
        <v>#REF!</v>
      </c>
      <c r="CY24" t="e">
        <f>#REF!+"vlM!ig"</f>
        <v>#REF!</v>
      </c>
      <c r="CZ24" t="e">
        <f>#REF!+"vlM!ih"</f>
        <v>#REF!</v>
      </c>
      <c r="DA24" t="e">
        <f>#REF!+"vlM!ii"</f>
        <v>#REF!</v>
      </c>
      <c r="DB24" t="e">
        <f>#REF!+"vlM!ij"</f>
        <v>#REF!</v>
      </c>
      <c r="DC24" s="1" t="e">
        <f>#REF!+"vlM!ik"</f>
        <v>#REF!</v>
      </c>
      <c r="DD24" t="e">
        <f>#REF!+"vlM!il"</f>
        <v>#REF!</v>
      </c>
      <c r="DE24" t="e">
        <f>#REF!+"vlM!im"</f>
        <v>#REF!</v>
      </c>
      <c r="DF24" t="e">
        <f>#REF!+"vlM!in"</f>
        <v>#REF!</v>
      </c>
      <c r="DG24" t="e">
        <f>#REF!+"vlM!io"</f>
        <v>#REF!</v>
      </c>
      <c r="DH24" t="e">
        <f>#REF!+"vlM!ip"</f>
        <v>#REF!</v>
      </c>
      <c r="DI24" t="e">
        <f>#REF!+"vlM!iq"</f>
        <v>#REF!</v>
      </c>
      <c r="DJ24" t="e">
        <f>#REF!+"vlM!ir"</f>
        <v>#REF!</v>
      </c>
      <c r="DK24" t="e">
        <f>#REF!+"vlM!is"</f>
        <v>#REF!</v>
      </c>
      <c r="DL24" t="e">
        <f>#REF!+"vlM!it"</f>
        <v>#REF!</v>
      </c>
      <c r="DM24" t="e">
        <f>#REF!+"vlM!iu"</f>
        <v>#REF!</v>
      </c>
      <c r="DN24" t="e">
        <f>#REF!+"vlM!iv"</f>
        <v>#REF!</v>
      </c>
      <c r="DO24" t="e">
        <f>#REF!+"vlM!iw"</f>
        <v>#REF!</v>
      </c>
      <c r="DP24" t="e">
        <f>#REF!+"vlM!ix"</f>
        <v>#REF!</v>
      </c>
      <c r="DQ24" t="e">
        <f>#REF!+"vlM!iy"</f>
        <v>#REF!</v>
      </c>
      <c r="DR24" s="1" t="e">
        <f>#REF!+"vlM!iz"</f>
        <v>#REF!</v>
      </c>
      <c r="DS24" t="e">
        <f>#REF!+"vlM!i{"</f>
        <v>#REF!</v>
      </c>
      <c r="DT24" t="e">
        <f>#REF!+"vlM!i|"</f>
        <v>#REF!</v>
      </c>
      <c r="DU24" t="e">
        <f>#REF!+"vlM!i}"</f>
        <v>#REF!</v>
      </c>
      <c r="DV24" t="e">
        <f>#REF!+"vlM!i~"</f>
        <v>#REF!</v>
      </c>
      <c r="DW24" t="e">
        <f>#REF!+"vlM!j#"</f>
        <v>#REF!</v>
      </c>
      <c r="DX24" t="e">
        <f>#REF!+"vlM!j$"</f>
        <v>#REF!</v>
      </c>
      <c r="DY24" t="e">
        <f>#REF!+"vlM!j%"</f>
        <v>#REF!</v>
      </c>
      <c r="DZ24" t="e">
        <f>#REF!+"vlM!j&amp;"</f>
        <v>#REF!</v>
      </c>
      <c r="EA24" t="e">
        <f>#REF!+"vlM!j'"</f>
        <v>#REF!</v>
      </c>
      <c r="EB24" t="e">
        <f>#REF!+"vlM!j("</f>
        <v>#REF!</v>
      </c>
      <c r="EC24" t="e">
        <f>#REF!+"vlM!j)"</f>
        <v>#REF!</v>
      </c>
      <c r="ED24" t="e">
        <f>#REF!+"vlM!j."</f>
        <v>#REF!</v>
      </c>
      <c r="EE24" t="e">
        <f>#REF!+"vlM!j/"</f>
        <v>#REF!</v>
      </c>
      <c r="EF24" t="e">
        <f>#REF!+"vlM!j0"</f>
        <v>#REF!</v>
      </c>
      <c r="EG24" s="1" t="e">
        <f>#REF!+"vlM!j1"</f>
        <v>#REF!</v>
      </c>
      <c r="EH24" t="e">
        <f>#REF!+"vlM!j2"</f>
        <v>#REF!</v>
      </c>
      <c r="EI24" t="e">
        <f>#REF!+"vlM!j3"</f>
        <v>#REF!</v>
      </c>
      <c r="EJ24" t="e">
        <f>#REF!+"vlM!j4"</f>
        <v>#REF!</v>
      </c>
      <c r="EK24" t="e">
        <f>#REF!+"vlM!j5"</f>
        <v>#REF!</v>
      </c>
      <c r="EL24" t="e">
        <f>#REF!+"vlM!j6"</f>
        <v>#REF!</v>
      </c>
      <c r="EM24" t="e">
        <f>#REF!+"vlM!j7"</f>
        <v>#REF!</v>
      </c>
      <c r="EN24" t="e">
        <f>#REF!+"vlM!j8"</f>
        <v>#REF!</v>
      </c>
      <c r="EO24" t="e">
        <f>#REF!+"vlM!j9"</f>
        <v>#REF!</v>
      </c>
      <c r="EP24" t="e">
        <f>#REF!+"vlM!j:"</f>
        <v>#REF!</v>
      </c>
      <c r="EQ24" t="e">
        <f>#REF!+"vlM!j;"</f>
        <v>#REF!</v>
      </c>
      <c r="ER24" t="e">
        <f>#REF!+"vlM!j&lt;"</f>
        <v>#REF!</v>
      </c>
      <c r="ES24" t="e">
        <f>#REF!+"vlM!j="</f>
        <v>#REF!</v>
      </c>
      <c r="ET24" t="e">
        <f>#REF!+"vlM!j&gt;"</f>
        <v>#REF!</v>
      </c>
      <c r="EU24" t="e">
        <f>#REF!+"vlM!j?"</f>
        <v>#REF!</v>
      </c>
      <c r="EV24" s="1" t="e">
        <f>#REF!+"vlM!j@"</f>
        <v>#REF!</v>
      </c>
      <c r="EW24" t="e">
        <f>#REF!+"vlM!jA"</f>
        <v>#REF!</v>
      </c>
      <c r="EX24" t="e">
        <f>#REF!+"vlM!jB"</f>
        <v>#REF!</v>
      </c>
      <c r="EY24" t="e">
        <f>#REF!+"vlM!jC"</f>
        <v>#REF!</v>
      </c>
      <c r="EZ24" t="e">
        <f>#REF!+"vlM!jD"</f>
        <v>#REF!</v>
      </c>
      <c r="FA24" t="e">
        <f>#REF!+"vlM!jE"</f>
        <v>#REF!</v>
      </c>
      <c r="FB24" t="e">
        <f>#REF!+"vlM!jF"</f>
        <v>#REF!</v>
      </c>
      <c r="FC24" t="e">
        <f>#REF!+"vlM!jG"</f>
        <v>#REF!</v>
      </c>
      <c r="FD24" t="e">
        <f>#REF!+"vlM!jH"</f>
        <v>#REF!</v>
      </c>
      <c r="FE24" t="e">
        <f>#REF!+"vlM!jI"</f>
        <v>#REF!</v>
      </c>
      <c r="FF24" t="e">
        <f>#REF!+"vlM!jJ"</f>
        <v>#REF!</v>
      </c>
      <c r="FG24" t="e">
        <f>#REF!+"vlM!jK"</f>
        <v>#REF!</v>
      </c>
      <c r="FH24" t="e">
        <f>#REF!+"vlM!jL"</f>
        <v>#REF!</v>
      </c>
      <c r="FI24" t="e">
        <f>#REF!+"vlM!jM"</f>
        <v>#REF!</v>
      </c>
      <c r="FJ24" t="e">
        <f>#REF!+"vlM!jN"</f>
        <v>#REF!</v>
      </c>
      <c r="FK24" s="1" t="e">
        <f>#REF!+"vlM!jO"</f>
        <v>#REF!</v>
      </c>
      <c r="FL24" t="e">
        <f>#REF!+"vlM!jP"</f>
        <v>#REF!</v>
      </c>
      <c r="FM24" t="e">
        <f>#REF!+"vlM!jQ"</f>
        <v>#REF!</v>
      </c>
      <c r="FN24" t="e">
        <f>#REF!+"vlM!jR"</f>
        <v>#REF!</v>
      </c>
      <c r="FO24" t="e">
        <f>#REF!+"vlM!jS"</f>
        <v>#REF!</v>
      </c>
      <c r="FP24" t="e">
        <f>#REF!+"vlM!jT"</f>
        <v>#REF!</v>
      </c>
      <c r="FQ24" t="e">
        <f>#REF!+"vlM!jU"</f>
        <v>#REF!</v>
      </c>
      <c r="FR24" t="e">
        <f>#REF!+"vlM!jV"</f>
        <v>#REF!</v>
      </c>
      <c r="FS24" t="e">
        <f>#REF!+"vlM!jW"</f>
        <v>#REF!</v>
      </c>
      <c r="FT24" t="e">
        <f>#REF!+"vlM!jX"</f>
        <v>#REF!</v>
      </c>
      <c r="FU24" t="e">
        <f>#REF!+"vlM!jY"</f>
        <v>#REF!</v>
      </c>
      <c r="FV24" t="e">
        <f>#REF!+"vlM!jZ"</f>
        <v>#REF!</v>
      </c>
      <c r="FW24" t="e">
        <f>#REF!+"vlM!j["</f>
        <v>#REF!</v>
      </c>
      <c r="FX24" t="e">
        <f>#REF!+"vlM!j\"</f>
        <v>#REF!</v>
      </c>
      <c r="FY24" t="e">
        <f>#REF!+"vlM!j]"</f>
        <v>#REF!</v>
      </c>
      <c r="FZ24" s="1" t="e">
        <f>#REF!+"vlM!j^"</f>
        <v>#REF!</v>
      </c>
      <c r="GA24" t="e">
        <f>#REF!+"vlM!j_"</f>
        <v>#REF!</v>
      </c>
      <c r="GB24" t="e">
        <f>#REF!+"vlM!j`"</f>
        <v>#REF!</v>
      </c>
      <c r="GC24" t="e">
        <f>#REF!+"vlM!ja"</f>
        <v>#REF!</v>
      </c>
      <c r="GD24" t="e">
        <f>#REF!+"vlM!jb"</f>
        <v>#REF!</v>
      </c>
      <c r="GE24" t="e">
        <f>#REF!+"vlM!jc"</f>
        <v>#REF!</v>
      </c>
      <c r="GF24" t="e">
        <f>#REF!+"vlM!jd"</f>
        <v>#REF!</v>
      </c>
      <c r="GG24" t="e">
        <f>#REF!+"vlM!je"</f>
        <v>#REF!</v>
      </c>
      <c r="GH24" t="e">
        <f>#REF!+"vlM!jf"</f>
        <v>#REF!</v>
      </c>
      <c r="GI24" t="e">
        <f>#REF!+"vlM!jg"</f>
        <v>#REF!</v>
      </c>
      <c r="GJ24" t="e">
        <f>#REF!+"vlM!jh"</f>
        <v>#REF!</v>
      </c>
      <c r="GK24" t="e">
        <f>#REF!+"vlM!ji"</f>
        <v>#REF!</v>
      </c>
      <c r="GL24" t="e">
        <f>#REF!+"vlM!jj"</f>
        <v>#REF!</v>
      </c>
      <c r="GM24" t="e">
        <f>#REF!+"vlM!jk"</f>
        <v>#REF!</v>
      </c>
      <c r="GN24" t="e">
        <f>#REF!+"vlM!jl"</f>
        <v>#REF!</v>
      </c>
      <c r="GO24" s="1" t="e">
        <f>#REF!+"vlM!jm"</f>
        <v>#REF!</v>
      </c>
      <c r="GP24" t="e">
        <f>#REF!+"vlM!jn"</f>
        <v>#REF!</v>
      </c>
      <c r="GQ24" t="e">
        <f>#REF!+"vlM!jo"</f>
        <v>#REF!</v>
      </c>
      <c r="GR24" t="e">
        <f>#REF!+"vlM!jp"</f>
        <v>#REF!</v>
      </c>
      <c r="GS24" t="e">
        <f>#REF!+"vlM!jq"</f>
        <v>#REF!</v>
      </c>
      <c r="GT24" t="e">
        <f>#REF!+"vlM!jr"</f>
        <v>#REF!</v>
      </c>
      <c r="GU24" t="e">
        <f>#REF!+"vlM!js"</f>
        <v>#REF!</v>
      </c>
      <c r="GV24" t="e">
        <f>#REF!+"vlM!jt"</f>
        <v>#REF!</v>
      </c>
      <c r="GW24" t="e">
        <f>#REF!+"vlM!ju"</f>
        <v>#REF!</v>
      </c>
      <c r="GX24" t="e">
        <f>#REF!+"vlM!jv"</f>
        <v>#REF!</v>
      </c>
      <c r="GY24" t="e">
        <f>#REF!+"vlM!jw"</f>
        <v>#REF!</v>
      </c>
      <c r="GZ24" t="e">
        <f>#REF!+"vlM!jx"</f>
        <v>#REF!</v>
      </c>
      <c r="HA24" t="e">
        <f>#REF!+"vlM!jy"</f>
        <v>#REF!</v>
      </c>
      <c r="HB24" t="e">
        <f>#REF!+"vlM!jz"</f>
        <v>#REF!</v>
      </c>
      <c r="HC24" t="e">
        <f>#REF!+"vlM!j{"</f>
        <v>#REF!</v>
      </c>
      <c r="HD24" s="1" t="e">
        <f>#REF!+"vlM!j|"</f>
        <v>#REF!</v>
      </c>
      <c r="HE24" t="e">
        <f>#REF!+"vlM!j}"</f>
        <v>#REF!</v>
      </c>
      <c r="HF24" t="e">
        <f>#REF!+"vlM!j~"</f>
        <v>#REF!</v>
      </c>
      <c r="HG24" t="e">
        <f>#REF!+"vlM!k#"</f>
        <v>#REF!</v>
      </c>
      <c r="HH24" t="e">
        <f>#REF!+"vlM!k$"</f>
        <v>#REF!</v>
      </c>
      <c r="HI24" t="e">
        <f>#REF!+"vlM!k%"</f>
        <v>#REF!</v>
      </c>
      <c r="HJ24" t="e">
        <f>#REF!+"vlM!k&amp;"</f>
        <v>#REF!</v>
      </c>
      <c r="HK24" t="e">
        <f>#REF!+"vlM!k'"</f>
        <v>#REF!</v>
      </c>
      <c r="HL24" t="e">
        <f>#REF!+"vlM!k("</f>
        <v>#REF!</v>
      </c>
      <c r="HM24" t="e">
        <f>#REF!+"vlM!k)"</f>
        <v>#REF!</v>
      </c>
      <c r="HN24" t="e">
        <f>#REF!+"vlM!k."</f>
        <v>#REF!</v>
      </c>
      <c r="HO24" t="e">
        <f>#REF!+"vlM!k/"</f>
        <v>#REF!</v>
      </c>
      <c r="HP24" t="e">
        <f>#REF!+"vlM!k0"</f>
        <v>#REF!</v>
      </c>
      <c r="HQ24" t="e">
        <f>#REF!+"vlM!k1"</f>
        <v>#REF!</v>
      </c>
      <c r="HR24" t="e">
        <f>#REF!+"vlM!k2"</f>
        <v>#REF!</v>
      </c>
      <c r="HS24" s="1" t="e">
        <f>#REF!+"vlM!k3"</f>
        <v>#REF!</v>
      </c>
      <c r="HT24" t="e">
        <f>#REF!+"vlM!k4"</f>
        <v>#REF!</v>
      </c>
      <c r="HU24" t="e">
        <f>#REF!+"vlM!k5"</f>
        <v>#REF!</v>
      </c>
      <c r="HV24" t="e">
        <f>#REF!+"vlM!k6"</f>
        <v>#REF!</v>
      </c>
      <c r="HW24" t="e">
        <f>#REF!+"vlM!k7"</f>
        <v>#REF!</v>
      </c>
      <c r="HX24" t="e">
        <f>#REF!+"vlM!k8"</f>
        <v>#REF!</v>
      </c>
      <c r="HY24" t="e">
        <f>#REF!+"vlM!k9"</f>
        <v>#REF!</v>
      </c>
      <c r="HZ24" t="e">
        <f>#REF!+"vlM!k:"</f>
        <v>#REF!</v>
      </c>
      <c r="IA24" t="e">
        <f>#REF!+"vlM!k;"</f>
        <v>#REF!</v>
      </c>
      <c r="IB24" t="e">
        <f>#REF!+"vlM!k&lt;"</f>
        <v>#REF!</v>
      </c>
      <c r="IC24" t="e">
        <f>#REF!+"vlM!k="</f>
        <v>#REF!</v>
      </c>
      <c r="ID24" t="e">
        <f>#REF!+"vlM!k&gt;"</f>
        <v>#REF!</v>
      </c>
      <c r="IE24" t="e">
        <f>#REF!+"vlM!k?"</f>
        <v>#REF!</v>
      </c>
      <c r="IF24" t="e">
        <f>#REF!+"vlM!k@"</f>
        <v>#REF!</v>
      </c>
      <c r="IG24" t="e">
        <f>#REF!+"vlM!kA"</f>
        <v>#REF!</v>
      </c>
      <c r="IH24" s="1" t="e">
        <f>#REF!+"vlM!kB"</f>
        <v>#REF!</v>
      </c>
      <c r="II24" t="e">
        <f>#REF!+"vlM!kC"</f>
        <v>#REF!</v>
      </c>
      <c r="IJ24" t="e">
        <f>#REF!+"vlM!kD"</f>
        <v>#REF!</v>
      </c>
      <c r="IK24" t="e">
        <f>#REF!+"vlM!kE"</f>
        <v>#REF!</v>
      </c>
      <c r="IL24" t="e">
        <f>#REF!+"vlM!kF"</f>
        <v>#REF!</v>
      </c>
      <c r="IM24" t="e">
        <f>#REF!+"vlM!kG"</f>
        <v>#REF!</v>
      </c>
      <c r="IN24" t="e">
        <f>#REF!+"vlM!kH"</f>
        <v>#REF!</v>
      </c>
      <c r="IO24" t="e">
        <f>#REF!+"vlM!kI"</f>
        <v>#REF!</v>
      </c>
      <c r="IP24" t="e">
        <f>#REF!+"vlM!kJ"</f>
        <v>#REF!</v>
      </c>
      <c r="IQ24" t="e">
        <f>#REF!+"vlM!kK"</f>
        <v>#REF!</v>
      </c>
      <c r="IR24" t="e">
        <f>#REF!+"vlM!kL"</f>
        <v>#REF!</v>
      </c>
      <c r="IS24" t="e">
        <f>#REF!+"vlM!kM"</f>
        <v>#REF!</v>
      </c>
      <c r="IT24" t="e">
        <f>#REF!+"vlM!kN"</f>
        <v>#REF!</v>
      </c>
      <c r="IU24" t="e">
        <f>#REF!+"vlM!kO"</f>
        <v>#REF!</v>
      </c>
      <c r="IV24" t="e">
        <f>#REF!+"vlM!kP"</f>
        <v>#REF!</v>
      </c>
    </row>
    <row r="25" spans="6:256" x14ac:dyDescent="0.25">
      <c r="F25" s="1" t="e">
        <f>#REF!+"vlM!kQ"</f>
        <v>#REF!</v>
      </c>
      <c r="G25" t="e">
        <f>#REF!+"vlM!kR"</f>
        <v>#REF!</v>
      </c>
      <c r="H25" t="e">
        <f>#REF!+"vlM!kS"</f>
        <v>#REF!</v>
      </c>
      <c r="I25" t="e">
        <f>#REF!+"vlM!kT"</f>
        <v>#REF!</v>
      </c>
      <c r="J25" t="e">
        <f>#REF!+"vlM!kU"</f>
        <v>#REF!</v>
      </c>
      <c r="K25" t="e">
        <f>#REF!+"vlM!kV"</f>
        <v>#REF!</v>
      </c>
      <c r="L25" t="e">
        <f>#REF!+"vlM!kW"</f>
        <v>#REF!</v>
      </c>
      <c r="M25" t="e">
        <f>#REF!+"vlM!kX"</f>
        <v>#REF!</v>
      </c>
      <c r="N25" t="e">
        <f>#REF!+"vlM!kY"</f>
        <v>#REF!</v>
      </c>
      <c r="O25" t="e">
        <f>#REF!+"vlM!kZ"</f>
        <v>#REF!</v>
      </c>
      <c r="P25" t="e">
        <f>#REF!+"vlM!k["</f>
        <v>#REF!</v>
      </c>
      <c r="Q25" t="e">
        <f>#REF!+"vlM!k\"</f>
        <v>#REF!</v>
      </c>
      <c r="R25" t="e">
        <f>#REF!+"vlM!k]"</f>
        <v>#REF!</v>
      </c>
      <c r="S25" t="e">
        <f>#REF!+"vlM!k^"</f>
        <v>#REF!</v>
      </c>
      <c r="T25" t="e">
        <f>#REF!+"vlM!k_"</f>
        <v>#REF!</v>
      </c>
      <c r="U25" s="1" t="e">
        <f>#REF!+"vlM!k`"</f>
        <v>#REF!</v>
      </c>
      <c r="V25" t="e">
        <f>#REF!+"vlM!ka"</f>
        <v>#REF!</v>
      </c>
      <c r="W25" t="e">
        <f>#REF!+"vlM!kb"</f>
        <v>#REF!</v>
      </c>
      <c r="X25" t="e">
        <f>#REF!+"vlM!kc"</f>
        <v>#REF!</v>
      </c>
      <c r="Y25" t="e">
        <f>#REF!+"vlM!kd"</f>
        <v>#REF!</v>
      </c>
      <c r="Z25" t="e">
        <f>#REF!+"vlM!ke"</f>
        <v>#REF!</v>
      </c>
      <c r="AA25" t="e">
        <f>#REF!+"vlM!kf"</f>
        <v>#REF!</v>
      </c>
      <c r="AB25" t="e">
        <f>#REF!+"vlM!kg"</f>
        <v>#REF!</v>
      </c>
      <c r="AC25" t="e">
        <f>#REF!+"vlM!kh"</f>
        <v>#REF!</v>
      </c>
      <c r="AD25" t="e">
        <f>#REF!+"vlM!ki"</f>
        <v>#REF!</v>
      </c>
      <c r="AE25" t="e">
        <f>#REF!+"vlM!kj"</f>
        <v>#REF!</v>
      </c>
      <c r="AF25" t="e">
        <f>#REF!+"vlM!kk"</f>
        <v>#REF!</v>
      </c>
      <c r="AG25" t="e">
        <f>#REF!+"vlM!kl"</f>
        <v>#REF!</v>
      </c>
      <c r="AH25" t="e">
        <f>#REF!+"vlM!km"</f>
        <v>#REF!</v>
      </c>
      <c r="AI25" t="e">
        <f>#REF!+"vlM!kn"</f>
        <v>#REF!</v>
      </c>
      <c r="AJ25" s="1" t="e">
        <f>#REF!+"vlM!ko"</f>
        <v>#REF!</v>
      </c>
      <c r="AK25" t="e">
        <f>#REF!+"vlM!kp"</f>
        <v>#REF!</v>
      </c>
      <c r="AL25" t="e">
        <f>#REF!+"vlM!kq"</f>
        <v>#REF!</v>
      </c>
      <c r="AM25" t="e">
        <f>#REF!+"vlM!kr"</f>
        <v>#REF!</v>
      </c>
      <c r="AN25" t="e">
        <f>#REF!+"vlM!ks"</f>
        <v>#REF!</v>
      </c>
      <c r="AO25" t="e">
        <f>#REF!+"vlM!kt"</f>
        <v>#REF!</v>
      </c>
      <c r="AP25" t="e">
        <f>#REF!+"vlM!ku"</f>
        <v>#REF!</v>
      </c>
      <c r="AQ25" t="e">
        <f>#REF!+"vlM!kv"</f>
        <v>#REF!</v>
      </c>
      <c r="AR25" t="e">
        <f>#REF!+"vlM!kw"</f>
        <v>#REF!</v>
      </c>
      <c r="AS25" t="e">
        <f>#REF!+"vlM!kx"</f>
        <v>#REF!</v>
      </c>
      <c r="AT25" t="e">
        <f>#REF!+"vlM!ky"</f>
        <v>#REF!</v>
      </c>
      <c r="AU25" t="e">
        <f>#REF!+"vlM!kz"</f>
        <v>#REF!</v>
      </c>
      <c r="AV25" t="e">
        <f>#REF!+"vlM!k{"</f>
        <v>#REF!</v>
      </c>
      <c r="AW25" t="e">
        <f>#REF!+"vlM!k|"</f>
        <v>#REF!</v>
      </c>
      <c r="AX25" t="e">
        <f>#REF!+"vlM!k}"</f>
        <v>#REF!</v>
      </c>
      <c r="AY25" s="1" t="e">
        <f>#REF!+"vlM!k~"</f>
        <v>#REF!</v>
      </c>
      <c r="AZ25" t="e">
        <f>#REF!+"vlM!l#"</f>
        <v>#REF!</v>
      </c>
      <c r="BA25" t="e">
        <f>#REF!+"vlM!l$"</f>
        <v>#REF!</v>
      </c>
      <c r="BB25" t="e">
        <f>#REF!+"vlM!l%"</f>
        <v>#REF!</v>
      </c>
      <c r="BC25" t="e">
        <f>#REF!+"vlM!l&amp;"</f>
        <v>#REF!</v>
      </c>
      <c r="BD25" t="e">
        <f>#REF!+"vlM!l'"</f>
        <v>#REF!</v>
      </c>
      <c r="BE25" t="e">
        <f>#REF!+"vlM!l("</f>
        <v>#REF!</v>
      </c>
      <c r="BF25" t="e">
        <f>#REF!+"vlM!l)"</f>
        <v>#REF!</v>
      </c>
      <c r="BG25" t="e">
        <f>#REF!+"vlM!l."</f>
        <v>#REF!</v>
      </c>
      <c r="BH25" t="e">
        <f>#REF!+"vlM!l/"</f>
        <v>#REF!</v>
      </c>
      <c r="BI25" t="e">
        <f>#REF!+"vlM!l0"</f>
        <v>#REF!</v>
      </c>
      <c r="BJ25" t="e">
        <f>#REF!+"vlM!l1"</f>
        <v>#REF!</v>
      </c>
      <c r="BK25" t="e">
        <f>#REF!+"vlM!l2"</f>
        <v>#REF!</v>
      </c>
      <c r="BL25" t="e">
        <f>#REF!+"vlM!l3"</f>
        <v>#REF!</v>
      </c>
      <c r="BM25" t="e">
        <f>#REF!+"vlM!l4"</f>
        <v>#REF!</v>
      </c>
      <c r="BN25" s="1" t="e">
        <f>#REF!+"vlM!l5"</f>
        <v>#REF!</v>
      </c>
      <c r="BO25" t="e">
        <f>#REF!+"vlM!l6"</f>
        <v>#REF!</v>
      </c>
      <c r="BP25" t="e">
        <f>#REF!+"vlM!l7"</f>
        <v>#REF!</v>
      </c>
      <c r="BQ25" t="e">
        <f>#REF!+"vlM!l8"</f>
        <v>#REF!</v>
      </c>
      <c r="BR25" t="e">
        <f>#REF!+"vlM!l9"</f>
        <v>#REF!</v>
      </c>
      <c r="BS25" t="e">
        <f>#REF!+"vlM!l:"</f>
        <v>#REF!</v>
      </c>
      <c r="BT25" t="e">
        <f>#REF!+"vlM!l;"</f>
        <v>#REF!</v>
      </c>
      <c r="BU25" t="e">
        <f>#REF!+"vlM!l&lt;"</f>
        <v>#REF!</v>
      </c>
      <c r="BV25" t="e">
        <f>#REF!+"vlM!l="</f>
        <v>#REF!</v>
      </c>
      <c r="BW25" t="e">
        <f>#REF!+"vlM!l&gt;"</f>
        <v>#REF!</v>
      </c>
      <c r="BX25" t="e">
        <f>#REF!+"vlM!l?"</f>
        <v>#REF!</v>
      </c>
      <c r="BY25" t="e">
        <f>#REF!+"vlM!l@"</f>
        <v>#REF!</v>
      </c>
      <c r="BZ25" t="e">
        <f>#REF!+"vlM!lA"</f>
        <v>#REF!</v>
      </c>
      <c r="CA25" t="e">
        <f>#REF!+"vlM!lB"</f>
        <v>#REF!</v>
      </c>
      <c r="CB25" t="e">
        <f>#REF!+"vlM!lC"</f>
        <v>#REF!</v>
      </c>
      <c r="CC25" s="1" t="e">
        <f>#REF!+"vlM!lD"</f>
        <v>#REF!</v>
      </c>
      <c r="CD25" t="e">
        <f>#REF!+"vlM!lE"</f>
        <v>#REF!</v>
      </c>
      <c r="CE25" t="e">
        <f>#REF!+"vlM!lF"</f>
        <v>#REF!</v>
      </c>
      <c r="CF25" t="e">
        <f>#REF!+"vlM!lG"</f>
        <v>#REF!</v>
      </c>
      <c r="CG25" t="e">
        <f>#REF!+"vlM!lH"</f>
        <v>#REF!</v>
      </c>
      <c r="CH25" t="e">
        <f>#REF!+"vlM!lI"</f>
        <v>#REF!</v>
      </c>
      <c r="CI25" t="e">
        <f>#REF!+"vlM!lJ"</f>
        <v>#REF!</v>
      </c>
      <c r="CJ25" t="e">
        <f>#REF!+"vlM!lK"</f>
        <v>#REF!</v>
      </c>
      <c r="CK25" t="e">
        <f>#REF!+"vlM!lL"</f>
        <v>#REF!</v>
      </c>
      <c r="CL25" t="e">
        <f>#REF!+"vlM!lM"</f>
        <v>#REF!</v>
      </c>
      <c r="CM25" t="e">
        <f>#REF!+"vlM!lN"</f>
        <v>#REF!</v>
      </c>
      <c r="CN25" t="e">
        <f>#REF!+"vlM!lO"</f>
        <v>#REF!</v>
      </c>
      <c r="CO25" t="e">
        <f>#REF!+"vlM!lP"</f>
        <v>#REF!</v>
      </c>
      <c r="CP25" t="e">
        <f>#REF!+"vlM!lQ"</f>
        <v>#REF!</v>
      </c>
      <c r="CQ25" t="e">
        <f>#REF!+"vlM!lR"</f>
        <v>#REF!</v>
      </c>
      <c r="CR25" s="1" t="e">
        <f>#REF!+"vlM!lS"</f>
        <v>#REF!</v>
      </c>
      <c r="CS25" t="e">
        <f>#REF!+"vlM!lT"</f>
        <v>#REF!</v>
      </c>
      <c r="CT25" t="e">
        <f>#REF!+"vlM!lU"</f>
        <v>#REF!</v>
      </c>
      <c r="CU25" t="e">
        <f>#REF!+"vlM!lV"</f>
        <v>#REF!</v>
      </c>
      <c r="CV25" t="e">
        <f>#REF!+"vlM!lW"</f>
        <v>#REF!</v>
      </c>
      <c r="CW25" t="e">
        <f>#REF!+"vlM!lX"</f>
        <v>#REF!</v>
      </c>
      <c r="CX25" t="e">
        <f>#REF!+"vlM!lY"</f>
        <v>#REF!</v>
      </c>
      <c r="CY25" t="e">
        <f>#REF!+"vlM!lZ"</f>
        <v>#REF!</v>
      </c>
      <c r="CZ25" t="e">
        <f>#REF!+"vlM!l["</f>
        <v>#REF!</v>
      </c>
      <c r="DA25" t="e">
        <f>#REF!+"vlM!l\"</f>
        <v>#REF!</v>
      </c>
      <c r="DB25" t="e">
        <f>#REF!+"vlM!l]"</f>
        <v>#REF!</v>
      </c>
      <c r="DC25" t="e">
        <f>#REF!+"vlM!l^"</f>
        <v>#REF!</v>
      </c>
      <c r="DD25" t="e">
        <f>#REF!+"vlM!l_"</f>
        <v>#REF!</v>
      </c>
      <c r="DE25" t="e">
        <f>#REF!+"vlM!l`"</f>
        <v>#REF!</v>
      </c>
      <c r="DF25" t="e">
        <f>#REF!+"vlM!la"</f>
        <v>#REF!</v>
      </c>
      <c r="DG25" s="1" t="e">
        <f>#REF!+"vlM!lb"</f>
        <v>#REF!</v>
      </c>
      <c r="DH25" t="e">
        <f>#REF!+"vlM!lc"</f>
        <v>#REF!</v>
      </c>
      <c r="DI25" t="e">
        <f>#REF!+"vlM!ld"</f>
        <v>#REF!</v>
      </c>
      <c r="DJ25" t="e">
        <f>#REF!+"vlM!le"</f>
        <v>#REF!</v>
      </c>
      <c r="DK25" t="e">
        <f>#REF!+"vlM!lf"</f>
        <v>#REF!</v>
      </c>
      <c r="DL25" t="e">
        <f>#REF!+"vlM!lg"</f>
        <v>#REF!</v>
      </c>
      <c r="DM25" t="e">
        <f>#REF!+"vlM!lh"</f>
        <v>#REF!</v>
      </c>
      <c r="DN25" t="e">
        <f>#REF!+"vlM!li"</f>
        <v>#REF!</v>
      </c>
      <c r="DO25" t="e">
        <f>#REF!+"vlM!lj"</f>
        <v>#REF!</v>
      </c>
      <c r="DP25" t="e">
        <f>#REF!+"vlM!lk"</f>
        <v>#REF!</v>
      </c>
      <c r="DQ25" t="e">
        <f>#REF!+"vlM!ll"</f>
        <v>#REF!</v>
      </c>
      <c r="DR25" t="e">
        <f>#REF!+"vlM!lm"</f>
        <v>#REF!</v>
      </c>
      <c r="DS25" t="e">
        <f>#REF!+"vlM!ln"</f>
        <v>#REF!</v>
      </c>
      <c r="DT25" t="e">
        <f>#REF!+"vlM!lo"</f>
        <v>#REF!</v>
      </c>
      <c r="DU25" t="e">
        <f>#REF!+"vlM!lp"</f>
        <v>#REF!</v>
      </c>
      <c r="DV25" s="1" t="e">
        <f>#REF!+"vlM!lq"</f>
        <v>#REF!</v>
      </c>
      <c r="DW25" t="e">
        <f>#REF!+"vlM!lr"</f>
        <v>#REF!</v>
      </c>
      <c r="DX25" t="e">
        <f>#REF!+"vlM!ls"</f>
        <v>#REF!</v>
      </c>
      <c r="DY25" t="e">
        <f>#REF!+"vlM!lt"</f>
        <v>#REF!</v>
      </c>
      <c r="DZ25" t="e">
        <f>#REF!+"vlM!lu"</f>
        <v>#REF!</v>
      </c>
      <c r="EA25" t="e">
        <f>#REF!+"vlM!lv"</f>
        <v>#REF!</v>
      </c>
      <c r="EB25" t="e">
        <f>#REF!+"vlM!lw"</f>
        <v>#REF!</v>
      </c>
      <c r="EC25" t="e">
        <f>#REF!+"vlM!lx"</f>
        <v>#REF!</v>
      </c>
      <c r="ED25" t="e">
        <f>#REF!+"vlM!ly"</f>
        <v>#REF!</v>
      </c>
      <c r="EE25" t="e">
        <f>#REF!+"vlM!lz"</f>
        <v>#REF!</v>
      </c>
      <c r="EF25" t="e">
        <f>#REF!+"vlM!l{"</f>
        <v>#REF!</v>
      </c>
      <c r="EG25" t="e">
        <f>#REF!+"vlM!l|"</f>
        <v>#REF!</v>
      </c>
      <c r="EH25" t="e">
        <f>#REF!+"vlM!l}"</f>
        <v>#REF!</v>
      </c>
      <c r="EI25" t="e">
        <f>#REF!+"vlM!l~"</f>
        <v>#REF!</v>
      </c>
      <c r="EJ25" t="e">
        <f>#REF!+"vlM!m#"</f>
        <v>#REF!</v>
      </c>
      <c r="EK25" s="1" t="e">
        <f>#REF!+"vlM!m$"</f>
        <v>#REF!</v>
      </c>
      <c r="EL25" t="e">
        <f>#REF!+"vlM!m%"</f>
        <v>#REF!</v>
      </c>
      <c r="EM25" t="e">
        <f>#REF!+"vlM!m&amp;"</f>
        <v>#REF!</v>
      </c>
      <c r="EN25" t="e">
        <f>#REF!+"vlM!m'"</f>
        <v>#REF!</v>
      </c>
      <c r="EO25" t="e">
        <f>#REF!+"vlM!m("</f>
        <v>#REF!</v>
      </c>
      <c r="EP25" t="e">
        <f>#REF!+"vlM!m)"</f>
        <v>#REF!</v>
      </c>
      <c r="EQ25" t="e">
        <f>#REF!+"vlM!m."</f>
        <v>#REF!</v>
      </c>
      <c r="ER25" t="e">
        <f>#REF!+"vlM!m/"</f>
        <v>#REF!</v>
      </c>
      <c r="ES25" t="e">
        <f>#REF!+"vlM!m0"</f>
        <v>#REF!</v>
      </c>
      <c r="ET25" t="e">
        <f>#REF!+"vlM!m1"</f>
        <v>#REF!</v>
      </c>
      <c r="EU25" t="e">
        <f>#REF!+"vlM!m2"</f>
        <v>#REF!</v>
      </c>
      <c r="EV25" t="e">
        <f>#REF!+"vlM!m3"</f>
        <v>#REF!</v>
      </c>
      <c r="EW25" t="e">
        <f>#REF!+"vlM!m4"</f>
        <v>#REF!</v>
      </c>
      <c r="EX25" t="e">
        <f>#REF!+"vlM!m5"</f>
        <v>#REF!</v>
      </c>
      <c r="EY25" t="e">
        <f>#REF!+"vlM!m6"</f>
        <v>#REF!</v>
      </c>
      <c r="EZ25" s="1" t="e">
        <f>#REF!+"vlM!m7"</f>
        <v>#REF!</v>
      </c>
      <c r="FA25" t="e">
        <f>#REF!+"vlM!m8"</f>
        <v>#REF!</v>
      </c>
      <c r="FB25" t="e">
        <f>#REF!+"vlM!m9"</f>
        <v>#REF!</v>
      </c>
      <c r="FC25" t="e">
        <f>#REF!+"vlM!m:"</f>
        <v>#REF!</v>
      </c>
      <c r="FD25" t="e">
        <f>#REF!+"vlM!m;"</f>
        <v>#REF!</v>
      </c>
      <c r="FE25" t="e">
        <f>#REF!+"vlM!m&lt;"</f>
        <v>#REF!</v>
      </c>
      <c r="FF25" t="e">
        <f>#REF!+"vlM!m="</f>
        <v>#REF!</v>
      </c>
      <c r="FG25" t="e">
        <f>#REF!+"vlM!m&gt;"</f>
        <v>#REF!</v>
      </c>
      <c r="FH25" t="e">
        <f>#REF!+"vlM!m?"</f>
        <v>#REF!</v>
      </c>
      <c r="FI25" t="e">
        <f>#REF!+"vlM!m@"</f>
        <v>#REF!</v>
      </c>
      <c r="FJ25" t="e">
        <f>#REF!+"vlM!mA"</f>
        <v>#REF!</v>
      </c>
      <c r="FK25" t="e">
        <f>#REF!+"vlM!mB"</f>
        <v>#REF!</v>
      </c>
      <c r="FL25" t="e">
        <f>#REF!+"vlM!mC"</f>
        <v>#REF!</v>
      </c>
      <c r="FM25" t="e">
        <f>#REF!+"vlM!mD"</f>
        <v>#REF!</v>
      </c>
      <c r="FN25" t="e">
        <f>#REF!+"vlM!mE"</f>
        <v>#REF!</v>
      </c>
      <c r="FO25" s="1" t="e">
        <f>#REF!+"vlM!mF"</f>
        <v>#REF!</v>
      </c>
      <c r="FP25" t="e">
        <f>#REF!+"vlM!mG"</f>
        <v>#REF!</v>
      </c>
      <c r="FQ25" t="e">
        <f>#REF!+"vlM!mH"</f>
        <v>#REF!</v>
      </c>
      <c r="FR25" t="e">
        <f>#REF!+"vlM!mI"</f>
        <v>#REF!</v>
      </c>
      <c r="FS25" t="e">
        <f>#REF!+"vlM!mJ"</f>
        <v>#REF!</v>
      </c>
      <c r="FT25" t="e">
        <f>#REF!+"vlM!mK"</f>
        <v>#REF!</v>
      </c>
      <c r="FU25" t="e">
        <f>#REF!+"vlM!mL"</f>
        <v>#REF!</v>
      </c>
      <c r="FV25" t="e">
        <f>#REF!+"vlM!mM"</f>
        <v>#REF!</v>
      </c>
      <c r="FW25" t="e">
        <f>#REF!+"vlM!mN"</f>
        <v>#REF!</v>
      </c>
      <c r="FX25" t="e">
        <f>#REF!+"vlM!mO"</f>
        <v>#REF!</v>
      </c>
      <c r="FY25" t="e">
        <f>#REF!+"vlM!mP"</f>
        <v>#REF!</v>
      </c>
      <c r="FZ25" t="e">
        <f>#REF!+"vlM!mQ"</f>
        <v>#REF!</v>
      </c>
      <c r="GA25" t="e">
        <f>#REF!+"vlM!mR"</f>
        <v>#REF!</v>
      </c>
      <c r="GB25" t="e">
        <f>#REF!+"vlM!mS"</f>
        <v>#REF!</v>
      </c>
      <c r="GC25" t="e">
        <f>#REF!+"vlM!mT"</f>
        <v>#REF!</v>
      </c>
      <c r="GD25" s="1" t="e">
        <f>#REF!+"vlM!mU"</f>
        <v>#REF!</v>
      </c>
      <c r="GE25" t="e">
        <f>#REF!+"vlM!mV"</f>
        <v>#REF!</v>
      </c>
      <c r="GF25" t="e">
        <f>#REF!+"vlM!mW"</f>
        <v>#REF!</v>
      </c>
      <c r="GG25" t="e">
        <f>#REF!+"vlM!mX"</f>
        <v>#REF!</v>
      </c>
      <c r="GH25" t="e">
        <f>#REF!+"vlM!mY"</f>
        <v>#REF!</v>
      </c>
      <c r="GI25" t="e">
        <f>#REF!+"vlM!mZ"</f>
        <v>#REF!</v>
      </c>
      <c r="GJ25" t="e">
        <f>#REF!+"vlM!m["</f>
        <v>#REF!</v>
      </c>
      <c r="GK25" t="e">
        <f>#REF!+"vlM!m\"</f>
        <v>#REF!</v>
      </c>
      <c r="GL25" t="e">
        <f>#REF!+"vlM!m]"</f>
        <v>#REF!</v>
      </c>
      <c r="GM25" t="e">
        <f>#REF!+"vlM!m^"</f>
        <v>#REF!</v>
      </c>
      <c r="GN25" t="e">
        <f>#REF!+"vlM!m_"</f>
        <v>#REF!</v>
      </c>
      <c r="GO25" t="e">
        <f>#REF!+"vlM!m`"</f>
        <v>#REF!</v>
      </c>
      <c r="GP25" t="e">
        <f>#REF!+"vlM!ma"</f>
        <v>#REF!</v>
      </c>
      <c r="GQ25" t="e">
        <f>#REF!+"vlM!mb"</f>
        <v>#REF!</v>
      </c>
      <c r="GR25" t="e">
        <f>#REF!+"vlM!mc"</f>
        <v>#REF!</v>
      </c>
      <c r="GS25" s="1" t="e">
        <f>#REF!+"vlM!md"</f>
        <v>#REF!</v>
      </c>
      <c r="GT25" t="e">
        <f>#REF!+"vlM!me"</f>
        <v>#REF!</v>
      </c>
      <c r="GU25" t="e">
        <f>#REF!+"vlM!mf"</f>
        <v>#REF!</v>
      </c>
      <c r="GV25" t="e">
        <f>#REF!+"vlM!mg"</f>
        <v>#REF!</v>
      </c>
      <c r="GW25" t="e">
        <f>#REF!+"vlM!mh"</f>
        <v>#REF!</v>
      </c>
      <c r="GX25" t="e">
        <f>#REF!+"vlM!mi"</f>
        <v>#REF!</v>
      </c>
      <c r="GY25" t="e">
        <f>#REF!+"vlM!mj"</f>
        <v>#REF!</v>
      </c>
      <c r="GZ25" t="e">
        <f>#REF!+"vlM!mk"</f>
        <v>#REF!</v>
      </c>
      <c r="HA25" t="e">
        <f>#REF!+"vlM!ml"</f>
        <v>#REF!</v>
      </c>
      <c r="HB25" t="e">
        <f>#REF!+"vlM!mm"</f>
        <v>#REF!</v>
      </c>
      <c r="HC25" t="e">
        <f>#REF!+"vlM!mn"</f>
        <v>#REF!</v>
      </c>
      <c r="HD25" t="e">
        <f>#REF!+"vlM!mo"</f>
        <v>#REF!</v>
      </c>
      <c r="HE25" t="e">
        <f>#REF!+"vlM!mp"</f>
        <v>#REF!</v>
      </c>
      <c r="HF25" t="e">
        <f>#REF!+"vlM!mq"</f>
        <v>#REF!</v>
      </c>
      <c r="HG25" t="e">
        <f>#REF!+"vlM!mr"</f>
        <v>#REF!</v>
      </c>
      <c r="HH25" s="1" t="e">
        <f>#REF!+"vlM!ms"</f>
        <v>#REF!</v>
      </c>
      <c r="HI25" t="e">
        <f>#REF!+"vlM!mt"</f>
        <v>#REF!</v>
      </c>
      <c r="HJ25" t="e">
        <f>#REF!+"vlM!mu"</f>
        <v>#REF!</v>
      </c>
      <c r="HK25" t="e">
        <f>#REF!+"vlM!mv"</f>
        <v>#REF!</v>
      </c>
      <c r="HL25" t="e">
        <f>#REF!+"vlM!mw"</f>
        <v>#REF!</v>
      </c>
      <c r="HM25" t="e">
        <f>#REF!+"vlM!mx"</f>
        <v>#REF!</v>
      </c>
      <c r="HN25" t="e">
        <f>#REF!+"vlM!my"</f>
        <v>#REF!</v>
      </c>
      <c r="HO25" t="e">
        <f>#REF!+"vlM!mz"</f>
        <v>#REF!</v>
      </c>
      <c r="HP25" t="e">
        <f>#REF!+"vlM!m{"</f>
        <v>#REF!</v>
      </c>
      <c r="HQ25" t="e">
        <f>#REF!+"vlM!m|"</f>
        <v>#REF!</v>
      </c>
      <c r="HR25" t="e">
        <f>#REF!+"vlM!m}"</f>
        <v>#REF!</v>
      </c>
      <c r="HS25" t="e">
        <f>#REF!+"vlM!m~"</f>
        <v>#REF!</v>
      </c>
      <c r="HT25" t="e">
        <f>#REF!+"vlM!n#"</f>
        <v>#REF!</v>
      </c>
      <c r="HU25" t="e">
        <f>#REF!+"vlM!n$"</f>
        <v>#REF!</v>
      </c>
      <c r="HV25" t="e">
        <f>#REF!+"vlM!n%"</f>
        <v>#REF!</v>
      </c>
      <c r="HW25" s="1" t="e">
        <f>#REF!+"vlM!n&amp;"</f>
        <v>#REF!</v>
      </c>
      <c r="HX25" t="e">
        <f>#REF!+"vlM!n'"</f>
        <v>#REF!</v>
      </c>
      <c r="HY25" t="e">
        <f>#REF!+"vlM!n("</f>
        <v>#REF!</v>
      </c>
      <c r="HZ25" t="e">
        <f>#REF!+"vlM!n)"</f>
        <v>#REF!</v>
      </c>
      <c r="IA25" t="e">
        <f>#REF!+"vlM!n."</f>
        <v>#REF!</v>
      </c>
      <c r="IB25" t="e">
        <f>#REF!+"vlM!n/"</f>
        <v>#REF!</v>
      </c>
      <c r="IC25" t="e">
        <f>#REF!+"vlM!n0"</f>
        <v>#REF!</v>
      </c>
      <c r="ID25" t="e">
        <f>#REF!+"vlM!n1"</f>
        <v>#REF!</v>
      </c>
      <c r="IE25" t="e">
        <f>#REF!+"vlM!n2"</f>
        <v>#REF!</v>
      </c>
      <c r="IF25" t="e">
        <f>#REF!+"vlM!n3"</f>
        <v>#REF!</v>
      </c>
      <c r="IG25" t="e">
        <f>#REF!+"vlM!n4"</f>
        <v>#REF!</v>
      </c>
      <c r="IH25" t="e">
        <f>#REF!+"vlM!n5"</f>
        <v>#REF!</v>
      </c>
      <c r="II25" t="e">
        <f>#REF!+"vlM!n6"</f>
        <v>#REF!</v>
      </c>
      <c r="IJ25" t="e">
        <f>#REF!+"vlM!n7"</f>
        <v>#REF!</v>
      </c>
      <c r="IK25" t="e">
        <f>#REF!+"vlM!n8"</f>
        <v>#REF!</v>
      </c>
      <c r="IL25" s="1" t="e">
        <f>#REF!+"vlM!n9"</f>
        <v>#REF!</v>
      </c>
      <c r="IM25" t="e">
        <f>#REF!+"vlM!n:"</f>
        <v>#REF!</v>
      </c>
      <c r="IN25" t="e">
        <f>#REF!+"vlM!n;"</f>
        <v>#REF!</v>
      </c>
      <c r="IO25" t="e">
        <f>#REF!+"vlM!n&lt;"</f>
        <v>#REF!</v>
      </c>
      <c r="IP25" t="e">
        <f>#REF!+"vlM!n="</f>
        <v>#REF!</v>
      </c>
      <c r="IQ25" t="e">
        <f>#REF!+"vlM!n&gt;"</f>
        <v>#REF!</v>
      </c>
      <c r="IR25" t="e">
        <f>#REF!+"vlM!n?"</f>
        <v>#REF!</v>
      </c>
      <c r="IS25" t="e">
        <f>#REF!+"vlM!n@"</f>
        <v>#REF!</v>
      </c>
      <c r="IT25" t="e">
        <f>#REF!+"vlM!nA"</f>
        <v>#REF!</v>
      </c>
      <c r="IU25" t="e">
        <f>#REF!+"vlM!nB"</f>
        <v>#REF!</v>
      </c>
      <c r="IV25" t="e">
        <f>#REF!+"vlM!nC"</f>
        <v>#REF!</v>
      </c>
    </row>
    <row r="26" spans="6:256" x14ac:dyDescent="0.25">
      <c r="F26" t="e">
        <f>#REF!+"vlM!nD"</f>
        <v>#REF!</v>
      </c>
      <c r="G26" t="e">
        <f>#REF!+"vlM!nE"</f>
        <v>#REF!</v>
      </c>
      <c r="H26" t="e">
        <f>#REF!+"vlM!nF"</f>
        <v>#REF!</v>
      </c>
      <c r="I26" t="e">
        <f>#REF!+"vlM!nG"</f>
        <v>#REF!</v>
      </c>
      <c r="J26" s="1" t="e">
        <f>#REF!+"vlM!nH"</f>
        <v>#REF!</v>
      </c>
      <c r="K26" t="e">
        <f>#REF!+"vlM!nI"</f>
        <v>#REF!</v>
      </c>
      <c r="L26" t="e">
        <f>#REF!+"vlM!nJ"</f>
        <v>#REF!</v>
      </c>
      <c r="M26" t="e">
        <f>#REF!+"vlM!nK"</f>
        <v>#REF!</v>
      </c>
      <c r="N26" t="e">
        <f>#REF!+"vlM!nL"</f>
        <v>#REF!</v>
      </c>
      <c r="O26" t="e">
        <f>#REF!+"vlM!nM"</f>
        <v>#REF!</v>
      </c>
      <c r="P26" t="e">
        <f>#REF!+"vlM!nN"</f>
        <v>#REF!</v>
      </c>
      <c r="Q26" t="e">
        <f>#REF!+"vlM!nO"</f>
        <v>#REF!</v>
      </c>
      <c r="R26" t="e">
        <f>#REF!+"vlM!nP"</f>
        <v>#REF!</v>
      </c>
      <c r="S26" t="e">
        <f>#REF!+"vlM!nQ"</f>
        <v>#REF!</v>
      </c>
      <c r="T26" t="e">
        <f>#REF!+"vlM!nR"</f>
        <v>#REF!</v>
      </c>
      <c r="U26" t="e">
        <f>#REF!+"vlM!nS"</f>
        <v>#REF!</v>
      </c>
      <c r="V26" t="e">
        <f>#REF!+"vlM!nT"</f>
        <v>#REF!</v>
      </c>
      <c r="W26" t="e">
        <f>#REF!+"vlM!nU"</f>
        <v>#REF!</v>
      </c>
      <c r="X26" t="e">
        <f>#REF!+"vlM!nV"</f>
        <v>#REF!</v>
      </c>
      <c r="Y26" s="1" t="e">
        <f>#REF!+"vlM!nW"</f>
        <v>#REF!</v>
      </c>
      <c r="Z26" t="e">
        <f>#REF!+"vlM!nX"</f>
        <v>#REF!</v>
      </c>
      <c r="AA26" t="e">
        <f>#REF!+"vlM!nY"</f>
        <v>#REF!</v>
      </c>
      <c r="AB26" t="e">
        <f>#REF!+"vlM!nZ"</f>
        <v>#REF!</v>
      </c>
      <c r="AC26" t="e">
        <f>#REF!+"vlM!n["</f>
        <v>#REF!</v>
      </c>
      <c r="AD26" t="e">
        <f>#REF!+"vlM!n\"</f>
        <v>#REF!</v>
      </c>
      <c r="AE26" t="e">
        <f>#REF!+"vlM!n]"</f>
        <v>#REF!</v>
      </c>
      <c r="AF26" t="e">
        <f>#REF!+"vlM!n^"</f>
        <v>#REF!</v>
      </c>
      <c r="AG26" t="e">
        <f>#REF!+"vlM!n_"</f>
        <v>#REF!</v>
      </c>
      <c r="AH26" t="e">
        <f>#REF!+"vlM!n`"</f>
        <v>#REF!</v>
      </c>
      <c r="AI26" t="e">
        <f>#REF!+"vlM!na"</f>
        <v>#REF!</v>
      </c>
      <c r="AJ26" t="e">
        <f>#REF!+"vlM!nb"</f>
        <v>#REF!</v>
      </c>
      <c r="AK26" t="e">
        <f>#REF!+"vlM!nc"</f>
        <v>#REF!</v>
      </c>
      <c r="AL26" t="e">
        <f>#REF!+"vlM!nd"</f>
        <v>#REF!</v>
      </c>
      <c r="AM26" t="e">
        <f>#REF!+"vlM!ne"</f>
        <v>#REF!</v>
      </c>
      <c r="AN26" s="1" t="e">
        <f>#REF!+"vlM!nf"</f>
        <v>#REF!</v>
      </c>
      <c r="AO26" t="e">
        <f>#REF!+"vlM!ng"</f>
        <v>#REF!</v>
      </c>
      <c r="AP26" t="e">
        <f>#REF!+"vlM!nh"</f>
        <v>#REF!</v>
      </c>
      <c r="AQ26" t="e">
        <f>#REF!+"vlM!ni"</f>
        <v>#REF!</v>
      </c>
      <c r="AR26" t="e">
        <f>#REF!+"vlM!nj"</f>
        <v>#REF!</v>
      </c>
      <c r="AS26" t="e">
        <f>#REF!+"vlM!nk"</f>
        <v>#REF!</v>
      </c>
      <c r="AT26" t="e">
        <f>#REF!+"vlM!nl"</f>
        <v>#REF!</v>
      </c>
      <c r="AU26" t="e">
        <f>#REF!+"vlM!nm"</f>
        <v>#REF!</v>
      </c>
      <c r="AV26" t="e">
        <f>#REF!+"vlM!nn"</f>
        <v>#REF!</v>
      </c>
      <c r="AW26" t="e">
        <f>#REF!+"vlM!no"</f>
        <v>#REF!</v>
      </c>
      <c r="AX26" t="e">
        <f>#REF!+"vlM!np"</f>
        <v>#REF!</v>
      </c>
      <c r="AY26" t="e">
        <f>#REF!+"vlM!nq"</f>
        <v>#REF!</v>
      </c>
      <c r="AZ26" t="e">
        <f>#REF!+"vlM!nr"</f>
        <v>#REF!</v>
      </c>
      <c r="BA26" t="e">
        <f>#REF!+"vlM!ns"</f>
        <v>#REF!</v>
      </c>
      <c r="BB26" t="e">
        <f>#REF!+"vlM!nt"</f>
        <v>#REF!</v>
      </c>
      <c r="BC26" s="1" t="e">
        <f>#REF!+"vlM!nu"</f>
        <v>#REF!</v>
      </c>
      <c r="BD26" t="e">
        <f>#REF!+"vlM!nv"</f>
        <v>#REF!</v>
      </c>
      <c r="BE26" t="e">
        <f>#REF!+"vlM!nw"</f>
        <v>#REF!</v>
      </c>
      <c r="BF26" t="e">
        <f>#REF!+"vlM!nx"</f>
        <v>#REF!</v>
      </c>
      <c r="BG26" t="e">
        <f>#REF!+"vlM!ny"</f>
        <v>#REF!</v>
      </c>
      <c r="BH26" t="e">
        <f>#REF!+"vlM!nz"</f>
        <v>#REF!</v>
      </c>
      <c r="BI26" t="e">
        <f>#REF!+"vlM!n{"</f>
        <v>#REF!</v>
      </c>
      <c r="BJ26" t="e">
        <f>#REF!+"vlM!n|"</f>
        <v>#REF!</v>
      </c>
      <c r="BK26" t="e">
        <f>#REF!+"vlM!n}"</f>
        <v>#REF!</v>
      </c>
      <c r="BL26" t="e">
        <f>#REF!+"vlM!n~"</f>
        <v>#REF!</v>
      </c>
      <c r="BM26" t="e">
        <f>#REF!+"vlM!o#"</f>
        <v>#REF!</v>
      </c>
      <c r="BN26" t="e">
        <f>#REF!+"vlM!o$"</f>
        <v>#REF!</v>
      </c>
      <c r="BO26" t="e">
        <f>#REF!+"vlM!o%"</f>
        <v>#REF!</v>
      </c>
      <c r="BP26" t="e">
        <f>#REF!+"vlM!o&amp;"</f>
        <v>#REF!</v>
      </c>
      <c r="BQ26" t="e">
        <f>#REF!+"vlM!o'"</f>
        <v>#REF!</v>
      </c>
      <c r="BR26" s="1" t="e">
        <f>#REF!+"vlM!o("</f>
        <v>#REF!</v>
      </c>
      <c r="BS26" t="e">
        <f>#REF!+"vlM!o)"</f>
        <v>#REF!</v>
      </c>
      <c r="BT26" t="e">
        <f>#REF!+"vlM!o."</f>
        <v>#REF!</v>
      </c>
      <c r="BU26" t="e">
        <f>#REF!+"vlM!o/"</f>
        <v>#REF!</v>
      </c>
      <c r="BV26" t="e">
        <f>#REF!+"vlM!o0"</f>
        <v>#REF!</v>
      </c>
      <c r="BW26" t="e">
        <f>#REF!+"vlM!o1"</f>
        <v>#REF!</v>
      </c>
      <c r="BX26" t="e">
        <f>#REF!+"vlM!o2"</f>
        <v>#REF!</v>
      </c>
      <c r="BY26" t="e">
        <f>#REF!+"vlM!o3"</f>
        <v>#REF!</v>
      </c>
      <c r="BZ26" t="e">
        <f>#REF!+"vlM!o4"</f>
        <v>#REF!</v>
      </c>
      <c r="CA26" t="e">
        <f>#REF!+"vlM!o5"</f>
        <v>#REF!</v>
      </c>
      <c r="CB26" t="e">
        <f>#REF!+"vlM!o6"</f>
        <v>#REF!</v>
      </c>
      <c r="CC26" t="e">
        <f>#REF!+"vlM!o7"</f>
        <v>#REF!</v>
      </c>
      <c r="CD26" t="e">
        <f>#REF!+"vlM!o8"</f>
        <v>#REF!</v>
      </c>
      <c r="CE26" t="e">
        <f>#REF!+"vlM!o9"</f>
        <v>#REF!</v>
      </c>
      <c r="CF26" t="e">
        <f>#REF!+"vlM!o:"</f>
        <v>#REF!</v>
      </c>
      <c r="CG26" s="1" t="e">
        <f>#REF!+"vlM!o;"</f>
        <v>#REF!</v>
      </c>
      <c r="CH26" t="e">
        <f>#REF!+"vlM!o&lt;"</f>
        <v>#REF!</v>
      </c>
      <c r="CI26" t="e">
        <f>#REF!+"vlM!o="</f>
        <v>#REF!</v>
      </c>
      <c r="CJ26" t="e">
        <f>#REF!+"vlM!o&gt;"</f>
        <v>#REF!</v>
      </c>
      <c r="CK26" t="e">
        <f>#REF!+"vlM!o?"</f>
        <v>#REF!</v>
      </c>
      <c r="CL26" t="e">
        <f>#REF!+"vlM!o@"</f>
        <v>#REF!</v>
      </c>
      <c r="CM26" t="e">
        <f>#REF!+"vlM!oA"</f>
        <v>#REF!</v>
      </c>
      <c r="CN26" t="e">
        <f>#REF!+"vlM!oB"</f>
        <v>#REF!</v>
      </c>
      <c r="CO26" t="e">
        <f>#REF!+"vlM!oC"</f>
        <v>#REF!</v>
      </c>
      <c r="CP26" t="e">
        <f>#REF!+"vlM!oD"</f>
        <v>#REF!</v>
      </c>
      <c r="CQ26" t="e">
        <f>#REF!+"vlM!oE"</f>
        <v>#REF!</v>
      </c>
      <c r="CR26" t="e">
        <f>#REF!+"vlM!oF"</f>
        <v>#REF!</v>
      </c>
      <c r="CS26" t="e">
        <f>#REF!+"vlM!oG"</f>
        <v>#REF!</v>
      </c>
      <c r="CT26" t="e">
        <f>#REF!+"vlM!oH"</f>
        <v>#REF!</v>
      </c>
      <c r="CU26" t="e">
        <f>#REF!+"vlM!oI"</f>
        <v>#REF!</v>
      </c>
      <c r="CV26" s="1" t="e">
        <f>#REF!+"vlM!oJ"</f>
        <v>#REF!</v>
      </c>
      <c r="CW26" t="e">
        <f>#REF!+"vlM!oK"</f>
        <v>#REF!</v>
      </c>
      <c r="CX26" t="e">
        <f>#REF!+"vlM!oL"</f>
        <v>#REF!</v>
      </c>
      <c r="CY26" t="e">
        <f>#REF!+"vlM!oM"</f>
        <v>#REF!</v>
      </c>
      <c r="CZ26" t="e">
        <f>#REF!+"vlM!oN"</f>
        <v>#REF!</v>
      </c>
      <c r="DA26" t="e">
        <f>#REF!+"vlM!oO"</f>
        <v>#REF!</v>
      </c>
      <c r="DB26" t="e">
        <f>#REF!+"vlM!oP"</f>
        <v>#REF!</v>
      </c>
      <c r="DC26" t="e">
        <f>#REF!+"vlM!oQ"</f>
        <v>#REF!</v>
      </c>
      <c r="DD26" t="e">
        <f>#REF!+"vlM!oR"</f>
        <v>#REF!</v>
      </c>
      <c r="DE26" t="e">
        <f>#REF!+"vlM!oS"</f>
        <v>#REF!</v>
      </c>
      <c r="DF26" t="e">
        <f>#REF!+"vlM!oT"</f>
        <v>#REF!</v>
      </c>
      <c r="DG26" t="e">
        <f>#REF!+"vlM!oU"</f>
        <v>#REF!</v>
      </c>
      <c r="DH26" t="e">
        <f>#REF!+"vlM!oV"</f>
        <v>#REF!</v>
      </c>
      <c r="DI26" t="e">
        <f>#REF!+"vlM!oW"</f>
        <v>#REF!</v>
      </c>
      <c r="DJ26" t="e">
        <f>#REF!+"vlM!oX"</f>
        <v>#REF!</v>
      </c>
      <c r="DK26" s="1" t="e">
        <f>#REF!+"vlM!oY"</f>
        <v>#REF!</v>
      </c>
      <c r="DL26" t="e">
        <f>#REF!+"vlM!oZ"</f>
        <v>#REF!</v>
      </c>
      <c r="DM26" t="e">
        <f>#REF!+"vlM!o["</f>
        <v>#REF!</v>
      </c>
      <c r="DN26" t="e">
        <f>#REF!+"vlM!o\"</f>
        <v>#REF!</v>
      </c>
      <c r="DO26" t="e">
        <f>#REF!+"vlM!o]"</f>
        <v>#REF!</v>
      </c>
      <c r="DP26" t="e">
        <f>#REF!+"vlM!o^"</f>
        <v>#REF!</v>
      </c>
      <c r="DQ26" t="e">
        <f>#REF!+"vlM!o_"</f>
        <v>#REF!</v>
      </c>
      <c r="DR26" t="e">
        <f>#REF!+"vlM!o`"</f>
        <v>#REF!</v>
      </c>
      <c r="DS26" t="e">
        <f>#REF!+"vlM!oa"</f>
        <v>#REF!</v>
      </c>
      <c r="DT26" t="e">
        <f>#REF!+"vlM!ob"</f>
        <v>#REF!</v>
      </c>
      <c r="DU26" t="e">
        <f>#REF!+"vlM!oc"</f>
        <v>#REF!</v>
      </c>
      <c r="DV26" t="e">
        <f>#REF!+"vlM!od"</f>
        <v>#REF!</v>
      </c>
      <c r="DW26" t="e">
        <f>#REF!+"vlM!oe"</f>
        <v>#REF!</v>
      </c>
      <c r="DX26" t="e">
        <f>#REF!+"vlM!of"</f>
        <v>#REF!</v>
      </c>
      <c r="DY26" t="e">
        <f>#REF!+"vlM!og"</f>
        <v>#REF!</v>
      </c>
      <c r="DZ26" s="1" t="e">
        <f>#REF!+"vlM!oh"</f>
        <v>#REF!</v>
      </c>
      <c r="EA26" t="e">
        <f>#REF!+"vlM!oi"</f>
        <v>#REF!</v>
      </c>
      <c r="EB26" t="e">
        <f>#REF!+"vlM!oj"</f>
        <v>#REF!</v>
      </c>
      <c r="EC26" t="e">
        <f>#REF!+"vlM!ok"</f>
        <v>#REF!</v>
      </c>
      <c r="ED26" t="e">
        <f>#REF!+"vlM!ol"</f>
        <v>#REF!</v>
      </c>
      <c r="EE26" t="e">
        <f>#REF!+"vlM!om"</f>
        <v>#REF!</v>
      </c>
      <c r="EF26" t="e">
        <f>#REF!+"vlM!on"</f>
        <v>#REF!</v>
      </c>
      <c r="EG26" t="e">
        <f>#REF!+"vlM!oo"</f>
        <v>#REF!</v>
      </c>
      <c r="EH26" t="e">
        <f>#REF!+"vlM!op"</f>
        <v>#REF!</v>
      </c>
      <c r="EI26" t="e">
        <f>#REF!+"vlM!oq"</f>
        <v>#REF!</v>
      </c>
      <c r="EJ26" t="e">
        <f>#REF!+"vlM!or"</f>
        <v>#REF!</v>
      </c>
      <c r="EK26" t="e">
        <f>#REF!+"vlM!os"</f>
        <v>#REF!</v>
      </c>
      <c r="EL26" t="e">
        <f>#REF!+"vlM!ot"</f>
        <v>#REF!</v>
      </c>
      <c r="EM26" t="e">
        <f>#REF!+"vlM!ou"</f>
        <v>#REF!</v>
      </c>
      <c r="EN26" t="e">
        <f>#REF!+"vlM!ov"</f>
        <v>#REF!</v>
      </c>
      <c r="EO26" s="1" t="e">
        <f>#REF!+"vlM!ow"</f>
        <v>#REF!</v>
      </c>
      <c r="EP26" t="e">
        <f>#REF!+"vlM!ox"</f>
        <v>#REF!</v>
      </c>
      <c r="EQ26" t="e">
        <f>#REF!+"vlM!oy"</f>
        <v>#REF!</v>
      </c>
      <c r="ER26" t="e">
        <f>#REF!+"vlM!oz"</f>
        <v>#REF!</v>
      </c>
      <c r="ES26" t="e">
        <f>#REF!+"vlM!o{"</f>
        <v>#REF!</v>
      </c>
      <c r="ET26" t="e">
        <f>#REF!+"vlM!o|"</f>
        <v>#REF!</v>
      </c>
      <c r="EU26" t="e">
        <f>#REF!+"vlM!o}"</f>
        <v>#REF!</v>
      </c>
      <c r="EV26" t="e">
        <f>#REF!+"vlM!o~"</f>
        <v>#REF!</v>
      </c>
      <c r="EW26" t="e">
        <f>#REF!+"vlM!p#"</f>
        <v>#REF!</v>
      </c>
      <c r="EX26" t="e">
        <f>#REF!+"vlM!p$"</f>
        <v>#REF!</v>
      </c>
      <c r="EY26" t="e">
        <f>#REF!+"vlM!p%"</f>
        <v>#REF!</v>
      </c>
      <c r="EZ26" t="e">
        <f>#REF!+"vlM!p&amp;"</f>
        <v>#REF!</v>
      </c>
      <c r="FA26" t="e">
        <f>#REF!+"vlM!p'"</f>
        <v>#REF!</v>
      </c>
      <c r="FB26" t="e">
        <f>#REF!+"vlM!p("</f>
        <v>#REF!</v>
      </c>
      <c r="FC26" t="e">
        <f>#REF!+"vlM!p)"</f>
        <v>#REF!</v>
      </c>
      <c r="FD26" s="1" t="e">
        <f>#REF!+"vlM!p."</f>
        <v>#REF!</v>
      </c>
      <c r="FE26" t="e">
        <f>#REF!+"vlM!p/"</f>
        <v>#REF!</v>
      </c>
      <c r="FF26" t="e">
        <f>#REF!+"vlM!p0"</f>
        <v>#REF!</v>
      </c>
      <c r="FG26" t="e">
        <f>#REF!+"vlM!p1"</f>
        <v>#REF!</v>
      </c>
      <c r="FH26" t="e">
        <f>#REF!+"vlM!p2"</f>
        <v>#REF!</v>
      </c>
      <c r="FI26" t="e">
        <f>#REF!+"vlM!p3"</f>
        <v>#REF!</v>
      </c>
      <c r="FJ26" t="e">
        <f>#REF!+"vlM!p4"</f>
        <v>#REF!</v>
      </c>
      <c r="FK26" t="e">
        <f>#REF!+"vlM!p5"</f>
        <v>#REF!</v>
      </c>
      <c r="FL26" t="e">
        <f>#REF!+"vlM!p6"</f>
        <v>#REF!</v>
      </c>
      <c r="FM26" t="e">
        <f>#REF!+"vlM!p7"</f>
        <v>#REF!</v>
      </c>
      <c r="FN26" t="e">
        <f>#REF!+"vlM!p8"</f>
        <v>#REF!</v>
      </c>
      <c r="FO26" t="e">
        <f>#REF!+"vlM!p9"</f>
        <v>#REF!</v>
      </c>
      <c r="FP26" t="e">
        <f>#REF!+"vlM!p:"</f>
        <v>#REF!</v>
      </c>
      <c r="FQ26" t="e">
        <f>#REF!+"vlM!p;"</f>
        <v>#REF!</v>
      </c>
      <c r="FR26" t="e">
        <f>#REF!+"vlM!p&lt;"</f>
        <v>#REF!</v>
      </c>
      <c r="FS26" s="1" t="e">
        <f>#REF!+"vlM!p="</f>
        <v>#REF!</v>
      </c>
      <c r="FT26" t="e">
        <f>#REF!+"vlM!p&gt;"</f>
        <v>#REF!</v>
      </c>
      <c r="FU26" t="e">
        <f>#REF!+"vlM!p?"</f>
        <v>#REF!</v>
      </c>
      <c r="FV26" t="e">
        <f>#REF!+"vlM!p@"</f>
        <v>#REF!</v>
      </c>
      <c r="FW26" t="e">
        <f>#REF!+"vlM!pA"</f>
        <v>#REF!</v>
      </c>
      <c r="FX26" t="e">
        <f>#REF!+"vlM!pB"</f>
        <v>#REF!</v>
      </c>
      <c r="FY26" t="e">
        <f>#REF!+"vlM!pC"</f>
        <v>#REF!</v>
      </c>
      <c r="FZ26" t="e">
        <f>#REF!+"vlM!pD"</f>
        <v>#REF!</v>
      </c>
      <c r="GA26" t="e">
        <f>#REF!+"vlM!pE"</f>
        <v>#REF!</v>
      </c>
      <c r="GB26" t="e">
        <f>#REF!+"vlM!pF"</f>
        <v>#REF!</v>
      </c>
      <c r="GC26" t="e">
        <f>#REF!+"vlM!pG"</f>
        <v>#REF!</v>
      </c>
      <c r="GD26" t="e">
        <f>#REF!+"vlM!pH"</f>
        <v>#REF!</v>
      </c>
      <c r="GE26" t="e">
        <f>#REF!+"vlM!pI"</f>
        <v>#REF!</v>
      </c>
      <c r="GF26" t="e">
        <f>#REF!+"vlM!pJ"</f>
        <v>#REF!</v>
      </c>
      <c r="GG26" t="e">
        <f>#REF!+"vlM!pK"</f>
        <v>#REF!</v>
      </c>
      <c r="GH26" s="1" t="e">
        <f>#REF!+"vlM!pL"</f>
        <v>#REF!</v>
      </c>
      <c r="GI26" t="e">
        <f>#REF!+"vlM!pM"</f>
        <v>#REF!</v>
      </c>
      <c r="GJ26" t="e">
        <f>#REF!+"vlM!pN"</f>
        <v>#REF!</v>
      </c>
      <c r="GK26" t="e">
        <f>#REF!+"vlM!pO"</f>
        <v>#REF!</v>
      </c>
      <c r="GL26" t="e">
        <f>#REF!+"vlM!pP"</f>
        <v>#REF!</v>
      </c>
      <c r="GM26" t="e">
        <f>#REF!+"vlM!pQ"</f>
        <v>#REF!</v>
      </c>
      <c r="GN26" t="e">
        <f>#REF!+"vlM!pR"</f>
        <v>#REF!</v>
      </c>
      <c r="GO26" t="e">
        <f>#REF!+"vlM!pS"</f>
        <v>#REF!</v>
      </c>
      <c r="GP26" t="e">
        <f>#REF!+"vlM!pT"</f>
        <v>#REF!</v>
      </c>
      <c r="GQ26" t="e">
        <f>#REF!+"vlM!pU"</f>
        <v>#REF!</v>
      </c>
      <c r="GR26" t="e">
        <f>#REF!+"vlM!pV"</f>
        <v>#REF!</v>
      </c>
      <c r="GS26" t="e">
        <f>#REF!+"vlM!pW"</f>
        <v>#REF!</v>
      </c>
      <c r="GT26" t="e">
        <f>#REF!+"vlM!pX"</f>
        <v>#REF!</v>
      </c>
      <c r="GU26" t="e">
        <f>#REF!+"vlM!pY"</f>
        <v>#REF!</v>
      </c>
      <c r="GV26" t="e">
        <f>#REF!+"vlM!pZ"</f>
        <v>#REF!</v>
      </c>
      <c r="GW26" s="1" t="e">
        <f>#REF!+"vlM!p["</f>
        <v>#REF!</v>
      </c>
      <c r="GX26" t="e">
        <f>#REF!+"vlM!p\"</f>
        <v>#REF!</v>
      </c>
      <c r="GY26" t="e">
        <f>#REF!+"vlM!p]"</f>
        <v>#REF!</v>
      </c>
      <c r="GZ26" t="e">
        <f>#REF!+"vlM!p^"</f>
        <v>#REF!</v>
      </c>
      <c r="HA26" t="e">
        <f>#REF!+"vlM!p_"</f>
        <v>#REF!</v>
      </c>
      <c r="HB26" t="e">
        <f>#REF!+"vlM!p`"</f>
        <v>#REF!</v>
      </c>
      <c r="HC26" t="e">
        <f>#REF!+"vlM!pa"</f>
        <v>#REF!</v>
      </c>
      <c r="HD26" t="e">
        <f>#REF!+"vlM!pb"</f>
        <v>#REF!</v>
      </c>
      <c r="HE26" t="e">
        <f>#REF!+"vlM!pc"</f>
        <v>#REF!</v>
      </c>
      <c r="HF26" t="e">
        <f>#REF!+"vlM!pd"</f>
        <v>#REF!</v>
      </c>
      <c r="HG26" t="e">
        <f>#REF!+"vlM!pe"</f>
        <v>#REF!</v>
      </c>
      <c r="HH26" t="e">
        <f>#REF!+"vlM!pf"</f>
        <v>#REF!</v>
      </c>
      <c r="HI26" t="e">
        <f>#REF!+"vlM!pg"</f>
        <v>#REF!</v>
      </c>
      <c r="HJ26" t="e">
        <f>#REF!+"vlM!ph"</f>
        <v>#REF!</v>
      </c>
      <c r="HK26" t="e">
        <f>#REF!+"vlM!pi"</f>
        <v>#REF!</v>
      </c>
      <c r="HL26" s="1" t="e">
        <f>#REF!+"vlM!pj"</f>
        <v>#REF!</v>
      </c>
      <c r="HM26" t="e">
        <f>#REF!+"vlM!pk"</f>
        <v>#REF!</v>
      </c>
      <c r="HN26" t="e">
        <f>#REF!+"vlM!pl"</f>
        <v>#REF!</v>
      </c>
      <c r="HO26" t="e">
        <f>#REF!+"vlM!pm"</f>
        <v>#REF!</v>
      </c>
      <c r="HP26" t="e">
        <f>#REF!+"vlM!pn"</f>
        <v>#REF!</v>
      </c>
      <c r="HQ26" t="e">
        <f>#REF!+"vlM!po"</f>
        <v>#REF!</v>
      </c>
      <c r="HR26" t="e">
        <f>#REF!+"vlM!pp"</f>
        <v>#REF!</v>
      </c>
      <c r="HS26" t="e">
        <f>#REF!+"vlM!pq"</f>
        <v>#REF!</v>
      </c>
      <c r="HT26" t="e">
        <f>#REF!+"vlM!pr"</f>
        <v>#REF!</v>
      </c>
      <c r="HU26" t="e">
        <f>#REF!+"vlM!ps"</f>
        <v>#REF!</v>
      </c>
      <c r="HV26" t="e">
        <f>#REF!+"vlM!pt"</f>
        <v>#REF!</v>
      </c>
      <c r="HW26" t="e">
        <f>#REF!+"vlM!pu"</f>
        <v>#REF!</v>
      </c>
      <c r="HX26" t="e">
        <f>#REF!+"vlM!pv"</f>
        <v>#REF!</v>
      </c>
      <c r="HY26" t="e">
        <f>#REF!+"vlM!pw"</f>
        <v>#REF!</v>
      </c>
      <c r="HZ26" t="e">
        <f>#REF!+"vlM!px"</f>
        <v>#REF!</v>
      </c>
      <c r="IA26" s="1" t="e">
        <f>#REF!+"vlM!py"</f>
        <v>#REF!</v>
      </c>
      <c r="IB26" t="e">
        <f>#REF!+"vlM!pz"</f>
        <v>#REF!</v>
      </c>
      <c r="IC26" t="e">
        <f>#REF!+"vlM!p{"</f>
        <v>#REF!</v>
      </c>
      <c r="ID26" t="e">
        <f>#REF!+"vlM!p|"</f>
        <v>#REF!</v>
      </c>
      <c r="IE26" t="e">
        <f>#REF!+"vlM!p}"</f>
        <v>#REF!</v>
      </c>
      <c r="IF26" t="e">
        <f>#REF!+"vlM!p~"</f>
        <v>#REF!</v>
      </c>
      <c r="IG26" t="e">
        <f>#REF!+"vlM!q#"</f>
        <v>#REF!</v>
      </c>
      <c r="IH26" t="e">
        <f>#REF!+"vlM!q$"</f>
        <v>#REF!</v>
      </c>
      <c r="II26" t="e">
        <f>#REF!+"vlM!q%"</f>
        <v>#REF!</v>
      </c>
      <c r="IJ26" t="e">
        <f>#REF!+"vlM!q&amp;"</f>
        <v>#REF!</v>
      </c>
      <c r="IK26" t="e">
        <f>#REF!+"vlM!q'"</f>
        <v>#REF!</v>
      </c>
      <c r="IL26" t="e">
        <f>#REF!+"vlM!q("</f>
        <v>#REF!</v>
      </c>
      <c r="IM26" t="e">
        <f>#REF!+"vlM!q)"</f>
        <v>#REF!</v>
      </c>
      <c r="IN26" t="e">
        <f>#REF!+"vlM!q."</f>
        <v>#REF!</v>
      </c>
      <c r="IO26" t="e">
        <f>#REF!+"vlM!q/"</f>
        <v>#REF!</v>
      </c>
      <c r="IP26" s="1" t="e">
        <f>#REF!+"vlM!q0"</f>
        <v>#REF!</v>
      </c>
      <c r="IQ26" t="e">
        <f>#REF!+"vlM!q1"</f>
        <v>#REF!</v>
      </c>
      <c r="IR26" t="e">
        <f>#REF!+"vlM!q2"</f>
        <v>#REF!</v>
      </c>
      <c r="IS26" t="e">
        <f>#REF!+"vlM!q3"</f>
        <v>#REF!</v>
      </c>
      <c r="IT26" t="e">
        <f>#REF!+"vlM!q4"</f>
        <v>#REF!</v>
      </c>
      <c r="IU26" t="e">
        <f>#REF!+"vlM!q5"</f>
        <v>#REF!</v>
      </c>
      <c r="IV26" t="e">
        <f>#REF!+"vlM!q6"</f>
        <v>#REF!</v>
      </c>
    </row>
    <row r="27" spans="6:256" x14ac:dyDescent="0.25">
      <c r="F27" t="e">
        <f>#REF!+"vlM!q7"</f>
        <v>#REF!</v>
      </c>
      <c r="G27" t="e">
        <f>#REF!+"vlM!q8"</f>
        <v>#REF!</v>
      </c>
      <c r="H27" t="e">
        <f>#REF!+"vlM!q9"</f>
        <v>#REF!</v>
      </c>
      <c r="I27" t="e">
        <f>#REF!+"vlM!q:"</f>
        <v>#REF!</v>
      </c>
      <c r="J27" t="e">
        <f>#REF!+"vlM!q;"</f>
        <v>#REF!</v>
      </c>
      <c r="K27" t="e">
        <f>#REF!+"vlM!q&lt;"</f>
        <v>#REF!</v>
      </c>
      <c r="L27" t="e">
        <f>#REF!+"vlM!q="</f>
        <v>#REF!</v>
      </c>
      <c r="M27" t="e">
        <f>#REF!+"vlM!q&gt;"</f>
        <v>#REF!</v>
      </c>
      <c r="N27" s="1" t="e">
        <f>#REF!+"vlM!q?"</f>
        <v>#REF!</v>
      </c>
      <c r="O27" t="e">
        <f>#REF!+"vlM!q@"</f>
        <v>#REF!</v>
      </c>
      <c r="P27" t="e">
        <f>#REF!+"vlM!qA"</f>
        <v>#REF!</v>
      </c>
      <c r="Q27" t="e">
        <f>#REF!+"vlM!qB"</f>
        <v>#REF!</v>
      </c>
      <c r="R27" t="e">
        <f>#REF!+"vlM!qC"</f>
        <v>#REF!</v>
      </c>
      <c r="S27" t="e">
        <f>#REF!+"vlM!qD"</f>
        <v>#REF!</v>
      </c>
      <c r="T27" t="e">
        <f>#REF!+"vlM!qE"</f>
        <v>#REF!</v>
      </c>
      <c r="U27" t="e">
        <f>#REF!+"vlM!qF"</f>
        <v>#REF!</v>
      </c>
      <c r="V27" t="e">
        <f>#REF!+"vlM!qG"</f>
        <v>#REF!</v>
      </c>
      <c r="W27" t="e">
        <f>#REF!+"vlM!qH"</f>
        <v>#REF!</v>
      </c>
      <c r="X27" t="e">
        <f>#REF!+"vlM!qI"</f>
        <v>#REF!</v>
      </c>
      <c r="Y27" t="e">
        <f>#REF!+"vlM!qJ"</f>
        <v>#REF!</v>
      </c>
      <c r="Z27" t="e">
        <f>#REF!+"vlM!qK"</f>
        <v>#REF!</v>
      </c>
      <c r="AA27" t="e">
        <f>#REF!+"vlM!qL"</f>
        <v>#REF!</v>
      </c>
      <c r="AB27" t="e">
        <f>#REF!+"vlM!qM"</f>
        <v>#REF!</v>
      </c>
      <c r="AC27" s="1" t="e">
        <f>#REF!+"vlM!qN"</f>
        <v>#REF!</v>
      </c>
      <c r="AD27" t="e">
        <f>#REF!+"vlM!qO"</f>
        <v>#REF!</v>
      </c>
      <c r="AE27" t="e">
        <f>#REF!+"vlM!qP"</f>
        <v>#REF!</v>
      </c>
      <c r="AF27" t="e">
        <f>#REF!+"vlM!qQ"</f>
        <v>#REF!</v>
      </c>
      <c r="AG27" t="e">
        <f>#REF!+"vlM!qR"</f>
        <v>#REF!</v>
      </c>
      <c r="AH27" t="e">
        <f>#REF!+"vlM!qS"</f>
        <v>#REF!</v>
      </c>
      <c r="AI27" t="e">
        <f>#REF!+"vlM!qT"</f>
        <v>#REF!</v>
      </c>
      <c r="AJ27" t="e">
        <f>#REF!+"vlM!qU"</f>
        <v>#REF!</v>
      </c>
      <c r="AK27" t="e">
        <f>#REF!+"vlM!qV"</f>
        <v>#REF!</v>
      </c>
      <c r="AL27" t="e">
        <f>#REF!+"vlM!qW"</f>
        <v>#REF!</v>
      </c>
      <c r="AM27" t="e">
        <f>#REF!+"vlM!qX"</f>
        <v>#REF!</v>
      </c>
      <c r="AN27" t="e">
        <f>#REF!+"vlM!qY"</f>
        <v>#REF!</v>
      </c>
      <c r="AO27" t="e">
        <f>#REF!+"vlM!qZ"</f>
        <v>#REF!</v>
      </c>
      <c r="AP27" t="e">
        <f>#REF!+"vlM!q["</f>
        <v>#REF!</v>
      </c>
      <c r="AQ27" t="e">
        <f>#REF!+"vlM!q\"</f>
        <v>#REF!</v>
      </c>
      <c r="AR27" s="1" t="e">
        <f>#REF!+"vlM!q]"</f>
        <v>#REF!</v>
      </c>
      <c r="AS27" t="e">
        <f>#REF!+"vlM!q^"</f>
        <v>#REF!</v>
      </c>
      <c r="AT27" t="e">
        <f>#REF!+"vlM!q_"</f>
        <v>#REF!</v>
      </c>
      <c r="AU27" t="e">
        <f>#REF!+"vlM!q`"</f>
        <v>#REF!</v>
      </c>
      <c r="AV27" t="e">
        <f>#REF!+"vlM!qa"</f>
        <v>#REF!</v>
      </c>
      <c r="AW27" t="e">
        <f>#REF!+"vlM!qb"</f>
        <v>#REF!</v>
      </c>
      <c r="AX27" t="e">
        <f>#REF!+"vlM!qc"</f>
        <v>#REF!</v>
      </c>
      <c r="AY27" t="e">
        <f>#REF!+"vlM!qd"</f>
        <v>#REF!</v>
      </c>
      <c r="AZ27" t="e">
        <f>#REF!+"vlM!qe"</f>
        <v>#REF!</v>
      </c>
      <c r="BA27" t="e">
        <f>#REF!+"vlM!qf"</f>
        <v>#REF!</v>
      </c>
      <c r="BB27" t="e">
        <f>#REF!+"vlM!qg"</f>
        <v>#REF!</v>
      </c>
      <c r="BC27" t="e">
        <f>#REF!+"vlM!qh"</f>
        <v>#REF!</v>
      </c>
      <c r="BD27" t="e">
        <f>#REF!+"vlM!qi"</f>
        <v>#REF!</v>
      </c>
      <c r="BE27" t="e">
        <f>#REF!+"vlM!qj"</f>
        <v>#REF!</v>
      </c>
      <c r="BF27" t="e">
        <f>#REF!+"vlM!qk"</f>
        <v>#REF!</v>
      </c>
      <c r="BG27" s="1" t="e">
        <f>#REF!+"vlM!ql"</f>
        <v>#REF!</v>
      </c>
      <c r="BH27" t="e">
        <f>#REF!+"vlM!qm"</f>
        <v>#REF!</v>
      </c>
      <c r="BI27" t="e">
        <f>#REF!+"vlM!qn"</f>
        <v>#REF!</v>
      </c>
      <c r="BJ27" t="e">
        <f>#REF!+"vlM!qo"</f>
        <v>#REF!</v>
      </c>
      <c r="BK27" t="e">
        <f>#REF!+"vlM!qp"</f>
        <v>#REF!</v>
      </c>
      <c r="BL27" t="e">
        <f>#REF!+"vlM!qq"</f>
        <v>#REF!</v>
      </c>
      <c r="BM27" t="e">
        <f>#REF!+"vlM!qr"</f>
        <v>#REF!</v>
      </c>
      <c r="BN27" t="e">
        <f>#REF!+"vlM!qs"</f>
        <v>#REF!</v>
      </c>
      <c r="BO27" t="e">
        <f>#REF!+"vlM!qt"</f>
        <v>#REF!</v>
      </c>
      <c r="BP27" t="e">
        <f>#REF!+"vlM!qu"</f>
        <v>#REF!</v>
      </c>
      <c r="BQ27" t="e">
        <f>#REF!+"vlM!qv"</f>
        <v>#REF!</v>
      </c>
      <c r="BR27" t="e">
        <f>#REF!+"vlM!qw"</f>
        <v>#REF!</v>
      </c>
      <c r="BS27" t="e">
        <f>#REF!+"vlM!qx"</f>
        <v>#REF!</v>
      </c>
      <c r="BT27" t="e">
        <f>#REF!+"vlM!qy"</f>
        <v>#REF!</v>
      </c>
      <c r="BU27" t="e">
        <f>#REF!+"vlM!qz"</f>
        <v>#REF!</v>
      </c>
      <c r="BV27" s="1" t="e">
        <f>#REF!+"vlM!q{"</f>
        <v>#REF!</v>
      </c>
      <c r="BW27" t="e">
        <f>#REF!+"vlM!q|"</f>
        <v>#REF!</v>
      </c>
      <c r="BX27" t="e">
        <f>#REF!+"vlM!q}"</f>
        <v>#REF!</v>
      </c>
      <c r="BY27" t="e">
        <f>#REF!+"vlM!q~"</f>
        <v>#REF!</v>
      </c>
      <c r="BZ27" t="e">
        <f>#REF!+"vlM!r#"</f>
        <v>#REF!</v>
      </c>
      <c r="CA27" t="e">
        <f>#REF!+"vlM!r$"</f>
        <v>#REF!</v>
      </c>
      <c r="CB27" t="e">
        <f>#REF!+"vlM!r%"</f>
        <v>#REF!</v>
      </c>
      <c r="CC27" t="e">
        <f>#REF!+"vlM!r&amp;"</f>
        <v>#REF!</v>
      </c>
      <c r="CD27" t="e">
        <f>#REF!+"vlM!r'"</f>
        <v>#REF!</v>
      </c>
      <c r="CE27" t="e">
        <f>#REF!+"vlM!r("</f>
        <v>#REF!</v>
      </c>
      <c r="CF27" t="e">
        <f>#REF!+"vlM!r)"</f>
        <v>#REF!</v>
      </c>
      <c r="CG27" t="e">
        <f>#REF!+"vlM!r."</f>
        <v>#REF!</v>
      </c>
      <c r="CH27" t="e">
        <f>#REF!+"vlM!r/"</f>
        <v>#REF!</v>
      </c>
      <c r="CI27" t="e">
        <f>#REF!+"vlM!r0"</f>
        <v>#REF!</v>
      </c>
      <c r="CJ27" t="e">
        <f>#REF!+"vlM!r1"</f>
        <v>#REF!</v>
      </c>
      <c r="CK27" s="1" t="e">
        <f>#REF!+"vlM!r2"</f>
        <v>#REF!</v>
      </c>
      <c r="CL27" t="e">
        <f>#REF!+"vlM!r3"</f>
        <v>#REF!</v>
      </c>
      <c r="CM27" t="e">
        <f>#REF!+"vlM!r4"</f>
        <v>#REF!</v>
      </c>
      <c r="CN27" t="e">
        <f>#REF!+"vlM!r5"</f>
        <v>#REF!</v>
      </c>
      <c r="CO27" t="e">
        <f>#REF!+"vlM!r6"</f>
        <v>#REF!</v>
      </c>
      <c r="CP27" t="e">
        <f>#REF!+"vlM!r7"</f>
        <v>#REF!</v>
      </c>
      <c r="CQ27" t="e">
        <f>#REF!+"vlM!r8"</f>
        <v>#REF!</v>
      </c>
      <c r="CR27" t="e">
        <f>#REF!+"vlM!r9"</f>
        <v>#REF!</v>
      </c>
      <c r="CS27" t="e">
        <f>#REF!+"vlM!r:"</f>
        <v>#REF!</v>
      </c>
      <c r="CT27" t="e">
        <f>#REF!+"vlM!r;"</f>
        <v>#REF!</v>
      </c>
      <c r="CU27" t="e">
        <f>#REF!+"vlM!r&lt;"</f>
        <v>#REF!</v>
      </c>
      <c r="CV27" t="e">
        <f>#REF!+"vlM!r="</f>
        <v>#REF!</v>
      </c>
      <c r="CW27" t="e">
        <f>#REF!+"vlM!r&gt;"</f>
        <v>#REF!</v>
      </c>
      <c r="CX27" t="e">
        <f>#REF!+"vlM!r?"</f>
        <v>#REF!</v>
      </c>
      <c r="CY27" t="e">
        <f>#REF!+"vlM!r@"</f>
        <v>#REF!</v>
      </c>
      <c r="CZ27" s="1" t="e">
        <f>#REF!+"vlM!rA"</f>
        <v>#REF!</v>
      </c>
      <c r="DA27" t="e">
        <f>#REF!+"vlM!rB"</f>
        <v>#REF!</v>
      </c>
      <c r="DB27" t="e">
        <f>#REF!+"vlM!rC"</f>
        <v>#REF!</v>
      </c>
      <c r="DC27" t="e">
        <f>#REF!+"vlM!rD"</f>
        <v>#REF!</v>
      </c>
      <c r="DD27" t="e">
        <f>#REF!+"vlM!rE"</f>
        <v>#REF!</v>
      </c>
      <c r="DE27" t="e">
        <f>#REF!+"vlM!rF"</f>
        <v>#REF!</v>
      </c>
      <c r="DF27" t="e">
        <f>#REF!+"vlM!rG"</f>
        <v>#REF!</v>
      </c>
      <c r="DG27" t="e">
        <f>#REF!+"vlM!rH"</f>
        <v>#REF!</v>
      </c>
      <c r="DH27" t="e">
        <f>#REF!+"vlM!rI"</f>
        <v>#REF!</v>
      </c>
      <c r="DI27" t="e">
        <f>#REF!+"vlM!rJ"</f>
        <v>#REF!</v>
      </c>
      <c r="DJ27" t="e">
        <f>#REF!+"vlM!rK"</f>
        <v>#REF!</v>
      </c>
      <c r="DK27" t="e">
        <f>#REF!+"vlM!rL"</f>
        <v>#REF!</v>
      </c>
      <c r="DL27" t="e">
        <f>#REF!+"vlM!rM"</f>
        <v>#REF!</v>
      </c>
      <c r="DM27" t="e">
        <f>#REF!+"vlM!rN"</f>
        <v>#REF!</v>
      </c>
      <c r="DN27" t="e">
        <f>#REF!+"vlM!rO"</f>
        <v>#REF!</v>
      </c>
      <c r="DO27" s="1" t="e">
        <f>#REF!+"vlM!rP"</f>
        <v>#REF!</v>
      </c>
      <c r="DP27" t="e">
        <f>#REF!+"vlM!rQ"</f>
        <v>#REF!</v>
      </c>
      <c r="DQ27" t="e">
        <f>#REF!+"vlM!rR"</f>
        <v>#REF!</v>
      </c>
      <c r="DR27" t="e">
        <f>#REF!+"vlM!rS"</f>
        <v>#REF!</v>
      </c>
      <c r="DS27" t="e">
        <f>#REF!+"vlM!rT"</f>
        <v>#REF!</v>
      </c>
      <c r="DT27" t="e">
        <f>#REF!+"vlM!rU"</f>
        <v>#REF!</v>
      </c>
      <c r="DU27" t="e">
        <f>#REF!+"vlM!rV"</f>
        <v>#REF!</v>
      </c>
      <c r="DV27" t="e">
        <f>#REF!+"vlM!rW"</f>
        <v>#REF!</v>
      </c>
      <c r="DW27" t="e">
        <f>#REF!+"vlM!rX"</f>
        <v>#REF!</v>
      </c>
      <c r="DX27" t="e">
        <f>#REF!+"vlM!rY"</f>
        <v>#REF!</v>
      </c>
      <c r="DY27" t="e">
        <f>#REF!+"vlM!rZ"</f>
        <v>#REF!</v>
      </c>
      <c r="DZ27" t="e">
        <f>#REF!+"vlM!r["</f>
        <v>#REF!</v>
      </c>
      <c r="EA27" t="e">
        <f>#REF!+"vlM!r\"</f>
        <v>#REF!</v>
      </c>
      <c r="EB27" t="e">
        <f>#REF!+"vlM!r]"</f>
        <v>#REF!</v>
      </c>
      <c r="EC27" t="e">
        <f>#REF!+"vlM!r^"</f>
        <v>#REF!</v>
      </c>
      <c r="ED27" s="1" t="e">
        <f>#REF!+"vlM!r_"</f>
        <v>#REF!</v>
      </c>
      <c r="EE27" t="e">
        <f>#REF!+"vlM!r`"</f>
        <v>#REF!</v>
      </c>
      <c r="EF27" t="e">
        <f>#REF!+"vlM!ra"</f>
        <v>#REF!</v>
      </c>
      <c r="EG27" t="e">
        <f>#REF!+"vlM!rb"</f>
        <v>#REF!</v>
      </c>
      <c r="EH27" t="e">
        <f>#REF!+"vlM!rc"</f>
        <v>#REF!</v>
      </c>
      <c r="EI27" t="e">
        <f>#REF!+"vlM!rd"</f>
        <v>#REF!</v>
      </c>
      <c r="EJ27" t="e">
        <f>#REF!+"vlM!re"</f>
        <v>#REF!</v>
      </c>
      <c r="EK27" t="e">
        <f>#REF!+"vlM!rf"</f>
        <v>#REF!</v>
      </c>
      <c r="EL27" t="e">
        <f>#REF!+"vlM!rg"</f>
        <v>#REF!</v>
      </c>
      <c r="EM27" t="e">
        <f>#REF!+"vlM!rh"</f>
        <v>#REF!</v>
      </c>
      <c r="EN27" t="e">
        <f>#REF!+"vlM!ri"</f>
        <v>#REF!</v>
      </c>
      <c r="EO27" t="e">
        <f>#REF!+"vlM!rj"</f>
        <v>#REF!</v>
      </c>
      <c r="EP27" t="e">
        <f>#REF!+"vlM!rk"</f>
        <v>#REF!</v>
      </c>
      <c r="EQ27" t="e">
        <f>#REF!+"vlM!rl"</f>
        <v>#REF!</v>
      </c>
      <c r="ER27" t="e">
        <f>#REF!+"vlM!rm"</f>
        <v>#REF!</v>
      </c>
      <c r="ES27" s="1" t="e">
        <f>#REF!+"vlM!rn"</f>
        <v>#REF!</v>
      </c>
      <c r="ET27" t="e">
        <f>#REF!+"vlM!ro"</f>
        <v>#REF!</v>
      </c>
      <c r="EU27" t="e">
        <f>#REF!+"vlM!rp"</f>
        <v>#REF!</v>
      </c>
      <c r="EV27" t="e">
        <f>#REF!+"vlM!rq"</f>
        <v>#REF!</v>
      </c>
      <c r="EW27" t="e">
        <f>#REF!+"vlM!rr"</f>
        <v>#REF!</v>
      </c>
      <c r="EX27" t="e">
        <f>#REF!+"vlM!rs"</f>
        <v>#REF!</v>
      </c>
      <c r="EY27" t="e">
        <f>#REF!+"vlM!rt"</f>
        <v>#REF!</v>
      </c>
      <c r="EZ27" t="e">
        <f>#REF!+"vlM!ru"</f>
        <v>#REF!</v>
      </c>
      <c r="FA27" t="e">
        <f>#REF!+"vlM!rv"</f>
        <v>#REF!</v>
      </c>
      <c r="FB27" t="e">
        <f>#REF!+"vlM!rw"</f>
        <v>#REF!</v>
      </c>
      <c r="FC27" t="e">
        <f>#REF!+"vlM!rx"</f>
        <v>#REF!</v>
      </c>
      <c r="FD27" t="e">
        <f>#REF!+"vlM!ry"</f>
        <v>#REF!</v>
      </c>
      <c r="FE27" t="e">
        <f>#REF!+"vlM!rz"</f>
        <v>#REF!</v>
      </c>
      <c r="FF27" t="e">
        <f>#REF!+"vlM!r{"</f>
        <v>#REF!</v>
      </c>
      <c r="FG27" t="e">
        <f>#REF!+"vlM!r|"</f>
        <v>#REF!</v>
      </c>
      <c r="FH27" s="1" t="e">
        <f>#REF!+"vlM!r}"</f>
        <v>#REF!</v>
      </c>
      <c r="FI27" t="e">
        <f>#REF!+"vlM!r~"</f>
        <v>#REF!</v>
      </c>
      <c r="FJ27" t="e">
        <f>#REF!+"vlM!s#"</f>
        <v>#REF!</v>
      </c>
      <c r="FK27" t="e">
        <f>#REF!+"vlM!s$"</f>
        <v>#REF!</v>
      </c>
      <c r="FL27" t="e">
        <f>#REF!+"vlM!s%"</f>
        <v>#REF!</v>
      </c>
      <c r="FM27" t="e">
        <f>#REF!+"vlM!s&amp;"</f>
        <v>#REF!</v>
      </c>
      <c r="FN27" t="e">
        <f>#REF!+"vlM!s'"</f>
        <v>#REF!</v>
      </c>
      <c r="FO27" t="e">
        <f>#REF!+"vlM!s("</f>
        <v>#REF!</v>
      </c>
      <c r="FP27" t="e">
        <f>#REF!+"vlM!s)"</f>
        <v>#REF!</v>
      </c>
      <c r="FQ27" t="e">
        <f>#REF!+"vlM!s."</f>
        <v>#REF!</v>
      </c>
      <c r="FR27" t="e">
        <f>#REF!+"vlM!s/"</f>
        <v>#REF!</v>
      </c>
      <c r="FS27" t="e">
        <f>#REF!+"vlM!s0"</f>
        <v>#REF!</v>
      </c>
      <c r="FT27" t="e">
        <f>#REF!+"vlM!s1"</f>
        <v>#REF!</v>
      </c>
      <c r="FU27" t="e">
        <f>#REF!+"vlM!s2"</f>
        <v>#REF!</v>
      </c>
      <c r="FV27" t="e">
        <f>#REF!+"vlM!s3"</f>
        <v>#REF!</v>
      </c>
      <c r="FW27" s="1" t="e">
        <f>#REF!+"vlM!s4"</f>
        <v>#REF!</v>
      </c>
      <c r="FX27" t="e">
        <f>#REF!+"vlM!s5"</f>
        <v>#REF!</v>
      </c>
      <c r="FY27" t="e">
        <f>#REF!+"vlM!s6"</f>
        <v>#REF!</v>
      </c>
      <c r="FZ27" t="e">
        <f>#REF!+"vlM!s7"</f>
        <v>#REF!</v>
      </c>
      <c r="GA27" t="e">
        <f>#REF!+"vlM!s8"</f>
        <v>#REF!</v>
      </c>
      <c r="GB27" t="e">
        <f>#REF!+"vlM!s9"</f>
        <v>#REF!</v>
      </c>
      <c r="GC27" t="e">
        <f>#REF!+"vlM!s:"</f>
        <v>#REF!</v>
      </c>
      <c r="GD27" t="e">
        <f>#REF!+"vlM!s;"</f>
        <v>#REF!</v>
      </c>
      <c r="GE27" t="e">
        <f>#REF!+"vlM!s&lt;"</f>
        <v>#REF!</v>
      </c>
      <c r="GF27" t="e">
        <f>#REF!+"vlM!s="</f>
        <v>#REF!</v>
      </c>
      <c r="GG27" t="e">
        <f>#REF!+"vlM!s&gt;"</f>
        <v>#REF!</v>
      </c>
      <c r="GH27" t="e">
        <f>#REF!+"vlM!s?"</f>
        <v>#REF!</v>
      </c>
      <c r="GI27" t="e">
        <f>#REF!+"vlM!s@"</f>
        <v>#REF!</v>
      </c>
      <c r="GJ27" t="e">
        <f>#REF!+"vlM!sA"</f>
        <v>#REF!</v>
      </c>
      <c r="GK27" t="e">
        <f>#REF!+"vlM!sB"</f>
        <v>#REF!</v>
      </c>
      <c r="GL27" s="1" t="e">
        <f>#REF!+"vlM!sC"</f>
        <v>#REF!</v>
      </c>
      <c r="GM27" t="e">
        <f>#REF!+"vlM!sD"</f>
        <v>#REF!</v>
      </c>
      <c r="GN27" t="e">
        <f>#REF!+"vlM!sE"</f>
        <v>#REF!</v>
      </c>
      <c r="GO27" t="e">
        <f>#REF!+"vlM!sF"</f>
        <v>#REF!</v>
      </c>
      <c r="GP27" t="e">
        <f>#REF!+"vlM!sG"</f>
        <v>#REF!</v>
      </c>
      <c r="GQ27" t="e">
        <f>#REF!+"vlM!sH"</f>
        <v>#REF!</v>
      </c>
      <c r="GR27" t="e">
        <f>#REF!+"vlM!sI"</f>
        <v>#REF!</v>
      </c>
      <c r="GS27" t="e">
        <f>#REF!+"vlM!sJ"</f>
        <v>#REF!</v>
      </c>
      <c r="GT27" t="e">
        <f>#REF!+"vlM!sK"</f>
        <v>#REF!</v>
      </c>
      <c r="GU27" t="e">
        <f>#REF!+"vlM!sL"</f>
        <v>#REF!</v>
      </c>
      <c r="GV27" t="e">
        <f>#REF!+"vlM!sM"</f>
        <v>#REF!</v>
      </c>
      <c r="GW27" t="e">
        <f>#REF!+"vlM!sN"</f>
        <v>#REF!</v>
      </c>
      <c r="GX27" t="e">
        <f>#REF!+"vlM!sO"</f>
        <v>#REF!</v>
      </c>
      <c r="GY27" t="e">
        <f>#REF!+"vlM!sP"</f>
        <v>#REF!</v>
      </c>
      <c r="GZ27" t="e">
        <f>#REF!+"vlM!sQ"</f>
        <v>#REF!</v>
      </c>
      <c r="HA27" s="1" t="e">
        <f>#REF!+"vlM!sR"</f>
        <v>#REF!</v>
      </c>
      <c r="HB27" t="e">
        <f>#REF!+"vlM!sS"</f>
        <v>#REF!</v>
      </c>
      <c r="HC27" t="e">
        <f>#REF!+"vlM!sT"</f>
        <v>#REF!</v>
      </c>
      <c r="HD27" t="e">
        <f>#REF!+"vlM!sU"</f>
        <v>#REF!</v>
      </c>
      <c r="HE27" t="e">
        <f>#REF!+"vlM!sV"</f>
        <v>#REF!</v>
      </c>
      <c r="HF27" t="e">
        <f>#REF!+"vlM!sW"</f>
        <v>#REF!</v>
      </c>
      <c r="HG27" t="e">
        <f>#REF!+"vlM!sX"</f>
        <v>#REF!</v>
      </c>
      <c r="HH27" t="e">
        <f>#REF!+"vlM!sY"</f>
        <v>#REF!</v>
      </c>
      <c r="HI27" t="e">
        <f>#REF!+"vlM!sZ"</f>
        <v>#REF!</v>
      </c>
      <c r="HJ27" t="e">
        <f>#REF!+"vlM!s["</f>
        <v>#REF!</v>
      </c>
      <c r="HK27" t="e">
        <f>#REF!+"vlM!s\"</f>
        <v>#REF!</v>
      </c>
      <c r="HL27" t="e">
        <f>#REF!+"vlM!s]"</f>
        <v>#REF!</v>
      </c>
      <c r="HM27" t="e">
        <f>#REF!+"vlM!s^"</f>
        <v>#REF!</v>
      </c>
      <c r="HN27" t="e">
        <f>#REF!+"vlM!s_"</f>
        <v>#REF!</v>
      </c>
      <c r="HO27" t="e">
        <f>#REF!+"vlM!s`"</f>
        <v>#REF!</v>
      </c>
      <c r="HP27" s="1" t="e">
        <f>#REF!+"vlM!sa"</f>
        <v>#REF!</v>
      </c>
      <c r="HQ27" t="e">
        <f>#REF!+"vlM!sb"</f>
        <v>#REF!</v>
      </c>
      <c r="HR27" t="e">
        <f>#REF!+"vlM!sc"</f>
        <v>#REF!</v>
      </c>
      <c r="HS27" t="e">
        <f>#REF!+"vlM!sd"</f>
        <v>#REF!</v>
      </c>
      <c r="HT27" t="e">
        <f>#REF!+"vlM!se"</f>
        <v>#REF!</v>
      </c>
      <c r="HU27" t="e">
        <f>#REF!+"vlM!sf"</f>
        <v>#REF!</v>
      </c>
      <c r="HV27" t="e">
        <f>#REF!+"vlM!sg"</f>
        <v>#REF!</v>
      </c>
      <c r="HW27" t="e">
        <f>#REF!+"vlM!sh"</f>
        <v>#REF!</v>
      </c>
      <c r="HX27" t="e">
        <f>#REF!+"vlM!si"</f>
        <v>#REF!</v>
      </c>
      <c r="HY27" t="e">
        <f>#REF!+"vlM!sj"</f>
        <v>#REF!</v>
      </c>
      <c r="HZ27" t="e">
        <f>#REF!+"vlM!sk"</f>
        <v>#REF!</v>
      </c>
      <c r="IA27" t="e">
        <f>#REF!+"vlM!sl"</f>
        <v>#REF!</v>
      </c>
      <c r="IB27" t="e">
        <f>#REF!+"vlM!sm"</f>
        <v>#REF!</v>
      </c>
      <c r="IC27" t="e">
        <f>#REF!+"vlM!sn"</f>
        <v>#REF!</v>
      </c>
      <c r="ID27" t="e">
        <f>#REF!+"vlM!so"</f>
        <v>#REF!</v>
      </c>
      <c r="IE27" s="1" t="e">
        <f>#REF!+"vlM!sp"</f>
        <v>#REF!</v>
      </c>
      <c r="IF27" t="e">
        <f>#REF!+"vlM!sq"</f>
        <v>#REF!</v>
      </c>
      <c r="IG27" t="e">
        <f>#REF!+"vlM!sr"</f>
        <v>#REF!</v>
      </c>
      <c r="IH27" t="e">
        <f>#REF!+"vlM!ss"</f>
        <v>#REF!</v>
      </c>
      <c r="II27" t="e">
        <f>#REF!+"vlM!st"</f>
        <v>#REF!</v>
      </c>
      <c r="IJ27" t="e">
        <f>#REF!+"vlM!su"</f>
        <v>#REF!</v>
      </c>
      <c r="IK27" t="e">
        <f>#REF!+"vlM!sv"</f>
        <v>#REF!</v>
      </c>
      <c r="IL27" t="e">
        <f>#REF!+"vlM!sw"</f>
        <v>#REF!</v>
      </c>
      <c r="IM27" t="e">
        <f>#REF!+"vlM!sx"</f>
        <v>#REF!</v>
      </c>
      <c r="IN27" t="e">
        <f>#REF!+"vlM!sy"</f>
        <v>#REF!</v>
      </c>
      <c r="IO27" t="e">
        <f>#REF!+"vlM!sz"</f>
        <v>#REF!</v>
      </c>
      <c r="IP27" t="e">
        <f>#REF!+"vlM!s{"</f>
        <v>#REF!</v>
      </c>
      <c r="IQ27" t="e">
        <f>#REF!+"vlM!s|"</f>
        <v>#REF!</v>
      </c>
      <c r="IR27" t="e">
        <f>#REF!+"vlM!s}"</f>
        <v>#REF!</v>
      </c>
      <c r="IS27" t="e">
        <f>#REF!+"vlM!s~"</f>
        <v>#REF!</v>
      </c>
      <c r="IT27" s="1" t="e">
        <f>#REF!+"vlM!t#"</f>
        <v>#REF!</v>
      </c>
      <c r="IU27" t="e">
        <f>#REF!+"vlM!t$"</f>
        <v>#REF!</v>
      </c>
      <c r="IV27" t="e">
        <f>#REF!+"vlM!t%"</f>
        <v>#REF!</v>
      </c>
    </row>
    <row r="28" spans="6:256" x14ac:dyDescent="0.25">
      <c r="F28" t="e">
        <f>#REF!+"vlM!t&amp;"</f>
        <v>#REF!</v>
      </c>
      <c r="G28" t="e">
        <f>#REF!+"vlM!t'"</f>
        <v>#REF!</v>
      </c>
      <c r="H28" t="e">
        <f>#REF!+"vlM!t("</f>
        <v>#REF!</v>
      </c>
      <c r="I28" t="e">
        <f>#REF!+"vlM!t)"</f>
        <v>#REF!</v>
      </c>
      <c r="J28" t="e">
        <f>#REF!+"vlM!t."</f>
        <v>#REF!</v>
      </c>
      <c r="K28" t="e">
        <f>#REF!+"vlM!t/"</f>
        <v>#REF!</v>
      </c>
      <c r="L28" t="e">
        <f>#REF!+"vlM!t0"</f>
        <v>#REF!</v>
      </c>
      <c r="M28" t="e">
        <f>#REF!+"vlM!t1"</f>
        <v>#REF!</v>
      </c>
      <c r="N28" t="e">
        <f>#REF!+"vlM!t2"</f>
        <v>#REF!</v>
      </c>
      <c r="O28" t="e">
        <f>#REF!+"vlM!t3"</f>
        <v>#REF!</v>
      </c>
      <c r="P28" t="e">
        <f>#REF!+"vlM!t4"</f>
        <v>#REF!</v>
      </c>
      <c r="Q28" t="e">
        <f>#REF!+"vlM!t5"</f>
        <v>#REF!</v>
      </c>
      <c r="R28" s="1" t="e">
        <f>#REF!+"vlM!t6"</f>
        <v>#REF!</v>
      </c>
      <c r="S28" t="e">
        <f>#REF!+"vlM!t7"</f>
        <v>#REF!</v>
      </c>
      <c r="T28" t="e">
        <f>#REF!+"vlM!t8"</f>
        <v>#REF!</v>
      </c>
      <c r="U28" t="e">
        <f>#REF!+"vlM!t9"</f>
        <v>#REF!</v>
      </c>
      <c r="V28" t="e">
        <f>#REF!+"vlM!t:"</f>
        <v>#REF!</v>
      </c>
      <c r="W28" t="e">
        <f>#REF!+"vlM!t;"</f>
        <v>#REF!</v>
      </c>
      <c r="X28" t="e">
        <f>#REF!+"vlM!t&lt;"</f>
        <v>#REF!</v>
      </c>
      <c r="Y28" t="e">
        <f>#REF!+"vlM!t="</f>
        <v>#REF!</v>
      </c>
      <c r="Z28" t="e">
        <f>#REF!+"vlM!t&gt;"</f>
        <v>#REF!</v>
      </c>
      <c r="AA28" t="e">
        <f>#REF!+"vlM!t?"</f>
        <v>#REF!</v>
      </c>
      <c r="AB28" t="e">
        <f>#REF!+"vlM!t@"</f>
        <v>#REF!</v>
      </c>
      <c r="AC28" t="e">
        <f>#REF!+"vlM!tA"</f>
        <v>#REF!</v>
      </c>
      <c r="AD28" t="e">
        <f>#REF!+"vlM!tB"</f>
        <v>#REF!</v>
      </c>
      <c r="AE28" t="e">
        <f>#REF!+"vlM!tC"</f>
        <v>#REF!</v>
      </c>
      <c r="AF28" t="e">
        <f>#REF!+"vlM!tD"</f>
        <v>#REF!</v>
      </c>
      <c r="AG28" s="1" t="e">
        <f>#REF!+"vlM!tE"</f>
        <v>#REF!</v>
      </c>
      <c r="AH28" t="e">
        <f>#REF!+"vlM!tF"</f>
        <v>#REF!</v>
      </c>
      <c r="AI28" t="e">
        <f>#REF!+"vlM!tG"</f>
        <v>#REF!</v>
      </c>
      <c r="AJ28" t="e">
        <f>#REF!+"vlM!tH"</f>
        <v>#REF!</v>
      </c>
      <c r="AK28" t="e">
        <f>#REF!+"vlM!tI"</f>
        <v>#REF!</v>
      </c>
      <c r="AL28" t="e">
        <f>#REF!+"vlM!tJ"</f>
        <v>#REF!</v>
      </c>
      <c r="AM28" t="e">
        <f>#REF!+"vlM!tK"</f>
        <v>#REF!</v>
      </c>
      <c r="AN28" t="e">
        <f>#REF!+"vlM!tL"</f>
        <v>#REF!</v>
      </c>
      <c r="AO28" t="e">
        <f>#REF!+"vlM!tM"</f>
        <v>#REF!</v>
      </c>
      <c r="AP28" t="e">
        <f>#REF!+"vlM!tN"</f>
        <v>#REF!</v>
      </c>
      <c r="AQ28" t="e">
        <f>#REF!+"vlM!tO"</f>
        <v>#REF!</v>
      </c>
      <c r="AR28" t="e">
        <f>#REF!+"vlM!tP"</f>
        <v>#REF!</v>
      </c>
      <c r="AS28" t="e">
        <f>#REF!+"vlM!tQ"</f>
        <v>#REF!</v>
      </c>
      <c r="AT28" t="e">
        <f>#REF!+"vlM!tR"</f>
        <v>#REF!</v>
      </c>
      <c r="AU28" t="e">
        <f>#REF!+"vlM!tS"</f>
        <v>#REF!</v>
      </c>
      <c r="AV28" s="1" t="e">
        <f>#REF!+"vlM!tT"</f>
        <v>#REF!</v>
      </c>
      <c r="AW28" t="e">
        <f>#REF!+"vlM!tU"</f>
        <v>#REF!</v>
      </c>
      <c r="AX28" t="e">
        <f>#REF!+"vlM!tV"</f>
        <v>#REF!</v>
      </c>
      <c r="AY28" t="e">
        <f>#REF!+"vlM!tW"</f>
        <v>#REF!</v>
      </c>
      <c r="AZ28" t="e">
        <f>#REF!+"vlM!tX"</f>
        <v>#REF!</v>
      </c>
      <c r="BA28" t="e">
        <f>#REF!+"vlM!tY"</f>
        <v>#REF!</v>
      </c>
      <c r="BB28" t="e">
        <f>#REF!+"vlM!tZ"</f>
        <v>#REF!</v>
      </c>
      <c r="BC28" t="e">
        <f>#REF!+"vlM!t["</f>
        <v>#REF!</v>
      </c>
      <c r="BD28" t="e">
        <f>#REF!+"vlM!t\"</f>
        <v>#REF!</v>
      </c>
      <c r="BE28" t="e">
        <f>#REF!+"vlM!t]"</f>
        <v>#REF!</v>
      </c>
      <c r="BF28" t="e">
        <f>#REF!+"vlM!t^"</f>
        <v>#REF!</v>
      </c>
      <c r="BG28" t="e">
        <f>#REF!+"vlM!t_"</f>
        <v>#REF!</v>
      </c>
      <c r="BH28" t="e">
        <f>#REF!+"vlM!t`"</f>
        <v>#REF!</v>
      </c>
      <c r="BI28" t="e">
        <f>#REF!+"vlM!ta"</f>
        <v>#REF!</v>
      </c>
      <c r="BJ28" t="e">
        <f>#REF!+"vlM!tb"</f>
        <v>#REF!</v>
      </c>
      <c r="BK28" s="1" t="e">
        <f>#REF!+"vlM!tc"</f>
        <v>#REF!</v>
      </c>
      <c r="BL28" t="e">
        <f>#REF!+"vlM!td"</f>
        <v>#REF!</v>
      </c>
      <c r="BM28" t="e">
        <f>#REF!+"vlM!te"</f>
        <v>#REF!</v>
      </c>
      <c r="BN28" t="e">
        <f>#REF!+"vlM!tf"</f>
        <v>#REF!</v>
      </c>
      <c r="BO28" t="e">
        <f>#REF!+"vlM!tg"</f>
        <v>#REF!</v>
      </c>
      <c r="BP28" t="e">
        <f>#REF!+"vlM!th"</f>
        <v>#REF!</v>
      </c>
      <c r="BQ28" t="e">
        <f>#REF!+"vlM!ti"</f>
        <v>#REF!</v>
      </c>
      <c r="BR28" t="e">
        <f>#REF!+"vlM!tj"</f>
        <v>#REF!</v>
      </c>
      <c r="BS28" t="e">
        <f>#REF!+"vlM!tk"</f>
        <v>#REF!</v>
      </c>
      <c r="BT28" t="e">
        <f>#REF!+"vlM!tl"</f>
        <v>#REF!</v>
      </c>
      <c r="BU28" t="e">
        <f>#REF!+"vlM!tm"</f>
        <v>#REF!</v>
      </c>
      <c r="BV28" t="e">
        <f>#REF!+"vlM!tn"</f>
        <v>#REF!</v>
      </c>
      <c r="BW28" t="e">
        <f>#REF!+"vlM!to"</f>
        <v>#REF!</v>
      </c>
      <c r="BX28" t="e">
        <f>#REF!+"vlM!tp"</f>
        <v>#REF!</v>
      </c>
      <c r="BY28" t="e">
        <f>#REF!+"vlM!tq"</f>
        <v>#REF!</v>
      </c>
      <c r="BZ28" s="1" t="e">
        <f>#REF!+"vlM!tr"</f>
        <v>#REF!</v>
      </c>
      <c r="CA28" t="e">
        <f>#REF!+"vlM!ts"</f>
        <v>#REF!</v>
      </c>
      <c r="CB28" t="e">
        <f>#REF!+"vlM!tt"</f>
        <v>#REF!</v>
      </c>
      <c r="CC28" t="e">
        <f>#REF!+"vlM!tu"</f>
        <v>#REF!</v>
      </c>
      <c r="CD28" t="e">
        <f>#REF!+"vlM!tv"</f>
        <v>#REF!</v>
      </c>
      <c r="CE28" t="e">
        <f>#REF!+"vlM!tw"</f>
        <v>#REF!</v>
      </c>
      <c r="CF28" t="e">
        <f>#REF!+"vlM!tx"</f>
        <v>#REF!</v>
      </c>
      <c r="CG28" t="e">
        <f>#REF!+"vlM!ty"</f>
        <v>#REF!</v>
      </c>
      <c r="CH28" t="e">
        <f>#REF!+"vlM!tz"</f>
        <v>#REF!</v>
      </c>
      <c r="CI28" t="e">
        <f>#REF!+"vlM!t{"</f>
        <v>#REF!</v>
      </c>
      <c r="CJ28" t="e">
        <f>#REF!+"vlM!t|"</f>
        <v>#REF!</v>
      </c>
      <c r="CK28" t="e">
        <f>#REF!+"vlM!t}"</f>
        <v>#REF!</v>
      </c>
      <c r="CL28" t="e">
        <f>#REF!+"vlM!t~"</f>
        <v>#REF!</v>
      </c>
      <c r="CM28" t="e">
        <f>#REF!+"vlM!u#"</f>
        <v>#REF!</v>
      </c>
      <c r="CN28" t="e">
        <f>#REF!+"vlM!u$"</f>
        <v>#REF!</v>
      </c>
      <c r="CO28" s="1" t="e">
        <f>#REF!+"vlM!u%"</f>
        <v>#REF!</v>
      </c>
      <c r="CP28" t="e">
        <f>#REF!+"vlM!u&amp;"</f>
        <v>#REF!</v>
      </c>
      <c r="CQ28" t="e">
        <f>#REF!+"vlM!u'"</f>
        <v>#REF!</v>
      </c>
      <c r="CR28" t="e">
        <f>#REF!+"vlM!u("</f>
        <v>#REF!</v>
      </c>
      <c r="CS28" t="e">
        <f>#REF!+"vlM!u)"</f>
        <v>#REF!</v>
      </c>
      <c r="CT28" t="e">
        <f>#REF!+"vlM!u."</f>
        <v>#REF!</v>
      </c>
      <c r="CU28" t="e">
        <f>#REF!+"vlM!u/"</f>
        <v>#REF!</v>
      </c>
      <c r="CV28" t="e">
        <f>#REF!+"vlM!u0"</f>
        <v>#REF!</v>
      </c>
      <c r="CW28" t="e">
        <f>#REF!+"vlM!u1"</f>
        <v>#REF!</v>
      </c>
      <c r="CX28" t="e">
        <f>#REF!+"vlM!u2"</f>
        <v>#REF!</v>
      </c>
      <c r="CY28" t="e">
        <f>#REF!+"vlM!u3"</f>
        <v>#REF!</v>
      </c>
      <c r="CZ28" t="e">
        <f>#REF!+"vlM!u4"</f>
        <v>#REF!</v>
      </c>
      <c r="DA28" t="e">
        <f>#REF!+"vlM!u5"</f>
        <v>#REF!</v>
      </c>
      <c r="DB28" t="e">
        <f>#REF!+"vlM!u6"</f>
        <v>#REF!</v>
      </c>
      <c r="DC28" t="e">
        <f>#REF!+"vlM!u7"</f>
        <v>#REF!</v>
      </c>
      <c r="DD28" s="1" t="e">
        <f>#REF!+"vlM!u8"</f>
        <v>#REF!</v>
      </c>
      <c r="DE28" t="e">
        <f>#REF!+"vlM!u9"</f>
        <v>#REF!</v>
      </c>
      <c r="DF28" t="e">
        <f>#REF!+"vlM!u:"</f>
        <v>#REF!</v>
      </c>
      <c r="DG28" t="e">
        <f>#REF!+"vlM!u;"</f>
        <v>#REF!</v>
      </c>
      <c r="DH28" t="e">
        <f>#REF!+"vlM!u&lt;"</f>
        <v>#REF!</v>
      </c>
      <c r="DI28" t="e">
        <f>#REF!+"vlM!u="</f>
        <v>#REF!</v>
      </c>
      <c r="DJ28" t="e">
        <f>#REF!+"vlM!u&gt;"</f>
        <v>#REF!</v>
      </c>
      <c r="DK28" t="e">
        <f>#REF!+"vlM!u?"</f>
        <v>#REF!</v>
      </c>
      <c r="DL28" t="e">
        <f>#REF!+"vlM!u@"</f>
        <v>#REF!</v>
      </c>
      <c r="DM28" t="e">
        <f>#REF!+"vlM!uA"</f>
        <v>#REF!</v>
      </c>
      <c r="DN28" t="e">
        <f>#REF!+"vlM!uB"</f>
        <v>#REF!</v>
      </c>
      <c r="DO28" t="e">
        <f>#REF!+"vlM!uC"</f>
        <v>#REF!</v>
      </c>
      <c r="DP28" t="e">
        <f>#REF!+"vlM!uD"</f>
        <v>#REF!</v>
      </c>
      <c r="DQ28" t="e">
        <f>#REF!+"vlM!uE"</f>
        <v>#REF!</v>
      </c>
      <c r="DR28" t="e">
        <f>#REF!+"vlM!uF"</f>
        <v>#REF!</v>
      </c>
      <c r="DS28" s="1" t="e">
        <f>#REF!+"vlM!uG"</f>
        <v>#REF!</v>
      </c>
      <c r="DT28" t="e">
        <f>#REF!+"vlM!uH"</f>
        <v>#REF!</v>
      </c>
      <c r="DU28" t="e">
        <f>#REF!+"vlM!uI"</f>
        <v>#REF!</v>
      </c>
      <c r="DV28" t="e">
        <f>#REF!+"vlM!uJ"</f>
        <v>#REF!</v>
      </c>
      <c r="DW28" t="e">
        <f>#REF!+"vlM!uK"</f>
        <v>#REF!</v>
      </c>
      <c r="DX28" t="e">
        <f>#REF!+"vlM!uL"</f>
        <v>#REF!</v>
      </c>
      <c r="DY28" t="e">
        <f>#REF!+"vlM!uM"</f>
        <v>#REF!</v>
      </c>
      <c r="DZ28" t="e">
        <f>#REF!+"vlM!uN"</f>
        <v>#REF!</v>
      </c>
      <c r="EA28" t="e">
        <f>#REF!+"vlM!uO"</f>
        <v>#REF!</v>
      </c>
      <c r="EB28" t="e">
        <f>#REF!+"vlM!uP"</f>
        <v>#REF!</v>
      </c>
      <c r="EC28" t="e">
        <f>#REF!+"vlM!uQ"</f>
        <v>#REF!</v>
      </c>
      <c r="ED28" t="e">
        <f>#REF!+"vlM!uR"</f>
        <v>#REF!</v>
      </c>
      <c r="EE28" t="e">
        <f>#REF!+"vlM!uS"</f>
        <v>#REF!</v>
      </c>
      <c r="EF28" t="e">
        <f>#REF!+"vlM!uT"</f>
        <v>#REF!</v>
      </c>
      <c r="EG28" t="e">
        <f>#REF!+"vlM!uU"</f>
        <v>#REF!</v>
      </c>
      <c r="EH28" s="1" t="e">
        <f>#REF!+"vlM!uV"</f>
        <v>#REF!</v>
      </c>
      <c r="EI28" t="e">
        <f>#REF!+"vlM!uW"</f>
        <v>#REF!</v>
      </c>
      <c r="EJ28" t="e">
        <f>#REF!+"vlM!uX"</f>
        <v>#REF!</v>
      </c>
      <c r="EK28" t="e">
        <f>#REF!+"vlM!uY"</f>
        <v>#REF!</v>
      </c>
      <c r="EL28" t="e">
        <f>#REF!+"vlM!uZ"</f>
        <v>#REF!</v>
      </c>
      <c r="EM28" t="e">
        <f>#REF!+"vlM!u["</f>
        <v>#REF!</v>
      </c>
      <c r="EN28" t="e">
        <f>#REF!+"vlM!u\"</f>
        <v>#REF!</v>
      </c>
      <c r="EO28" t="e">
        <f>#REF!+"vlM!u]"</f>
        <v>#REF!</v>
      </c>
      <c r="EP28" t="e">
        <f>#REF!+"vlM!u^"</f>
        <v>#REF!</v>
      </c>
      <c r="EQ28" t="e">
        <f>#REF!+"vlM!u_"</f>
        <v>#REF!</v>
      </c>
      <c r="ER28" t="e">
        <f>#REF!+"vlM!u`"</f>
        <v>#REF!</v>
      </c>
      <c r="ES28" t="e">
        <f>#REF!+"vlM!ua"</f>
        <v>#REF!</v>
      </c>
      <c r="ET28" t="e">
        <f>#REF!+"vlM!ub"</f>
        <v>#REF!</v>
      </c>
      <c r="EU28" t="e">
        <f>#REF!+"vlM!uc"</f>
        <v>#REF!</v>
      </c>
      <c r="EV28" t="e">
        <f>#REF!+"vlM!ud"</f>
        <v>#REF!</v>
      </c>
      <c r="EW28" s="1" t="e">
        <f>#REF!+"vlM!ue"</f>
        <v>#REF!</v>
      </c>
      <c r="EX28" t="e">
        <f>#REF!+"vlM!uf"</f>
        <v>#REF!</v>
      </c>
      <c r="EY28" t="e">
        <f>#REF!+"vlM!ug"</f>
        <v>#REF!</v>
      </c>
      <c r="EZ28" t="e">
        <f>#REF!+"vlM!uh"</f>
        <v>#REF!</v>
      </c>
      <c r="FA28" t="e">
        <f>#REF!+"vlM!ui"</f>
        <v>#REF!</v>
      </c>
      <c r="FB28" t="e">
        <f>#REF!+"vlM!uj"</f>
        <v>#REF!</v>
      </c>
      <c r="FC28" t="e">
        <f>#REF!+"vlM!uk"</f>
        <v>#REF!</v>
      </c>
      <c r="FD28" t="e">
        <f>#REF!+"vlM!ul"</f>
        <v>#REF!</v>
      </c>
      <c r="FE28" t="e">
        <f>#REF!+"vlM!um"</f>
        <v>#REF!</v>
      </c>
      <c r="FF28" t="e">
        <f>#REF!+"vlM!un"</f>
        <v>#REF!</v>
      </c>
      <c r="FG28" t="e">
        <f>#REF!+"vlM!uo"</f>
        <v>#REF!</v>
      </c>
      <c r="FH28" t="e">
        <f>#REF!+"vlM!up"</f>
        <v>#REF!</v>
      </c>
      <c r="FI28" t="e">
        <f>#REF!+"vlM!uq"</f>
        <v>#REF!</v>
      </c>
      <c r="FJ28" t="e">
        <f>#REF!+"vlM!ur"</f>
        <v>#REF!</v>
      </c>
      <c r="FK28" t="e">
        <f>#REF!+"vlM!us"</f>
        <v>#REF!</v>
      </c>
      <c r="FL28" s="1" t="e">
        <f>#REF!+"vlM!ut"</f>
        <v>#REF!</v>
      </c>
      <c r="FM28" t="e">
        <f>#REF!+"vlM!uu"</f>
        <v>#REF!</v>
      </c>
      <c r="FN28" t="e">
        <f>#REF!+"vlM!uv"</f>
        <v>#REF!</v>
      </c>
      <c r="FO28" t="e">
        <f>#REF!+"vlM!uw"</f>
        <v>#REF!</v>
      </c>
      <c r="FP28" t="e">
        <f>#REF!+"vlM!ux"</f>
        <v>#REF!</v>
      </c>
      <c r="FQ28" t="e">
        <f>#REF!+"vlM!uy"</f>
        <v>#REF!</v>
      </c>
      <c r="FR28" t="e">
        <f>#REF!+"vlM!uz"</f>
        <v>#REF!</v>
      </c>
      <c r="FS28" t="e">
        <f>#REF!+"vlM!u{"</f>
        <v>#REF!</v>
      </c>
      <c r="FT28" t="e">
        <f>#REF!+"vlM!u|"</f>
        <v>#REF!</v>
      </c>
      <c r="FU28" t="e">
        <f>#REF!+"vlM!u}"</f>
        <v>#REF!</v>
      </c>
      <c r="FV28" t="e">
        <f>#REF!+"vlM!u~"</f>
        <v>#REF!</v>
      </c>
      <c r="FW28" t="e">
        <f>#REF!+"vlM!v#"</f>
        <v>#REF!</v>
      </c>
      <c r="FX28" t="e">
        <f>#REF!+"vlM!v$"</f>
        <v>#REF!</v>
      </c>
      <c r="FY28" t="e">
        <f>#REF!+"vlM!v%"</f>
        <v>#REF!</v>
      </c>
      <c r="FZ28" t="e">
        <f>#REF!+"vlM!v&amp;"</f>
        <v>#REF!</v>
      </c>
      <c r="GA28" s="1" t="e">
        <f>#REF!+"vlM!v'"</f>
        <v>#REF!</v>
      </c>
      <c r="GB28" t="e">
        <f>#REF!+"vlM!v("</f>
        <v>#REF!</v>
      </c>
      <c r="GC28" t="e">
        <f>#REF!+"vlM!v)"</f>
        <v>#REF!</v>
      </c>
      <c r="GD28" t="e">
        <f>#REF!+"vlM!v."</f>
        <v>#REF!</v>
      </c>
      <c r="GE28" t="e">
        <f>#REF!+"vlM!v/"</f>
        <v>#REF!</v>
      </c>
      <c r="GF28" t="e">
        <f>#REF!+"vlM!v0"</f>
        <v>#REF!</v>
      </c>
      <c r="GG28" t="e">
        <f>#REF!+"vlM!v1"</f>
        <v>#REF!</v>
      </c>
      <c r="GH28" t="e">
        <f>#REF!+"vlM!v2"</f>
        <v>#REF!</v>
      </c>
      <c r="GI28" t="e">
        <f>#REF!+"vlM!v3"</f>
        <v>#REF!</v>
      </c>
      <c r="GJ28" t="e">
        <f>#REF!+"vlM!v4"</f>
        <v>#REF!</v>
      </c>
      <c r="GK28" t="e">
        <f>#REF!+"vlM!v5"</f>
        <v>#REF!</v>
      </c>
      <c r="GL28" t="e">
        <f>#REF!+"vlM!v6"</f>
        <v>#REF!</v>
      </c>
      <c r="GM28" t="e">
        <f>#REF!+"vlM!v7"</f>
        <v>#REF!</v>
      </c>
      <c r="GN28" t="e">
        <f>#REF!+"vlM!v8"</f>
        <v>#REF!</v>
      </c>
      <c r="GO28" t="e">
        <f>#REF!+"vlM!v9"</f>
        <v>#REF!</v>
      </c>
      <c r="GP28" s="1" t="e">
        <f>#REF!+"vlM!v:"</f>
        <v>#REF!</v>
      </c>
      <c r="GQ28" t="e">
        <f>#REF!+"vlM!v;"</f>
        <v>#REF!</v>
      </c>
      <c r="GR28" t="e">
        <f>#REF!+"vlM!v&lt;"</f>
        <v>#REF!</v>
      </c>
      <c r="GS28" t="e">
        <f>#REF!+"vlM!v="</f>
        <v>#REF!</v>
      </c>
      <c r="GT28" t="e">
        <f>#REF!+"vlM!v&gt;"</f>
        <v>#REF!</v>
      </c>
      <c r="GU28" t="e">
        <f>#REF!+"vlM!v?"</f>
        <v>#REF!</v>
      </c>
      <c r="GV28" t="e">
        <f>#REF!+"vlM!v@"</f>
        <v>#REF!</v>
      </c>
      <c r="GW28" t="e">
        <f>#REF!+"vlM!vA"</f>
        <v>#REF!</v>
      </c>
      <c r="GX28" t="e">
        <f>#REF!+"vlM!vB"</f>
        <v>#REF!</v>
      </c>
      <c r="GY28" t="e">
        <f>#REF!+"vlM!vC"</f>
        <v>#REF!</v>
      </c>
      <c r="GZ28" t="e">
        <f>#REF!+"vlM!vD"</f>
        <v>#REF!</v>
      </c>
      <c r="HA28" t="e">
        <f>#REF!+"vlM!vE"</f>
        <v>#REF!</v>
      </c>
      <c r="HB28" t="e">
        <f>#REF!+"vlM!vF"</f>
        <v>#REF!</v>
      </c>
      <c r="HC28" t="e">
        <f>#REF!+"vlM!vG"</f>
        <v>#REF!</v>
      </c>
      <c r="HD28" t="e">
        <f>#REF!+"vlM!vH"</f>
        <v>#REF!</v>
      </c>
      <c r="HE28" s="1" t="e">
        <f>#REF!+"vlM!vI"</f>
        <v>#REF!</v>
      </c>
      <c r="HF28" t="e">
        <f>#REF!+"vlM!vJ"</f>
        <v>#REF!</v>
      </c>
      <c r="HG28" t="e">
        <f>#REF!+"vlM!vK"</f>
        <v>#REF!</v>
      </c>
      <c r="HH28" t="e">
        <f>#REF!+"vlM!vL"</f>
        <v>#REF!</v>
      </c>
      <c r="HI28" t="e">
        <f>#REF!+"vlM!vM"</f>
        <v>#REF!</v>
      </c>
      <c r="HJ28" t="e">
        <f>#REF!+"vlM!vN"</f>
        <v>#REF!</v>
      </c>
      <c r="HK28" t="e">
        <f>#REF!+"vlM!vO"</f>
        <v>#REF!</v>
      </c>
      <c r="HL28" t="e">
        <f>#REF!+"vlM!vP"</f>
        <v>#REF!</v>
      </c>
      <c r="HM28" t="e">
        <f>#REF!+"vlM!vQ"</f>
        <v>#REF!</v>
      </c>
      <c r="HN28" t="e">
        <f>#REF!+"vlM!vR"</f>
        <v>#REF!</v>
      </c>
      <c r="HO28" t="e">
        <f>#REF!+"vlM!vS"</f>
        <v>#REF!</v>
      </c>
      <c r="HP28" t="e">
        <f>#REF!+"vlM!vT"</f>
        <v>#REF!</v>
      </c>
      <c r="HQ28" t="e">
        <f>#REF!+"vlM!vU"</f>
        <v>#REF!</v>
      </c>
      <c r="HR28" t="e">
        <f>#REF!+"vlM!vV"</f>
        <v>#REF!</v>
      </c>
      <c r="HS28" t="e">
        <f>#REF!+"vlM!vW"</f>
        <v>#REF!</v>
      </c>
      <c r="HT28" s="1" t="e">
        <f>#REF!+"vlM!vX"</f>
        <v>#REF!</v>
      </c>
      <c r="HU28" t="e">
        <f>#REF!+"vlM!vY"</f>
        <v>#REF!</v>
      </c>
      <c r="HV28" t="e">
        <f>#REF!+"vlM!vZ"</f>
        <v>#REF!</v>
      </c>
      <c r="HW28" t="e">
        <f>#REF!+"vlM!v["</f>
        <v>#REF!</v>
      </c>
      <c r="HX28" t="e">
        <f>#REF!+"vlM!v\"</f>
        <v>#REF!</v>
      </c>
      <c r="HY28" t="e">
        <f>#REF!+"vlM!v]"</f>
        <v>#REF!</v>
      </c>
      <c r="HZ28" t="e">
        <f>#REF!+"vlM!v^"</f>
        <v>#REF!</v>
      </c>
      <c r="IA28" t="e">
        <f>#REF!+"vlM!v_"</f>
        <v>#REF!</v>
      </c>
      <c r="IB28" t="e">
        <f>#REF!+"vlM!v`"</f>
        <v>#REF!</v>
      </c>
      <c r="IC28" t="e">
        <f>#REF!+"vlM!va"</f>
        <v>#REF!</v>
      </c>
      <c r="ID28" t="e">
        <f>#REF!+"vlM!vb"</f>
        <v>#REF!</v>
      </c>
      <c r="IE28" t="e">
        <f>#REF!+"vlM!vc"</f>
        <v>#REF!</v>
      </c>
      <c r="IF28" t="e">
        <f>#REF!+"vlM!vd"</f>
        <v>#REF!</v>
      </c>
      <c r="IG28" t="e">
        <f>#REF!+"vlM!ve"</f>
        <v>#REF!</v>
      </c>
      <c r="IH28" t="e">
        <f>#REF!+"vlM!vf"</f>
        <v>#REF!</v>
      </c>
      <c r="II28" s="1" t="e">
        <f>#REF!+"vlM!vg"</f>
        <v>#REF!</v>
      </c>
      <c r="IJ28" t="e">
        <f>#REF!+"vlM!vh"</f>
        <v>#REF!</v>
      </c>
      <c r="IK28" t="e">
        <f>#REF!+"vlM!vi"</f>
        <v>#REF!</v>
      </c>
      <c r="IL28" t="e">
        <f>#REF!+"vlM!vj"</f>
        <v>#REF!</v>
      </c>
      <c r="IM28" t="e">
        <f>#REF!+"vlM!vk"</f>
        <v>#REF!</v>
      </c>
      <c r="IN28" t="e">
        <f>#REF!+"vlM!vl"</f>
        <v>#REF!</v>
      </c>
      <c r="IO28" t="e">
        <f>#REF!+"vlM!vm"</f>
        <v>#REF!</v>
      </c>
      <c r="IP28" t="e">
        <f>#REF!+"vlM!vn"</f>
        <v>#REF!</v>
      </c>
      <c r="IQ28" t="e">
        <f>#REF!+"vlM!vo"</f>
        <v>#REF!</v>
      </c>
      <c r="IR28" t="e">
        <f>#REF!+"vlM!vp"</f>
        <v>#REF!</v>
      </c>
      <c r="IS28" t="e">
        <f>#REF!+"vlM!vq"</f>
        <v>#REF!</v>
      </c>
      <c r="IT28" t="e">
        <f>#REF!+"vlM!vr"</f>
        <v>#REF!</v>
      </c>
      <c r="IU28" t="e">
        <f>#REF!+"vlM!vs"</f>
        <v>#REF!</v>
      </c>
      <c r="IV28" t="e">
        <f>#REF!+"vlM!vt"</f>
        <v>#REF!</v>
      </c>
    </row>
    <row r="29" spans="6:256" x14ac:dyDescent="0.25">
      <c r="F29" t="e">
        <f>#REF!+"vlM!vu"</f>
        <v>#REF!</v>
      </c>
      <c r="G29" s="1" t="e">
        <f>#REF!+"vlM!vv"</f>
        <v>#REF!</v>
      </c>
      <c r="H29" t="e">
        <f>#REF!+"vlM!vw"</f>
        <v>#REF!</v>
      </c>
      <c r="I29" t="e">
        <f>#REF!+"vlM!vx"</f>
        <v>#REF!</v>
      </c>
      <c r="J29" t="e">
        <f>#REF!+"vlM!vy"</f>
        <v>#REF!</v>
      </c>
      <c r="K29" t="e">
        <f>#REF!+"vlM!vz"</f>
        <v>#REF!</v>
      </c>
      <c r="L29" t="e">
        <f>#REF!+"vlM!v{"</f>
        <v>#REF!</v>
      </c>
      <c r="M29" t="e">
        <f>#REF!+"vlM!v|"</f>
        <v>#REF!</v>
      </c>
      <c r="N29" t="e">
        <f>#REF!+"vlM!v}"</f>
        <v>#REF!</v>
      </c>
      <c r="O29" t="e">
        <f>#REF!+"vlM!v~"</f>
        <v>#REF!</v>
      </c>
      <c r="P29" t="e">
        <f>#REF!+"vlM!w#"</f>
        <v>#REF!</v>
      </c>
      <c r="Q29" t="e">
        <f>#REF!+"vlM!w$"</f>
        <v>#REF!</v>
      </c>
      <c r="R29" t="e">
        <f>#REF!+"vlM!w%"</f>
        <v>#REF!</v>
      </c>
      <c r="S29" t="e">
        <f>#REF!+"vlM!w&amp;"</f>
        <v>#REF!</v>
      </c>
      <c r="T29" t="e">
        <f>#REF!+"vlM!w'"</f>
        <v>#REF!</v>
      </c>
      <c r="U29" t="e">
        <f>#REF!+"vlM!w("</f>
        <v>#REF!</v>
      </c>
      <c r="V29" s="1" t="e">
        <f>#REF!+"vlM!w)"</f>
        <v>#REF!</v>
      </c>
      <c r="W29" t="e">
        <f>#REF!+"vlM!w."</f>
        <v>#REF!</v>
      </c>
      <c r="X29" t="e">
        <f>#REF!+"vlM!w/"</f>
        <v>#REF!</v>
      </c>
      <c r="Y29" t="e">
        <f>#REF!+"vlM!w0"</f>
        <v>#REF!</v>
      </c>
      <c r="Z29" t="e">
        <f>#REF!+"vlM!w1"</f>
        <v>#REF!</v>
      </c>
      <c r="AA29" t="e">
        <f>#REF!+"vlM!w2"</f>
        <v>#REF!</v>
      </c>
      <c r="AB29" t="e">
        <f>#REF!+"vlM!w3"</f>
        <v>#REF!</v>
      </c>
      <c r="AC29" t="e">
        <f>#REF!+"vlM!w4"</f>
        <v>#REF!</v>
      </c>
      <c r="AD29" t="e">
        <f>#REF!+"vlM!w5"</f>
        <v>#REF!</v>
      </c>
      <c r="AE29" t="e">
        <f>#REF!+"vlM!w6"</f>
        <v>#REF!</v>
      </c>
      <c r="AF29" t="e">
        <f>#REF!+"vlM!w7"</f>
        <v>#REF!</v>
      </c>
      <c r="AG29" t="e">
        <f>#REF!+"vlM!w8"</f>
        <v>#REF!</v>
      </c>
      <c r="AH29" t="e">
        <f>#REF!+"vlM!w9"</f>
        <v>#REF!</v>
      </c>
      <c r="AI29" t="e">
        <f>#REF!+"vlM!w:"</f>
        <v>#REF!</v>
      </c>
      <c r="AJ29" t="e">
        <f>#REF!+"vlM!w;"</f>
        <v>#REF!</v>
      </c>
      <c r="AK29" s="1" t="e">
        <f>#REF!+"vlM!w&lt;"</f>
        <v>#REF!</v>
      </c>
      <c r="AL29" t="e">
        <f>#REF!+"vlM!w="</f>
        <v>#REF!</v>
      </c>
      <c r="AM29" t="e">
        <f>#REF!+"vlM!w&gt;"</f>
        <v>#REF!</v>
      </c>
      <c r="AN29" t="e">
        <f>#REF!+"vlM!w?"</f>
        <v>#REF!</v>
      </c>
      <c r="AO29" t="e">
        <f>#REF!+"vlM!w@"</f>
        <v>#REF!</v>
      </c>
      <c r="AP29" t="e">
        <f>#REF!+"vlM!wA"</f>
        <v>#REF!</v>
      </c>
      <c r="AQ29" t="e">
        <f>#REF!+"vlM!wB"</f>
        <v>#REF!</v>
      </c>
      <c r="AR29" t="e">
        <f>#REF!+"vlM!wC"</f>
        <v>#REF!</v>
      </c>
      <c r="AS29" t="e">
        <f>#REF!+"vlM!wD"</f>
        <v>#REF!</v>
      </c>
      <c r="AT29" t="e">
        <f>#REF!+"vlM!wE"</f>
        <v>#REF!</v>
      </c>
      <c r="AU29" t="e">
        <f>#REF!+"vlM!wF"</f>
        <v>#REF!</v>
      </c>
      <c r="AV29" t="e">
        <f>#REF!+"vlM!wG"</f>
        <v>#REF!</v>
      </c>
      <c r="AW29" t="e">
        <f>#REF!+"vlM!wH"</f>
        <v>#REF!</v>
      </c>
      <c r="AX29" t="e">
        <f>#REF!+"vlM!wI"</f>
        <v>#REF!</v>
      </c>
      <c r="AY29" t="e">
        <f>#REF!+"vlM!wJ"</f>
        <v>#REF!</v>
      </c>
      <c r="AZ29" s="1" t="e">
        <f>#REF!+"vlM!wK"</f>
        <v>#REF!</v>
      </c>
      <c r="BA29" t="e">
        <f>#REF!+"vlM!wL"</f>
        <v>#REF!</v>
      </c>
      <c r="BB29" t="e">
        <f>#REF!+"vlM!wM"</f>
        <v>#REF!</v>
      </c>
      <c r="BC29" t="e">
        <f>#REF!+"vlM!wN"</f>
        <v>#REF!</v>
      </c>
      <c r="BD29" t="e">
        <f>#REF!+"vlM!wO"</f>
        <v>#REF!</v>
      </c>
      <c r="BE29" t="e">
        <f>#REF!+"vlM!wP"</f>
        <v>#REF!</v>
      </c>
      <c r="BF29" t="e">
        <f>#REF!+"vlM!wQ"</f>
        <v>#REF!</v>
      </c>
      <c r="BG29" t="e">
        <f>#REF!+"vlM!wR"</f>
        <v>#REF!</v>
      </c>
      <c r="BH29" t="e">
        <f>#REF!+"vlM!wS"</f>
        <v>#REF!</v>
      </c>
      <c r="BI29" t="e">
        <f>#REF!+"vlM!wT"</f>
        <v>#REF!</v>
      </c>
      <c r="BJ29" t="e">
        <f>#REF!+"vlM!wU"</f>
        <v>#REF!</v>
      </c>
      <c r="BK29" t="e">
        <f>#REF!+"vlM!wV"</f>
        <v>#REF!</v>
      </c>
      <c r="BL29" t="e">
        <f>#REF!+"vlM!wW"</f>
        <v>#REF!</v>
      </c>
      <c r="BM29" t="e">
        <f>#REF!+"vlM!wX"</f>
        <v>#REF!</v>
      </c>
      <c r="BN29" t="e">
        <f>#REF!+"vlM!wY"</f>
        <v>#REF!</v>
      </c>
      <c r="BO29" s="1" t="e">
        <f>#REF!+"vlM!wZ"</f>
        <v>#REF!</v>
      </c>
      <c r="BP29" t="e">
        <f>#REF!+"vlM!w["</f>
        <v>#REF!</v>
      </c>
      <c r="BQ29" t="e">
        <f>#REF!+"vlM!w\"</f>
        <v>#REF!</v>
      </c>
      <c r="BR29" t="e">
        <f>#REF!+"vlM!w]"</f>
        <v>#REF!</v>
      </c>
      <c r="BS29" t="e">
        <f>#REF!+"vlM!w^"</f>
        <v>#REF!</v>
      </c>
      <c r="BT29" t="e">
        <f>#REF!+"vlM!w_"</f>
        <v>#REF!</v>
      </c>
      <c r="BU29" t="e">
        <f>#REF!+"vlM!w`"</f>
        <v>#REF!</v>
      </c>
      <c r="BV29" t="e">
        <f>#REF!+"vlM!wa"</f>
        <v>#REF!</v>
      </c>
      <c r="BW29" t="e">
        <f>#REF!+"vlM!wb"</f>
        <v>#REF!</v>
      </c>
      <c r="BX29" t="e">
        <f>#REF!+"vlM!wc"</f>
        <v>#REF!</v>
      </c>
      <c r="BY29" t="e">
        <f>#REF!+"vlM!wd"</f>
        <v>#REF!</v>
      </c>
      <c r="BZ29" t="e">
        <f>#REF!+"vlM!we"</f>
        <v>#REF!</v>
      </c>
      <c r="CA29" t="e">
        <f>#REF!+"vlM!wf"</f>
        <v>#REF!</v>
      </c>
      <c r="CB29" t="e">
        <f>#REF!+"vlM!wg"</f>
        <v>#REF!</v>
      </c>
      <c r="CC29" t="e">
        <f>#REF!+"vlM!wh"</f>
        <v>#REF!</v>
      </c>
      <c r="CD29" s="1" t="e">
        <f>#REF!+"vlM!wi"</f>
        <v>#REF!</v>
      </c>
      <c r="CE29" t="e">
        <f>#REF!+"vlM!wj"</f>
        <v>#REF!</v>
      </c>
      <c r="CF29" t="e">
        <f>#REF!+"vlM!wk"</f>
        <v>#REF!</v>
      </c>
      <c r="CG29" t="e">
        <f>#REF!+"vlM!wl"</f>
        <v>#REF!</v>
      </c>
      <c r="CH29" t="e">
        <f>#REF!+"vlM!wm"</f>
        <v>#REF!</v>
      </c>
      <c r="CI29" t="e">
        <f>#REF!+"vlM!wn"</f>
        <v>#REF!</v>
      </c>
      <c r="CJ29" t="e">
        <f>#REF!+"vlM!wo"</f>
        <v>#REF!</v>
      </c>
      <c r="CK29" t="e">
        <f>#REF!+"vlM!wp"</f>
        <v>#REF!</v>
      </c>
      <c r="CL29" t="e">
        <f>#REF!+"vlM!wq"</f>
        <v>#REF!</v>
      </c>
      <c r="CM29" t="e">
        <f>#REF!+"vlM!wr"</f>
        <v>#REF!</v>
      </c>
      <c r="CN29" t="e">
        <f>#REF!+"vlM!ws"</f>
        <v>#REF!</v>
      </c>
      <c r="CO29" t="e">
        <f>#REF!+"vlM!wt"</f>
        <v>#REF!</v>
      </c>
      <c r="CP29" t="e">
        <f>#REF!+"vlM!wu"</f>
        <v>#REF!</v>
      </c>
      <c r="CQ29" t="e">
        <f>#REF!+"vlM!wv"</f>
        <v>#REF!</v>
      </c>
      <c r="CR29" t="e">
        <f>#REF!+"vlM!ww"</f>
        <v>#REF!</v>
      </c>
      <c r="CS29" s="1" t="e">
        <f>#REF!+"vlM!wx"</f>
        <v>#REF!</v>
      </c>
      <c r="CT29" t="e">
        <f>#REF!+"vlM!wy"</f>
        <v>#REF!</v>
      </c>
      <c r="CU29" t="e">
        <f>#REF!+"vlM!wz"</f>
        <v>#REF!</v>
      </c>
      <c r="CV29" t="e">
        <f>#REF!+"vlM!w{"</f>
        <v>#REF!</v>
      </c>
      <c r="CW29" t="e">
        <f>#REF!+"vlM!w|"</f>
        <v>#REF!</v>
      </c>
      <c r="CX29" t="e">
        <f>#REF!+"vlM!w}"</f>
        <v>#REF!</v>
      </c>
      <c r="CY29" t="e">
        <f>#REF!+"vlM!w~"</f>
        <v>#REF!</v>
      </c>
      <c r="CZ29" t="e">
        <f>#REF!+"vlM!x#"</f>
        <v>#REF!</v>
      </c>
      <c r="DA29" t="e">
        <f>#REF!+"vlM!x$"</f>
        <v>#REF!</v>
      </c>
      <c r="DB29" t="e">
        <f>#REF!+"vlM!x%"</f>
        <v>#REF!</v>
      </c>
      <c r="DC29" t="e">
        <f>#REF!+"vlM!x&amp;"</f>
        <v>#REF!</v>
      </c>
      <c r="DD29" t="e">
        <f>#REF!+"vlM!x'"</f>
        <v>#REF!</v>
      </c>
      <c r="DE29" t="e">
        <f>#REF!+"vlM!x("</f>
        <v>#REF!</v>
      </c>
      <c r="DF29" t="e">
        <f>#REF!+"vlM!x)"</f>
        <v>#REF!</v>
      </c>
      <c r="DG29" t="e">
        <f>#REF!+"vlM!x."</f>
        <v>#REF!</v>
      </c>
      <c r="DH29" s="1" t="e">
        <f>#REF!+"vlM!x/"</f>
        <v>#REF!</v>
      </c>
      <c r="DI29" t="e">
        <f>#REF!+"vlM!x0"</f>
        <v>#REF!</v>
      </c>
      <c r="DJ29" t="e">
        <f>#REF!+"vlM!x1"</f>
        <v>#REF!</v>
      </c>
      <c r="DK29" t="e">
        <f>#REF!+"vlM!x2"</f>
        <v>#REF!</v>
      </c>
      <c r="DL29" t="e">
        <f>#REF!+"vlM!x3"</f>
        <v>#REF!</v>
      </c>
      <c r="DM29" t="e">
        <f>#REF!+"vlM!x4"</f>
        <v>#REF!</v>
      </c>
      <c r="DN29" t="e">
        <f>#REF!+"vlM!x5"</f>
        <v>#REF!</v>
      </c>
      <c r="DO29" t="e">
        <f>#REF!+"vlM!x6"</f>
        <v>#REF!</v>
      </c>
      <c r="DP29" t="e">
        <f>#REF!+"vlM!x7"</f>
        <v>#REF!</v>
      </c>
      <c r="DQ29" t="e">
        <f>#REF!+"vlM!x8"</f>
        <v>#REF!</v>
      </c>
      <c r="DR29" t="e">
        <f>#REF!+"vlM!x9"</f>
        <v>#REF!</v>
      </c>
      <c r="DS29" t="e">
        <f>#REF!+"vlM!x:"</f>
        <v>#REF!</v>
      </c>
      <c r="DT29" t="e">
        <f>#REF!+"vlM!x;"</f>
        <v>#REF!</v>
      </c>
      <c r="DU29" t="e">
        <f>#REF!+"vlM!x&lt;"</f>
        <v>#REF!</v>
      </c>
      <c r="DV29" t="e">
        <f>#REF!+"vlM!x="</f>
        <v>#REF!</v>
      </c>
      <c r="DW29" s="1" t="e">
        <f>#REF!+"vlM!x&gt;"</f>
        <v>#REF!</v>
      </c>
      <c r="DX29" t="e">
        <f>#REF!+"vlM!x?"</f>
        <v>#REF!</v>
      </c>
      <c r="DY29" t="e">
        <f>#REF!+"vlM!x@"</f>
        <v>#REF!</v>
      </c>
      <c r="DZ29" t="e">
        <f>#REF!+"vlM!xA"</f>
        <v>#REF!</v>
      </c>
      <c r="EA29" t="e">
        <f>#REF!+"vlM!xB"</f>
        <v>#REF!</v>
      </c>
      <c r="EB29" t="e">
        <f>#REF!+"vlM!xC"</f>
        <v>#REF!</v>
      </c>
      <c r="EC29" t="e">
        <f>#REF!+"vlM!xD"</f>
        <v>#REF!</v>
      </c>
      <c r="ED29" t="e">
        <f>#REF!+"vlM!xE"</f>
        <v>#REF!</v>
      </c>
      <c r="EE29" t="e">
        <f>#REF!+"vlM!xF"</f>
        <v>#REF!</v>
      </c>
      <c r="EF29" t="e">
        <f>#REF!+"vlM!xG"</f>
        <v>#REF!</v>
      </c>
      <c r="EG29" t="e">
        <f>#REF!+"vlM!xH"</f>
        <v>#REF!</v>
      </c>
      <c r="EH29" t="e">
        <f>#REF!+"vlM!xI"</f>
        <v>#REF!</v>
      </c>
      <c r="EI29" t="e">
        <f>#REF!+"vlM!xJ"</f>
        <v>#REF!</v>
      </c>
      <c r="EJ29" t="e">
        <f>#REF!+"vlM!xK"</f>
        <v>#REF!</v>
      </c>
      <c r="EK29" t="e">
        <f>#REF!+"vlM!xL"</f>
        <v>#REF!</v>
      </c>
      <c r="EL29" s="1" t="e">
        <f>#REF!+"vlM!xM"</f>
        <v>#REF!</v>
      </c>
      <c r="EM29" t="e">
        <f>#REF!+"vlM!xN"</f>
        <v>#REF!</v>
      </c>
      <c r="EN29" t="e">
        <f>#REF!+"vlM!xO"</f>
        <v>#REF!</v>
      </c>
      <c r="EO29" t="e">
        <f>#REF!+"vlM!xP"</f>
        <v>#REF!</v>
      </c>
      <c r="EP29" t="e">
        <f>#REF!+"vlM!xQ"</f>
        <v>#REF!</v>
      </c>
      <c r="EQ29" t="e">
        <f>#REF!+"vlM!xR"</f>
        <v>#REF!</v>
      </c>
      <c r="ER29" t="e">
        <f>#REF!+"vlM!xS"</f>
        <v>#REF!</v>
      </c>
      <c r="ES29" t="e">
        <f>#REF!+"vlM!xT"</f>
        <v>#REF!</v>
      </c>
      <c r="ET29" t="e">
        <f>#REF!+"vlM!xU"</f>
        <v>#REF!</v>
      </c>
      <c r="EU29" t="e">
        <f>#REF!+"vlM!xV"</f>
        <v>#REF!</v>
      </c>
      <c r="EV29" t="e">
        <f>#REF!+"vlM!xW"</f>
        <v>#REF!</v>
      </c>
      <c r="EW29" t="e">
        <f>#REF!+"vlM!xX"</f>
        <v>#REF!</v>
      </c>
      <c r="EX29" t="e">
        <f>#REF!+"vlM!xY"</f>
        <v>#REF!</v>
      </c>
      <c r="EY29" t="e">
        <f>#REF!+"vlM!xZ"</f>
        <v>#REF!</v>
      </c>
      <c r="EZ29" t="e">
        <f>#REF!+"vlM!x["</f>
        <v>#REF!</v>
      </c>
      <c r="FA29" s="1" t="e">
        <f>#REF!+"vlM!x\"</f>
        <v>#REF!</v>
      </c>
      <c r="FB29" t="e">
        <f>#REF!+"vlM!x]"</f>
        <v>#REF!</v>
      </c>
      <c r="FC29" t="e">
        <f>#REF!+"vlM!x^"</f>
        <v>#REF!</v>
      </c>
      <c r="FD29" t="e">
        <f>#REF!+"vlM!x_"</f>
        <v>#REF!</v>
      </c>
      <c r="FE29" t="e">
        <f>#REF!+"vlM!x`"</f>
        <v>#REF!</v>
      </c>
      <c r="FF29" t="e">
        <f>#REF!+"vlM!xa"</f>
        <v>#REF!</v>
      </c>
      <c r="FG29" t="e">
        <f>#REF!+"vlM!xb"</f>
        <v>#REF!</v>
      </c>
      <c r="FH29" t="e">
        <f>#REF!+"vlM!xc"</f>
        <v>#REF!</v>
      </c>
      <c r="FI29" t="e">
        <f>#REF!+"vlM!xd"</f>
        <v>#REF!</v>
      </c>
      <c r="FJ29" t="e">
        <f>#REF!+"vlM!xe"</f>
        <v>#REF!</v>
      </c>
      <c r="FK29" t="e">
        <f>#REF!+"vlM!xf"</f>
        <v>#REF!</v>
      </c>
      <c r="FL29" t="e">
        <f>#REF!+"vlM!xg"</f>
        <v>#REF!</v>
      </c>
      <c r="FM29" t="e">
        <f>#REF!+"vlM!xh"</f>
        <v>#REF!</v>
      </c>
      <c r="FN29" t="e">
        <f>#REF!+"vlM!xi"</f>
        <v>#REF!</v>
      </c>
      <c r="FO29" t="e">
        <f>#REF!+"vlM!xj"</f>
        <v>#REF!</v>
      </c>
      <c r="FP29" s="1" t="e">
        <f>#REF!+"vlM!xk"</f>
        <v>#REF!</v>
      </c>
      <c r="FQ29" t="e">
        <f>#REF!+"vlM!xl"</f>
        <v>#REF!</v>
      </c>
      <c r="FR29" t="e">
        <f>#REF!+"vlM!xm"</f>
        <v>#REF!</v>
      </c>
      <c r="FS29" t="e">
        <f>#REF!+"vlM!xn"</f>
        <v>#REF!</v>
      </c>
      <c r="FT29" t="e">
        <f>#REF!+"vlM!xo"</f>
        <v>#REF!</v>
      </c>
      <c r="FU29" t="e">
        <f>#REF!+"vlM!xp"</f>
        <v>#REF!</v>
      </c>
      <c r="FV29" t="e">
        <f>#REF!+"vlM!xq"</f>
        <v>#REF!</v>
      </c>
      <c r="FW29" t="e">
        <f>#REF!+"vlM!xr"</f>
        <v>#REF!</v>
      </c>
      <c r="FX29" t="e">
        <f>#REF!+"vlM!xs"</f>
        <v>#REF!</v>
      </c>
      <c r="FY29" t="e">
        <f>#REF!+"vlM!xt"</f>
        <v>#REF!</v>
      </c>
      <c r="FZ29" t="e">
        <f>#REF!+"vlM!xu"</f>
        <v>#REF!</v>
      </c>
      <c r="GA29" t="e">
        <f>#REF!+"vlM!xv"</f>
        <v>#REF!</v>
      </c>
      <c r="GB29" t="e">
        <f>#REF!+"vlM!xw"</f>
        <v>#REF!</v>
      </c>
      <c r="GC29" t="e">
        <f>#REF!+"vlM!xx"</f>
        <v>#REF!</v>
      </c>
      <c r="GD29" t="e">
        <f>#REF!+"vlM!xy"</f>
        <v>#REF!</v>
      </c>
      <c r="GE29" s="1" t="e">
        <f>#REF!+"vlM!xz"</f>
        <v>#REF!</v>
      </c>
      <c r="GF29" t="e">
        <f>#REF!+"vlM!x{"</f>
        <v>#REF!</v>
      </c>
      <c r="GG29" t="e">
        <f>#REF!+"vlM!x|"</f>
        <v>#REF!</v>
      </c>
      <c r="GH29" t="e">
        <f>#REF!+"vlM!x}"</f>
        <v>#REF!</v>
      </c>
      <c r="GI29" t="e">
        <f>#REF!+"vlM!x~"</f>
        <v>#REF!</v>
      </c>
      <c r="GJ29" t="e">
        <f>#REF!+"vlM!y#"</f>
        <v>#REF!</v>
      </c>
      <c r="GK29" t="e">
        <f>#REF!+"vlM!y$"</f>
        <v>#REF!</v>
      </c>
      <c r="GL29" t="e">
        <f>#REF!+"vlM!y%"</f>
        <v>#REF!</v>
      </c>
      <c r="GM29" t="e">
        <f>#REF!+"vlM!y&amp;"</f>
        <v>#REF!</v>
      </c>
      <c r="GN29" t="e">
        <f>#REF!+"vlM!y'"</f>
        <v>#REF!</v>
      </c>
      <c r="GO29" t="e">
        <f>#REF!+"vlM!y("</f>
        <v>#REF!</v>
      </c>
      <c r="GP29" t="e">
        <f>#REF!+"vlM!y)"</f>
        <v>#REF!</v>
      </c>
      <c r="GQ29" t="e">
        <f>#REF!+"vlM!y."</f>
        <v>#REF!</v>
      </c>
      <c r="GR29" t="e">
        <f>#REF!+"vlM!y/"</f>
        <v>#REF!</v>
      </c>
      <c r="GS29" t="e">
        <f>#REF!+"vlM!y0"</f>
        <v>#REF!</v>
      </c>
      <c r="GT29" s="1" t="e">
        <f>#REF!+"vlM!y1"</f>
        <v>#REF!</v>
      </c>
      <c r="GU29" t="e">
        <f>#REF!+"vlM!y2"</f>
        <v>#REF!</v>
      </c>
      <c r="GV29" t="e">
        <f>#REF!+"vlM!y3"</f>
        <v>#REF!</v>
      </c>
      <c r="GW29" t="e">
        <f>#REF!+"vlM!y4"</f>
        <v>#REF!</v>
      </c>
      <c r="GX29" t="e">
        <f>#REF!+"vlM!y5"</f>
        <v>#REF!</v>
      </c>
      <c r="GY29" t="e">
        <f>#REF!+"vlM!y6"</f>
        <v>#REF!</v>
      </c>
      <c r="GZ29" t="e">
        <f>#REF!+"vlM!y7"</f>
        <v>#REF!</v>
      </c>
      <c r="HA29" t="e">
        <f>#REF!+"vlM!y8"</f>
        <v>#REF!</v>
      </c>
      <c r="HB29" t="e">
        <f>#REF!+"vlM!y9"</f>
        <v>#REF!</v>
      </c>
      <c r="HC29" t="e">
        <f>#REF!+"vlM!y:"</f>
        <v>#REF!</v>
      </c>
      <c r="HD29" t="e">
        <f>#REF!+"vlM!y;"</f>
        <v>#REF!</v>
      </c>
      <c r="HE29" t="e">
        <f>#REF!+"vlM!y&lt;"</f>
        <v>#REF!</v>
      </c>
      <c r="HF29" t="e">
        <f>#REF!+"vlM!y="</f>
        <v>#REF!</v>
      </c>
      <c r="HG29" t="e">
        <f>#REF!+"vlM!y&gt;"</f>
        <v>#REF!</v>
      </c>
      <c r="HH29" t="e">
        <f>#REF!+"vlM!y?"</f>
        <v>#REF!</v>
      </c>
      <c r="HI29" s="1" t="e">
        <f>#REF!+"vlM!y@"</f>
        <v>#REF!</v>
      </c>
      <c r="HJ29" t="e">
        <f>#REF!+"vlM!yA"</f>
        <v>#REF!</v>
      </c>
      <c r="HK29" t="e">
        <f>#REF!+"vlM!yB"</f>
        <v>#REF!</v>
      </c>
      <c r="HL29" t="e">
        <f>#REF!+"vlM!yC"</f>
        <v>#REF!</v>
      </c>
      <c r="HM29" t="e">
        <f>#REF!+"vlM!yD"</f>
        <v>#REF!</v>
      </c>
      <c r="HN29" t="e">
        <f>#REF!+"vlM!yE"</f>
        <v>#REF!</v>
      </c>
      <c r="HO29" t="e">
        <f>#REF!+"vlM!yF"</f>
        <v>#REF!</v>
      </c>
      <c r="HP29" t="e">
        <f>#REF!+"vlM!yG"</f>
        <v>#REF!</v>
      </c>
      <c r="HQ29" t="e">
        <f>#REF!+"vlM!yH"</f>
        <v>#REF!</v>
      </c>
      <c r="HR29" t="e">
        <f>#REF!+"vlM!yI"</f>
        <v>#REF!</v>
      </c>
      <c r="HS29" t="e">
        <f>#REF!+"vlM!yJ"</f>
        <v>#REF!</v>
      </c>
      <c r="HT29" t="e">
        <f>#REF!+"vlM!yK"</f>
        <v>#REF!</v>
      </c>
      <c r="HU29" t="e">
        <f>#REF!+"vlM!yL"</f>
        <v>#REF!</v>
      </c>
      <c r="HV29" t="e">
        <f>#REF!+"vlM!yM"</f>
        <v>#REF!</v>
      </c>
      <c r="HW29" t="e">
        <f>#REF!+"vlM!yN"</f>
        <v>#REF!</v>
      </c>
      <c r="HX29" s="1" t="e">
        <f>#REF!+"vlM!yO"</f>
        <v>#REF!</v>
      </c>
      <c r="HY29" t="e">
        <f>#REF!+"vlM!yP"</f>
        <v>#REF!</v>
      </c>
      <c r="HZ29" t="e">
        <f>#REF!+"vlM!yQ"</f>
        <v>#REF!</v>
      </c>
      <c r="IA29" t="e">
        <f>#REF!+"vlM!yR"</f>
        <v>#REF!</v>
      </c>
      <c r="IB29" t="e">
        <f>#REF!+"vlM!yS"</f>
        <v>#REF!</v>
      </c>
      <c r="IC29" t="e">
        <f>#REF!+"vlM!yT"</f>
        <v>#REF!</v>
      </c>
      <c r="ID29" t="e">
        <f>#REF!+"vlM!yU"</f>
        <v>#REF!</v>
      </c>
      <c r="IE29" t="e">
        <f>#REF!+"vlM!yV"</f>
        <v>#REF!</v>
      </c>
      <c r="IF29" t="e">
        <f>#REF!+"vlM!yW"</f>
        <v>#REF!</v>
      </c>
      <c r="IG29" t="e">
        <f>#REF!+"vlM!yX"</f>
        <v>#REF!</v>
      </c>
      <c r="IH29" t="e">
        <f>#REF!+"vlM!yY"</f>
        <v>#REF!</v>
      </c>
      <c r="II29" t="e">
        <f>#REF!+"vlM!yZ"</f>
        <v>#REF!</v>
      </c>
      <c r="IJ29" t="e">
        <f>#REF!+"vlM!y["</f>
        <v>#REF!</v>
      </c>
      <c r="IK29" t="e">
        <f>#REF!+"vlM!y\"</f>
        <v>#REF!</v>
      </c>
      <c r="IL29" t="e">
        <f>#REF!+"vlM!y]"</f>
        <v>#REF!</v>
      </c>
      <c r="IM29" s="1" t="e">
        <f>#REF!+"vlM!y^"</f>
        <v>#REF!</v>
      </c>
      <c r="IN29" t="e">
        <f>#REF!+"vlM!y_"</f>
        <v>#REF!</v>
      </c>
      <c r="IO29" t="e">
        <f>#REF!+"vlM!y`"</f>
        <v>#REF!</v>
      </c>
      <c r="IP29" t="e">
        <f>#REF!+"vlM!ya"</f>
        <v>#REF!</v>
      </c>
      <c r="IQ29" t="e">
        <f>#REF!+"vlM!yb"</f>
        <v>#REF!</v>
      </c>
      <c r="IR29" t="e">
        <f>#REF!+"vlM!yc"</f>
        <v>#REF!</v>
      </c>
      <c r="IS29" t="e">
        <f>#REF!+"vlM!yd"</f>
        <v>#REF!</v>
      </c>
      <c r="IT29" t="e">
        <f>#REF!+"vlM!ye"</f>
        <v>#REF!</v>
      </c>
      <c r="IU29" t="e">
        <f>#REF!+"vlM!yf"</f>
        <v>#REF!</v>
      </c>
      <c r="IV29" t="e">
        <f>#REF!+"vlM!yg"</f>
        <v>#REF!</v>
      </c>
    </row>
    <row r="30" spans="6:256" x14ac:dyDescent="0.25">
      <c r="F30" t="e">
        <f>#REF!+"vlM!yh"</f>
        <v>#REF!</v>
      </c>
      <c r="G30" t="e">
        <f>#REF!+"vlM!yi"</f>
        <v>#REF!</v>
      </c>
      <c r="H30" t="e">
        <f>#REF!+"vlM!yj"</f>
        <v>#REF!</v>
      </c>
      <c r="I30" t="e">
        <f>#REF!+"vlM!yk"</f>
        <v>#REF!</v>
      </c>
      <c r="J30" t="e">
        <f>#REF!+"vlM!yl"</f>
        <v>#REF!</v>
      </c>
      <c r="K30" s="1" t="e">
        <f>#REF!+"vlM!ym"</f>
        <v>#REF!</v>
      </c>
      <c r="L30" t="e">
        <f>#REF!+"vlM!yn"</f>
        <v>#REF!</v>
      </c>
      <c r="M30" t="e">
        <f>#REF!+"vlM!yo"</f>
        <v>#REF!</v>
      </c>
      <c r="N30" t="e">
        <f>#REF!+"vlM!yp"</f>
        <v>#REF!</v>
      </c>
      <c r="O30" t="e">
        <f>#REF!+"vlM!yq"</f>
        <v>#REF!</v>
      </c>
      <c r="P30" t="e">
        <f>#REF!+"vlM!yr"</f>
        <v>#REF!</v>
      </c>
      <c r="Q30" t="e">
        <f>#REF!+"vlM!ys"</f>
        <v>#REF!</v>
      </c>
      <c r="R30" t="e">
        <f>#REF!+"vlM!yt"</f>
        <v>#REF!</v>
      </c>
      <c r="S30" t="e">
        <f>#REF!+"vlM!yu"</f>
        <v>#REF!</v>
      </c>
      <c r="T30" t="e">
        <f>#REF!+"vlM!yv"</f>
        <v>#REF!</v>
      </c>
      <c r="U30" t="e">
        <f>#REF!+"vlM!yw"</f>
        <v>#REF!</v>
      </c>
      <c r="V30" t="e">
        <f>#REF!+"vlM!yx"</f>
        <v>#REF!</v>
      </c>
      <c r="W30" t="e">
        <f>#REF!+"vlM!yy"</f>
        <v>#REF!</v>
      </c>
      <c r="X30" t="e">
        <f>#REF!+"vlM!yz"</f>
        <v>#REF!</v>
      </c>
      <c r="Y30" t="e">
        <f>#REF!+"vlM!y{"</f>
        <v>#REF!</v>
      </c>
      <c r="Z30" s="1" t="e">
        <f>#REF!+"vlM!y|"</f>
        <v>#REF!</v>
      </c>
      <c r="AA30" t="e">
        <f>#REF!+"vlM!y}"</f>
        <v>#REF!</v>
      </c>
      <c r="AB30" t="e">
        <f>#REF!+"vlM!y~"</f>
        <v>#REF!</v>
      </c>
      <c r="AC30" t="e">
        <f>#REF!+"vlM!z#"</f>
        <v>#REF!</v>
      </c>
      <c r="AD30" t="e">
        <f>#REF!+"vlM!z$"</f>
        <v>#REF!</v>
      </c>
      <c r="AE30" t="e">
        <f>#REF!+"vlM!z%"</f>
        <v>#REF!</v>
      </c>
      <c r="AF30" t="e">
        <f>#REF!+"vlM!z&amp;"</f>
        <v>#REF!</v>
      </c>
      <c r="AG30" t="e">
        <f>#REF!+"vlM!z'"</f>
        <v>#REF!</v>
      </c>
      <c r="AH30" t="e">
        <f>#REF!+"vlM!z("</f>
        <v>#REF!</v>
      </c>
      <c r="AI30" t="e">
        <f>#REF!+"vlM!z)"</f>
        <v>#REF!</v>
      </c>
      <c r="AJ30" t="e">
        <f>#REF!+"vlM!z."</f>
        <v>#REF!</v>
      </c>
      <c r="AK30" t="e">
        <f>#REF!+"vlM!z/"</f>
        <v>#REF!</v>
      </c>
      <c r="AL30" t="e">
        <f>#REF!+"vlM!z0"</f>
        <v>#REF!</v>
      </c>
      <c r="AM30" t="e">
        <f>#REF!+"vlM!z1"</f>
        <v>#REF!</v>
      </c>
      <c r="AN30" t="e">
        <f>#REF!+"vlM!z2"</f>
        <v>#REF!</v>
      </c>
      <c r="AO30" s="1" t="e">
        <f>#REF!+"vlM!z3"</f>
        <v>#REF!</v>
      </c>
      <c r="AP30" t="e">
        <f>#REF!+"vlM!z4"</f>
        <v>#REF!</v>
      </c>
      <c r="AQ30" t="e">
        <f>#REF!+"vlM!z5"</f>
        <v>#REF!</v>
      </c>
      <c r="AR30" t="e">
        <f>#REF!+"vlM!z6"</f>
        <v>#REF!</v>
      </c>
      <c r="AS30" t="e">
        <f>#REF!+"vlM!z7"</f>
        <v>#REF!</v>
      </c>
      <c r="AT30" t="e">
        <f>#REF!+"vlM!z8"</f>
        <v>#REF!</v>
      </c>
      <c r="AU30" t="e">
        <f>#REF!+"vlM!z9"</f>
        <v>#REF!</v>
      </c>
      <c r="AV30" t="e">
        <f>#REF!+"vlM!z:"</f>
        <v>#REF!</v>
      </c>
      <c r="AW30" t="e">
        <f>#REF!+"vlM!z;"</f>
        <v>#REF!</v>
      </c>
      <c r="AX30" t="e">
        <f>#REF!+"vlM!z&lt;"</f>
        <v>#REF!</v>
      </c>
      <c r="AY30" t="e">
        <f>#REF!+"vlM!z="</f>
        <v>#REF!</v>
      </c>
      <c r="AZ30" t="e">
        <f>#REF!+"vlM!z&gt;"</f>
        <v>#REF!</v>
      </c>
      <c r="BA30" t="e">
        <f>#REF!+"vlM!z?"</f>
        <v>#REF!</v>
      </c>
      <c r="BB30" t="e">
        <f>#REF!+"vlM!z@"</f>
        <v>#REF!</v>
      </c>
      <c r="BC30" t="e">
        <f>#REF!+"vlM!zA"</f>
        <v>#REF!</v>
      </c>
      <c r="BD30" s="1" t="e">
        <f>#REF!+"vlM!zB"</f>
        <v>#REF!</v>
      </c>
      <c r="BE30" t="e">
        <f>#REF!+"vlM!zC"</f>
        <v>#REF!</v>
      </c>
      <c r="BF30" t="e">
        <f>#REF!+"vlM!zD"</f>
        <v>#REF!</v>
      </c>
      <c r="BG30" t="e">
        <f>#REF!+"vlM!zE"</f>
        <v>#REF!</v>
      </c>
      <c r="BH30" t="e">
        <f>#REF!+"vlM!zF"</f>
        <v>#REF!</v>
      </c>
      <c r="BI30" t="e">
        <f>#REF!+"vlM!zG"</f>
        <v>#REF!</v>
      </c>
      <c r="BJ30" t="e">
        <f>#REF!+"vlM!zH"</f>
        <v>#REF!</v>
      </c>
      <c r="BK30" t="e">
        <f>#REF!+"vlM!zI"</f>
        <v>#REF!</v>
      </c>
      <c r="BL30" t="e">
        <f>#REF!+"vlM!zJ"</f>
        <v>#REF!</v>
      </c>
      <c r="BM30" t="e">
        <f>#REF!+"vlM!zK"</f>
        <v>#REF!</v>
      </c>
      <c r="BN30" t="e">
        <f>#REF!+"vlM!zL"</f>
        <v>#REF!</v>
      </c>
      <c r="BO30" t="e">
        <f>#REF!+"vlM!zM"</f>
        <v>#REF!</v>
      </c>
      <c r="BP30" t="e">
        <f>#REF!+"vlM!zN"</f>
        <v>#REF!</v>
      </c>
      <c r="BQ30" t="e">
        <f>#REF!+"vlM!zO"</f>
        <v>#REF!</v>
      </c>
      <c r="BR30" t="e">
        <f>#REF!+"vlM!zP"</f>
        <v>#REF!</v>
      </c>
      <c r="BS30" s="1" t="e">
        <f>#REF!+"vlM!zQ"</f>
        <v>#REF!</v>
      </c>
      <c r="BT30" t="e">
        <f>#REF!+"vlM!zR"</f>
        <v>#REF!</v>
      </c>
      <c r="BU30" t="e">
        <f>#REF!+"vlM!zS"</f>
        <v>#REF!</v>
      </c>
      <c r="BV30" t="e">
        <f>#REF!+"vlM!zT"</f>
        <v>#REF!</v>
      </c>
      <c r="BW30" t="e">
        <f>#REF!+"vlM!zU"</f>
        <v>#REF!</v>
      </c>
      <c r="BX30" t="e">
        <f>#REF!+"vlM!zV"</f>
        <v>#REF!</v>
      </c>
      <c r="BY30" t="e">
        <f>#REF!+"vlM!zW"</f>
        <v>#REF!</v>
      </c>
      <c r="BZ30" t="e">
        <f>#REF!+"vlM!zX"</f>
        <v>#REF!</v>
      </c>
      <c r="CA30" t="e">
        <f>#REF!+"vlM!zY"</f>
        <v>#REF!</v>
      </c>
      <c r="CB30" t="e">
        <f>#REF!+"vlM!zZ"</f>
        <v>#REF!</v>
      </c>
      <c r="CC30" t="e">
        <f>#REF!+"vlM!z["</f>
        <v>#REF!</v>
      </c>
      <c r="CD30" t="e">
        <f>#REF!+"vlM!z\"</f>
        <v>#REF!</v>
      </c>
      <c r="CE30" t="e">
        <f>#REF!+"vlM!z]"</f>
        <v>#REF!</v>
      </c>
      <c r="CF30" t="e">
        <f>#REF!+"vlM!z^"</f>
        <v>#REF!</v>
      </c>
      <c r="CG30" t="e">
        <f>#REF!+"vlM!z_"</f>
        <v>#REF!</v>
      </c>
      <c r="CH30" s="1" t="e">
        <f>#REF!+"vlM!z`"</f>
        <v>#REF!</v>
      </c>
      <c r="CI30" t="e">
        <f>#REF!+"vlM!za"</f>
        <v>#REF!</v>
      </c>
      <c r="CJ30" t="e">
        <f>#REF!+"vlM!zb"</f>
        <v>#REF!</v>
      </c>
      <c r="CK30" t="e">
        <f>#REF!+"vlM!zc"</f>
        <v>#REF!</v>
      </c>
      <c r="CL30" t="e">
        <f>#REF!+"vlM!zd"</f>
        <v>#REF!</v>
      </c>
      <c r="CM30" t="e">
        <f>#REF!+"vlM!ze"</f>
        <v>#REF!</v>
      </c>
      <c r="CN30" t="e">
        <f>#REF!+"vlM!zf"</f>
        <v>#REF!</v>
      </c>
      <c r="CO30" t="e">
        <f>#REF!+"vlM!zg"</f>
        <v>#REF!</v>
      </c>
      <c r="CP30" t="e">
        <f>#REF!+"vlM!zh"</f>
        <v>#REF!</v>
      </c>
      <c r="CQ30" t="e">
        <f>#REF!+"vlM!zi"</f>
        <v>#REF!</v>
      </c>
      <c r="CR30" t="e">
        <f>#REF!+"vlM!zj"</f>
        <v>#REF!</v>
      </c>
      <c r="CS30" t="e">
        <f>#REF!+"vlM!zk"</f>
        <v>#REF!</v>
      </c>
      <c r="CT30" t="e">
        <f>#REF!+"vlM!zl"</f>
        <v>#REF!</v>
      </c>
      <c r="CU30" t="e">
        <f>#REF!+"vlM!zm"</f>
        <v>#REF!</v>
      </c>
      <c r="CV30" t="e">
        <f>#REF!+"vlM!zn"</f>
        <v>#REF!</v>
      </c>
      <c r="CW30" s="1" t="e">
        <f>#REF!+"vlM!zo"</f>
        <v>#REF!</v>
      </c>
      <c r="CX30" t="e">
        <f>#REF!+"vlM!zp"</f>
        <v>#REF!</v>
      </c>
      <c r="CY30" t="e">
        <f>#REF!+"vlM!zq"</f>
        <v>#REF!</v>
      </c>
      <c r="CZ30" t="e">
        <f>#REF!+"vlM!zr"</f>
        <v>#REF!</v>
      </c>
      <c r="DA30" t="e">
        <f>#REF!+"vlM!zs"</f>
        <v>#REF!</v>
      </c>
      <c r="DB30" t="e">
        <f>#REF!+"vlM!zt"</f>
        <v>#REF!</v>
      </c>
      <c r="DC30" t="e">
        <f>#REF!+"vlM!zu"</f>
        <v>#REF!</v>
      </c>
      <c r="DD30" t="e">
        <f>#REF!+"vlM!zv"</f>
        <v>#REF!</v>
      </c>
      <c r="DE30" t="e">
        <f>#REF!+"vlM!zw"</f>
        <v>#REF!</v>
      </c>
      <c r="DF30" t="e">
        <f>#REF!+"vlM!zx"</f>
        <v>#REF!</v>
      </c>
      <c r="DG30" t="e">
        <f>#REF!+"vlM!zy"</f>
        <v>#REF!</v>
      </c>
      <c r="DH30" t="e">
        <f>#REF!+"vlM!zz"</f>
        <v>#REF!</v>
      </c>
      <c r="DI30" t="e">
        <f>#REF!+"vlM!z{"</f>
        <v>#REF!</v>
      </c>
      <c r="DJ30" t="e">
        <f>#REF!+"vlM!z|"</f>
        <v>#REF!</v>
      </c>
      <c r="DK30" t="e">
        <f>#REF!+"vlM!z}"</f>
        <v>#REF!</v>
      </c>
      <c r="DL30" s="1" t="e">
        <f>#REF!+"vlM!z~"</f>
        <v>#REF!</v>
      </c>
      <c r="DM30" t="e">
        <f>#REF!+"vlM!{#"</f>
        <v>#REF!</v>
      </c>
      <c r="DN30" t="e">
        <f>#REF!+"vlM!{$"</f>
        <v>#REF!</v>
      </c>
      <c r="DO30" t="e">
        <f>#REF!+"vlM!{%"</f>
        <v>#REF!</v>
      </c>
      <c r="DP30" t="e">
        <f>#REF!+"vlM!{&amp;"</f>
        <v>#REF!</v>
      </c>
      <c r="DQ30" t="e">
        <f>#REF!+"vlM!{'"</f>
        <v>#REF!</v>
      </c>
      <c r="DR30" t="e">
        <f>#REF!+"vlM!{("</f>
        <v>#REF!</v>
      </c>
      <c r="DS30" t="e">
        <f>#REF!+"vlM!{)"</f>
        <v>#REF!</v>
      </c>
      <c r="DT30" t="e">
        <f>#REF!+"vlM!{."</f>
        <v>#REF!</v>
      </c>
      <c r="DU30" t="e">
        <f>#REF!+"vlM!{/"</f>
        <v>#REF!</v>
      </c>
      <c r="DV30" t="e">
        <f>#REF!+"vlM!{0"</f>
        <v>#REF!</v>
      </c>
      <c r="DW30" t="e">
        <f>#REF!+"vlM!{1"</f>
        <v>#REF!</v>
      </c>
      <c r="DX30" t="e">
        <f>#REF!+"vlM!{2"</f>
        <v>#REF!</v>
      </c>
      <c r="DY30" t="e">
        <f>#REF!+"vlM!{3"</f>
        <v>#REF!</v>
      </c>
      <c r="DZ30" t="e">
        <f>#REF!+"vlM!{4"</f>
        <v>#REF!</v>
      </c>
      <c r="EA30" s="1" t="e">
        <f>#REF!+"vlM!{5"</f>
        <v>#REF!</v>
      </c>
      <c r="EB30" t="e">
        <f>#REF!+"vlM!{6"</f>
        <v>#REF!</v>
      </c>
      <c r="EC30" t="e">
        <f>#REF!+"vlM!{7"</f>
        <v>#REF!</v>
      </c>
      <c r="ED30" t="e">
        <f>#REF!+"vlM!{8"</f>
        <v>#REF!</v>
      </c>
      <c r="EE30" t="e">
        <f>#REF!+"vlM!{9"</f>
        <v>#REF!</v>
      </c>
      <c r="EF30" t="e">
        <f>#REF!+"vlM!{:"</f>
        <v>#REF!</v>
      </c>
      <c r="EG30" t="e">
        <f>#REF!+"vlM!{;"</f>
        <v>#REF!</v>
      </c>
      <c r="EH30" t="e">
        <f>#REF!+"vlM!{&lt;"</f>
        <v>#REF!</v>
      </c>
      <c r="EI30" t="e">
        <f>#REF!+"vlM!{="</f>
        <v>#REF!</v>
      </c>
      <c r="EJ30" t="e">
        <f>#REF!+"vlM!{&gt;"</f>
        <v>#REF!</v>
      </c>
      <c r="EK30" t="e">
        <f>#REF!+"vlM!{?"</f>
        <v>#REF!</v>
      </c>
      <c r="EL30" t="e">
        <f>#REF!+"vlM!{@"</f>
        <v>#REF!</v>
      </c>
      <c r="EM30" t="e">
        <f>#REF!+"vlM!{A"</f>
        <v>#REF!</v>
      </c>
      <c r="EN30" t="e">
        <f>#REF!+"vlM!{B"</f>
        <v>#REF!</v>
      </c>
      <c r="EO30" t="e">
        <f>#REF!+"vlM!{C"</f>
        <v>#REF!</v>
      </c>
      <c r="EP30" s="1" t="e">
        <f>#REF!+"vlM!{D"</f>
        <v>#REF!</v>
      </c>
      <c r="EQ30" t="e">
        <f>#REF!+"vlM!{E"</f>
        <v>#REF!</v>
      </c>
      <c r="ER30" t="e">
        <f>#REF!+"vlM!{F"</f>
        <v>#REF!</v>
      </c>
      <c r="ES30" t="e">
        <f>#REF!+"vlM!{G"</f>
        <v>#REF!</v>
      </c>
      <c r="ET30" t="e">
        <f>#REF!+"vlM!{H"</f>
        <v>#REF!</v>
      </c>
      <c r="EU30" t="e">
        <f>#REF!+"vlM!{I"</f>
        <v>#REF!</v>
      </c>
      <c r="EV30" t="e">
        <f>#REF!+"vlM!{J"</f>
        <v>#REF!</v>
      </c>
      <c r="EW30" t="e">
        <f>#REF!+"vlM!{K"</f>
        <v>#REF!</v>
      </c>
      <c r="EX30" t="e">
        <f>#REF!+"vlM!{L"</f>
        <v>#REF!</v>
      </c>
      <c r="EY30" t="e">
        <f>#REF!+"vlM!{M"</f>
        <v>#REF!</v>
      </c>
      <c r="EZ30" t="e">
        <f>#REF!+"vlM!{N"</f>
        <v>#REF!</v>
      </c>
      <c r="FA30" t="e">
        <f>#REF!+"vlM!{O"</f>
        <v>#REF!</v>
      </c>
      <c r="FB30" t="e">
        <f>#REF!+"vlM!{P"</f>
        <v>#REF!</v>
      </c>
      <c r="FC30" t="e">
        <f>#REF!+"vlM!{Q"</f>
        <v>#REF!</v>
      </c>
      <c r="FD30" t="e">
        <f>#REF!+"vlM!{R"</f>
        <v>#REF!</v>
      </c>
      <c r="FE30" s="1" t="e">
        <f>#REF!+"vlM!{S"</f>
        <v>#REF!</v>
      </c>
      <c r="FF30" t="e">
        <f>#REF!+"vlM!{T"</f>
        <v>#REF!</v>
      </c>
      <c r="FG30" t="e">
        <f>#REF!+"vlM!{U"</f>
        <v>#REF!</v>
      </c>
      <c r="FH30" t="e">
        <f>#REF!+"vlM!{V"</f>
        <v>#REF!</v>
      </c>
      <c r="FI30" t="e">
        <f>#REF!+"vlM!{W"</f>
        <v>#REF!</v>
      </c>
      <c r="FJ30" t="e">
        <f>#REF!+"vlM!{X"</f>
        <v>#REF!</v>
      </c>
      <c r="FK30" t="e">
        <f>#REF!+"vlM!{Y"</f>
        <v>#REF!</v>
      </c>
      <c r="FL30" t="e">
        <f>#REF!+"vlM!{Z"</f>
        <v>#REF!</v>
      </c>
      <c r="FM30" t="e">
        <f>#REF!+"vlM!{["</f>
        <v>#REF!</v>
      </c>
      <c r="FN30" t="e">
        <f>#REF!+"vlM!{\"</f>
        <v>#REF!</v>
      </c>
      <c r="FO30" t="e">
        <f>#REF!+"vlM!{]"</f>
        <v>#REF!</v>
      </c>
      <c r="FP30" t="e">
        <f>#REF!+"vlM!{^"</f>
        <v>#REF!</v>
      </c>
      <c r="FQ30" t="e">
        <f>#REF!+"vlM!{_"</f>
        <v>#REF!</v>
      </c>
      <c r="FR30" t="e">
        <f>#REF!+"vlM!{`"</f>
        <v>#REF!</v>
      </c>
      <c r="FS30" t="e">
        <f>#REF!+"vlM!{a"</f>
        <v>#REF!</v>
      </c>
      <c r="FT30" s="1" t="e">
        <f>#REF!+"vlM!{b"</f>
        <v>#REF!</v>
      </c>
      <c r="FU30" t="e">
        <f>#REF!+"vlM!{c"</f>
        <v>#REF!</v>
      </c>
      <c r="FV30" t="e">
        <f>#REF!+"vlM!{d"</f>
        <v>#REF!</v>
      </c>
      <c r="FW30" t="e">
        <f>#REF!+"vlM!{e"</f>
        <v>#REF!</v>
      </c>
      <c r="FX30" t="e">
        <f>#REF!+"vlM!{f"</f>
        <v>#REF!</v>
      </c>
      <c r="FY30" t="e">
        <f>#REF!+"vlM!{g"</f>
        <v>#REF!</v>
      </c>
      <c r="FZ30" t="e">
        <f>#REF!+"vlM!{h"</f>
        <v>#REF!</v>
      </c>
      <c r="GA30" t="e">
        <f>#REF!+"vlM!{i"</f>
        <v>#REF!</v>
      </c>
      <c r="GB30" t="e">
        <f>#REF!+"vlM!{j"</f>
        <v>#REF!</v>
      </c>
      <c r="GC30" t="e">
        <f>#REF!+"vlM!{k"</f>
        <v>#REF!</v>
      </c>
      <c r="GD30" t="e">
        <f>#REF!+"vlM!{l"</f>
        <v>#REF!</v>
      </c>
      <c r="GE30" t="e">
        <f>#REF!+"vlM!{m"</f>
        <v>#REF!</v>
      </c>
      <c r="GF30" t="e">
        <f>#REF!+"vlM!{n"</f>
        <v>#REF!</v>
      </c>
      <c r="GG30" t="e">
        <f>#REF!+"vlM!{o"</f>
        <v>#REF!</v>
      </c>
      <c r="GH30" t="e">
        <f>#REF!+"vlM!{p"</f>
        <v>#REF!</v>
      </c>
      <c r="GI30" s="1" t="e">
        <f>#REF!+"vlM!{q"</f>
        <v>#REF!</v>
      </c>
      <c r="GJ30" t="e">
        <f>#REF!+"vlM!{r"</f>
        <v>#REF!</v>
      </c>
      <c r="GK30" t="e">
        <f>#REF!+"vlM!{s"</f>
        <v>#REF!</v>
      </c>
      <c r="GL30" t="e">
        <f>#REF!+"vlM!{t"</f>
        <v>#REF!</v>
      </c>
      <c r="GM30" t="e">
        <f>#REF!+"vlM!{u"</f>
        <v>#REF!</v>
      </c>
      <c r="GN30" t="e">
        <f>#REF!+"vlM!{v"</f>
        <v>#REF!</v>
      </c>
      <c r="GO30" t="e">
        <f>#REF!+"vlM!{w"</f>
        <v>#REF!</v>
      </c>
      <c r="GP30" t="e">
        <f>#REF!+"vlM!{x"</f>
        <v>#REF!</v>
      </c>
      <c r="GQ30" t="e">
        <f>#REF!+"vlM!{y"</f>
        <v>#REF!</v>
      </c>
      <c r="GR30" t="e">
        <f>#REF!+"vlM!{z"</f>
        <v>#REF!</v>
      </c>
      <c r="GS30" t="e">
        <f>#REF!+"vlM!{{"</f>
        <v>#REF!</v>
      </c>
      <c r="GT30" t="e">
        <f>#REF!+"vlM!{|"</f>
        <v>#REF!</v>
      </c>
      <c r="GU30" t="e">
        <f>#REF!+"vlM!{}"</f>
        <v>#REF!</v>
      </c>
      <c r="GV30" t="e">
        <f>#REF!+"vlM!{~"</f>
        <v>#REF!</v>
      </c>
      <c r="GW30" t="e">
        <f>#REF!+"vlM!|#"</f>
        <v>#REF!</v>
      </c>
      <c r="GX30" s="1" t="e">
        <f>#REF!+"vlM!|$"</f>
        <v>#REF!</v>
      </c>
      <c r="GY30" t="e">
        <f>#REF!+"vlM!|%"</f>
        <v>#REF!</v>
      </c>
      <c r="GZ30" t="e">
        <f>#REF!+"vlM!|&amp;"</f>
        <v>#REF!</v>
      </c>
      <c r="HA30" t="e">
        <f>#REF!+"vlM!|'"</f>
        <v>#REF!</v>
      </c>
      <c r="HB30" t="e">
        <f>#REF!+"vlM!|("</f>
        <v>#REF!</v>
      </c>
      <c r="HC30" t="e">
        <f>#REF!+"vlM!|)"</f>
        <v>#REF!</v>
      </c>
      <c r="HD30" t="e">
        <f>#REF!+"vlM!|."</f>
        <v>#REF!</v>
      </c>
      <c r="HE30" t="e">
        <f>#REF!+"vlM!|/"</f>
        <v>#REF!</v>
      </c>
      <c r="HF30" t="e">
        <f>#REF!+"vlM!|0"</f>
        <v>#REF!</v>
      </c>
      <c r="HG30" t="e">
        <f>#REF!+"vlM!|1"</f>
        <v>#REF!</v>
      </c>
      <c r="HH30" t="e">
        <f>#REF!+"vlM!|2"</f>
        <v>#REF!</v>
      </c>
      <c r="HI30" t="e">
        <f>#REF!+"vlM!|3"</f>
        <v>#REF!</v>
      </c>
      <c r="HJ30" t="e">
        <f>#REF!+"vlM!|4"</f>
        <v>#REF!</v>
      </c>
      <c r="HK30" t="e">
        <f>#REF!+"vlM!|5"</f>
        <v>#REF!</v>
      </c>
      <c r="HL30" t="e">
        <f>#REF!+"vlM!|6"</f>
        <v>#REF!</v>
      </c>
      <c r="HM30" s="1" t="e">
        <f>#REF!+"vlM!|7"</f>
        <v>#REF!</v>
      </c>
      <c r="HN30" t="e">
        <f>#REF!+"vlM!|8"</f>
        <v>#REF!</v>
      </c>
      <c r="HO30" t="e">
        <f>#REF!+"vlM!|9"</f>
        <v>#REF!</v>
      </c>
      <c r="HP30" t="e">
        <f>#REF!+"vlM!|:"</f>
        <v>#REF!</v>
      </c>
      <c r="HQ30" t="e">
        <f>#REF!+"vlM!|;"</f>
        <v>#REF!</v>
      </c>
      <c r="HR30" t="e">
        <f>#REF!+"vlM!|&lt;"</f>
        <v>#REF!</v>
      </c>
      <c r="HS30" t="e">
        <f>#REF!+"vlM!|="</f>
        <v>#REF!</v>
      </c>
      <c r="HT30" t="e">
        <f>#REF!+"vlM!|&gt;"</f>
        <v>#REF!</v>
      </c>
      <c r="HU30" t="e">
        <f>#REF!+"vlM!|?"</f>
        <v>#REF!</v>
      </c>
      <c r="HV30" t="e">
        <f>#REF!+"vlM!|@"</f>
        <v>#REF!</v>
      </c>
      <c r="HW30" t="e">
        <f>#REF!+"vlM!|A"</f>
        <v>#REF!</v>
      </c>
      <c r="HX30" t="e">
        <f>#REF!+"vlM!|B"</f>
        <v>#REF!</v>
      </c>
      <c r="HY30" t="e">
        <f>#REF!+"vlM!|C"</f>
        <v>#REF!</v>
      </c>
      <c r="HZ30" t="e">
        <f>#REF!+"vlM!|D"</f>
        <v>#REF!</v>
      </c>
      <c r="IA30" t="e">
        <f>#REF!+"vlM!|E"</f>
        <v>#REF!</v>
      </c>
      <c r="IB30" s="1" t="e">
        <f>#REF!+"vlM!|F"</f>
        <v>#REF!</v>
      </c>
      <c r="IC30" t="e">
        <f>#REF!+"vlM!|G"</f>
        <v>#REF!</v>
      </c>
      <c r="ID30" t="e">
        <f>#REF!+"vlM!|H"</f>
        <v>#REF!</v>
      </c>
      <c r="IE30" t="e">
        <f>#REF!+"vlM!|I"</f>
        <v>#REF!</v>
      </c>
      <c r="IF30" t="e">
        <f>#REF!+"vlM!|J"</f>
        <v>#REF!</v>
      </c>
      <c r="IG30" t="e">
        <f>#REF!+"vlM!|K"</f>
        <v>#REF!</v>
      </c>
      <c r="IH30" t="e">
        <f>#REF!+"vlM!|L"</f>
        <v>#REF!</v>
      </c>
      <c r="II30" t="e">
        <f>#REF!+"vlM!|M"</f>
        <v>#REF!</v>
      </c>
      <c r="IJ30" t="e">
        <f>#REF!+"vlM!|N"</f>
        <v>#REF!</v>
      </c>
      <c r="IK30" t="e">
        <f>#REF!+"vlM!|O"</f>
        <v>#REF!</v>
      </c>
      <c r="IL30" t="e">
        <f>#REF!+"vlM!|P"</f>
        <v>#REF!</v>
      </c>
      <c r="IM30" t="e">
        <f>#REF!+"vlM!|Q"</f>
        <v>#REF!</v>
      </c>
      <c r="IN30" t="e">
        <f>#REF!+"vlM!|R"</f>
        <v>#REF!</v>
      </c>
      <c r="IO30" t="e">
        <f>#REF!+"vlM!|S"</f>
        <v>#REF!</v>
      </c>
      <c r="IP30" t="e">
        <f>#REF!+"vlM!|T"</f>
        <v>#REF!</v>
      </c>
      <c r="IQ30" s="1" t="e">
        <f>#REF!+"vlM!|U"</f>
        <v>#REF!</v>
      </c>
      <c r="IR30" t="e">
        <f>#REF!+"vlM!|V"</f>
        <v>#REF!</v>
      </c>
      <c r="IS30" t="e">
        <f>#REF!+"vlM!|W"</f>
        <v>#REF!</v>
      </c>
      <c r="IT30" t="e">
        <f>#REF!+"vlM!|X"</f>
        <v>#REF!</v>
      </c>
      <c r="IU30" t="e">
        <f>#REF!+"vlM!|Y"</f>
        <v>#REF!</v>
      </c>
      <c r="IV30" t="e">
        <f>#REF!+"vlM!|Z"</f>
        <v>#REF!</v>
      </c>
    </row>
    <row r="31" spans="6:256" x14ac:dyDescent="0.25">
      <c r="F31" t="e">
        <f>#REF!+"vlM!|["</f>
        <v>#REF!</v>
      </c>
      <c r="G31" t="e">
        <f>#REF!+"vlM!|\"</f>
        <v>#REF!</v>
      </c>
      <c r="H31" t="e">
        <f>#REF!+"vlM!|]"</f>
        <v>#REF!</v>
      </c>
      <c r="I31" t="e">
        <f>#REF!+"vlM!|^"</f>
        <v>#REF!</v>
      </c>
      <c r="J31" t="e">
        <f>#REF!+"vlM!|_"</f>
        <v>#REF!</v>
      </c>
      <c r="K31" t="e">
        <f>#REF!+"vlM!|`"</f>
        <v>#REF!</v>
      </c>
      <c r="L31" t="e">
        <f>#REF!+"vlM!|a"</f>
        <v>#REF!</v>
      </c>
      <c r="M31" t="e">
        <f>#REF!+"vlM!|b"</f>
        <v>#REF!</v>
      </c>
      <c r="N31" t="e">
        <f>#REF!+"vlM!|c"</f>
        <v>#REF!</v>
      </c>
      <c r="O31" s="1" t="e">
        <f>#REF!+"vlM!|d"</f>
        <v>#REF!</v>
      </c>
      <c r="P31" t="e">
        <f>#REF!+"vlM!|e"</f>
        <v>#REF!</v>
      </c>
      <c r="Q31" t="e">
        <f>#REF!+"vlM!|f"</f>
        <v>#REF!</v>
      </c>
      <c r="R31" t="e">
        <f>#REF!+"vlM!|g"</f>
        <v>#REF!</v>
      </c>
      <c r="S31" t="e">
        <f>#REF!+"vlM!|h"</f>
        <v>#REF!</v>
      </c>
      <c r="T31" t="e">
        <f>#REF!+"vlM!|i"</f>
        <v>#REF!</v>
      </c>
      <c r="U31" t="e">
        <f>#REF!+"vlM!|j"</f>
        <v>#REF!</v>
      </c>
      <c r="V31" t="e">
        <f>#REF!+"vlM!|k"</f>
        <v>#REF!</v>
      </c>
      <c r="W31" t="e">
        <f>#REF!+"vlM!|l"</f>
        <v>#REF!</v>
      </c>
      <c r="X31" t="e">
        <f>#REF!+"vlM!|m"</f>
        <v>#REF!</v>
      </c>
      <c r="Y31" t="e">
        <f>#REF!+"vlM!|n"</f>
        <v>#REF!</v>
      </c>
      <c r="Z31" t="e">
        <f>#REF!+"vlM!|o"</f>
        <v>#REF!</v>
      </c>
      <c r="AA31" t="e">
        <f>#REF!+"vlM!|p"</f>
        <v>#REF!</v>
      </c>
      <c r="AB31" t="e">
        <f>#REF!+"vlM!|q"</f>
        <v>#REF!</v>
      </c>
      <c r="AC31" t="e">
        <f>#REF!+"vlM!|r"</f>
        <v>#REF!</v>
      </c>
      <c r="AD31" s="1" t="e">
        <f>#REF!+"vlM!|s"</f>
        <v>#REF!</v>
      </c>
      <c r="AE31" t="e">
        <f>#REF!+"vlM!|t"</f>
        <v>#REF!</v>
      </c>
      <c r="AF31" t="e">
        <f>#REF!+"vlM!|u"</f>
        <v>#REF!</v>
      </c>
      <c r="AG31" t="e">
        <f>#REF!+"vlM!|v"</f>
        <v>#REF!</v>
      </c>
      <c r="AH31" t="e">
        <f>#REF!+"vlM!|w"</f>
        <v>#REF!</v>
      </c>
      <c r="AI31" t="e">
        <f>#REF!+"vlM!|x"</f>
        <v>#REF!</v>
      </c>
      <c r="AJ31" t="e">
        <f>#REF!+"vlM!|y"</f>
        <v>#REF!</v>
      </c>
      <c r="AK31" t="e">
        <f>#REF!+"vlM!|z"</f>
        <v>#REF!</v>
      </c>
      <c r="AL31" t="e">
        <f>#REF!+"vlM!|{"</f>
        <v>#REF!</v>
      </c>
      <c r="AM31" t="e">
        <f>#REF!+"vlM!||"</f>
        <v>#REF!</v>
      </c>
      <c r="AN31" t="e">
        <f>#REF!+"vlM!|}"</f>
        <v>#REF!</v>
      </c>
      <c r="AO31" t="e">
        <f>#REF!+"vlM!|~"</f>
        <v>#REF!</v>
      </c>
      <c r="AP31" t="e">
        <f>#REF!+"vlM!}#"</f>
        <v>#REF!</v>
      </c>
      <c r="AQ31" t="e">
        <f>#REF!+"vlM!}$"</f>
        <v>#REF!</v>
      </c>
      <c r="AR31" t="e">
        <f>#REF!+"vlM!}%"</f>
        <v>#REF!</v>
      </c>
      <c r="AS31" s="1" t="e">
        <f>#REF!+"vlM!}&amp;"</f>
        <v>#REF!</v>
      </c>
      <c r="AT31" t="e">
        <f>#REF!+"vlM!}'"</f>
        <v>#REF!</v>
      </c>
      <c r="AU31" t="e">
        <f>#REF!+"vlM!}("</f>
        <v>#REF!</v>
      </c>
      <c r="AV31" t="e">
        <f>#REF!+"vlM!})"</f>
        <v>#REF!</v>
      </c>
      <c r="AW31" t="e">
        <f>#REF!+"vlM!}."</f>
        <v>#REF!</v>
      </c>
      <c r="AX31" t="e">
        <f>#REF!+"vlM!}/"</f>
        <v>#REF!</v>
      </c>
      <c r="AY31" t="e">
        <f>#REF!+"vlM!}0"</f>
        <v>#REF!</v>
      </c>
      <c r="AZ31" t="e">
        <f>#REF!+"vlM!}1"</f>
        <v>#REF!</v>
      </c>
      <c r="BA31" t="e">
        <f>#REF!+"vlM!}2"</f>
        <v>#REF!</v>
      </c>
      <c r="BB31" t="e">
        <f>#REF!+"vlM!}3"</f>
        <v>#REF!</v>
      </c>
      <c r="BC31" t="e">
        <f>#REF!+"vlM!}4"</f>
        <v>#REF!</v>
      </c>
      <c r="BD31" t="e">
        <f>#REF!+"vlM!}5"</f>
        <v>#REF!</v>
      </c>
      <c r="BE31" t="e">
        <f>#REF!+"vlM!}6"</f>
        <v>#REF!</v>
      </c>
      <c r="BF31" t="e">
        <f>#REF!+"vlM!}7"</f>
        <v>#REF!</v>
      </c>
      <c r="BG31" t="e">
        <f>#REF!+"vlM!}8"</f>
        <v>#REF!</v>
      </c>
      <c r="BH31" s="1" t="e">
        <f>#REF!+"vlM!}9"</f>
        <v>#REF!</v>
      </c>
      <c r="BI31" t="e">
        <f>#REF!+"vlM!}:"</f>
        <v>#REF!</v>
      </c>
      <c r="BJ31" t="e">
        <f>#REF!+"vlM!};"</f>
        <v>#REF!</v>
      </c>
      <c r="BK31" t="e">
        <f>#REF!+"vlM!}&lt;"</f>
        <v>#REF!</v>
      </c>
      <c r="BL31" t="e">
        <f>#REF!+"vlM!}="</f>
        <v>#REF!</v>
      </c>
      <c r="BM31" t="e">
        <f>#REF!+"vlM!}&gt;"</f>
        <v>#REF!</v>
      </c>
      <c r="BN31" t="e">
        <f>#REF!+"vlM!}?"</f>
        <v>#REF!</v>
      </c>
      <c r="BO31" t="e">
        <f>#REF!+"vlM!}@"</f>
        <v>#REF!</v>
      </c>
      <c r="BP31" t="e">
        <f>#REF!+"vlM!}A"</f>
        <v>#REF!</v>
      </c>
      <c r="BQ31" t="e">
        <f>#REF!+"vlM!}B"</f>
        <v>#REF!</v>
      </c>
      <c r="BR31" t="e">
        <f>#REF!+"vlM!}C"</f>
        <v>#REF!</v>
      </c>
      <c r="BS31" t="e">
        <f>#REF!+"vlM!}D"</f>
        <v>#REF!</v>
      </c>
      <c r="BT31" t="e">
        <f>#REF!+"vlM!}E"</f>
        <v>#REF!</v>
      </c>
      <c r="BU31" t="e">
        <f>#REF!+"vlM!}F"</f>
        <v>#REF!</v>
      </c>
      <c r="BV31" t="e">
        <f>#REF!+"vlM!}G"</f>
        <v>#REF!</v>
      </c>
      <c r="BW31" s="1" t="e">
        <f>#REF!+"vlM!}H"</f>
        <v>#REF!</v>
      </c>
      <c r="BX31" t="e">
        <f>#REF!+"vlM!}I"</f>
        <v>#REF!</v>
      </c>
      <c r="BY31" t="e">
        <f>#REF!+"vlM!}J"</f>
        <v>#REF!</v>
      </c>
      <c r="BZ31" t="e">
        <f>#REF!+"vlM!}K"</f>
        <v>#REF!</v>
      </c>
      <c r="CA31" t="e">
        <f>#REF!+"vlM!}L"</f>
        <v>#REF!</v>
      </c>
      <c r="CB31" t="e">
        <f>#REF!+"vlM!}M"</f>
        <v>#REF!</v>
      </c>
      <c r="CC31" t="e">
        <f>#REF!+"vlM!}N"</f>
        <v>#REF!</v>
      </c>
      <c r="CD31" t="e">
        <f>#REF!+"vlM!}O"</f>
        <v>#REF!</v>
      </c>
      <c r="CE31" t="e">
        <f>#REF!+"vlM!}P"</f>
        <v>#REF!</v>
      </c>
      <c r="CF31" t="e">
        <f>#REF!+"vlM!}Q"</f>
        <v>#REF!</v>
      </c>
      <c r="CG31" t="e">
        <f>#REF!+"vlM!}R"</f>
        <v>#REF!</v>
      </c>
      <c r="CH31" t="e">
        <f>#REF!+"vlM!}S"</f>
        <v>#REF!</v>
      </c>
      <c r="CI31" t="e">
        <f>#REF!+"vlM!}T"</f>
        <v>#REF!</v>
      </c>
      <c r="CJ31" t="e">
        <f>#REF!+"vlM!}U"</f>
        <v>#REF!</v>
      </c>
      <c r="CK31" t="e">
        <f>#REF!+"vlM!}V"</f>
        <v>#REF!</v>
      </c>
      <c r="CL31" s="1" t="e">
        <f>#REF!+"vlM!}W"</f>
        <v>#REF!</v>
      </c>
      <c r="CM31" t="e">
        <f>#REF!+"vlM!}X"</f>
        <v>#REF!</v>
      </c>
      <c r="CN31" t="e">
        <f>#REF!+"vlM!}Y"</f>
        <v>#REF!</v>
      </c>
      <c r="CO31" t="e">
        <f>#REF!+"vlM!}Z"</f>
        <v>#REF!</v>
      </c>
      <c r="CP31" t="e">
        <f>#REF!+"vlM!}["</f>
        <v>#REF!</v>
      </c>
      <c r="CQ31" t="e">
        <f>#REF!+"vlM!}\"</f>
        <v>#REF!</v>
      </c>
      <c r="CR31" t="e">
        <f>#REF!+"vlM!}]"</f>
        <v>#REF!</v>
      </c>
      <c r="CS31" t="e">
        <f>#REF!+"vlM!}^"</f>
        <v>#REF!</v>
      </c>
      <c r="CT31" t="e">
        <f>#REF!+"vlM!}_"</f>
        <v>#REF!</v>
      </c>
      <c r="CU31" t="e">
        <f>#REF!+"vlM!}`"</f>
        <v>#REF!</v>
      </c>
      <c r="CV31" t="e">
        <f>#REF!+"vlM!}a"</f>
        <v>#REF!</v>
      </c>
      <c r="CW31" t="e">
        <f>#REF!+"vlM!}b"</f>
        <v>#REF!</v>
      </c>
      <c r="CX31" t="e">
        <f>#REF!+"vlM!}c"</f>
        <v>#REF!</v>
      </c>
      <c r="CY31" t="e">
        <f>#REF!+"vlM!}d"</f>
        <v>#REF!</v>
      </c>
      <c r="CZ31" t="e">
        <f>#REF!+"vlM!}e"</f>
        <v>#REF!</v>
      </c>
      <c r="DA31" s="1" t="e">
        <f>#REF!+"vlM!}f"</f>
        <v>#REF!</v>
      </c>
      <c r="DB31" t="e">
        <f>#REF!+"vlM!}g"</f>
        <v>#REF!</v>
      </c>
      <c r="DC31" t="e">
        <f>#REF!+"vlM!}h"</f>
        <v>#REF!</v>
      </c>
      <c r="DD31" t="e">
        <f>#REF!+"vlM!}i"</f>
        <v>#REF!</v>
      </c>
      <c r="DE31" t="e">
        <f>#REF!+"vlM!}j"</f>
        <v>#REF!</v>
      </c>
      <c r="DF31" t="e">
        <f>#REF!+"vlM!}k"</f>
        <v>#REF!</v>
      </c>
      <c r="DG31" t="e">
        <f>#REF!+"vlM!}l"</f>
        <v>#REF!</v>
      </c>
      <c r="DH31" t="e">
        <f>#REF!+"vlM!}m"</f>
        <v>#REF!</v>
      </c>
      <c r="DI31" t="e">
        <f>#REF!+"vlM!}n"</f>
        <v>#REF!</v>
      </c>
      <c r="DJ31" t="e">
        <f>#REF!+"vlM!}o"</f>
        <v>#REF!</v>
      </c>
      <c r="DK31" t="e">
        <f>#REF!+"vlM!}p"</f>
        <v>#REF!</v>
      </c>
      <c r="DL31" t="e">
        <f>#REF!+"vlM!}q"</f>
        <v>#REF!</v>
      </c>
      <c r="DM31" t="e">
        <f>#REF!+"vlM!}r"</f>
        <v>#REF!</v>
      </c>
      <c r="DN31" t="e">
        <f>#REF!+"vlM!}s"</f>
        <v>#REF!</v>
      </c>
      <c r="DO31" t="e">
        <f>#REF!+"vlM!}t"</f>
        <v>#REF!</v>
      </c>
      <c r="DP31" s="1" t="e">
        <f>#REF!+"vlM!}u"</f>
        <v>#REF!</v>
      </c>
      <c r="DQ31" t="e">
        <f>#REF!+"vlM!}v"</f>
        <v>#REF!</v>
      </c>
      <c r="DR31" t="e">
        <f>#REF!+"vlM!}w"</f>
        <v>#REF!</v>
      </c>
      <c r="DS31" t="e">
        <f>#REF!+"vlM!}x"</f>
        <v>#REF!</v>
      </c>
      <c r="DT31" t="e">
        <f>#REF!+"vlM!}y"</f>
        <v>#REF!</v>
      </c>
      <c r="DU31" t="e">
        <f>#REF!+"vlM!}z"</f>
        <v>#REF!</v>
      </c>
      <c r="DV31" t="e">
        <f>#REF!+"vlM!}{"</f>
        <v>#REF!</v>
      </c>
      <c r="DW31" t="e">
        <f>#REF!+"vlM!}|"</f>
        <v>#REF!</v>
      </c>
      <c r="DX31" t="e">
        <f>#REF!+"vlM!}}"</f>
        <v>#REF!</v>
      </c>
      <c r="DY31" t="e">
        <f>#REF!+"vlM!}~"</f>
        <v>#REF!</v>
      </c>
      <c r="DZ31" t="e">
        <f>#REF!+"vlM!~#"</f>
        <v>#REF!</v>
      </c>
      <c r="EA31" t="e">
        <f>#REF!+"vlM!~$"</f>
        <v>#REF!</v>
      </c>
      <c r="EB31" t="e">
        <f>#REF!+"vlM!~%"</f>
        <v>#REF!</v>
      </c>
      <c r="EC31" t="e">
        <f>#REF!+"vlM!~&amp;"</f>
        <v>#REF!</v>
      </c>
      <c r="ED31" t="e">
        <f>#REF!+"vlM!~'"</f>
        <v>#REF!</v>
      </c>
      <c r="EE31" s="1" t="e">
        <f>#REF!+"vlM!~("</f>
        <v>#REF!</v>
      </c>
      <c r="EF31" t="e">
        <f>#REF!+"vlM!~)"</f>
        <v>#REF!</v>
      </c>
      <c r="EG31" t="e">
        <f>#REF!+"vlM!~."</f>
        <v>#REF!</v>
      </c>
      <c r="EH31" t="e">
        <f>#REF!+"vlM!~/"</f>
        <v>#REF!</v>
      </c>
      <c r="EI31" t="e">
        <f>#REF!+"vlM!~0"</f>
        <v>#REF!</v>
      </c>
      <c r="EJ31" t="e">
        <f>#REF!+"vlM!~1"</f>
        <v>#REF!</v>
      </c>
      <c r="EK31" t="e">
        <f>#REF!+"vlM!~2"</f>
        <v>#REF!</v>
      </c>
      <c r="EL31" t="e">
        <f>#REF!+"vlM!~3"</f>
        <v>#REF!</v>
      </c>
      <c r="EM31" t="e">
        <f>#REF!+"vlM!~4"</f>
        <v>#REF!</v>
      </c>
      <c r="EN31" t="e">
        <f>#REF!+"vlM!~5"</f>
        <v>#REF!</v>
      </c>
      <c r="EO31" t="e">
        <f>#REF!+"vlM!~6"</f>
        <v>#REF!</v>
      </c>
      <c r="EP31" t="e">
        <f>#REF!+"vlM!~7"</f>
        <v>#REF!</v>
      </c>
      <c r="EQ31" t="e">
        <f>#REF!+"vlM!~8"</f>
        <v>#REF!</v>
      </c>
      <c r="ER31" t="e">
        <f>#REF!+"vlM!~9"</f>
        <v>#REF!</v>
      </c>
      <c r="ES31" t="e">
        <f>#REF!+"vlM!~:"</f>
        <v>#REF!</v>
      </c>
      <c r="ET31" s="1" t="e">
        <f>#REF!+"vlM!~;"</f>
        <v>#REF!</v>
      </c>
      <c r="EU31" t="e">
        <f>#REF!+"vlM!~&lt;"</f>
        <v>#REF!</v>
      </c>
      <c r="EV31" t="e">
        <f>#REF!+"vlM!~="</f>
        <v>#REF!</v>
      </c>
      <c r="EW31" t="e">
        <f>#REF!+"vlM!~&gt;"</f>
        <v>#REF!</v>
      </c>
      <c r="EX31" t="e">
        <f>#REF!+"vlM!~?"</f>
        <v>#REF!</v>
      </c>
      <c r="EY31" t="e">
        <f>#REF!+"vlM!~@"</f>
        <v>#REF!</v>
      </c>
      <c r="EZ31" t="e">
        <f>#REF!+"vlM!~A"</f>
        <v>#REF!</v>
      </c>
      <c r="FA31" t="e">
        <f>#REF!+"vlM!~B"</f>
        <v>#REF!</v>
      </c>
      <c r="FB31" t="e">
        <f>#REF!+"vlM!~C"</f>
        <v>#REF!</v>
      </c>
      <c r="FC31" t="e">
        <f>#REF!+"vlM!~D"</f>
        <v>#REF!</v>
      </c>
      <c r="FD31" t="e">
        <f>#REF!+"vlM!~E"</f>
        <v>#REF!</v>
      </c>
      <c r="FE31" t="e">
        <f>#REF!+"vlM!~F"</f>
        <v>#REF!</v>
      </c>
      <c r="FF31" t="e">
        <f>#REF!+"vlM!~G"</f>
        <v>#REF!</v>
      </c>
      <c r="FG31" t="e">
        <f>#REF!+"vlM!~H"</f>
        <v>#REF!</v>
      </c>
      <c r="FH31" t="e">
        <f>#REF!+"vlM!~I"</f>
        <v>#REF!</v>
      </c>
      <c r="FI31" s="1" t="e">
        <f>#REF!+"vlM!~J"</f>
        <v>#REF!</v>
      </c>
      <c r="FJ31" t="e">
        <f>#REF!+"vlM!~K"</f>
        <v>#REF!</v>
      </c>
      <c r="FK31" t="e">
        <f>#REF!+"vlM!~L"</f>
        <v>#REF!</v>
      </c>
      <c r="FL31" t="e">
        <f>#REF!+"vlM!~M"</f>
        <v>#REF!</v>
      </c>
      <c r="FM31" t="e">
        <f>#REF!+"vlM!~N"</f>
        <v>#REF!</v>
      </c>
      <c r="FN31" t="e">
        <f>#REF!+"vlM!~O"</f>
        <v>#REF!</v>
      </c>
      <c r="FO31" t="e">
        <f>#REF!+"vlM!~P"</f>
        <v>#REF!</v>
      </c>
      <c r="FP31" t="e">
        <f>#REF!+"vlM!~Q"</f>
        <v>#REF!</v>
      </c>
      <c r="FQ31" t="e">
        <f>#REF!+"vlM!~R"</f>
        <v>#REF!</v>
      </c>
      <c r="FR31" t="e">
        <f>#REF!+"vlM!~S"</f>
        <v>#REF!</v>
      </c>
      <c r="FS31" t="e">
        <f>#REF!+"vlM!~T"</f>
        <v>#REF!</v>
      </c>
      <c r="FT31" t="e">
        <f>#REF!+"vlM!~U"</f>
        <v>#REF!</v>
      </c>
      <c r="FU31" t="e">
        <f>#REF!+"vlM!~V"</f>
        <v>#REF!</v>
      </c>
      <c r="FV31" t="e">
        <f>#REF!+"vlM!~W"</f>
        <v>#REF!</v>
      </c>
      <c r="FW31" t="e">
        <f>#REF!+"vlM!~X"</f>
        <v>#REF!</v>
      </c>
      <c r="FX31" s="1" t="e">
        <f>#REF!+"vlM!~Y"</f>
        <v>#REF!</v>
      </c>
      <c r="FY31" t="e">
        <f>#REF!+"vlM!~Z"</f>
        <v>#REF!</v>
      </c>
      <c r="FZ31" t="e">
        <f>#REF!+"vlM!~["</f>
        <v>#REF!</v>
      </c>
      <c r="GA31" t="e">
        <f>#REF!+"vlM!~\"</f>
        <v>#REF!</v>
      </c>
      <c r="GB31" t="e">
        <f>#REF!+"vlM!~]"</f>
        <v>#REF!</v>
      </c>
      <c r="GC31" t="e">
        <f>#REF!+"vlM!~^"</f>
        <v>#REF!</v>
      </c>
      <c r="GD31" t="e">
        <f>#REF!+"vlM!~_"</f>
        <v>#REF!</v>
      </c>
      <c r="GE31" t="e">
        <f>#REF!+"vlM!~`"</f>
        <v>#REF!</v>
      </c>
      <c r="GF31" t="e">
        <f>#REF!+"vlM!~a"</f>
        <v>#REF!</v>
      </c>
      <c r="GG31" t="e">
        <f>#REF!+"vlM!~b"</f>
        <v>#REF!</v>
      </c>
      <c r="GH31" t="e">
        <f>#REF!+"vlM!~c"</f>
        <v>#REF!</v>
      </c>
      <c r="GI31" t="e">
        <f>#REF!+"vlM!~d"</f>
        <v>#REF!</v>
      </c>
      <c r="GJ31" t="e">
        <f>#REF!+"vlM!~e"</f>
        <v>#REF!</v>
      </c>
      <c r="GK31" t="e">
        <f>#REF!+"vlM!~f"</f>
        <v>#REF!</v>
      </c>
      <c r="GL31" t="e">
        <f>#REF!+"vlM!~g"</f>
        <v>#REF!</v>
      </c>
      <c r="GM31" s="1" t="e">
        <f>#REF!+"vlM!~h"</f>
        <v>#REF!</v>
      </c>
      <c r="GN31" t="e">
        <f>#REF!+"vlM!~i"</f>
        <v>#REF!</v>
      </c>
      <c r="GO31" t="e">
        <f>#REF!+"vlM!~j"</f>
        <v>#REF!</v>
      </c>
      <c r="GP31" t="e">
        <f>#REF!+"vlM!~k"</f>
        <v>#REF!</v>
      </c>
      <c r="GQ31" t="e">
        <f>#REF!+"vlM!~l"</f>
        <v>#REF!</v>
      </c>
      <c r="GR31" t="e">
        <f>#REF!+"vlM!~m"</f>
        <v>#REF!</v>
      </c>
      <c r="GS31" t="e">
        <f>#REF!+"vlM!~n"</f>
        <v>#REF!</v>
      </c>
      <c r="GT31" t="e">
        <f>#REF!+"vlM!~o"</f>
        <v>#REF!</v>
      </c>
      <c r="GU31" t="e">
        <f>#REF!+"vlM!~p"</f>
        <v>#REF!</v>
      </c>
      <c r="GV31" t="e">
        <f>#REF!+"vlM!~q"</f>
        <v>#REF!</v>
      </c>
      <c r="GW31" t="e">
        <f>#REF!+"vlM!~r"</f>
        <v>#REF!</v>
      </c>
      <c r="GX31" t="e">
        <f>#REF!+"vlM!~s"</f>
        <v>#REF!</v>
      </c>
      <c r="GY31" t="e">
        <f>#REF!+"vlM!~t"</f>
        <v>#REF!</v>
      </c>
      <c r="GZ31" t="e">
        <f>#REF!+"vlM!~u"</f>
        <v>#REF!</v>
      </c>
      <c r="HA31" t="e">
        <f>#REF!+"vlM!~v"</f>
        <v>#REF!</v>
      </c>
      <c r="HB31" s="1" t="e">
        <f>#REF!+"vlM!~w"</f>
        <v>#REF!</v>
      </c>
      <c r="HC31" t="e">
        <f>#REF!+"vlM!~x"</f>
        <v>#REF!</v>
      </c>
      <c r="HD31" t="e">
        <f>#REF!+"vlM!~y"</f>
        <v>#REF!</v>
      </c>
      <c r="HE31" t="e">
        <f>#REF!+"vlM!~z"</f>
        <v>#REF!</v>
      </c>
      <c r="HF31" t="e">
        <f>#REF!+"vlM!~{"</f>
        <v>#REF!</v>
      </c>
      <c r="HG31" t="e">
        <f>#REF!+"vlM!~|"</f>
        <v>#REF!</v>
      </c>
      <c r="HH31" t="e">
        <f>#REF!+"vlM!~}"</f>
        <v>#REF!</v>
      </c>
      <c r="HI31" t="e">
        <f>#REF!+"vlM!~~"</f>
        <v>#REF!</v>
      </c>
      <c r="HJ31" t="e">
        <f>#REF!+"vlM!$##"</f>
        <v>#REF!</v>
      </c>
      <c r="HK31" t="e">
        <f>#REF!+"vlM!$#$"</f>
        <v>#REF!</v>
      </c>
      <c r="HL31" t="e">
        <f>#REF!+"vlM!$#%"</f>
        <v>#REF!</v>
      </c>
      <c r="HM31" t="e">
        <f>#REF!+"vlM!$#&amp;"</f>
        <v>#REF!</v>
      </c>
      <c r="HN31" t="e">
        <f>#REF!+"vlM!$#'"</f>
        <v>#REF!</v>
      </c>
      <c r="HO31" t="e">
        <f>#REF!+"vlM!$#("</f>
        <v>#REF!</v>
      </c>
      <c r="HP31" t="e">
        <f>#REF!+"vlM!$#)"</f>
        <v>#REF!</v>
      </c>
      <c r="HQ31" s="1" t="e">
        <f>#REF!+"vlM!$#."</f>
        <v>#REF!</v>
      </c>
      <c r="HR31" t="e">
        <f>#REF!+"vlM!$#/"</f>
        <v>#REF!</v>
      </c>
      <c r="HS31" t="e">
        <f>#REF!+"vlM!$#0"</f>
        <v>#REF!</v>
      </c>
      <c r="HT31" t="e">
        <f>#REF!+"vlM!$#1"</f>
        <v>#REF!</v>
      </c>
      <c r="HU31" t="e">
        <f>#REF!+"vlM!$#2"</f>
        <v>#REF!</v>
      </c>
      <c r="HV31" t="e">
        <f>#REF!+"vlM!$#3"</f>
        <v>#REF!</v>
      </c>
      <c r="HW31" t="e">
        <f>#REF!+"vlM!$#4"</f>
        <v>#REF!</v>
      </c>
      <c r="HX31" t="e">
        <f>#REF!+"vlM!$#5"</f>
        <v>#REF!</v>
      </c>
      <c r="HY31" t="e">
        <f>#REF!+"vlM!$#6"</f>
        <v>#REF!</v>
      </c>
      <c r="HZ31" t="e">
        <f>#REF!+"vlM!$#7"</f>
        <v>#REF!</v>
      </c>
      <c r="IA31" t="e">
        <f>#REF!+"vlM!$#8"</f>
        <v>#REF!</v>
      </c>
      <c r="IB31" t="e">
        <f>#REF!+"vlM!$#9"</f>
        <v>#REF!</v>
      </c>
      <c r="IC31" t="e">
        <f>#REF!+"vlM!$#:"</f>
        <v>#REF!</v>
      </c>
      <c r="ID31" t="e">
        <f>#REF!+"vlM!$#;"</f>
        <v>#REF!</v>
      </c>
      <c r="IE31" t="e">
        <f>#REF!+"vlM!$#&lt;"</f>
        <v>#REF!</v>
      </c>
      <c r="IF31" s="1" t="e">
        <f>#REF!+"vlM!$#="</f>
        <v>#REF!</v>
      </c>
      <c r="IG31" t="e">
        <f>#REF!+"vlM!$#&gt;"</f>
        <v>#REF!</v>
      </c>
      <c r="IH31" t="e">
        <f>#REF!+"vlM!$#?"</f>
        <v>#REF!</v>
      </c>
      <c r="II31" t="e">
        <f>#REF!+"vlM!$#@"</f>
        <v>#REF!</v>
      </c>
      <c r="IJ31" t="e">
        <f>#REF!+"vlM!$#A"</f>
        <v>#REF!</v>
      </c>
      <c r="IK31" t="e">
        <f>#REF!+"vlM!$#B"</f>
        <v>#REF!</v>
      </c>
      <c r="IL31" t="e">
        <f>#REF!+"vlM!$#C"</f>
        <v>#REF!</v>
      </c>
      <c r="IM31" t="e">
        <f>#REF!+"vlM!$#D"</f>
        <v>#REF!</v>
      </c>
      <c r="IN31" t="e">
        <f>#REF!+"vlM!$#E"</f>
        <v>#REF!</v>
      </c>
      <c r="IO31" t="e">
        <f>#REF!+"vlM!$#F"</f>
        <v>#REF!</v>
      </c>
      <c r="IP31" t="e">
        <f>#REF!+"vlM!$#G"</f>
        <v>#REF!</v>
      </c>
      <c r="IQ31" t="e">
        <f>#REF!+"vlM!$#H"</f>
        <v>#REF!</v>
      </c>
      <c r="IR31" t="e">
        <f>#REF!+"vlM!$#I"</f>
        <v>#REF!</v>
      </c>
      <c r="IS31" t="e">
        <f>#REF!+"vlM!$#J"</f>
        <v>#REF!</v>
      </c>
      <c r="IT31" t="e">
        <f>#REF!+"vlM!$#K"</f>
        <v>#REF!</v>
      </c>
      <c r="IU31" s="1" t="e">
        <f>#REF!+"vlM!$#L"</f>
        <v>#REF!</v>
      </c>
      <c r="IV31" t="e">
        <f>#REF!+"vlM!$#M"</f>
        <v>#REF!</v>
      </c>
    </row>
    <row r="32" spans="6:256" x14ac:dyDescent="0.25">
      <c r="F32" t="e">
        <f>#REF!+"vlM!$#N"</f>
        <v>#REF!</v>
      </c>
      <c r="G32" t="e">
        <f>#REF!+"vlM!$#O"</f>
        <v>#REF!</v>
      </c>
      <c r="H32" t="e">
        <f>#REF!+"vlM!$#P"</f>
        <v>#REF!</v>
      </c>
      <c r="I32" t="e">
        <f>#REF!+"vlM!$#Q"</f>
        <v>#REF!</v>
      </c>
      <c r="J32" t="e">
        <f>#REF!+"vlM!$#R"</f>
        <v>#REF!</v>
      </c>
      <c r="K32" t="e">
        <f>#REF!+"vlM!$#S"</f>
        <v>#REF!</v>
      </c>
      <c r="L32" t="e">
        <f>#REF!+"vlM!$#T"</f>
        <v>#REF!</v>
      </c>
      <c r="M32" t="e">
        <f>#REF!+"vlM!$#U"</f>
        <v>#REF!</v>
      </c>
      <c r="N32" t="e">
        <f>#REF!+"vlM!$#V"</f>
        <v>#REF!</v>
      </c>
      <c r="O32" t="e">
        <f>#REF!+"vlM!$#W"</f>
        <v>#REF!</v>
      </c>
      <c r="P32" t="e">
        <f>#REF!+"vlM!$#X"</f>
        <v>#REF!</v>
      </c>
      <c r="Q32" t="e">
        <f>#REF!+"vlM!$#Y"</f>
        <v>#REF!</v>
      </c>
      <c r="R32" t="e">
        <f>#REF!+"vlM!$#Z"</f>
        <v>#REF!</v>
      </c>
      <c r="S32" s="1" t="e">
        <f>#REF!+"vlM!$#["</f>
        <v>#REF!</v>
      </c>
      <c r="T32" t="e">
        <f>#REF!+"vlM!$#\"</f>
        <v>#REF!</v>
      </c>
      <c r="U32" t="e">
        <f>#REF!+"vlM!$#]"</f>
        <v>#REF!</v>
      </c>
      <c r="V32" t="e">
        <f>#REF!+"vlM!$#^"</f>
        <v>#REF!</v>
      </c>
      <c r="W32" t="e">
        <f>#REF!+"vlM!$#_"</f>
        <v>#REF!</v>
      </c>
      <c r="X32" t="e">
        <f>#REF!+"vlM!$#`"</f>
        <v>#REF!</v>
      </c>
      <c r="Y32" t="e">
        <f>#REF!+"vlM!$#a"</f>
        <v>#REF!</v>
      </c>
      <c r="Z32" t="e">
        <f>#REF!+"vlM!$#b"</f>
        <v>#REF!</v>
      </c>
      <c r="AA32" t="e">
        <f>#REF!+"vlM!$#c"</f>
        <v>#REF!</v>
      </c>
      <c r="AB32" t="e">
        <f>#REF!+"vlM!$#d"</f>
        <v>#REF!</v>
      </c>
      <c r="AC32" t="e">
        <f>#REF!+"vlM!$#e"</f>
        <v>#REF!</v>
      </c>
      <c r="AD32" t="e">
        <f>#REF!+"vlM!$#f"</f>
        <v>#REF!</v>
      </c>
      <c r="AE32" t="e">
        <f>#REF!+"vlM!$#g"</f>
        <v>#REF!</v>
      </c>
      <c r="AF32" t="e">
        <f>#REF!+"vlM!$#h"</f>
        <v>#REF!</v>
      </c>
      <c r="AG32" t="e">
        <f>#REF!+"vlM!$#i"</f>
        <v>#REF!</v>
      </c>
      <c r="AH32" s="1" t="e">
        <f>#REF!+"vlM!$#j"</f>
        <v>#REF!</v>
      </c>
      <c r="AI32" t="e">
        <f>#REF!+"vlM!$#k"</f>
        <v>#REF!</v>
      </c>
      <c r="AJ32" t="e">
        <f>#REF!+"vlM!$#l"</f>
        <v>#REF!</v>
      </c>
      <c r="AK32" t="e">
        <f>#REF!+"vlM!$#m"</f>
        <v>#REF!</v>
      </c>
      <c r="AL32" t="e">
        <f>#REF!+"vlM!$#n"</f>
        <v>#REF!</v>
      </c>
      <c r="AM32" t="e">
        <f>#REF!+"vlM!$#o"</f>
        <v>#REF!</v>
      </c>
      <c r="AN32" t="e">
        <f>#REF!+"vlM!$#p"</f>
        <v>#REF!</v>
      </c>
      <c r="AO32" t="e">
        <f>#REF!+"vlM!$#q"</f>
        <v>#REF!</v>
      </c>
      <c r="AP32" t="e">
        <f>#REF!+"vlM!$#r"</f>
        <v>#REF!</v>
      </c>
      <c r="AQ32" t="e">
        <f>#REF!+"vlM!$#s"</f>
        <v>#REF!</v>
      </c>
      <c r="AR32" t="e">
        <f>#REF!+"vlM!$#t"</f>
        <v>#REF!</v>
      </c>
      <c r="AS32" t="e">
        <f>#REF!+"vlM!$#u"</f>
        <v>#REF!</v>
      </c>
      <c r="AT32" t="e">
        <f>#REF!+"vlM!$#v"</f>
        <v>#REF!</v>
      </c>
      <c r="AU32" t="e">
        <f>#REF!+"vlM!$#w"</f>
        <v>#REF!</v>
      </c>
      <c r="AV32" t="e">
        <f>#REF!+"vlM!$#x"</f>
        <v>#REF!</v>
      </c>
      <c r="AW32" s="1" t="e">
        <f>#REF!+"vlM!$#y"</f>
        <v>#REF!</v>
      </c>
      <c r="AX32" t="e">
        <f>#REF!+"vlM!$#z"</f>
        <v>#REF!</v>
      </c>
      <c r="AY32" t="e">
        <f>#REF!+"vlM!$#{"</f>
        <v>#REF!</v>
      </c>
      <c r="AZ32" t="e">
        <f>#REF!+"vlM!$#|"</f>
        <v>#REF!</v>
      </c>
      <c r="BA32" t="e">
        <f>#REF!+"vlM!$#}"</f>
        <v>#REF!</v>
      </c>
      <c r="BB32" t="e">
        <f>#REF!+"vlM!$#~"</f>
        <v>#REF!</v>
      </c>
      <c r="BC32" t="e">
        <f>#REF!+"vlM!$$#"</f>
        <v>#REF!</v>
      </c>
      <c r="BD32" t="e">
        <f>#REF!+"vlM!$$$"</f>
        <v>#REF!</v>
      </c>
      <c r="BE32" t="e">
        <f>#REF!+"vlM!$$%"</f>
        <v>#REF!</v>
      </c>
      <c r="BF32" t="e">
        <f>#REF!+"vlM!$$&amp;"</f>
        <v>#REF!</v>
      </c>
      <c r="BG32" t="e">
        <f>#REF!+"vlM!$$'"</f>
        <v>#REF!</v>
      </c>
      <c r="BH32" t="e">
        <f>#REF!+"vlM!$$("</f>
        <v>#REF!</v>
      </c>
      <c r="BI32" t="e">
        <f>#REF!+"vlM!$$)"</f>
        <v>#REF!</v>
      </c>
      <c r="BJ32" t="e">
        <f>#REF!+"vlM!$$."</f>
        <v>#REF!</v>
      </c>
      <c r="BK32" t="e">
        <f>#REF!+"vlM!$$/"</f>
        <v>#REF!</v>
      </c>
      <c r="BL32" s="1" t="e">
        <f>#REF!+"vlM!$$0"</f>
        <v>#REF!</v>
      </c>
      <c r="BM32" t="e">
        <f>#REF!+"vlM!$$1"</f>
        <v>#REF!</v>
      </c>
      <c r="BN32" t="e">
        <f>#REF!+"vlM!$$2"</f>
        <v>#REF!</v>
      </c>
      <c r="BO32" t="e">
        <f>#REF!+"vlM!$$3"</f>
        <v>#REF!</v>
      </c>
      <c r="BP32" t="e">
        <f>#REF!+"vlM!$$4"</f>
        <v>#REF!</v>
      </c>
      <c r="BQ32" t="e">
        <f>#REF!+"vlM!$$5"</f>
        <v>#REF!</v>
      </c>
      <c r="BR32" t="e">
        <f>#REF!+"vlM!$$6"</f>
        <v>#REF!</v>
      </c>
      <c r="BS32" t="e">
        <f>#REF!+"vlM!$$7"</f>
        <v>#REF!</v>
      </c>
      <c r="BT32" t="e">
        <f>#REF!+"vlM!$$8"</f>
        <v>#REF!</v>
      </c>
      <c r="BU32" t="e">
        <f>#REF!+"vlM!$$9"</f>
        <v>#REF!</v>
      </c>
      <c r="BV32" t="e">
        <f>#REF!+"vlM!$$:"</f>
        <v>#REF!</v>
      </c>
      <c r="BW32" t="e">
        <f>#REF!+"vlM!$$;"</f>
        <v>#REF!</v>
      </c>
      <c r="BX32" t="e">
        <f>#REF!+"vlM!$$&lt;"</f>
        <v>#REF!</v>
      </c>
      <c r="BY32" t="e">
        <f>#REF!+"vlM!$$="</f>
        <v>#REF!</v>
      </c>
      <c r="BZ32" t="e">
        <f>#REF!+"vlM!$$&gt;"</f>
        <v>#REF!</v>
      </c>
      <c r="CA32" s="1" t="e">
        <f>#REF!+"vlM!$$?"</f>
        <v>#REF!</v>
      </c>
      <c r="CB32" t="e">
        <f>#REF!+"vlM!$$@"</f>
        <v>#REF!</v>
      </c>
      <c r="CC32" t="e">
        <f>#REF!+"vlM!$$A"</f>
        <v>#REF!</v>
      </c>
      <c r="CD32" t="e">
        <f>#REF!+"vlM!$$B"</f>
        <v>#REF!</v>
      </c>
      <c r="CE32" t="e">
        <f>#REF!+"vlM!$$C"</f>
        <v>#REF!</v>
      </c>
      <c r="CF32" t="e">
        <f>#REF!+"vlM!$$D"</f>
        <v>#REF!</v>
      </c>
      <c r="CG32" t="e">
        <f>#REF!+"vlM!$$E"</f>
        <v>#REF!</v>
      </c>
      <c r="CH32" t="e">
        <f>#REF!+"vlM!$$F"</f>
        <v>#REF!</v>
      </c>
      <c r="CI32" t="e">
        <f>#REF!+"vlM!$$G"</f>
        <v>#REF!</v>
      </c>
      <c r="CJ32" t="e">
        <f>#REF!+"vlM!$$H"</f>
        <v>#REF!</v>
      </c>
      <c r="CK32" t="e">
        <f>#REF!+"vlM!$$I"</f>
        <v>#REF!</v>
      </c>
      <c r="CL32" t="e">
        <f>#REF!+"vlM!$$J"</f>
        <v>#REF!</v>
      </c>
      <c r="CM32" t="e">
        <f>#REF!+"vlM!$$K"</f>
        <v>#REF!</v>
      </c>
      <c r="CN32" t="e">
        <f>#REF!+"vlM!$$L"</f>
        <v>#REF!</v>
      </c>
      <c r="CO32" t="e">
        <f>#REF!+"vlM!$$M"</f>
        <v>#REF!</v>
      </c>
      <c r="CP32" s="1" t="e">
        <f>#REF!+"vlM!$$N"</f>
        <v>#REF!</v>
      </c>
      <c r="CQ32" t="e">
        <f>#REF!+"vlM!$$O"</f>
        <v>#REF!</v>
      </c>
      <c r="CR32" t="e">
        <f>#REF!+"vlM!$$P"</f>
        <v>#REF!</v>
      </c>
      <c r="CS32" t="e">
        <f>#REF!+"vlM!$$Q"</f>
        <v>#REF!</v>
      </c>
      <c r="CT32" t="e">
        <f>#REF!+"vlM!$$R"</f>
        <v>#REF!</v>
      </c>
      <c r="CU32" t="e">
        <f>#REF!+"vlM!$$S"</f>
        <v>#REF!</v>
      </c>
      <c r="CV32" t="e">
        <f>#REF!+"vlM!$$T"</f>
        <v>#REF!</v>
      </c>
      <c r="CW32" t="e">
        <f>#REF!+"vlM!$$U"</f>
        <v>#REF!</v>
      </c>
      <c r="CX32" t="e">
        <f>#REF!+"vlM!$$V"</f>
        <v>#REF!</v>
      </c>
      <c r="CY32" t="e">
        <f>#REF!+"vlM!$$W"</f>
        <v>#REF!</v>
      </c>
      <c r="CZ32" t="e">
        <f>#REF!+"vlM!$$X"</f>
        <v>#REF!</v>
      </c>
      <c r="DA32" t="e">
        <f>#REF!+"vlM!$$Y"</f>
        <v>#REF!</v>
      </c>
      <c r="DB32" t="e">
        <f>#REF!+"vlM!$$Z"</f>
        <v>#REF!</v>
      </c>
      <c r="DC32" t="e">
        <f>#REF!+"vlM!$$["</f>
        <v>#REF!</v>
      </c>
      <c r="DD32" t="e">
        <f>#REF!+"vlM!$$\"</f>
        <v>#REF!</v>
      </c>
      <c r="DE32" s="1" t="e">
        <f>#REF!+"vlM!$$]"</f>
        <v>#REF!</v>
      </c>
      <c r="DF32" t="e">
        <f>#REF!+"vlM!$$^"</f>
        <v>#REF!</v>
      </c>
      <c r="DG32" t="e">
        <f>#REF!+"vlM!$$_"</f>
        <v>#REF!</v>
      </c>
      <c r="DH32" t="e">
        <f>#REF!+"vlM!$$`"</f>
        <v>#REF!</v>
      </c>
      <c r="DI32" t="e">
        <f>#REF!+"vlM!$$a"</f>
        <v>#REF!</v>
      </c>
      <c r="DJ32" t="e">
        <f>#REF!+"vlM!$$b"</f>
        <v>#REF!</v>
      </c>
      <c r="DK32" t="e">
        <f>#REF!+"vlM!$$c"</f>
        <v>#REF!</v>
      </c>
      <c r="DL32" t="e">
        <f>#REF!+"vlM!$$d"</f>
        <v>#REF!</v>
      </c>
      <c r="DM32" t="e">
        <f>#REF!+"vlM!$$e"</f>
        <v>#REF!</v>
      </c>
      <c r="DN32" t="e">
        <f>#REF!+"vlM!$$f"</f>
        <v>#REF!</v>
      </c>
      <c r="DO32" t="e">
        <f>#REF!+"vlM!$$g"</f>
        <v>#REF!</v>
      </c>
      <c r="DP32" t="e">
        <f>#REF!+"vlM!$$h"</f>
        <v>#REF!</v>
      </c>
      <c r="DQ32" t="e">
        <f>#REF!+"vlM!$$i"</f>
        <v>#REF!</v>
      </c>
      <c r="DR32" t="e">
        <f>#REF!+"vlM!$$j"</f>
        <v>#REF!</v>
      </c>
      <c r="DS32" t="e">
        <f>#REF!+"vlM!$$k"</f>
        <v>#REF!</v>
      </c>
      <c r="DT32" s="1" t="e">
        <f>#REF!+"vlM!$$l"</f>
        <v>#REF!</v>
      </c>
      <c r="DU32" t="e">
        <f>#REF!+"vlM!$$m"</f>
        <v>#REF!</v>
      </c>
      <c r="DV32" t="e">
        <f>#REF!+"vlM!$$n"</f>
        <v>#REF!</v>
      </c>
      <c r="DW32" t="e">
        <f>#REF!+"vlM!$$o"</f>
        <v>#REF!</v>
      </c>
      <c r="DX32" t="e">
        <f>#REF!+"vlM!$$p"</f>
        <v>#REF!</v>
      </c>
      <c r="DY32" t="e">
        <f>#REF!+"vlM!$$q"</f>
        <v>#REF!</v>
      </c>
      <c r="DZ32" t="e">
        <f>#REF!+"vlM!$$r"</f>
        <v>#REF!</v>
      </c>
      <c r="EA32" t="e">
        <f>#REF!+"vlM!$$s"</f>
        <v>#REF!</v>
      </c>
      <c r="EB32" t="e">
        <f>#REF!+"vlM!$$t"</f>
        <v>#REF!</v>
      </c>
      <c r="EC32" t="e">
        <f>#REF!+"vlM!$$u"</f>
        <v>#REF!</v>
      </c>
      <c r="ED32" t="e">
        <f>#REF!+"vlM!$$v"</f>
        <v>#REF!</v>
      </c>
      <c r="EE32" t="e">
        <f>#REF!+"vlM!$$w"</f>
        <v>#REF!</v>
      </c>
      <c r="EF32" t="e">
        <f>#REF!+"vlM!$$x"</f>
        <v>#REF!</v>
      </c>
      <c r="EG32" t="e">
        <f>#REF!+"vlM!$$y"</f>
        <v>#REF!</v>
      </c>
      <c r="EH32" t="e">
        <f>#REF!+"vlM!$$z"</f>
        <v>#REF!</v>
      </c>
      <c r="EI32" s="1" t="e">
        <f>#REF!+"vlM!$${"</f>
        <v>#REF!</v>
      </c>
      <c r="EJ32" t="e">
        <f>#REF!+"vlM!$$|"</f>
        <v>#REF!</v>
      </c>
      <c r="EK32" t="e">
        <f>#REF!+"vlM!$$}"</f>
        <v>#REF!</v>
      </c>
      <c r="EL32" t="e">
        <f>#REF!+"vlM!$$~"</f>
        <v>#REF!</v>
      </c>
      <c r="EM32" t="e">
        <f>#REF!+"vlM!$%#"</f>
        <v>#REF!</v>
      </c>
      <c r="EN32" t="e">
        <f>#REF!+"vlM!$%$"</f>
        <v>#REF!</v>
      </c>
      <c r="EO32" t="e">
        <f>#REF!+"vlM!$%%"</f>
        <v>#REF!</v>
      </c>
      <c r="EP32" t="e">
        <f>#REF!+"vlM!$%&amp;"</f>
        <v>#REF!</v>
      </c>
      <c r="EQ32" t="e">
        <f>#REF!+"vlM!$%'"</f>
        <v>#REF!</v>
      </c>
      <c r="ER32" t="e">
        <f>#REF!+"vlM!$%("</f>
        <v>#REF!</v>
      </c>
      <c r="ES32" t="e">
        <f>#REF!+"vlM!$%)"</f>
        <v>#REF!</v>
      </c>
      <c r="ET32" t="e">
        <f>#REF!+"vlM!$%."</f>
        <v>#REF!</v>
      </c>
      <c r="EU32" t="e">
        <f>#REF!+"vlM!$%/"</f>
        <v>#REF!</v>
      </c>
      <c r="EV32" t="e">
        <f>#REF!+"vlM!$%0"</f>
        <v>#REF!</v>
      </c>
      <c r="EW32" t="e">
        <f>#REF!+"vlM!$%1"</f>
        <v>#REF!</v>
      </c>
      <c r="EX32" s="1" t="e">
        <f>#REF!+"vlM!$%2"</f>
        <v>#REF!</v>
      </c>
      <c r="EY32" t="e">
        <f>#REF!+"vlM!$%3"</f>
        <v>#REF!</v>
      </c>
      <c r="EZ32" t="e">
        <f>#REF!+"vlM!$%4"</f>
        <v>#REF!</v>
      </c>
      <c r="FA32" t="e">
        <f>#REF!+"vlM!$%5"</f>
        <v>#REF!</v>
      </c>
      <c r="FB32" t="e">
        <f>#REF!+"vlM!$%6"</f>
        <v>#REF!</v>
      </c>
      <c r="FC32" t="e">
        <f>#REF!+"vlM!$%7"</f>
        <v>#REF!</v>
      </c>
      <c r="FD32" t="e">
        <f>#REF!+"vlM!$%8"</f>
        <v>#REF!</v>
      </c>
      <c r="FE32" t="e">
        <f>#REF!+"vlM!$%9"</f>
        <v>#REF!</v>
      </c>
      <c r="FF32" t="e">
        <f>#REF!+"vlM!$%:"</f>
        <v>#REF!</v>
      </c>
      <c r="FG32" t="e">
        <f>#REF!+"vlM!$%;"</f>
        <v>#REF!</v>
      </c>
      <c r="FH32" t="e">
        <f>#REF!+"vlM!$%&lt;"</f>
        <v>#REF!</v>
      </c>
      <c r="FI32" t="e">
        <f>#REF!+"vlM!$%="</f>
        <v>#REF!</v>
      </c>
      <c r="FJ32" t="e">
        <f>#REF!+"vlM!$%&gt;"</f>
        <v>#REF!</v>
      </c>
      <c r="FK32" t="e">
        <f>#REF!+"vlM!$%?"</f>
        <v>#REF!</v>
      </c>
      <c r="FL32" t="e">
        <f>#REF!+"vlM!$%@"</f>
        <v>#REF!</v>
      </c>
      <c r="FM32" s="1" t="e">
        <f>#REF!+"vlM!$%A"</f>
        <v>#REF!</v>
      </c>
      <c r="FN32" t="e">
        <f>#REF!+"vlM!$%B"</f>
        <v>#REF!</v>
      </c>
      <c r="FO32" t="e">
        <f>#REF!+"vlM!$%C"</f>
        <v>#REF!</v>
      </c>
      <c r="FP32" t="e">
        <f>#REF!+"vlM!$%D"</f>
        <v>#REF!</v>
      </c>
      <c r="FQ32" t="e">
        <f>#REF!+"vlM!$%E"</f>
        <v>#REF!</v>
      </c>
      <c r="FR32" t="e">
        <f>#REF!+"vlM!$%F"</f>
        <v>#REF!</v>
      </c>
      <c r="FS32" t="e">
        <f>#REF!+"vlM!$%G"</f>
        <v>#REF!</v>
      </c>
      <c r="FT32" t="e">
        <f>#REF!+"vlM!$%H"</f>
        <v>#REF!</v>
      </c>
      <c r="FU32" t="e">
        <f>#REF!+"vlM!$%I"</f>
        <v>#REF!</v>
      </c>
      <c r="FV32" t="e">
        <f>#REF!+"vlM!$%J"</f>
        <v>#REF!</v>
      </c>
      <c r="FW32" t="e">
        <f>#REF!+"vlM!$%K"</f>
        <v>#REF!</v>
      </c>
      <c r="FX32" t="e">
        <f>#REF!+"vlM!$%L"</f>
        <v>#REF!</v>
      </c>
      <c r="FY32" t="e">
        <f>#REF!+"vlM!$%M"</f>
        <v>#REF!</v>
      </c>
      <c r="FZ32" t="e">
        <f>#REF!+"vlM!$%N"</f>
        <v>#REF!</v>
      </c>
      <c r="GA32" t="e">
        <f>#REF!+"vlM!$%O"</f>
        <v>#REF!</v>
      </c>
      <c r="GB32" s="1" t="e">
        <f>#REF!+"vlM!$%P"</f>
        <v>#REF!</v>
      </c>
      <c r="GC32" t="e">
        <f>#REF!+"vlM!$%Q"</f>
        <v>#REF!</v>
      </c>
      <c r="GD32" t="e">
        <f>#REF!+"vlM!$%R"</f>
        <v>#REF!</v>
      </c>
      <c r="GE32" t="e">
        <f>#REF!+"vlM!$%S"</f>
        <v>#REF!</v>
      </c>
      <c r="GF32" t="e">
        <f>#REF!+"vlM!$%T"</f>
        <v>#REF!</v>
      </c>
      <c r="GG32" t="e">
        <f>#REF!+"vlM!$%U"</f>
        <v>#REF!</v>
      </c>
      <c r="GH32" t="e">
        <f>#REF!+"vlM!$%V"</f>
        <v>#REF!</v>
      </c>
      <c r="GI32" t="e">
        <f>#REF!+"vlM!$%W"</f>
        <v>#REF!</v>
      </c>
      <c r="GJ32" t="e">
        <f>#REF!+"vlM!$%X"</f>
        <v>#REF!</v>
      </c>
      <c r="GK32" t="e">
        <f>#REF!+"vlM!$%Y"</f>
        <v>#REF!</v>
      </c>
      <c r="GL32" t="e">
        <f>#REF!+"vlM!$%Z"</f>
        <v>#REF!</v>
      </c>
      <c r="GM32" t="e">
        <f>#REF!+"vlM!$%["</f>
        <v>#REF!</v>
      </c>
      <c r="GN32" t="e">
        <f>#REF!+"vlM!$%\"</f>
        <v>#REF!</v>
      </c>
      <c r="GO32" t="e">
        <f>#REF!+"vlM!$%]"</f>
        <v>#REF!</v>
      </c>
      <c r="GP32" t="e">
        <f>#REF!+"vlM!$%^"</f>
        <v>#REF!</v>
      </c>
      <c r="GQ32" s="1" t="e">
        <f>#REF!+"vlM!$%_"</f>
        <v>#REF!</v>
      </c>
      <c r="GR32" t="e">
        <f>#REF!+"vlM!$%`"</f>
        <v>#REF!</v>
      </c>
      <c r="GS32" t="e">
        <f>#REF!+"vlM!$%a"</f>
        <v>#REF!</v>
      </c>
      <c r="GT32" t="e">
        <f>#REF!+"vlM!$%b"</f>
        <v>#REF!</v>
      </c>
      <c r="GU32" t="e">
        <f>#REF!+"vlM!$%c"</f>
        <v>#REF!</v>
      </c>
      <c r="GV32" t="e">
        <f>#REF!+"vlM!$%d"</f>
        <v>#REF!</v>
      </c>
      <c r="GW32" t="e">
        <f>#REF!+"vlM!$%e"</f>
        <v>#REF!</v>
      </c>
      <c r="GX32" t="e">
        <f>#REF!+"vlM!$%f"</f>
        <v>#REF!</v>
      </c>
      <c r="GY32" t="e">
        <f>#REF!+"vlM!$%g"</f>
        <v>#REF!</v>
      </c>
      <c r="GZ32" t="e">
        <f>#REF!+"vlM!$%h"</f>
        <v>#REF!</v>
      </c>
      <c r="HA32" t="e">
        <f>#REF!+"vlM!$%i"</f>
        <v>#REF!</v>
      </c>
      <c r="HB32" t="e">
        <f>#REF!+"vlM!$%j"</f>
        <v>#REF!</v>
      </c>
      <c r="HC32" t="e">
        <f>#REF!+"vlM!$%k"</f>
        <v>#REF!</v>
      </c>
      <c r="HD32" t="e">
        <f>#REF!+"vlM!$%l"</f>
        <v>#REF!</v>
      </c>
      <c r="HE32" t="e">
        <f>#REF!+"vlM!$%m"</f>
        <v>#REF!</v>
      </c>
      <c r="HF32" s="1" t="e">
        <f>#REF!+"vlM!$%n"</f>
        <v>#REF!</v>
      </c>
      <c r="HG32" t="e">
        <f>#REF!+"vlM!$%o"</f>
        <v>#REF!</v>
      </c>
      <c r="HH32" t="e">
        <f>#REF!+"vlM!$%p"</f>
        <v>#REF!</v>
      </c>
      <c r="HI32" t="e">
        <f>#REF!+"vlM!$%q"</f>
        <v>#REF!</v>
      </c>
      <c r="HJ32" t="e">
        <f>#REF!+"vlM!$%r"</f>
        <v>#REF!</v>
      </c>
      <c r="HK32" t="e">
        <f>#REF!+"vlM!$%s"</f>
        <v>#REF!</v>
      </c>
      <c r="HL32" t="e">
        <f>#REF!+"vlM!$%t"</f>
        <v>#REF!</v>
      </c>
      <c r="HM32" t="e">
        <f>#REF!+"vlM!$%u"</f>
        <v>#REF!</v>
      </c>
      <c r="HN32" t="e">
        <f>#REF!+"vlM!$%v"</f>
        <v>#REF!</v>
      </c>
      <c r="HO32" t="e">
        <f>#REF!+"vlM!$%w"</f>
        <v>#REF!</v>
      </c>
      <c r="HP32" t="e">
        <f>#REF!+"vlM!$%x"</f>
        <v>#REF!</v>
      </c>
      <c r="HQ32" t="e">
        <f>#REF!+"vlM!$%y"</f>
        <v>#REF!</v>
      </c>
      <c r="HR32" t="e">
        <f>#REF!+"vlM!$%z"</f>
        <v>#REF!</v>
      </c>
      <c r="HS32" t="e">
        <f>#REF!+"vlM!$%{"</f>
        <v>#REF!</v>
      </c>
      <c r="HT32" t="e">
        <f>#REF!+"vlM!$%|"</f>
        <v>#REF!</v>
      </c>
      <c r="HU32" s="1" t="e">
        <f>#REF!+"vlM!$%}"</f>
        <v>#REF!</v>
      </c>
      <c r="HV32" t="e">
        <f>#REF!+"vlM!$%~"</f>
        <v>#REF!</v>
      </c>
      <c r="HW32" t="e">
        <f>#REF!+"vlM!$&amp;#"</f>
        <v>#REF!</v>
      </c>
      <c r="HX32" t="e">
        <f>#REF!+"vlM!$&amp;$"</f>
        <v>#REF!</v>
      </c>
      <c r="HY32" t="e">
        <f>#REF!+"vlM!$&amp;%"</f>
        <v>#REF!</v>
      </c>
      <c r="HZ32" t="e">
        <f>#REF!+"vlM!$&amp;&amp;"</f>
        <v>#REF!</v>
      </c>
      <c r="IA32" t="e">
        <f>#REF!+"vlM!$&amp;'"</f>
        <v>#REF!</v>
      </c>
      <c r="IB32" t="e">
        <f>#REF!+"vlM!$&amp;("</f>
        <v>#REF!</v>
      </c>
      <c r="IC32" t="e">
        <f>#REF!+"vlM!$&amp;)"</f>
        <v>#REF!</v>
      </c>
      <c r="ID32" t="e">
        <f>#REF!+"vlM!$&amp;."</f>
        <v>#REF!</v>
      </c>
      <c r="IE32" t="e">
        <f>#REF!+"vlM!$&amp;/"</f>
        <v>#REF!</v>
      </c>
      <c r="IF32" t="e">
        <f>#REF!+"vlM!$&amp;0"</f>
        <v>#REF!</v>
      </c>
      <c r="IG32" t="e">
        <f>#REF!+"vlM!$&amp;1"</f>
        <v>#REF!</v>
      </c>
      <c r="IH32" t="e">
        <f>#REF!+"vlM!$&amp;2"</f>
        <v>#REF!</v>
      </c>
      <c r="II32" t="e">
        <f>#REF!+"vlM!$&amp;3"</f>
        <v>#REF!</v>
      </c>
      <c r="IJ32" s="1" t="e">
        <f>#REF!+"vlM!$&amp;4"</f>
        <v>#REF!</v>
      </c>
      <c r="IK32" t="e">
        <f>#REF!+"vlM!$&amp;5"</f>
        <v>#REF!</v>
      </c>
      <c r="IL32" t="e">
        <f>#REF!+"vlM!$&amp;6"</f>
        <v>#REF!</v>
      </c>
      <c r="IM32" t="e">
        <f>#REF!+"vlM!$&amp;7"</f>
        <v>#REF!</v>
      </c>
      <c r="IN32" t="e">
        <f>#REF!+"vlM!$&amp;8"</f>
        <v>#REF!</v>
      </c>
      <c r="IO32" t="e">
        <f>#REF!+"vlM!$&amp;9"</f>
        <v>#REF!</v>
      </c>
      <c r="IP32" t="e">
        <f>#REF!+"vlM!$&amp;:"</f>
        <v>#REF!</v>
      </c>
      <c r="IQ32" t="e">
        <f>#REF!+"vlM!$&amp;;"</f>
        <v>#REF!</v>
      </c>
      <c r="IR32" t="e">
        <f>#REF!+"vlM!$&amp;&lt;"</f>
        <v>#REF!</v>
      </c>
      <c r="IS32" t="e">
        <f>#REF!+"vlM!$&amp;="</f>
        <v>#REF!</v>
      </c>
      <c r="IT32" t="e">
        <f>#REF!+"vlM!$&amp;&gt;"</f>
        <v>#REF!</v>
      </c>
      <c r="IU32" t="e">
        <f>#REF!+"vlM!$&amp;?"</f>
        <v>#REF!</v>
      </c>
      <c r="IV32" t="e">
        <f>#REF!+"vlM!$&amp;@"</f>
        <v>#REF!</v>
      </c>
    </row>
    <row r="33" spans="6:256" x14ac:dyDescent="0.25">
      <c r="F33" t="e">
        <f>#REF!+"vlM!$&amp;A"</f>
        <v>#REF!</v>
      </c>
      <c r="G33" t="e">
        <f>#REF!+"vlM!$&amp;B"</f>
        <v>#REF!</v>
      </c>
      <c r="H33" s="1" t="e">
        <f>#REF!+"vlM!$&amp;C"</f>
        <v>#REF!</v>
      </c>
      <c r="I33" t="e">
        <f>#REF!+"vlM!$&amp;D"</f>
        <v>#REF!</v>
      </c>
      <c r="J33" t="e">
        <f>#REF!+"vlM!$&amp;E"</f>
        <v>#REF!</v>
      </c>
      <c r="K33" t="e">
        <f>#REF!+"vlM!$&amp;F"</f>
        <v>#REF!</v>
      </c>
      <c r="L33" t="e">
        <f>#REF!+"vlM!$&amp;G"</f>
        <v>#REF!</v>
      </c>
      <c r="M33" t="e">
        <f>#REF!+"vlM!$&amp;H"</f>
        <v>#REF!</v>
      </c>
      <c r="N33" t="e">
        <f>#REF!+"vlM!$&amp;I"</f>
        <v>#REF!</v>
      </c>
      <c r="O33" t="e">
        <f>#REF!+"vlM!$&amp;J"</f>
        <v>#REF!</v>
      </c>
      <c r="P33" t="e">
        <f>#REF!+"vlM!$&amp;K"</f>
        <v>#REF!</v>
      </c>
      <c r="Q33" t="e">
        <f>#REF!+"vlM!$&amp;L"</f>
        <v>#REF!</v>
      </c>
      <c r="R33" t="e">
        <f>#REF!+"vlM!$&amp;M"</f>
        <v>#REF!</v>
      </c>
      <c r="S33" t="e">
        <f>#REF!+"vlM!$&amp;N"</f>
        <v>#REF!</v>
      </c>
      <c r="T33" t="e">
        <f>#REF!+"vlM!$&amp;O"</f>
        <v>#REF!</v>
      </c>
      <c r="U33" t="e">
        <f>#REF!+"vlM!$&amp;P"</f>
        <v>#REF!</v>
      </c>
      <c r="V33" t="e">
        <f>#REF!+"vlM!$&amp;Q"</f>
        <v>#REF!</v>
      </c>
      <c r="W33" s="1" t="e">
        <f>#REF!+"vlM!$&amp;R"</f>
        <v>#REF!</v>
      </c>
      <c r="X33" t="e">
        <f>#REF!+"vlM!$&amp;S"</f>
        <v>#REF!</v>
      </c>
      <c r="Y33" t="e">
        <f>#REF!+"vlM!$&amp;T"</f>
        <v>#REF!</v>
      </c>
      <c r="Z33" t="e">
        <f>#REF!+"vlM!$&amp;U"</f>
        <v>#REF!</v>
      </c>
      <c r="AA33" t="e">
        <f>#REF!+"vlM!$&amp;V"</f>
        <v>#REF!</v>
      </c>
      <c r="AB33" t="e">
        <f>#REF!+"vlM!$&amp;W"</f>
        <v>#REF!</v>
      </c>
      <c r="AC33" t="e">
        <f>#REF!+"vlM!$&amp;X"</f>
        <v>#REF!</v>
      </c>
      <c r="AD33" t="e">
        <f>#REF!+"vlM!$&amp;Y"</f>
        <v>#REF!</v>
      </c>
      <c r="AE33" t="e">
        <f>#REF!+"vlM!$&amp;Z"</f>
        <v>#REF!</v>
      </c>
      <c r="AF33" t="e">
        <f>#REF!+"vlM!$&amp;["</f>
        <v>#REF!</v>
      </c>
      <c r="AG33" t="e">
        <f>#REF!+"vlM!$&amp;\"</f>
        <v>#REF!</v>
      </c>
      <c r="AH33" t="e">
        <f>#REF!+"vlM!$&amp;]"</f>
        <v>#REF!</v>
      </c>
      <c r="AI33" t="e">
        <f>#REF!+"vlM!$&amp;^"</f>
        <v>#REF!</v>
      </c>
      <c r="AJ33" t="e">
        <f>#REF!+"vlM!$&amp;_"</f>
        <v>#REF!</v>
      </c>
      <c r="AK33" t="e">
        <f>#REF!+"vlM!$&amp;`"</f>
        <v>#REF!</v>
      </c>
      <c r="AL33" s="1" t="e">
        <f>#REF!+"vlM!$&amp;a"</f>
        <v>#REF!</v>
      </c>
      <c r="AM33" t="e">
        <f>#REF!+"vlM!$&amp;b"</f>
        <v>#REF!</v>
      </c>
      <c r="AN33" t="e">
        <f>#REF!+"vlM!$&amp;c"</f>
        <v>#REF!</v>
      </c>
      <c r="AO33" t="e">
        <f>#REF!+"vlM!$&amp;d"</f>
        <v>#REF!</v>
      </c>
      <c r="AP33" t="e">
        <f>#REF!+"vlM!$&amp;e"</f>
        <v>#REF!</v>
      </c>
      <c r="AQ33" t="e">
        <f>#REF!+"vlM!$&amp;f"</f>
        <v>#REF!</v>
      </c>
      <c r="AR33" t="e">
        <f>#REF!+"vlM!$&amp;g"</f>
        <v>#REF!</v>
      </c>
      <c r="AS33" t="e">
        <f>#REF!+"vlM!$&amp;h"</f>
        <v>#REF!</v>
      </c>
      <c r="AT33" t="e">
        <f>#REF!+"vlM!$&amp;i"</f>
        <v>#REF!</v>
      </c>
      <c r="AU33" t="e">
        <f>#REF!+"vlM!$&amp;j"</f>
        <v>#REF!</v>
      </c>
      <c r="AV33" t="e">
        <f>#REF!+"vlM!$&amp;k"</f>
        <v>#REF!</v>
      </c>
      <c r="AW33" t="e">
        <f>#REF!+"vlM!$&amp;l"</f>
        <v>#REF!</v>
      </c>
      <c r="AX33" t="e">
        <f>#REF!+"vlM!$&amp;m"</f>
        <v>#REF!</v>
      </c>
      <c r="AY33" t="e">
        <f>#REF!+"vlM!$&amp;n"</f>
        <v>#REF!</v>
      </c>
      <c r="AZ33" t="e">
        <f>#REF!+"vlM!$&amp;o"</f>
        <v>#REF!</v>
      </c>
      <c r="BA33" s="1" t="e">
        <f>#REF!+"vlM!$&amp;p"</f>
        <v>#REF!</v>
      </c>
      <c r="BB33" t="e">
        <f>#REF!+"vlM!$&amp;q"</f>
        <v>#REF!</v>
      </c>
      <c r="BC33" t="e">
        <f>#REF!+"vlM!$&amp;r"</f>
        <v>#REF!</v>
      </c>
      <c r="BD33" t="e">
        <f>#REF!+"vlM!$&amp;s"</f>
        <v>#REF!</v>
      </c>
      <c r="BE33" t="e">
        <f>#REF!+"vlM!$&amp;t"</f>
        <v>#REF!</v>
      </c>
      <c r="BF33" t="e">
        <f>#REF!+"vlM!$&amp;u"</f>
        <v>#REF!</v>
      </c>
      <c r="BG33" t="e">
        <f>#REF!+"vlM!$&amp;v"</f>
        <v>#REF!</v>
      </c>
      <c r="BH33" t="e">
        <f>#REF!+"vlM!$&amp;w"</f>
        <v>#REF!</v>
      </c>
      <c r="BI33" t="e">
        <f>#REF!+"vlM!$&amp;x"</f>
        <v>#REF!</v>
      </c>
      <c r="BJ33" t="e">
        <f>#REF!+"vlM!$&amp;y"</f>
        <v>#REF!</v>
      </c>
      <c r="BK33" t="e">
        <f>#REF!+"vlM!$&amp;z"</f>
        <v>#REF!</v>
      </c>
      <c r="BL33" t="e">
        <f>#REF!+"vlM!$&amp;{"</f>
        <v>#REF!</v>
      </c>
      <c r="BM33" t="e">
        <f>#REF!+"vlM!$&amp;|"</f>
        <v>#REF!</v>
      </c>
      <c r="BN33" t="e">
        <f>#REF!+"vlM!$&amp;}"</f>
        <v>#REF!</v>
      </c>
      <c r="BO33" t="e">
        <f>#REF!+"vlM!$&amp;~"</f>
        <v>#REF!</v>
      </c>
      <c r="BP33" s="1" t="e">
        <f>#REF!+"vlM!$'#"</f>
        <v>#REF!</v>
      </c>
      <c r="BQ33" t="e">
        <f>#REF!+"vlM!$'$"</f>
        <v>#REF!</v>
      </c>
      <c r="BR33" t="e">
        <f>#REF!+"vlM!$'%"</f>
        <v>#REF!</v>
      </c>
      <c r="BS33" t="e">
        <f>#REF!+"vlM!$'&amp;"</f>
        <v>#REF!</v>
      </c>
      <c r="BT33" t="e">
        <f>#REF!+"vlM!$''"</f>
        <v>#REF!</v>
      </c>
      <c r="BU33" t="e">
        <f>#REF!+"vlM!$'("</f>
        <v>#REF!</v>
      </c>
      <c r="BV33" t="e">
        <f>#REF!+"vlM!$')"</f>
        <v>#REF!</v>
      </c>
      <c r="BW33" t="e">
        <f>#REF!+"vlM!$'."</f>
        <v>#REF!</v>
      </c>
      <c r="BX33" t="e">
        <f>#REF!+"vlM!$'/"</f>
        <v>#REF!</v>
      </c>
      <c r="BY33" t="e">
        <f>#REF!+"vlM!$'0"</f>
        <v>#REF!</v>
      </c>
      <c r="BZ33" t="e">
        <f>#REF!+"vlM!$'1"</f>
        <v>#REF!</v>
      </c>
      <c r="CA33" t="e">
        <f>#REF!+"vlM!$'2"</f>
        <v>#REF!</v>
      </c>
      <c r="CB33" t="e">
        <f>#REF!+"vlM!$'3"</f>
        <v>#REF!</v>
      </c>
      <c r="CC33" t="e">
        <f>#REF!+"vlM!$'4"</f>
        <v>#REF!</v>
      </c>
      <c r="CD33" t="e">
        <f>#REF!+"vlM!$'5"</f>
        <v>#REF!</v>
      </c>
      <c r="CE33" s="1" t="e">
        <f>#REF!+"vlM!$'6"</f>
        <v>#REF!</v>
      </c>
      <c r="CF33" t="e">
        <f>#REF!+"vlM!$'7"</f>
        <v>#REF!</v>
      </c>
      <c r="CG33" t="e">
        <f>#REF!+"vlM!$'8"</f>
        <v>#REF!</v>
      </c>
      <c r="CH33" t="e">
        <f>#REF!+"vlM!$'9"</f>
        <v>#REF!</v>
      </c>
      <c r="CI33" t="e">
        <f>#REF!+"vlM!$':"</f>
        <v>#REF!</v>
      </c>
      <c r="CJ33" t="e">
        <f>#REF!+"vlM!$';"</f>
        <v>#REF!</v>
      </c>
      <c r="CK33" t="e">
        <f>#REF!+"vlM!$'&lt;"</f>
        <v>#REF!</v>
      </c>
      <c r="CL33" t="e">
        <f>#REF!+"vlM!$'="</f>
        <v>#REF!</v>
      </c>
      <c r="CM33" t="e">
        <f>#REF!+"vlM!$'&gt;"</f>
        <v>#REF!</v>
      </c>
      <c r="CN33" t="e">
        <f>#REF!+"vlM!$'?"</f>
        <v>#REF!</v>
      </c>
      <c r="CO33" t="e">
        <f>#REF!+"vlM!$'@"</f>
        <v>#REF!</v>
      </c>
      <c r="CP33" t="e">
        <f>#REF!+"vlM!$'A"</f>
        <v>#REF!</v>
      </c>
      <c r="CQ33" t="e">
        <f>#REF!+"vlM!$'B"</f>
        <v>#REF!</v>
      </c>
      <c r="CR33" t="e">
        <f>#REF!+"vlM!$'C"</f>
        <v>#REF!</v>
      </c>
      <c r="CS33" t="e">
        <f>#REF!+"vlM!$'D"</f>
        <v>#REF!</v>
      </c>
      <c r="CT33" s="1" t="e">
        <f>#REF!+"vlM!$'E"</f>
        <v>#REF!</v>
      </c>
      <c r="CU33" t="e">
        <f>#REF!+"vlM!$'F"</f>
        <v>#REF!</v>
      </c>
      <c r="CV33" t="e">
        <f>#REF!+"vlM!$'G"</f>
        <v>#REF!</v>
      </c>
      <c r="CW33" t="e">
        <f>#REF!+"vlM!$'H"</f>
        <v>#REF!</v>
      </c>
      <c r="CX33" t="e">
        <f>#REF!+"vlM!$'I"</f>
        <v>#REF!</v>
      </c>
      <c r="CY33" t="e">
        <f>#REF!+"vlM!$'J"</f>
        <v>#REF!</v>
      </c>
      <c r="CZ33" t="e">
        <f>#REF!+"vlM!$'K"</f>
        <v>#REF!</v>
      </c>
      <c r="DA33" t="e">
        <f>#REF!+"vlM!$'L"</f>
        <v>#REF!</v>
      </c>
      <c r="DB33" t="e">
        <f>#REF!+"vlM!$'M"</f>
        <v>#REF!</v>
      </c>
      <c r="DC33" t="e">
        <f>#REF!+"vlM!$'N"</f>
        <v>#REF!</v>
      </c>
      <c r="DD33" t="e">
        <f>#REF!+"vlM!$'O"</f>
        <v>#REF!</v>
      </c>
      <c r="DE33" t="e">
        <f>#REF!+"vlM!$'P"</f>
        <v>#REF!</v>
      </c>
      <c r="DF33" t="e">
        <f>#REF!+"vlM!$'Q"</f>
        <v>#REF!</v>
      </c>
      <c r="DG33" t="e">
        <f>#REF!+"vlM!$'R"</f>
        <v>#REF!</v>
      </c>
      <c r="DH33" t="e">
        <f>#REF!+"vlM!$'S"</f>
        <v>#REF!</v>
      </c>
      <c r="DI33" s="1" t="e">
        <f>#REF!+"vlM!$'T"</f>
        <v>#REF!</v>
      </c>
      <c r="DJ33" t="e">
        <f>#REF!+"vlM!$'U"</f>
        <v>#REF!</v>
      </c>
      <c r="DK33" t="e">
        <f>#REF!+"vlM!$'V"</f>
        <v>#REF!</v>
      </c>
      <c r="DL33" t="e">
        <f>#REF!+"vlM!$'W"</f>
        <v>#REF!</v>
      </c>
      <c r="DM33" t="e">
        <f>#REF!+"vlM!$'X"</f>
        <v>#REF!</v>
      </c>
      <c r="DN33" t="e">
        <f>#REF!+"vlM!$'Y"</f>
        <v>#REF!</v>
      </c>
      <c r="DO33" t="e">
        <f>#REF!+"vlM!$'Z"</f>
        <v>#REF!</v>
      </c>
      <c r="DP33" t="e">
        <f>#REF!+"vlM!$'["</f>
        <v>#REF!</v>
      </c>
      <c r="DQ33" t="e">
        <f>#REF!+"vlM!$'\"</f>
        <v>#REF!</v>
      </c>
      <c r="DR33" t="e">
        <f>#REF!+"vlM!$']"</f>
        <v>#REF!</v>
      </c>
      <c r="DS33" t="e">
        <f>#REF!+"vlM!$'^"</f>
        <v>#REF!</v>
      </c>
      <c r="DT33" t="e">
        <f>#REF!+"vlM!$'_"</f>
        <v>#REF!</v>
      </c>
      <c r="DU33" t="e">
        <f>#REF!+"vlM!$'`"</f>
        <v>#REF!</v>
      </c>
      <c r="DV33" t="e">
        <f>#REF!+"vlM!$'a"</f>
        <v>#REF!</v>
      </c>
      <c r="DW33" t="e">
        <f>#REF!+"vlM!$'b"</f>
        <v>#REF!</v>
      </c>
      <c r="DX33" s="1" t="e">
        <f>#REF!+"vlM!$'c"</f>
        <v>#REF!</v>
      </c>
      <c r="DY33" t="e">
        <f>#REF!+"vlM!$'d"</f>
        <v>#REF!</v>
      </c>
      <c r="DZ33" t="e">
        <f>#REF!+"vlM!$'e"</f>
        <v>#REF!</v>
      </c>
      <c r="EA33" t="e">
        <f>#REF!+"vlM!$'f"</f>
        <v>#REF!</v>
      </c>
      <c r="EB33" t="e">
        <f>#REF!+"vlM!$'g"</f>
        <v>#REF!</v>
      </c>
      <c r="EC33" t="e">
        <f>#REF!+"vlM!$'h"</f>
        <v>#REF!</v>
      </c>
      <c r="ED33" t="e">
        <f>#REF!+"vlM!$'i"</f>
        <v>#REF!</v>
      </c>
      <c r="EE33" t="e">
        <f>#REF!+"vlM!$'j"</f>
        <v>#REF!</v>
      </c>
      <c r="EF33" t="e">
        <f>#REF!+"vlM!$'k"</f>
        <v>#REF!</v>
      </c>
      <c r="EG33" t="e">
        <f>#REF!+"vlM!$'l"</f>
        <v>#REF!</v>
      </c>
      <c r="EH33" t="e">
        <f>#REF!+"vlM!$'m"</f>
        <v>#REF!</v>
      </c>
      <c r="EI33" t="e">
        <f>#REF!+"vlM!$'n"</f>
        <v>#REF!</v>
      </c>
      <c r="EJ33" t="e">
        <f>#REF!+"vlM!$'o"</f>
        <v>#REF!</v>
      </c>
      <c r="EK33" t="e">
        <f>#REF!+"vlM!$'p"</f>
        <v>#REF!</v>
      </c>
      <c r="EL33" t="e">
        <f>#REF!+"vlM!$'q"</f>
        <v>#REF!</v>
      </c>
      <c r="EM33" s="1" t="e">
        <f>#REF!+"vlM!$'r"</f>
        <v>#REF!</v>
      </c>
      <c r="EN33" t="e">
        <f>#REF!+"vlM!$'s"</f>
        <v>#REF!</v>
      </c>
      <c r="EO33" t="e">
        <f>#REF!+"vlM!$'t"</f>
        <v>#REF!</v>
      </c>
      <c r="EP33" t="e">
        <f>#REF!+"vlM!$'u"</f>
        <v>#REF!</v>
      </c>
      <c r="EQ33" t="e">
        <f>#REF!+"vlM!$'v"</f>
        <v>#REF!</v>
      </c>
      <c r="ER33" t="e">
        <f>#REF!+"vlM!$'w"</f>
        <v>#REF!</v>
      </c>
      <c r="ES33" t="e">
        <f>#REF!+"vlM!$'x"</f>
        <v>#REF!</v>
      </c>
      <c r="ET33" t="e">
        <f>#REF!+"vlM!$'y"</f>
        <v>#REF!</v>
      </c>
      <c r="EU33" t="e">
        <f>#REF!+"vlM!$'z"</f>
        <v>#REF!</v>
      </c>
      <c r="EV33" t="e">
        <f>#REF!+"vlM!$'{"</f>
        <v>#REF!</v>
      </c>
      <c r="EW33" t="e">
        <f>#REF!+"vlM!$'|"</f>
        <v>#REF!</v>
      </c>
      <c r="EX33" t="e">
        <f>#REF!+"vlM!$'}"</f>
        <v>#REF!</v>
      </c>
      <c r="EY33" t="e">
        <f>#REF!+"vlM!$'~"</f>
        <v>#REF!</v>
      </c>
      <c r="EZ33" t="e">
        <f>#REF!+"vlM!$(#"</f>
        <v>#REF!</v>
      </c>
      <c r="FA33" t="e">
        <f>#REF!+"vlM!$($"</f>
        <v>#REF!</v>
      </c>
      <c r="FB33" s="1" t="e">
        <f>#REF!+"vlM!$(%"</f>
        <v>#REF!</v>
      </c>
      <c r="FC33" t="e">
        <f>#REF!+"vlM!$(&amp;"</f>
        <v>#REF!</v>
      </c>
      <c r="FD33" t="e">
        <f>#REF!+"vlM!$('"</f>
        <v>#REF!</v>
      </c>
      <c r="FE33" t="e">
        <f>#REF!+"vlM!$(("</f>
        <v>#REF!</v>
      </c>
      <c r="FF33" t="e">
        <f>#REF!+"vlM!$()"</f>
        <v>#REF!</v>
      </c>
      <c r="FG33" t="e">
        <f>#REF!+"vlM!$(."</f>
        <v>#REF!</v>
      </c>
      <c r="FH33" t="e">
        <f>#REF!+"vlM!$(/"</f>
        <v>#REF!</v>
      </c>
      <c r="FI33" t="e">
        <f>#REF!+"vlM!$(0"</f>
        <v>#REF!</v>
      </c>
      <c r="FJ33" t="e">
        <f>#REF!+"vlM!$(1"</f>
        <v>#REF!</v>
      </c>
      <c r="FK33" t="e">
        <f>#REF!+"vlM!$(2"</f>
        <v>#REF!</v>
      </c>
      <c r="FL33" t="e">
        <f>#REF!+"vlM!$(3"</f>
        <v>#REF!</v>
      </c>
      <c r="FM33" t="e">
        <f>#REF!+"vlM!$(4"</f>
        <v>#REF!</v>
      </c>
      <c r="FN33" t="e">
        <f>#REF!+"vlM!$(5"</f>
        <v>#REF!</v>
      </c>
      <c r="FO33" t="e">
        <f>#REF!+"vlM!$(6"</f>
        <v>#REF!</v>
      </c>
      <c r="FP33" t="e">
        <f>#REF!+"vlM!$(7"</f>
        <v>#REF!</v>
      </c>
      <c r="FQ33" s="1" t="e">
        <f>#REF!+"vlM!$(8"</f>
        <v>#REF!</v>
      </c>
      <c r="FR33" t="e">
        <f>#REF!+"vlM!$(9"</f>
        <v>#REF!</v>
      </c>
      <c r="FS33" t="e">
        <f>#REF!+"vlM!$(:"</f>
        <v>#REF!</v>
      </c>
      <c r="FT33" t="e">
        <f>#REF!+"vlM!$(;"</f>
        <v>#REF!</v>
      </c>
      <c r="FU33" t="e">
        <f>#REF!+"vlM!$(&lt;"</f>
        <v>#REF!</v>
      </c>
      <c r="FV33" t="e">
        <f>#REF!+"vlM!$(="</f>
        <v>#REF!</v>
      </c>
      <c r="FW33" t="e">
        <f>#REF!+"vlM!$(&gt;"</f>
        <v>#REF!</v>
      </c>
      <c r="FX33" t="e">
        <f>#REF!+"vlM!$(?"</f>
        <v>#REF!</v>
      </c>
      <c r="FY33" t="e">
        <f>#REF!+"vlM!$(@"</f>
        <v>#REF!</v>
      </c>
      <c r="FZ33" t="e">
        <f>#REF!+"vlM!$(A"</f>
        <v>#REF!</v>
      </c>
      <c r="GA33" t="e">
        <f>#REF!+"vlM!$(B"</f>
        <v>#REF!</v>
      </c>
      <c r="GB33" t="e">
        <f>#REF!+"vlM!$(C"</f>
        <v>#REF!</v>
      </c>
      <c r="GC33" t="e">
        <f>#REF!+"vlM!$(D"</f>
        <v>#REF!</v>
      </c>
      <c r="GD33" t="e">
        <f>#REF!+"vlM!$(E"</f>
        <v>#REF!</v>
      </c>
      <c r="GE33" t="e">
        <f>#REF!+"vlM!$(F"</f>
        <v>#REF!</v>
      </c>
      <c r="GF33" s="1" t="e">
        <f>#REF!+"vlM!$(G"</f>
        <v>#REF!</v>
      </c>
      <c r="GG33" t="e">
        <f>#REF!+"vlM!$(H"</f>
        <v>#REF!</v>
      </c>
      <c r="GH33" t="e">
        <f>#REF!+"vlM!$(I"</f>
        <v>#REF!</v>
      </c>
      <c r="GI33" t="e">
        <f>#REF!+"vlM!$(J"</f>
        <v>#REF!</v>
      </c>
      <c r="GJ33" t="e">
        <f>#REF!+"vlM!$(K"</f>
        <v>#REF!</v>
      </c>
      <c r="GK33" t="e">
        <f>#REF!+"vlM!$(L"</f>
        <v>#REF!</v>
      </c>
      <c r="GL33" t="e">
        <f>#REF!+"vlM!$(M"</f>
        <v>#REF!</v>
      </c>
      <c r="GM33" t="e">
        <f>#REF!+"vlM!$(N"</f>
        <v>#REF!</v>
      </c>
      <c r="GN33" t="e">
        <f>#REF!+"vlM!$(O"</f>
        <v>#REF!</v>
      </c>
      <c r="GO33" t="e">
        <f>#REF!+"vlM!$(P"</f>
        <v>#REF!</v>
      </c>
      <c r="GP33" t="e">
        <f>#REF!+"vlM!$(Q"</f>
        <v>#REF!</v>
      </c>
      <c r="GQ33" t="e">
        <f>#REF!+"vlM!$(R"</f>
        <v>#REF!</v>
      </c>
      <c r="GR33" t="e">
        <f>#REF!+"vlM!$(S"</f>
        <v>#REF!</v>
      </c>
      <c r="GS33" t="e">
        <f>#REF!+"vlM!$(T"</f>
        <v>#REF!</v>
      </c>
      <c r="GT33" t="e">
        <f>#REF!+"vlM!$(U"</f>
        <v>#REF!</v>
      </c>
      <c r="GU33" s="1" t="e">
        <f>#REF!+"vlM!$(V"</f>
        <v>#REF!</v>
      </c>
      <c r="GV33" t="e">
        <f>#REF!+"vlM!$(W"</f>
        <v>#REF!</v>
      </c>
      <c r="GW33" t="e">
        <f>#REF!+"vlM!$(X"</f>
        <v>#REF!</v>
      </c>
      <c r="GX33" t="e">
        <f>#REF!+"vlM!$(Y"</f>
        <v>#REF!</v>
      </c>
      <c r="GY33" t="e">
        <f>#REF!+"vlM!$(Z"</f>
        <v>#REF!</v>
      </c>
      <c r="GZ33" t="e">
        <f>#REF!+"vlM!$(["</f>
        <v>#REF!</v>
      </c>
      <c r="HA33" t="e">
        <f>#REF!+"vlM!$(\"</f>
        <v>#REF!</v>
      </c>
      <c r="HB33" t="e">
        <f>#REF!+"vlM!$(]"</f>
        <v>#REF!</v>
      </c>
      <c r="HC33" t="e">
        <f>#REF!+"vlM!$(^"</f>
        <v>#REF!</v>
      </c>
      <c r="HD33" t="e">
        <f>#REF!+"vlM!$(_"</f>
        <v>#REF!</v>
      </c>
      <c r="HE33" t="e">
        <f>#REF!+"vlM!$(`"</f>
        <v>#REF!</v>
      </c>
      <c r="HF33" t="e">
        <f>#REF!+"vlM!$(a"</f>
        <v>#REF!</v>
      </c>
      <c r="HG33" t="e">
        <f>#REF!+"vlM!$(b"</f>
        <v>#REF!</v>
      </c>
      <c r="HH33" t="e">
        <f>#REF!+"vlM!$(c"</f>
        <v>#REF!</v>
      </c>
      <c r="HI33" t="e">
        <f>#REF!+"vlM!$(d"</f>
        <v>#REF!</v>
      </c>
      <c r="HJ33" s="1" t="e">
        <f>#REF!+"vlM!$(e"</f>
        <v>#REF!</v>
      </c>
      <c r="HK33" t="e">
        <f>#REF!+"vlM!$(f"</f>
        <v>#REF!</v>
      </c>
      <c r="HL33" t="e">
        <f>#REF!+"vlM!$(g"</f>
        <v>#REF!</v>
      </c>
      <c r="HM33" t="e">
        <f>#REF!+"vlM!$(h"</f>
        <v>#REF!</v>
      </c>
      <c r="HN33" t="e">
        <f>#REF!+"vlM!$(i"</f>
        <v>#REF!</v>
      </c>
      <c r="HO33" t="e">
        <f>#REF!+"vlM!$(j"</f>
        <v>#REF!</v>
      </c>
      <c r="HP33" t="e">
        <f>#REF!+"vlM!$(k"</f>
        <v>#REF!</v>
      </c>
      <c r="HQ33" t="e">
        <f>#REF!+"vlM!$(l"</f>
        <v>#REF!</v>
      </c>
      <c r="HR33" t="e">
        <f>#REF!+"vlM!$(m"</f>
        <v>#REF!</v>
      </c>
      <c r="HS33" t="e">
        <f>#REF!+"vlM!$(n"</f>
        <v>#REF!</v>
      </c>
      <c r="HT33" t="e">
        <f>#REF!+"vlM!$(o"</f>
        <v>#REF!</v>
      </c>
      <c r="HU33" t="e">
        <f>#REF!+"vlM!$(p"</f>
        <v>#REF!</v>
      </c>
      <c r="HV33" t="e">
        <f>#REF!+"vlM!$(q"</f>
        <v>#REF!</v>
      </c>
      <c r="HW33" t="e">
        <f>#REF!+"vlM!$(r"</f>
        <v>#REF!</v>
      </c>
      <c r="HX33" t="e">
        <f>#REF!+"vlM!$(s"</f>
        <v>#REF!</v>
      </c>
      <c r="HY33" s="1" t="e">
        <f>#REF!+"vlM!$(t"</f>
        <v>#REF!</v>
      </c>
      <c r="HZ33" t="e">
        <f>#REF!+"vlM!$(u"</f>
        <v>#REF!</v>
      </c>
      <c r="IA33" t="e">
        <f>#REF!+"vlM!$(v"</f>
        <v>#REF!</v>
      </c>
      <c r="IB33" t="e">
        <f>#REF!+"vlM!$(w"</f>
        <v>#REF!</v>
      </c>
      <c r="IC33" t="e">
        <f>#REF!+"vlM!$(x"</f>
        <v>#REF!</v>
      </c>
      <c r="ID33" t="e">
        <f>#REF!+"vlM!$(y"</f>
        <v>#REF!</v>
      </c>
      <c r="IE33" t="e">
        <f>#REF!+"vlM!$(z"</f>
        <v>#REF!</v>
      </c>
      <c r="IF33" t="e">
        <f>#REF!+"vlM!$({"</f>
        <v>#REF!</v>
      </c>
      <c r="IG33" t="e">
        <f>#REF!+"vlM!$(|"</f>
        <v>#REF!</v>
      </c>
      <c r="IH33" t="e">
        <f>#REF!+"vlM!$(}"</f>
        <v>#REF!</v>
      </c>
      <c r="II33" t="e">
        <f>#REF!+"vlM!$(~"</f>
        <v>#REF!</v>
      </c>
      <c r="IJ33" t="e">
        <f>#REF!+"vlM!$)#"</f>
        <v>#REF!</v>
      </c>
      <c r="IK33" t="e">
        <f>#REF!+"vlM!$)$"</f>
        <v>#REF!</v>
      </c>
      <c r="IL33" t="e">
        <f>#REF!+"vlM!$)%"</f>
        <v>#REF!</v>
      </c>
      <c r="IM33" t="e">
        <f>#REF!+"vlM!$)&amp;"</f>
        <v>#REF!</v>
      </c>
      <c r="IN33" s="1" t="e">
        <f>#REF!+"vlM!$)'"</f>
        <v>#REF!</v>
      </c>
      <c r="IO33" t="e">
        <f>#REF!+"vlM!$)("</f>
        <v>#REF!</v>
      </c>
      <c r="IP33" t="e">
        <f>#REF!+"vlM!$))"</f>
        <v>#REF!</v>
      </c>
      <c r="IQ33" t="e">
        <f>#REF!+"vlM!$)."</f>
        <v>#REF!</v>
      </c>
      <c r="IR33" t="e">
        <f>#REF!+"vlM!$)/"</f>
        <v>#REF!</v>
      </c>
      <c r="IS33" t="e">
        <f>#REF!+"vlM!$)0"</f>
        <v>#REF!</v>
      </c>
      <c r="IT33" t="e">
        <f>#REF!+"vlM!$)1"</f>
        <v>#REF!</v>
      </c>
      <c r="IU33" t="e">
        <f>#REF!+"vlM!$)2"</f>
        <v>#REF!</v>
      </c>
      <c r="IV33" t="e">
        <f>#REF!+"vlM!$)3"</f>
        <v>#REF!</v>
      </c>
    </row>
    <row r="34" spans="6:256" x14ac:dyDescent="0.25">
      <c r="F34" t="e">
        <f>#REF!+"vlM!$)4"</f>
        <v>#REF!</v>
      </c>
      <c r="G34" t="e">
        <f>#REF!+"vlM!$)5"</f>
        <v>#REF!</v>
      </c>
      <c r="H34" t="e">
        <f>#REF!+"vlM!$)6"</f>
        <v>#REF!</v>
      </c>
      <c r="I34" t="e">
        <f>#REF!+"vlM!$)7"</f>
        <v>#REF!</v>
      </c>
      <c r="J34" t="e">
        <f>#REF!+"vlM!$)8"</f>
        <v>#REF!</v>
      </c>
      <c r="K34" t="e">
        <f>#REF!+"vlM!$)9"</f>
        <v>#REF!</v>
      </c>
      <c r="L34" s="1" t="e">
        <f>#REF!+"vlM!$):"</f>
        <v>#REF!</v>
      </c>
      <c r="M34" t="e">
        <f>#REF!+"vlM!$);"</f>
        <v>#REF!</v>
      </c>
      <c r="N34" t="e">
        <f>#REF!+"vlM!$)&lt;"</f>
        <v>#REF!</v>
      </c>
      <c r="O34" t="e">
        <f>#REF!+"vlM!$)="</f>
        <v>#REF!</v>
      </c>
      <c r="P34" t="e">
        <f>#REF!+"vlM!$)&gt;"</f>
        <v>#REF!</v>
      </c>
      <c r="Q34" t="e">
        <f>#REF!+"vlM!$)?"</f>
        <v>#REF!</v>
      </c>
      <c r="R34" t="e">
        <f>#REF!+"vlM!$)@"</f>
        <v>#REF!</v>
      </c>
      <c r="S34" t="e">
        <f>#REF!+"vlM!$)A"</f>
        <v>#REF!</v>
      </c>
      <c r="T34" t="e">
        <f>#REF!+"vlM!$)B"</f>
        <v>#REF!</v>
      </c>
      <c r="U34" t="e">
        <f>#REF!+"vlM!$)C"</f>
        <v>#REF!</v>
      </c>
      <c r="V34" t="e">
        <f>#REF!+"vlM!$)D"</f>
        <v>#REF!</v>
      </c>
      <c r="W34" t="e">
        <f>#REF!+"vlM!$)E"</f>
        <v>#REF!</v>
      </c>
      <c r="X34" t="e">
        <f>#REF!+"vlM!$)F"</f>
        <v>#REF!</v>
      </c>
      <c r="Y34" t="e">
        <f>#REF!+"vlM!$)G"</f>
        <v>#REF!</v>
      </c>
      <c r="Z34" t="e">
        <f>#REF!+"vlM!$)H"</f>
        <v>#REF!</v>
      </c>
      <c r="AA34" s="1" t="e">
        <f>#REF!+"vlM!$)I"</f>
        <v>#REF!</v>
      </c>
      <c r="AB34" t="e">
        <f>#REF!+"vlM!$)J"</f>
        <v>#REF!</v>
      </c>
      <c r="AC34" t="e">
        <f>#REF!+"vlM!$)K"</f>
        <v>#REF!</v>
      </c>
      <c r="AD34" t="e">
        <f>#REF!+"vlM!$)L"</f>
        <v>#REF!</v>
      </c>
      <c r="AE34" t="e">
        <f>#REF!+"vlM!$)M"</f>
        <v>#REF!</v>
      </c>
      <c r="AF34" t="e">
        <f>#REF!+"vlM!$)N"</f>
        <v>#REF!</v>
      </c>
      <c r="AG34" t="e">
        <f>#REF!+"vlM!$)O"</f>
        <v>#REF!</v>
      </c>
      <c r="AH34" t="e">
        <f>#REF!+"vlM!$)P"</f>
        <v>#REF!</v>
      </c>
      <c r="AI34" t="e">
        <f>#REF!+"vlM!$)Q"</f>
        <v>#REF!</v>
      </c>
      <c r="AJ34" t="e">
        <f>#REF!+"vlM!$)R"</f>
        <v>#REF!</v>
      </c>
      <c r="AK34" t="e">
        <f>#REF!+"vlM!$)S"</f>
        <v>#REF!</v>
      </c>
      <c r="AL34" t="e">
        <f>#REF!+"vlM!$)T"</f>
        <v>#REF!</v>
      </c>
      <c r="AM34" t="e">
        <f>#REF!+"vlM!$)U"</f>
        <v>#REF!</v>
      </c>
      <c r="AN34" t="e">
        <f>#REF!+"vlM!$)V"</f>
        <v>#REF!</v>
      </c>
      <c r="AO34" t="e">
        <f>#REF!+"vlM!$)W"</f>
        <v>#REF!</v>
      </c>
      <c r="AP34" s="1" t="e">
        <f>#REF!+"vlM!$)X"</f>
        <v>#REF!</v>
      </c>
      <c r="AQ34" t="e">
        <f>#REF!+"vlM!$)Y"</f>
        <v>#REF!</v>
      </c>
      <c r="AR34" t="e">
        <f>#REF!+"vlM!$)Z"</f>
        <v>#REF!</v>
      </c>
      <c r="AS34" t="e">
        <f>#REF!+"vlM!$)["</f>
        <v>#REF!</v>
      </c>
      <c r="AT34" t="e">
        <f>#REF!+"vlM!$)\"</f>
        <v>#REF!</v>
      </c>
      <c r="AU34" t="e">
        <f>#REF!+"vlM!$)]"</f>
        <v>#REF!</v>
      </c>
      <c r="AV34" t="e">
        <f>#REF!+"vlM!$)^"</f>
        <v>#REF!</v>
      </c>
      <c r="AW34" t="e">
        <f>#REF!+"vlM!$)_"</f>
        <v>#REF!</v>
      </c>
      <c r="AX34" t="e">
        <f>#REF!+"vlM!$)`"</f>
        <v>#REF!</v>
      </c>
      <c r="AY34" t="e">
        <f>#REF!+"vlM!$)a"</f>
        <v>#REF!</v>
      </c>
      <c r="AZ34" t="e">
        <f>#REF!+"vlM!$)b"</f>
        <v>#REF!</v>
      </c>
      <c r="BA34" t="e">
        <f>#REF!+"vlM!$)c"</f>
        <v>#REF!</v>
      </c>
      <c r="BB34" t="e">
        <f>#REF!+"vlM!$)d"</f>
        <v>#REF!</v>
      </c>
      <c r="BC34" t="e">
        <f>#REF!+"vlM!$)e"</f>
        <v>#REF!</v>
      </c>
      <c r="BD34" t="e">
        <f>#REF!+"vlM!$)f"</f>
        <v>#REF!</v>
      </c>
      <c r="BE34" s="1" t="e">
        <f>#REF!+"vlM!$)g"</f>
        <v>#REF!</v>
      </c>
      <c r="BF34" t="e">
        <f>#REF!+"vlM!$)h"</f>
        <v>#REF!</v>
      </c>
      <c r="BG34" t="e">
        <f>#REF!+"vlM!$)i"</f>
        <v>#REF!</v>
      </c>
      <c r="BH34" t="e">
        <f>#REF!+"vlM!$)j"</f>
        <v>#REF!</v>
      </c>
      <c r="BI34" t="e">
        <f>#REF!+"vlM!$)k"</f>
        <v>#REF!</v>
      </c>
      <c r="BJ34" t="e">
        <f>#REF!+"vlM!$)l"</f>
        <v>#REF!</v>
      </c>
      <c r="BK34" t="e">
        <f>#REF!+"vlM!$)m"</f>
        <v>#REF!</v>
      </c>
      <c r="BL34" t="e">
        <f>#REF!+"vlM!$)n"</f>
        <v>#REF!</v>
      </c>
      <c r="BM34" t="e">
        <f>#REF!+"vlM!$)o"</f>
        <v>#REF!</v>
      </c>
      <c r="BN34" t="e">
        <f>#REF!+"vlM!$)p"</f>
        <v>#REF!</v>
      </c>
      <c r="BO34" t="e">
        <f>#REF!+"vlM!$)q"</f>
        <v>#REF!</v>
      </c>
      <c r="BP34" t="e">
        <f>#REF!+"vlM!$)r"</f>
        <v>#REF!</v>
      </c>
      <c r="BQ34" t="e">
        <f>#REF!+"vlM!$)s"</f>
        <v>#REF!</v>
      </c>
      <c r="BR34" t="e">
        <f>#REF!+"vlM!$)t"</f>
        <v>#REF!</v>
      </c>
      <c r="BS34" t="e">
        <f>#REF!+"vlM!$)u"</f>
        <v>#REF!</v>
      </c>
      <c r="BT34" s="1" t="e">
        <f>#REF!+"vlM!$)v"</f>
        <v>#REF!</v>
      </c>
      <c r="BU34" t="e">
        <f>#REF!+"vlM!$)w"</f>
        <v>#REF!</v>
      </c>
      <c r="BV34" t="e">
        <f>#REF!+"vlM!$)x"</f>
        <v>#REF!</v>
      </c>
      <c r="BW34" t="e">
        <f>#REF!+"vlM!$)y"</f>
        <v>#REF!</v>
      </c>
      <c r="BX34" t="e">
        <f>#REF!+"vlM!$)z"</f>
        <v>#REF!</v>
      </c>
      <c r="BY34" t="e">
        <f>#REF!+"vlM!$){"</f>
        <v>#REF!</v>
      </c>
      <c r="BZ34" t="e">
        <f>#REF!+"vlM!$)|"</f>
        <v>#REF!</v>
      </c>
      <c r="CA34" t="e">
        <f>#REF!+"vlM!$)}"</f>
        <v>#REF!</v>
      </c>
      <c r="CB34" t="e">
        <f>#REF!+"vlM!$)~"</f>
        <v>#REF!</v>
      </c>
      <c r="CC34" t="e">
        <f>#REF!+"vlM!$.#"</f>
        <v>#REF!</v>
      </c>
      <c r="CD34" t="e">
        <f>#REF!+"vlM!$.$"</f>
        <v>#REF!</v>
      </c>
      <c r="CE34" t="e">
        <f>#REF!+"vlM!$.%"</f>
        <v>#REF!</v>
      </c>
      <c r="CF34" t="e">
        <f>#REF!+"vlM!$.&amp;"</f>
        <v>#REF!</v>
      </c>
      <c r="CG34" t="e">
        <f>#REF!+"vlM!$.'"</f>
        <v>#REF!</v>
      </c>
      <c r="CH34" t="e">
        <f>#REF!+"vlM!$.("</f>
        <v>#REF!</v>
      </c>
      <c r="CI34" s="1" t="e">
        <f>#REF!+"vlM!$.)"</f>
        <v>#REF!</v>
      </c>
      <c r="CJ34" t="e">
        <f>#REF!+"vlM!$.."</f>
        <v>#REF!</v>
      </c>
      <c r="CK34" t="e">
        <f>#REF!+"vlM!$./"</f>
        <v>#REF!</v>
      </c>
      <c r="CL34" t="e">
        <f>#REF!+"vlM!$.0"</f>
        <v>#REF!</v>
      </c>
      <c r="CM34" t="e">
        <f>#REF!+"vlM!$.1"</f>
        <v>#REF!</v>
      </c>
      <c r="CN34" t="e">
        <f>#REF!+"vlM!$.2"</f>
        <v>#REF!</v>
      </c>
      <c r="CO34" t="e">
        <f>#REF!+"vlM!$.3"</f>
        <v>#REF!</v>
      </c>
      <c r="CP34" t="e">
        <f>#REF!+"vlM!$.4"</f>
        <v>#REF!</v>
      </c>
      <c r="CQ34" t="e">
        <f>#REF!+"vlM!$.5"</f>
        <v>#REF!</v>
      </c>
      <c r="CR34" t="e">
        <f>#REF!+"vlM!$.6"</f>
        <v>#REF!</v>
      </c>
      <c r="CS34" t="e">
        <f>#REF!+"vlM!$.7"</f>
        <v>#REF!</v>
      </c>
      <c r="CT34" t="e">
        <f>#REF!+"vlM!$.8"</f>
        <v>#REF!</v>
      </c>
      <c r="CU34" t="e">
        <f>#REF!+"vlM!$.9"</f>
        <v>#REF!</v>
      </c>
      <c r="CV34" t="e">
        <f>#REF!+"vlM!$.:"</f>
        <v>#REF!</v>
      </c>
      <c r="CW34" t="e">
        <f>#REF!+"vlM!$.;"</f>
        <v>#REF!</v>
      </c>
      <c r="CX34" s="1" t="e">
        <f>#REF!+"vlM!$.&lt;"</f>
        <v>#REF!</v>
      </c>
      <c r="CY34" t="e">
        <f>#REF!+"vlM!$.="</f>
        <v>#REF!</v>
      </c>
      <c r="CZ34" t="e">
        <f>#REF!+"vlM!$.&gt;"</f>
        <v>#REF!</v>
      </c>
      <c r="DA34" t="e">
        <f>#REF!+"vlM!$.?"</f>
        <v>#REF!</v>
      </c>
      <c r="DB34" t="e">
        <f>#REF!+"vlM!$.@"</f>
        <v>#REF!</v>
      </c>
      <c r="DC34" t="e">
        <f>#REF!+"vlM!$.A"</f>
        <v>#REF!</v>
      </c>
      <c r="DD34" t="e">
        <f>#REF!+"vlM!$.B"</f>
        <v>#REF!</v>
      </c>
      <c r="DE34" t="e">
        <f>#REF!+"vlM!$.C"</f>
        <v>#REF!</v>
      </c>
      <c r="DF34" t="e">
        <f>#REF!+"vlM!$.D"</f>
        <v>#REF!</v>
      </c>
      <c r="DG34" t="e">
        <f>#REF!+"vlM!$.E"</f>
        <v>#REF!</v>
      </c>
      <c r="DH34" t="e">
        <f>#REF!+"vlM!$.F"</f>
        <v>#REF!</v>
      </c>
      <c r="DI34" t="e">
        <f>#REF!+"vlM!$.G"</f>
        <v>#REF!</v>
      </c>
      <c r="DJ34" t="e">
        <f>#REF!+"vlM!$.H"</f>
        <v>#REF!</v>
      </c>
      <c r="DK34" t="e">
        <f>#REF!+"vlM!$.I"</f>
        <v>#REF!</v>
      </c>
      <c r="DL34" t="e">
        <f>#REF!+"vlM!$.J"</f>
        <v>#REF!</v>
      </c>
      <c r="DM34" s="1" t="e">
        <f>#REF!+"vlM!$.K"</f>
        <v>#REF!</v>
      </c>
      <c r="DN34" t="e">
        <f>#REF!+"vlM!$.L"</f>
        <v>#REF!</v>
      </c>
      <c r="DO34" t="e">
        <f>#REF!+"vlM!$.M"</f>
        <v>#REF!</v>
      </c>
      <c r="DP34" t="e">
        <f>#REF!+"vlM!$.N"</f>
        <v>#REF!</v>
      </c>
      <c r="DQ34" t="e">
        <f>#REF!+"vlM!$.O"</f>
        <v>#REF!</v>
      </c>
      <c r="DR34" t="e">
        <f>#REF!+"vlM!$.P"</f>
        <v>#REF!</v>
      </c>
      <c r="DS34" t="e">
        <f>#REF!+"vlM!$.Q"</f>
        <v>#REF!</v>
      </c>
      <c r="DT34" t="e">
        <f>#REF!+"vlM!$.R"</f>
        <v>#REF!</v>
      </c>
      <c r="DU34" t="e">
        <f>#REF!+"vlM!$.S"</f>
        <v>#REF!</v>
      </c>
      <c r="DV34" t="e">
        <f>#REF!+"vlM!$.T"</f>
        <v>#REF!</v>
      </c>
      <c r="DW34" t="e">
        <f>#REF!+"vlM!$.U"</f>
        <v>#REF!</v>
      </c>
      <c r="DX34" t="e">
        <f>#REF!+"vlM!$.V"</f>
        <v>#REF!</v>
      </c>
      <c r="DY34" t="e">
        <f>#REF!+"vlM!$.W"</f>
        <v>#REF!</v>
      </c>
      <c r="DZ34" t="e">
        <f>#REF!+"vlM!$.X"</f>
        <v>#REF!</v>
      </c>
      <c r="EA34" t="e">
        <f>#REF!+"vlM!$.Y"</f>
        <v>#REF!</v>
      </c>
      <c r="EB34" s="1" t="e">
        <f>#REF!+"vlM!$.Z"</f>
        <v>#REF!</v>
      </c>
      <c r="EC34" t="e">
        <f>#REF!+"vlM!$.["</f>
        <v>#REF!</v>
      </c>
      <c r="ED34" t="e">
        <f>#REF!+"vlM!$.\"</f>
        <v>#REF!</v>
      </c>
      <c r="EE34" t="e">
        <f>#REF!+"vlM!$.]"</f>
        <v>#REF!</v>
      </c>
      <c r="EF34" t="e">
        <f>#REF!+"vlM!$.^"</f>
        <v>#REF!</v>
      </c>
      <c r="EG34" t="e">
        <f>#REF!+"vlM!$._"</f>
        <v>#REF!</v>
      </c>
      <c r="EH34" t="e">
        <f>#REF!+"vlM!$.`"</f>
        <v>#REF!</v>
      </c>
      <c r="EI34" t="e">
        <f>#REF!+"vlM!$.a"</f>
        <v>#REF!</v>
      </c>
      <c r="EJ34" t="e">
        <f>#REF!+"vlM!$.b"</f>
        <v>#REF!</v>
      </c>
      <c r="EK34" t="e">
        <f>#REF!+"vlM!$.c"</f>
        <v>#REF!</v>
      </c>
      <c r="EL34" t="e">
        <f>#REF!+"vlM!$.d"</f>
        <v>#REF!</v>
      </c>
      <c r="EM34" t="e">
        <f>#REF!+"vlM!$.e"</f>
        <v>#REF!</v>
      </c>
      <c r="EN34" t="e">
        <f>#REF!+"vlM!$.f"</f>
        <v>#REF!</v>
      </c>
      <c r="EO34" t="e">
        <f>#REF!+"vlM!$.g"</f>
        <v>#REF!</v>
      </c>
      <c r="EP34" t="e">
        <f>#REF!+"vlM!$.h"</f>
        <v>#REF!</v>
      </c>
      <c r="EQ34" s="1" t="e">
        <f>#REF!+"vlM!$.i"</f>
        <v>#REF!</v>
      </c>
      <c r="ER34" t="e">
        <f>#REF!+"vlM!$.j"</f>
        <v>#REF!</v>
      </c>
      <c r="ES34" t="e">
        <f>#REF!+"vlM!$.k"</f>
        <v>#REF!</v>
      </c>
      <c r="ET34" t="e">
        <f>#REF!+"vlM!$.l"</f>
        <v>#REF!</v>
      </c>
      <c r="EU34" t="e">
        <f>#REF!+"vlM!$.m"</f>
        <v>#REF!</v>
      </c>
      <c r="EV34" t="e">
        <f>#REF!+"vlM!$.n"</f>
        <v>#REF!</v>
      </c>
      <c r="EW34" t="e">
        <f>#REF!+"vlM!$.o"</f>
        <v>#REF!</v>
      </c>
      <c r="EX34" t="e">
        <f>#REF!+"vlM!$.p"</f>
        <v>#REF!</v>
      </c>
      <c r="EY34" t="e">
        <f>#REF!+"vlM!$.q"</f>
        <v>#REF!</v>
      </c>
      <c r="EZ34" t="e">
        <f>#REF!+"vlM!$.r"</f>
        <v>#REF!</v>
      </c>
      <c r="FA34" t="e">
        <f>#REF!+"vlM!$.s"</f>
        <v>#REF!</v>
      </c>
      <c r="FB34" t="e">
        <f>#REF!+"vlM!$.t"</f>
        <v>#REF!</v>
      </c>
      <c r="FC34" t="e">
        <f>#REF!+"vlM!$.u"</f>
        <v>#REF!</v>
      </c>
      <c r="FD34" t="e">
        <f>#REF!+"vlM!$.v"</f>
        <v>#REF!</v>
      </c>
      <c r="FE34" t="e">
        <f>#REF!+"vlM!$.w"</f>
        <v>#REF!</v>
      </c>
      <c r="FF34" s="1" t="e">
        <f>#REF!+"vlM!$.x"</f>
        <v>#REF!</v>
      </c>
      <c r="FG34" t="e">
        <f>#REF!+"vlM!$.y"</f>
        <v>#REF!</v>
      </c>
      <c r="FH34" t="e">
        <f>#REF!+"vlM!$.z"</f>
        <v>#REF!</v>
      </c>
      <c r="FI34" t="e">
        <f>#REF!+"vlM!$.{"</f>
        <v>#REF!</v>
      </c>
      <c r="FJ34" t="e">
        <f>#REF!+"vlM!$.|"</f>
        <v>#REF!</v>
      </c>
      <c r="FK34" t="e">
        <f>#REF!+"vlM!$.}"</f>
        <v>#REF!</v>
      </c>
      <c r="FL34" t="e">
        <f>#REF!+"vlM!$.~"</f>
        <v>#REF!</v>
      </c>
      <c r="FM34" t="e">
        <f>#REF!+"vlM!$/#"</f>
        <v>#REF!</v>
      </c>
      <c r="FN34" t="e">
        <f>#REF!+"vlM!$/$"</f>
        <v>#REF!</v>
      </c>
      <c r="FO34" t="e">
        <f>#REF!+"vlM!$/%"</f>
        <v>#REF!</v>
      </c>
      <c r="FP34" t="e">
        <f>#REF!+"vlM!$/&amp;"</f>
        <v>#REF!</v>
      </c>
      <c r="FQ34" t="e">
        <f>#REF!+"vlM!$/'"</f>
        <v>#REF!</v>
      </c>
      <c r="FR34" t="e">
        <f>#REF!+"vlM!$/("</f>
        <v>#REF!</v>
      </c>
      <c r="FS34" t="e">
        <f>#REF!+"vlM!$/)"</f>
        <v>#REF!</v>
      </c>
      <c r="FT34" t="e">
        <f>#REF!+"vlM!$/."</f>
        <v>#REF!</v>
      </c>
      <c r="FU34" s="1" t="e">
        <f>#REF!+"vlM!$//"</f>
        <v>#REF!</v>
      </c>
      <c r="FV34" t="e">
        <f>#REF!+"vlM!$/0"</f>
        <v>#REF!</v>
      </c>
      <c r="FW34" t="e">
        <f>#REF!+"vlM!$/1"</f>
        <v>#REF!</v>
      </c>
      <c r="FX34" t="e">
        <f>#REF!+"vlM!$/2"</f>
        <v>#REF!</v>
      </c>
      <c r="FY34" t="e">
        <f>#REF!+"vlM!$/3"</f>
        <v>#REF!</v>
      </c>
      <c r="FZ34" t="e">
        <f>#REF!+"vlM!$/4"</f>
        <v>#REF!</v>
      </c>
      <c r="GA34" t="e">
        <f>#REF!+"vlM!$/5"</f>
        <v>#REF!</v>
      </c>
      <c r="GB34" t="e">
        <f>#REF!+"vlM!$/6"</f>
        <v>#REF!</v>
      </c>
      <c r="GC34" t="e">
        <f>#REF!+"vlM!$/7"</f>
        <v>#REF!</v>
      </c>
      <c r="GD34" t="e">
        <f>#REF!+"vlM!$/8"</f>
        <v>#REF!</v>
      </c>
      <c r="GE34" t="e">
        <f>#REF!+"vlM!$/9"</f>
        <v>#REF!</v>
      </c>
      <c r="GF34" t="e">
        <f>#REF!+"vlM!$/:"</f>
        <v>#REF!</v>
      </c>
      <c r="GG34" t="e">
        <f>#REF!+"vlM!$/;"</f>
        <v>#REF!</v>
      </c>
      <c r="GH34" t="e">
        <f>#REF!+"vlM!$/&lt;"</f>
        <v>#REF!</v>
      </c>
      <c r="GI34" t="e">
        <f>#REF!+"vlM!$/="</f>
        <v>#REF!</v>
      </c>
      <c r="GJ34" s="1" t="e">
        <f>#REF!+"vlM!$/&gt;"</f>
        <v>#REF!</v>
      </c>
      <c r="GK34" t="e">
        <f>#REF!+"vlM!$/?"</f>
        <v>#REF!</v>
      </c>
      <c r="GL34" t="e">
        <f>#REF!+"vlM!$/@"</f>
        <v>#REF!</v>
      </c>
      <c r="GM34" t="e">
        <f>#REF!+"vlM!$/A"</f>
        <v>#REF!</v>
      </c>
      <c r="GN34" t="e">
        <f>#REF!+"vlM!$/B"</f>
        <v>#REF!</v>
      </c>
      <c r="GO34" t="e">
        <f>#REF!+"vlM!$/C"</f>
        <v>#REF!</v>
      </c>
      <c r="GP34" t="e">
        <f>#REF!+"vlM!$/D"</f>
        <v>#REF!</v>
      </c>
      <c r="GQ34" t="e">
        <f>#REF!+"vlM!$/E"</f>
        <v>#REF!</v>
      </c>
      <c r="GR34" t="e">
        <f>#REF!+"vlM!$/F"</f>
        <v>#REF!</v>
      </c>
      <c r="GS34" t="e">
        <f>#REF!+"vlM!$/G"</f>
        <v>#REF!</v>
      </c>
      <c r="GT34" t="e">
        <f>#REF!+"vlM!$/H"</f>
        <v>#REF!</v>
      </c>
      <c r="GU34" t="e">
        <f>#REF!+"vlM!$/I"</f>
        <v>#REF!</v>
      </c>
      <c r="GV34" t="e">
        <f>#REF!+"vlM!$/J"</f>
        <v>#REF!</v>
      </c>
      <c r="GW34" t="e">
        <f>#REF!+"vlM!$/K"</f>
        <v>#REF!</v>
      </c>
      <c r="GX34" t="e">
        <f>#REF!+"vlM!$/L"</f>
        <v>#REF!</v>
      </c>
      <c r="GY34" s="1" t="e">
        <f>#REF!+"vlM!$/M"</f>
        <v>#REF!</v>
      </c>
      <c r="GZ34" t="e">
        <f>#REF!+"vlM!$/N"</f>
        <v>#REF!</v>
      </c>
      <c r="HA34" t="e">
        <f>#REF!+"vlM!$/O"</f>
        <v>#REF!</v>
      </c>
      <c r="HB34" t="e">
        <f>#REF!+"vlM!$/P"</f>
        <v>#REF!</v>
      </c>
      <c r="HC34" t="e">
        <f>#REF!+"vlM!$/Q"</f>
        <v>#REF!</v>
      </c>
      <c r="HD34" t="e">
        <f>#REF!+"vlM!$/R"</f>
        <v>#REF!</v>
      </c>
      <c r="HE34" t="e">
        <f>#REF!+"vlM!$/S"</f>
        <v>#REF!</v>
      </c>
      <c r="HF34" t="e">
        <f>#REF!+"vlM!$/T"</f>
        <v>#REF!</v>
      </c>
      <c r="HG34" t="e">
        <f>#REF!+"vlM!$/U"</f>
        <v>#REF!</v>
      </c>
      <c r="HH34" t="e">
        <f>#REF!+"vlM!$/V"</f>
        <v>#REF!</v>
      </c>
      <c r="HI34" t="e">
        <f>#REF!+"vlM!$/W"</f>
        <v>#REF!</v>
      </c>
      <c r="HJ34" t="e">
        <f>#REF!+"vlM!$/X"</f>
        <v>#REF!</v>
      </c>
      <c r="HK34" t="e">
        <f>#REF!+"vlM!$/Y"</f>
        <v>#REF!</v>
      </c>
      <c r="HL34" t="e">
        <f>#REF!+"vlM!$/Z"</f>
        <v>#REF!</v>
      </c>
      <c r="HM34" t="e">
        <f>#REF!+"vlM!$/["</f>
        <v>#REF!</v>
      </c>
      <c r="HN34" s="1" t="e">
        <f>#REF!+"vlM!$/\"</f>
        <v>#REF!</v>
      </c>
      <c r="HO34" t="e">
        <f>#REF!+"vlM!$/]"</f>
        <v>#REF!</v>
      </c>
      <c r="HP34" t="e">
        <f>#REF!+"vlM!$/^"</f>
        <v>#REF!</v>
      </c>
      <c r="HQ34" t="e">
        <f>#REF!+"vlM!$/_"</f>
        <v>#REF!</v>
      </c>
      <c r="HR34" t="e">
        <f>#REF!+"vlM!$/`"</f>
        <v>#REF!</v>
      </c>
      <c r="HS34" t="e">
        <f>#REF!+"vlM!$/a"</f>
        <v>#REF!</v>
      </c>
      <c r="HT34" t="e">
        <f>#REF!+"vlM!$/b"</f>
        <v>#REF!</v>
      </c>
      <c r="HU34" t="e">
        <f>#REF!+"vlM!$/c"</f>
        <v>#REF!</v>
      </c>
      <c r="HV34" t="e">
        <f>#REF!+"vlM!$/d"</f>
        <v>#REF!</v>
      </c>
      <c r="HW34" t="e">
        <f>#REF!+"vlM!$/e"</f>
        <v>#REF!</v>
      </c>
      <c r="HX34" t="e">
        <f>#REF!+"vlM!$/f"</f>
        <v>#REF!</v>
      </c>
      <c r="HY34" t="e">
        <f>#REF!+"vlM!$/g"</f>
        <v>#REF!</v>
      </c>
      <c r="HZ34" t="e">
        <f>#REF!+"vlM!$/h"</f>
        <v>#REF!</v>
      </c>
      <c r="IA34" t="e">
        <f>#REF!+"vlM!$/i"</f>
        <v>#REF!</v>
      </c>
      <c r="IB34" t="e">
        <f>#REF!+"vlM!$/j"</f>
        <v>#REF!</v>
      </c>
      <c r="IC34" s="1" t="e">
        <f>#REF!+"vlM!$/k"</f>
        <v>#REF!</v>
      </c>
      <c r="ID34" t="e">
        <f>#REF!+"vlM!$/l"</f>
        <v>#REF!</v>
      </c>
      <c r="IE34" t="e">
        <f>#REF!+"vlM!$/m"</f>
        <v>#REF!</v>
      </c>
      <c r="IF34" t="e">
        <f>#REF!+"vlM!$/n"</f>
        <v>#REF!</v>
      </c>
      <c r="IG34" t="e">
        <f>#REF!+"vlM!$/o"</f>
        <v>#REF!</v>
      </c>
      <c r="IH34" t="e">
        <f>#REF!+"vlM!$/p"</f>
        <v>#REF!</v>
      </c>
      <c r="II34" t="e">
        <f>#REF!+"vlM!$/q"</f>
        <v>#REF!</v>
      </c>
      <c r="IJ34" t="e">
        <f>#REF!+"vlM!$/r"</f>
        <v>#REF!</v>
      </c>
      <c r="IK34" t="e">
        <f>#REF!+"vlM!$/s"</f>
        <v>#REF!</v>
      </c>
      <c r="IL34" t="e">
        <f>#REF!+"vlM!$/t"</f>
        <v>#REF!</v>
      </c>
      <c r="IM34" t="e">
        <f>#REF!+"vlM!$/u"</f>
        <v>#REF!</v>
      </c>
      <c r="IN34" t="e">
        <f>#REF!+"vlM!$/v"</f>
        <v>#REF!</v>
      </c>
      <c r="IO34" t="e">
        <f>#REF!+"vlM!$/w"</f>
        <v>#REF!</v>
      </c>
      <c r="IP34" t="e">
        <f>#REF!+"vlM!$/x"</f>
        <v>#REF!</v>
      </c>
      <c r="IQ34" t="e">
        <f>#REF!+"vlM!$/y"</f>
        <v>#REF!</v>
      </c>
      <c r="IR34" s="1" t="e">
        <f>#REF!+"vlM!$/z"</f>
        <v>#REF!</v>
      </c>
      <c r="IS34" t="e">
        <f>#REF!+"vlM!$/{"</f>
        <v>#REF!</v>
      </c>
      <c r="IT34" t="e">
        <f>#REF!+"vlM!$/|"</f>
        <v>#REF!</v>
      </c>
      <c r="IU34" t="e">
        <f>#REF!+"vlM!$/}"</f>
        <v>#REF!</v>
      </c>
      <c r="IV34" t="e">
        <f>#REF!+"vlM!$/~"</f>
        <v>#REF!</v>
      </c>
    </row>
    <row r="35" spans="6:256" x14ac:dyDescent="0.25">
      <c r="F35" t="e">
        <f>#REF!+"vlM!$0#"</f>
        <v>#REF!</v>
      </c>
      <c r="G35" t="e">
        <f>#REF!+"vlM!$0$"</f>
        <v>#REF!</v>
      </c>
      <c r="H35" t="e">
        <f>#REF!+"vlM!$0%"</f>
        <v>#REF!</v>
      </c>
      <c r="I35" t="e">
        <f>#REF!+"vlM!$0&amp;"</f>
        <v>#REF!</v>
      </c>
      <c r="J35" t="e">
        <f>#REF!+"vlM!$0'"</f>
        <v>#REF!</v>
      </c>
      <c r="K35" t="e">
        <f>#REF!+"vlM!$0("</f>
        <v>#REF!</v>
      </c>
      <c r="L35" t="e">
        <f>#REF!+"vlM!$0)"</f>
        <v>#REF!</v>
      </c>
      <c r="M35" t="e">
        <f>#REF!+"vlM!$0."</f>
        <v>#REF!</v>
      </c>
      <c r="N35" t="e">
        <f>#REF!+"vlM!$0/"</f>
        <v>#REF!</v>
      </c>
      <c r="O35" t="e">
        <f>#REF!+"vlM!$00"</f>
        <v>#REF!</v>
      </c>
      <c r="P35" s="1" t="e">
        <f>#REF!+"vlM!$01"</f>
        <v>#REF!</v>
      </c>
      <c r="Q35" t="e">
        <f>#REF!+"vlM!$02"</f>
        <v>#REF!</v>
      </c>
      <c r="R35" t="e">
        <f>#REF!+"vlM!$03"</f>
        <v>#REF!</v>
      </c>
      <c r="S35" t="e">
        <f>#REF!+"vlM!$04"</f>
        <v>#REF!</v>
      </c>
      <c r="T35" t="e">
        <f>#REF!+"vlM!$05"</f>
        <v>#REF!</v>
      </c>
      <c r="U35" t="e">
        <f>#REF!+"vlM!$06"</f>
        <v>#REF!</v>
      </c>
      <c r="V35" t="e">
        <f>#REF!+"vlM!$07"</f>
        <v>#REF!</v>
      </c>
      <c r="W35" t="e">
        <f>#REF!+"vlM!$08"</f>
        <v>#REF!</v>
      </c>
      <c r="X35" t="e">
        <f>#REF!+"vlM!$09"</f>
        <v>#REF!</v>
      </c>
      <c r="Y35" t="e">
        <f>#REF!+"vlM!$0:"</f>
        <v>#REF!</v>
      </c>
      <c r="Z35" t="e">
        <f>#REF!+"vlM!$0;"</f>
        <v>#REF!</v>
      </c>
      <c r="AA35" t="e">
        <f>#REF!+"vlM!$0&lt;"</f>
        <v>#REF!</v>
      </c>
      <c r="AB35" t="e">
        <f>#REF!+"vlM!$0="</f>
        <v>#REF!</v>
      </c>
      <c r="AC35" t="e">
        <f>#REF!+"vlM!$0&gt;"</f>
        <v>#REF!</v>
      </c>
      <c r="AD35" t="e">
        <f>#REF!+"vlM!$0?"</f>
        <v>#REF!</v>
      </c>
      <c r="AE35" s="1" t="e">
        <f>#REF!+"vlM!$0@"</f>
        <v>#REF!</v>
      </c>
      <c r="AF35" t="e">
        <f>#REF!+"vlM!$0A"</f>
        <v>#REF!</v>
      </c>
      <c r="AG35" t="e">
        <f>#REF!+"vlM!$0B"</f>
        <v>#REF!</v>
      </c>
      <c r="AH35" t="e">
        <f>#REF!+"vlM!$0C"</f>
        <v>#REF!</v>
      </c>
      <c r="AI35" t="e">
        <f>#REF!+"vlM!$0D"</f>
        <v>#REF!</v>
      </c>
      <c r="AJ35" t="e">
        <f>#REF!+"vlM!$0E"</f>
        <v>#REF!</v>
      </c>
      <c r="AK35" t="e">
        <f>#REF!+"vlM!$0F"</f>
        <v>#REF!</v>
      </c>
      <c r="AL35" t="e">
        <f>#REF!+"vlM!$0G"</f>
        <v>#REF!</v>
      </c>
      <c r="AM35" t="e">
        <f>#REF!+"vlM!$0H"</f>
        <v>#REF!</v>
      </c>
      <c r="AN35" t="e">
        <f>#REF!+"vlM!$0I"</f>
        <v>#REF!</v>
      </c>
      <c r="AO35" t="e">
        <f>#REF!+"vlM!$0J"</f>
        <v>#REF!</v>
      </c>
      <c r="AP35" t="e">
        <f>#REF!+"vlM!$0K"</f>
        <v>#REF!</v>
      </c>
      <c r="AQ35" t="e">
        <f>#REF!+"vlM!$0L"</f>
        <v>#REF!</v>
      </c>
      <c r="AR35" t="e">
        <f>#REF!*"vlM!$0Q"</f>
        <v>#REF!</v>
      </c>
      <c r="AS35" t="e">
        <f>#REF!*"vlM!$0R"</f>
        <v>#REF!</v>
      </c>
      <c r="AT35" t="e">
        <f>#REF!*"vlM!$0S"</f>
        <v>#REF!</v>
      </c>
      <c r="AU35" t="e">
        <f>#REF!*"vlM!$0T"</f>
        <v>#REF!</v>
      </c>
      <c r="AV35" t="e">
        <f>#REF!*"vlM!$0U"</f>
        <v>#REF!</v>
      </c>
      <c r="AW35" t="e">
        <f>#REF!*"vlM!$0V"</f>
        <v>#REF!</v>
      </c>
      <c r="AX35" t="e">
        <f>#REF!*"vlM!$0W"</f>
        <v>#REF!</v>
      </c>
      <c r="AY35" t="e">
        <f>#REF!*"vlM!$0X"</f>
        <v>#REF!</v>
      </c>
      <c r="AZ35" t="e">
        <f>#REF!*"vlM!$0Y"</f>
        <v>#REF!</v>
      </c>
      <c r="BA35" t="e">
        <f>#REF!*"vlM!$0Z"</f>
        <v>#REF!</v>
      </c>
      <c r="BB35" t="e">
        <f>#REF!*"vlM!$0["</f>
        <v>#REF!</v>
      </c>
      <c r="BC35" t="e">
        <f>#REF!*"vlM!$0\"</f>
        <v>#REF!</v>
      </c>
      <c r="BD35" t="e">
        <f>#REF!*"vlM!$0]"</f>
        <v>#REF!</v>
      </c>
      <c r="BE35" t="e">
        <f>#REF!*"vlM!$0^"</f>
        <v>#REF!</v>
      </c>
      <c r="BF35" t="e">
        <f>#REF!*"vlM!$0_"</f>
        <v>#REF!</v>
      </c>
      <c r="BG35" t="e">
        <f>#REF!*"vlM!$0`"</f>
        <v>#REF!</v>
      </c>
      <c r="BH35" t="e">
        <f>#REF!*"vlM!$0a"</f>
        <v>#REF!</v>
      </c>
      <c r="BI35" t="e">
        <f>#REF!*"vlM!$0b"</f>
        <v>#REF!</v>
      </c>
      <c r="BJ35" t="e">
        <f>#REF!*"vlM!$0c"</f>
        <v>#REF!</v>
      </c>
      <c r="BK35" t="e">
        <f>#REF!*"vlM!$0d"</f>
        <v>#REF!</v>
      </c>
      <c r="BL35" t="e">
        <f>#REF!*"vlM!$0e"</f>
        <v>#REF!</v>
      </c>
      <c r="BM35" t="e">
        <f>#REF!*"vlM!$0f"</f>
        <v>#REF!</v>
      </c>
      <c r="BN35" t="e">
        <f>#REF!*"vlM!$0g"</f>
        <v>#REF!</v>
      </c>
      <c r="BO35" t="e">
        <f>#REF!*"vlM!$0h"</f>
        <v>#REF!</v>
      </c>
      <c r="BP35" t="e">
        <f>#REF!*"vlM!$0i"</f>
        <v>#REF!</v>
      </c>
      <c r="BQ35" t="e">
        <f>#REF!*"vlM!$0j"</f>
        <v>#REF!</v>
      </c>
      <c r="BR35" t="e">
        <f>#REF!*"vlM!$0k"</f>
        <v>#REF!</v>
      </c>
      <c r="BS35" t="e">
        <f>#REF!*"vlM!$0l"</f>
        <v>#REF!</v>
      </c>
      <c r="BT35" t="e">
        <f>#REF!*"vlM!$0m"</f>
        <v>#REF!</v>
      </c>
      <c r="BU35" t="e">
        <f>#REF!*"vlM!$0n"</f>
        <v>#REF!</v>
      </c>
      <c r="BV35" t="e">
        <f>#REF!*"vlM!$0o"</f>
        <v>#REF!</v>
      </c>
      <c r="BW35" t="e">
        <f>#REF!*"vlM!$0p"</f>
        <v>#REF!</v>
      </c>
      <c r="BX35" t="e">
        <f>#REF!*"vlM!$0q"</f>
        <v>#REF!</v>
      </c>
      <c r="BY35" t="e">
        <f>#REF!*"vlM!$0r"</f>
        <v>#REF!</v>
      </c>
      <c r="BZ35" t="e">
        <f>#REF!*"vlM!$0s"</f>
        <v>#REF!</v>
      </c>
      <c r="CA35" t="e">
        <f>#REF!*"vlM!$0t"</f>
        <v>#REF!</v>
      </c>
      <c r="CB35" t="e">
        <f>#REF!*"vlM!$0u"</f>
        <v>#REF!</v>
      </c>
      <c r="CC35" t="e">
        <f>#REF!*"vlM!$0v"</f>
        <v>#REF!</v>
      </c>
      <c r="CD35" t="e">
        <f>#REF!*"vlM!$0w"</f>
        <v>#REF!</v>
      </c>
      <c r="CE35" t="e">
        <f>#REF!*"vlM!$0x"</f>
        <v>#REF!</v>
      </c>
      <c r="CF35" t="e">
        <f>#REF!*"vlM!$0y"</f>
        <v>#REF!</v>
      </c>
      <c r="CG35" t="e">
        <f>#REF!*"vlM!$0z"</f>
        <v>#REF!</v>
      </c>
      <c r="CH35" t="e">
        <f>#REF!*"vlM!$0{"</f>
        <v>#REF!</v>
      </c>
      <c r="CI35" t="e">
        <f>#REF!*"vlM!$0|"</f>
        <v>#REF!</v>
      </c>
      <c r="CJ35" t="e">
        <f>#REF!*"vlM!$0}"</f>
        <v>#REF!</v>
      </c>
      <c r="CK35" t="e">
        <f>#REF!*"vlM!$0~"</f>
        <v>#REF!</v>
      </c>
      <c r="CL35" t="e">
        <f>#REF!*"vlM!$1#"</f>
        <v>#REF!</v>
      </c>
      <c r="CM35" t="e">
        <f>#REF!*"vlM!$1$"</f>
        <v>#REF!</v>
      </c>
      <c r="CN35" t="e">
        <f>#REF!*"vlM!$1%"</f>
        <v>#REF!</v>
      </c>
      <c r="CO35" t="e">
        <f>#REF!*"vlM!$1&amp;"</f>
        <v>#REF!</v>
      </c>
      <c r="CP35" t="e">
        <f>#REF!*"vlM!$1'"</f>
        <v>#REF!</v>
      </c>
      <c r="CQ35" t="e">
        <f>#REF!*"vlM!$1("</f>
        <v>#REF!</v>
      </c>
      <c r="CR35" t="e">
        <f>#REF!*"vlM!$1)"</f>
        <v>#REF!</v>
      </c>
      <c r="CS35" t="e">
        <f>#REF!*"vlM!$1."</f>
        <v>#REF!</v>
      </c>
      <c r="CT35" t="e">
        <f>#REF!*"vlM!$1/"</f>
        <v>#REF!</v>
      </c>
      <c r="CU35" t="e">
        <f>#REF!*"vlM!$10"</f>
        <v>#REF!</v>
      </c>
      <c r="CV35" t="e">
        <f>#REF!*"vlM!$11"</f>
        <v>#REF!</v>
      </c>
      <c r="CW35" t="e">
        <f>#REF!*"vlM!$12"</f>
        <v>#REF!</v>
      </c>
      <c r="CX35" t="e">
        <f>#REF!*"vlM!$13"</f>
        <v>#REF!</v>
      </c>
      <c r="CY35" t="e">
        <f>#REF!*"vlM!$14"</f>
        <v>#REF!</v>
      </c>
      <c r="CZ35" t="e">
        <f>#REF!*"vlM!$15"</f>
        <v>#REF!</v>
      </c>
      <c r="DA35" t="e">
        <f>#REF!*"vlM!$16"</f>
        <v>#REF!</v>
      </c>
      <c r="DB35" t="e">
        <f>#REF!*"vlM!$17"</f>
        <v>#REF!</v>
      </c>
      <c r="DC35" t="e">
        <f>#REF!*"vlM!$18"</f>
        <v>#REF!</v>
      </c>
      <c r="DD35" t="e">
        <f>#REF!*"vlM!$19"</f>
        <v>#REF!</v>
      </c>
      <c r="DE35" t="e">
        <f>#REF!-"vlM!$1:"</f>
        <v>#REF!</v>
      </c>
      <c r="DF35" t="e">
        <f>#REF!-"vlM!$1;"</f>
        <v>#REF!</v>
      </c>
      <c r="DG35" t="e">
        <f>#REF!-"vlM!$1&lt;"</f>
        <v>#REF!</v>
      </c>
      <c r="DH35" t="e">
        <f>#REF!-"vlM!$1="</f>
        <v>#REF!</v>
      </c>
      <c r="DI35" t="e">
        <f>#REF!-"vlM!$1&gt;"</f>
        <v>#REF!</v>
      </c>
      <c r="DJ35" t="e">
        <f>#REF!-"vlM!$1?"</f>
        <v>#REF!</v>
      </c>
      <c r="DK35" t="e">
        <f>#REF!-"vlM!$1@"</f>
        <v>#REF!</v>
      </c>
      <c r="DL35" t="e">
        <f>#REF!-"vlM!$1A"</f>
        <v>#REF!</v>
      </c>
      <c r="DM35" t="e">
        <f>#REF!-"vlM!$1B"</f>
        <v>#REF!</v>
      </c>
      <c r="DN35" t="e">
        <f>#REF!-"vlM!$1C"</f>
        <v>#REF!</v>
      </c>
      <c r="DO35" t="e">
        <f>#REF!-"vlM!$1D"</f>
        <v>#REF!</v>
      </c>
      <c r="DP35" t="e">
        <f>#REF!-"vlM!$1E"</f>
        <v>#REF!</v>
      </c>
      <c r="DQ35" t="e">
        <f>#REF!-"vlM!$1F"</f>
        <v>#REF!</v>
      </c>
      <c r="DR35" t="e">
        <f>#REF!-"vlM!$1G"</f>
        <v>#REF!</v>
      </c>
      <c r="DS35" t="e">
        <f>#REF!-"vlM!$1H"</f>
        <v>#REF!</v>
      </c>
      <c r="DT35" t="e">
        <f>#REF!-"vlM!$1I"</f>
        <v>#REF!</v>
      </c>
      <c r="DU35" t="e">
        <f>#REF!-"vlM!$1J"</f>
        <v>#REF!</v>
      </c>
      <c r="DV35" t="e">
        <f>#REF!-"vlM!$1K"</f>
        <v>#REF!</v>
      </c>
      <c r="DW35" t="e">
        <f>#REF!-"vlM!$1L"</f>
        <v>#REF!</v>
      </c>
      <c r="DX35" t="e">
        <f>#REF!-"vlM!$1M"</f>
        <v>#REF!</v>
      </c>
      <c r="DY35" t="e">
        <f>#REF!-"vlM!$1N"</f>
        <v>#REF!</v>
      </c>
      <c r="DZ35" t="e">
        <f>#REF!-"vlM!$1O"</f>
        <v>#REF!</v>
      </c>
      <c r="EA35" t="e">
        <f>#REF!-"vlM!$1P"</f>
        <v>#REF!</v>
      </c>
      <c r="EB35" t="e">
        <f>#REF!-"vlM!$1Q"</f>
        <v>#REF!</v>
      </c>
      <c r="EC35" t="e">
        <f>#REF!-"vlM!$1R"</f>
        <v>#REF!</v>
      </c>
      <c r="ED35" t="e">
        <f>#REF!-"vlM!$1S"</f>
        <v>#REF!</v>
      </c>
      <c r="EE35" t="e">
        <f>#REF!-"vlM!$1T"</f>
        <v>#REF!</v>
      </c>
      <c r="EF35" t="e">
        <f>#REF!-"vlM!$1U"</f>
        <v>#REF!</v>
      </c>
      <c r="EG35" t="e">
        <f>#REF!-"vlM!$1V"</f>
        <v>#REF!</v>
      </c>
      <c r="EH35" t="e">
        <f>#REF!-"vlM!$1W"</f>
        <v>#REF!</v>
      </c>
      <c r="EI35" t="e">
        <f>#REF!-"vlM!$1X"</f>
        <v>#REF!</v>
      </c>
      <c r="EJ35" t="e">
        <f>#REF!-"vlM!$1Y"</f>
        <v>#REF!</v>
      </c>
      <c r="EK35" t="e">
        <f>#REF!-"vlM!$1Z"</f>
        <v>#REF!</v>
      </c>
      <c r="EL35" t="e">
        <f>#REF!-"vlM!$1["</f>
        <v>#REF!</v>
      </c>
      <c r="EM35" t="e">
        <f>#REF!-"vlM!$1\"</f>
        <v>#REF!</v>
      </c>
      <c r="EN35" t="e">
        <f>#REF!-"vlM!$1]"</f>
        <v>#REF!</v>
      </c>
      <c r="EO35" t="e">
        <f>#REF!-"vlM!$1^"</f>
        <v>#REF!</v>
      </c>
      <c r="EP35" t="e">
        <f>#REF!-"vlM!$1_"</f>
        <v>#REF!</v>
      </c>
      <c r="EQ35" t="e">
        <f>#REF!-"vlM!$1`"</f>
        <v>#REF!</v>
      </c>
      <c r="ER35" t="e">
        <f>#REF!-"vlM!$1a"</f>
        <v>#REF!</v>
      </c>
      <c r="ES35" t="e">
        <f>#REF!-"vlM!$1b"</f>
        <v>#REF!</v>
      </c>
      <c r="ET35" t="e">
        <f>#REF!-"vlM!$1c"</f>
        <v>#REF!</v>
      </c>
      <c r="EU35" t="e">
        <f>#REF!-"vlM!$1d"</f>
        <v>#REF!</v>
      </c>
      <c r="EV35" t="e">
        <f>#REF!-"vlM!$1e"</f>
        <v>#REF!</v>
      </c>
      <c r="EW35" t="e">
        <f>#REF!-"vlM!$1f"</f>
        <v>#REF!</v>
      </c>
      <c r="EX35" t="e">
        <f>#REF!-"vlM!$1g"</f>
        <v>#REF!</v>
      </c>
      <c r="EY35" t="e">
        <f>#REF!-"vlM!$1h"</f>
        <v>#REF!</v>
      </c>
      <c r="EZ35" t="e">
        <f>#REF!-"vlM!$1i"</f>
        <v>#REF!</v>
      </c>
      <c r="FA35" t="e">
        <f>#REF!-"vlM!$1j"</f>
        <v>#REF!</v>
      </c>
      <c r="FB35" t="e">
        <f>#REF!-"vlM!$1k"</f>
        <v>#REF!</v>
      </c>
      <c r="FC35" t="e">
        <f>#REF!-"vlM!$1l"</f>
        <v>#REF!</v>
      </c>
      <c r="FD35" t="e">
        <f>#REF!-"vlM!$1m"</f>
        <v>#REF!</v>
      </c>
      <c r="FE35" t="e">
        <f>#REF!-"vlM!$1n"</f>
        <v>#REF!</v>
      </c>
      <c r="FF35" t="e">
        <f>#REF!-"vlM!$1o"</f>
        <v>#REF!</v>
      </c>
      <c r="FG35" t="e">
        <f>#REF!-"vlM!$1p"</f>
        <v>#REF!</v>
      </c>
      <c r="FH35" t="e">
        <f>#REF!-"vlM!$1q"</f>
        <v>#REF!</v>
      </c>
      <c r="FI35" t="e">
        <f>#REF!-"vlM!$1r"</f>
        <v>#REF!</v>
      </c>
      <c r="FJ35" t="e">
        <f>#REF!-"vlM!$1s"</f>
        <v>#REF!</v>
      </c>
      <c r="FK35" t="e">
        <f>#REF!-"vlM!$1t"</f>
        <v>#REF!</v>
      </c>
      <c r="FL35" t="e">
        <f>#REF!-"vlM!$1u"</f>
        <v>#REF!</v>
      </c>
      <c r="FM35" t="e">
        <f>#REF!-"vlM!$1v"</f>
        <v>#REF!</v>
      </c>
      <c r="FN35" t="e">
        <f>#REF!-"vlM!$1w"</f>
        <v>#REF!</v>
      </c>
      <c r="FO35" t="e">
        <f>#REF!-"vlM!$1x"</f>
        <v>#REF!</v>
      </c>
      <c r="FP35" t="e">
        <f>#REF!-"vlM!$1y"</f>
        <v>#REF!</v>
      </c>
      <c r="FQ35" t="e">
        <f>#REF!-"vlM!$1z"</f>
        <v>#REF!</v>
      </c>
      <c r="FR35" t="e">
        <f>#REF!-"vlM!$1{"</f>
        <v>#REF!</v>
      </c>
      <c r="FS35" t="e">
        <f>#REF!-"vlM!$1|"</f>
        <v>#REF!</v>
      </c>
      <c r="FT35" t="e">
        <f>#REF!-"vlM!$1}"</f>
        <v>#REF!</v>
      </c>
      <c r="FU35" t="e">
        <f>#REF!-"vlM!$1~"</f>
        <v>#REF!</v>
      </c>
      <c r="FV35" t="e">
        <f>#REF!-"vlM!$2#"</f>
        <v>#REF!</v>
      </c>
      <c r="FW35" t="e">
        <f>#REF!-"vlM!$2$"</f>
        <v>#REF!</v>
      </c>
      <c r="FX35" t="e">
        <f>#REF!-"vlM!$2%"</f>
        <v>#REF!</v>
      </c>
      <c r="FY35" t="e">
        <f>#REF!-"vlM!$2&amp;"</f>
        <v>#REF!</v>
      </c>
      <c r="FZ35" t="e">
        <f>#REF!-"vlM!$2'"</f>
        <v>#REF!</v>
      </c>
      <c r="GA35" t="e">
        <f>#REF!-"vlM!$2("</f>
        <v>#REF!</v>
      </c>
      <c r="GB35" t="e">
        <f>#REF!-"vlM!$2)"</f>
        <v>#REF!</v>
      </c>
      <c r="GC35" t="e">
        <f>#REF!-"vlM!$2."</f>
        <v>#REF!</v>
      </c>
      <c r="GD35" t="e">
        <f>#REF!-"vlM!$2/"</f>
        <v>#REF!</v>
      </c>
      <c r="GE35" t="e">
        <f>#REF!-"vlM!$20"</f>
        <v>#REF!</v>
      </c>
      <c r="GF35" t="e">
        <f>#REF!-"vlM!$21"</f>
        <v>#REF!</v>
      </c>
      <c r="GG35" t="e">
        <f>#REF!-"vlM!$22"</f>
        <v>#REF!</v>
      </c>
      <c r="GH35" t="e">
        <f>#REF!-"vlM!$23"</f>
        <v>#REF!</v>
      </c>
      <c r="GI35" t="e">
        <f>#REF!-"vlM!$24"</f>
        <v>#REF!</v>
      </c>
      <c r="GJ35" t="e">
        <f>#REF!-"vlM!$25"</f>
        <v>#REF!</v>
      </c>
      <c r="GK35" t="e">
        <f>#REF!-"vlM!$26"</f>
        <v>#REF!</v>
      </c>
      <c r="GL35" t="e">
        <f>#REF!-"vlM!$27"</f>
        <v>#REF!</v>
      </c>
      <c r="GM35" t="e">
        <f>#REF!-"vlM!$28"</f>
        <v>#REF!</v>
      </c>
      <c r="GN35" t="e">
        <f>#REF!-"vlM!$29"</f>
        <v>#REF!</v>
      </c>
      <c r="GO35" t="e">
        <f>#REF!-"vlM!$2:"</f>
        <v>#REF!</v>
      </c>
      <c r="GP35" t="e">
        <f>#REF!-"vlM!$2;"</f>
        <v>#REF!</v>
      </c>
      <c r="GQ35" t="e">
        <f>#REF!-"vlM!$2&lt;"</f>
        <v>#REF!</v>
      </c>
      <c r="GR35" t="e">
        <f>#REF!-"vlM!$2="</f>
        <v>#REF!</v>
      </c>
      <c r="GS35" t="e">
        <f>#REF!-"vlM!$2&gt;"</f>
        <v>#REF!</v>
      </c>
      <c r="GT35" t="e">
        <f>#REF!-"vlM!$2?"</f>
        <v>#REF!</v>
      </c>
      <c r="GU35" t="e">
        <f>#REF!-"vlM!$2@"</f>
        <v>#REF!</v>
      </c>
      <c r="GV35" t="e">
        <f>#REF!-"vlM!$2A"</f>
        <v>#REF!</v>
      </c>
      <c r="GW35" t="e">
        <f>#REF!-"vlM!$2B"</f>
        <v>#REF!</v>
      </c>
      <c r="GX35" t="e">
        <f>#REF!-"vlM!$2C"</f>
        <v>#REF!</v>
      </c>
      <c r="GY35" t="e">
        <f>#REF!-"vlM!$2D"</f>
        <v>#REF!</v>
      </c>
      <c r="GZ35" t="e">
        <f>#REF!-"vlM!$2E"</f>
        <v>#REF!</v>
      </c>
      <c r="HA35" t="e">
        <f>#REF!-"vlM!$2F"</f>
        <v>#REF!</v>
      </c>
      <c r="HB35" t="e">
        <f>#REF!-"vlM!$2G"</f>
        <v>#REF!</v>
      </c>
      <c r="HC35" t="e">
        <f>#REF!-"vlM!$2H"</f>
        <v>#REF!</v>
      </c>
      <c r="HD35" t="e">
        <f>#REF!-"vlM!$2I"</f>
        <v>#REF!</v>
      </c>
      <c r="HE35" t="e">
        <f>#REF!-"vlM!$2J"</f>
        <v>#REF!</v>
      </c>
      <c r="HF35" t="e">
        <f>#REF!-"vlM!$2K"</f>
        <v>#REF!</v>
      </c>
      <c r="HG35" t="e">
        <f>#REF!-"vlM!$2L"</f>
        <v>#REF!</v>
      </c>
      <c r="HH35" t="e">
        <f>#REF!-"vlM!$2M"</f>
        <v>#REF!</v>
      </c>
      <c r="HI35" t="e">
        <f>#REF!-"vlM!$2N"</f>
        <v>#REF!</v>
      </c>
      <c r="HJ35" t="e">
        <f>#REF!-"vlM!$2O"</f>
        <v>#REF!</v>
      </c>
      <c r="HK35" t="e">
        <f>#REF!-"vlM!$2P"</f>
        <v>#REF!</v>
      </c>
      <c r="HL35" t="e">
        <f>#REF!-"vlM!$2Q"</f>
        <v>#REF!</v>
      </c>
      <c r="HM35" t="e">
        <f>#REF!-"vlM!$2R"</f>
        <v>#REF!</v>
      </c>
      <c r="HN35" t="e">
        <f>#REF!-"vlM!$2S"</f>
        <v>#REF!</v>
      </c>
      <c r="HO35" t="e">
        <f>#REF!-"vlM!$2T"</f>
        <v>#REF!</v>
      </c>
      <c r="HP35" t="e">
        <f>#REF!-"vlM!$2U"</f>
        <v>#REF!</v>
      </c>
      <c r="HQ35" t="e">
        <f>#REF!-"vlM!$2V"</f>
        <v>#REF!</v>
      </c>
      <c r="HR35" t="e">
        <f>#REF!-"vlM!$2W"</f>
        <v>#REF!</v>
      </c>
      <c r="HS35" t="e">
        <f>#REF!-"vlM!$2X"</f>
        <v>#REF!</v>
      </c>
      <c r="HT35" t="e">
        <f>#REF!-"vlM!$2Y"</f>
        <v>#REF!</v>
      </c>
      <c r="HU35" t="e">
        <f>#REF!-"vlM!$2Z"</f>
        <v>#REF!</v>
      </c>
      <c r="HV35" t="e">
        <f>#REF!-"vlM!$2["</f>
        <v>#REF!</v>
      </c>
      <c r="HW35" t="e">
        <f>#REF!-"vlM!$2\"</f>
        <v>#REF!</v>
      </c>
      <c r="HX35" t="e">
        <f>#REF!-"vlM!$2]"</f>
        <v>#REF!</v>
      </c>
      <c r="HY35" t="e">
        <f>#REF!-"vlM!$2^"</f>
        <v>#REF!</v>
      </c>
      <c r="HZ35" t="e">
        <f>#REF!-"vlM!$2_"</f>
        <v>#REF!</v>
      </c>
      <c r="IA35" t="e">
        <f>#REF!-"vlM!$2`"</f>
        <v>#REF!</v>
      </c>
      <c r="IB35" t="e">
        <f>#REF!-"vlM!$2a"</f>
        <v>#REF!</v>
      </c>
      <c r="IC35" t="e">
        <f>#REF!-"vlM!$2b"</f>
        <v>#REF!</v>
      </c>
      <c r="ID35" t="e">
        <f>#REF!-"vlM!$2c"</f>
        <v>#REF!</v>
      </c>
      <c r="IE35" t="e">
        <f>#REF!-"vlM!$2d"</f>
        <v>#REF!</v>
      </c>
      <c r="IF35" t="e">
        <f>#REF!-"vlM!$2e"</f>
        <v>#REF!</v>
      </c>
      <c r="IG35" t="e">
        <f>#REF!-"vlM!$2f"</f>
        <v>#REF!</v>
      </c>
      <c r="IH35" t="e">
        <f>#REF!-"vlM!$2g"</f>
        <v>#REF!</v>
      </c>
      <c r="II35" t="e">
        <f>#REF!-"vlM!$2h"</f>
        <v>#REF!</v>
      </c>
      <c r="IJ35" t="e">
        <f>#REF!-"vlM!$2i"</f>
        <v>#REF!</v>
      </c>
      <c r="IK35" t="e">
        <f>#REF!-"vlM!$2j"</f>
        <v>#REF!</v>
      </c>
      <c r="IL35" t="e">
        <f>#REF!-"vlM!$2k"</f>
        <v>#REF!</v>
      </c>
      <c r="IM35" t="e">
        <f>#REF!-"vlM!$2l"</f>
        <v>#REF!</v>
      </c>
      <c r="IN35" t="e">
        <f>#REF!-"vlM!$2m"</f>
        <v>#REF!</v>
      </c>
      <c r="IO35" t="e">
        <f>#REF!-"vlM!$2n"</f>
        <v>#REF!</v>
      </c>
      <c r="IP35" t="e">
        <f>#REF!-"vlM!$2o"</f>
        <v>#REF!</v>
      </c>
      <c r="IQ35" t="e">
        <f>#REF!-"vlM!$2p"</f>
        <v>#REF!</v>
      </c>
      <c r="IR35" t="e">
        <f>#REF!-"vlM!$2q"</f>
        <v>#REF!</v>
      </c>
      <c r="IS35" t="e">
        <f>#REF!-"vlM!$2r"</f>
        <v>#REF!</v>
      </c>
      <c r="IT35" t="e">
        <f>#REF!-"vlM!$2s"</f>
        <v>#REF!</v>
      </c>
      <c r="IU35" t="e">
        <f>#REF!-"vlM!$2t"</f>
        <v>#REF!</v>
      </c>
      <c r="IV35" t="e">
        <f>#REF!-"vlM!$2u"</f>
        <v>#REF!</v>
      </c>
    </row>
    <row r="36" spans="6:256" x14ac:dyDescent="0.25">
      <c r="F36" t="e">
        <f>#REF!-"vlM!$2v"</f>
        <v>#REF!</v>
      </c>
      <c r="G36" t="e">
        <f>#REF!-"vlM!$2w"</f>
        <v>#REF!</v>
      </c>
      <c r="H36" t="e">
        <f>#REF!-"vlM!$2x"</f>
        <v>#REF!</v>
      </c>
      <c r="I36" t="e">
        <f>#REF!-"vlM!$2y"</f>
        <v>#REF!</v>
      </c>
      <c r="J36" t="e">
        <f>#REF!-"vlM!$2z"</f>
        <v>#REF!</v>
      </c>
      <c r="K36" t="e">
        <f>#REF!-"vlM!$2{"</f>
        <v>#REF!</v>
      </c>
      <c r="L36" t="e">
        <f>#REF!-"vlM!$2|"</f>
        <v>#REF!</v>
      </c>
      <c r="M36" t="e">
        <f>#REF!-"vlM!$2}"</f>
        <v>#REF!</v>
      </c>
      <c r="N36" t="e">
        <f>#REF!-"vlM!$2~"</f>
        <v>#REF!</v>
      </c>
      <c r="O36" t="e">
        <f>#REF!-"vlM!$3#"</f>
        <v>#REF!</v>
      </c>
      <c r="P36" t="e">
        <f>#REF!-"vlM!$3$"</f>
        <v>#REF!</v>
      </c>
      <c r="Q36" t="e">
        <f>#REF!-"vlM!$3%"</f>
        <v>#REF!</v>
      </c>
      <c r="R36" t="e">
        <f>#REF!-"vlM!$3&amp;"</f>
        <v>#REF!</v>
      </c>
      <c r="S36" t="e">
        <f>#REF!-"vlM!$3'"</f>
        <v>#REF!</v>
      </c>
      <c r="T36" t="e">
        <f>#REF!-"vlM!$3("</f>
        <v>#REF!</v>
      </c>
      <c r="U36" t="e">
        <f>#REF!-"vlM!$3)"</f>
        <v>#REF!</v>
      </c>
      <c r="V36" t="e">
        <f>#REF!-"vlM!$3."</f>
        <v>#REF!</v>
      </c>
      <c r="W36" t="e">
        <f>#REF!-"vlM!$3/"</f>
        <v>#REF!</v>
      </c>
      <c r="X36" t="e">
        <f>#REF!-"vlM!$30"</f>
        <v>#REF!</v>
      </c>
      <c r="Y36" t="e">
        <f>#REF!-"vlM!$31"</f>
        <v>#REF!</v>
      </c>
      <c r="Z36" t="e">
        <f>#REF!-"vlM!$32"</f>
        <v>#REF!</v>
      </c>
      <c r="AA36" t="e">
        <f>#REF!-"vlM!$33"</f>
        <v>#REF!</v>
      </c>
      <c r="AB36" t="e">
        <f>#REF!-"vlM!$34"</f>
        <v>#REF!</v>
      </c>
      <c r="AC36" t="e">
        <f>#REF!-"vlM!$35"</f>
        <v>#REF!</v>
      </c>
      <c r="AD36" t="e">
        <f>#REF!-"vlM!$36"</f>
        <v>#REF!</v>
      </c>
      <c r="AE36" t="e">
        <f>#REF!-"vlM!$37"</f>
        <v>#REF!</v>
      </c>
      <c r="AF36" t="e">
        <f>#REF!-"vlM!$38"</f>
        <v>#REF!</v>
      </c>
      <c r="AG36" t="e">
        <f>#REF!-"vlM!$39"</f>
        <v>#REF!</v>
      </c>
      <c r="AH36" t="e">
        <f>#REF!-"vlM!$3:"</f>
        <v>#REF!</v>
      </c>
      <c r="AI36" t="e">
        <f>#REF!-"vlM!$3;"</f>
        <v>#REF!</v>
      </c>
      <c r="AJ36" t="e">
        <f>#REF!-"vlM!$3&lt;"</f>
        <v>#REF!</v>
      </c>
      <c r="AK36" t="e">
        <f>#REF!-"vlM!$3="</f>
        <v>#REF!</v>
      </c>
      <c r="AL36" t="e">
        <f>#REF!-"vlM!$3&gt;"</f>
        <v>#REF!</v>
      </c>
      <c r="AM36" t="e">
        <f>#REF!-"vlM!$3?"</f>
        <v>#REF!</v>
      </c>
      <c r="AN36" t="e">
        <f>#REF!-"vlM!$3@"</f>
        <v>#REF!</v>
      </c>
      <c r="AO36" t="e">
        <f>#REF!-"vlM!$3A"</f>
        <v>#REF!</v>
      </c>
      <c r="AP36" t="e">
        <f>#REF!-"vlM!$3B"</f>
        <v>#REF!</v>
      </c>
      <c r="AQ36" t="e">
        <f>#REF!-"vlM!$3C"</f>
        <v>#REF!</v>
      </c>
      <c r="AR36" t="e">
        <f>#REF!-"vlM!$3D"</f>
        <v>#REF!</v>
      </c>
      <c r="AS36" t="e">
        <f>#REF!-"vlM!$3E"</f>
        <v>#REF!</v>
      </c>
      <c r="AT36" t="e">
        <f>#REF!-"vlM!$3F"</f>
        <v>#REF!</v>
      </c>
      <c r="AU36" t="e">
        <f>#REF!-"vlM!$3G"</f>
        <v>#REF!</v>
      </c>
      <c r="AV36" t="e">
        <f>#REF!-"vlM!$3H"</f>
        <v>#REF!</v>
      </c>
      <c r="AW36" t="e">
        <f>#REF!-"vlM!$3I"</f>
        <v>#REF!</v>
      </c>
      <c r="AX36" t="e">
        <f>#REF!-"vlM!$3J"</f>
        <v>#REF!</v>
      </c>
      <c r="AY36" t="e">
        <f>#REF!-"vlM!$3K"</f>
        <v>#REF!</v>
      </c>
      <c r="AZ36" t="e">
        <f>#REF!-"vlM!$3L"</f>
        <v>#REF!</v>
      </c>
      <c r="BA36" t="e">
        <f>#REF!-"vlM!$3M"</f>
        <v>#REF!</v>
      </c>
      <c r="BB36" t="e">
        <f>#REF!-"vlM!$3N"</f>
        <v>#REF!</v>
      </c>
      <c r="BC36" t="e">
        <f>#REF!-"vlM!$3O"</f>
        <v>#REF!</v>
      </c>
      <c r="BD36" t="e">
        <f>#REF!-"vlM!$3P"</f>
        <v>#REF!</v>
      </c>
      <c r="BE36" t="e">
        <f>#REF!-"vlM!$3Q"</f>
        <v>#REF!</v>
      </c>
      <c r="BF36" t="e">
        <f>#REF!-"vlM!$3R"</f>
        <v>#REF!</v>
      </c>
      <c r="BG36" t="e">
        <f>#REF!-"vlM!$3S"</f>
        <v>#REF!</v>
      </c>
      <c r="BH36" t="e">
        <f>#REF!-"vlM!$3T"</f>
        <v>#REF!</v>
      </c>
      <c r="BI36" t="e">
        <f>#REF!-"vlM!$3U"</f>
        <v>#REF!</v>
      </c>
      <c r="BJ36" t="e">
        <f>#REF!-"vlM!$3V"</f>
        <v>#REF!</v>
      </c>
      <c r="BK36" t="e">
        <f>#REF!-"vlM!$3W"</f>
        <v>#REF!</v>
      </c>
      <c r="BL36" t="e">
        <f>#REF!-"vlM!$3X"</f>
        <v>#REF!</v>
      </c>
      <c r="BM36" t="e">
        <f>#REF!-"vlM!$3Y"</f>
        <v>#REF!</v>
      </c>
      <c r="BN36" t="e">
        <f>#REF!-"vlM!$3Z"</f>
        <v>#REF!</v>
      </c>
      <c r="BO36" t="e">
        <f>#REF!-"vlM!$3["</f>
        <v>#REF!</v>
      </c>
      <c r="BP36" t="e">
        <f>#REF!-"vlM!$3\"</f>
        <v>#REF!</v>
      </c>
      <c r="BQ36" t="e">
        <f>#REF!-"vlM!$3]"</f>
        <v>#REF!</v>
      </c>
      <c r="BR36" t="e">
        <f>#REF!-"vlM!$3^"</f>
        <v>#REF!</v>
      </c>
      <c r="BS36" t="e">
        <f>#REF!-"vlM!$3_"</f>
        <v>#REF!</v>
      </c>
      <c r="BT36" t="e">
        <f>#REF!-"vlM!$3`"</f>
        <v>#REF!</v>
      </c>
      <c r="BU36" t="e">
        <f>#REF!-"vlM!$3a"</f>
        <v>#REF!</v>
      </c>
      <c r="BV36" t="e">
        <f>#REF!-"vlM!$3b"</f>
        <v>#REF!</v>
      </c>
      <c r="BW36" t="e">
        <f>#REF!-"vlM!$3c"</f>
        <v>#REF!</v>
      </c>
      <c r="BX36" t="e">
        <f>#REF!-"vlM!$3d"</f>
        <v>#REF!</v>
      </c>
      <c r="BY36" t="e">
        <f>#REF!-"vlM!$3e"</f>
        <v>#REF!</v>
      </c>
      <c r="BZ36" t="e">
        <f>#REF!-"vlM!$3f"</f>
        <v>#REF!</v>
      </c>
      <c r="CA36" t="e">
        <f>#REF!-"vlM!$3g"</f>
        <v>#REF!</v>
      </c>
      <c r="CB36" t="e">
        <f>#REF!-"vlM!$3h"</f>
        <v>#REF!</v>
      </c>
      <c r="CC36" t="e">
        <f>#REF!-"vlM!$3i"</f>
        <v>#REF!</v>
      </c>
      <c r="CD36" t="e">
        <f>#REF!-"vlM!$3j"</f>
        <v>#REF!</v>
      </c>
      <c r="CE36" t="e">
        <f>#REF!-"vlM!$3k"</f>
        <v>#REF!</v>
      </c>
      <c r="CF36" t="e">
        <f>#REF!-"vlM!$3l"</f>
        <v>#REF!</v>
      </c>
      <c r="CG36" t="e">
        <f>#REF!-"vlM!$3m"</f>
        <v>#REF!</v>
      </c>
      <c r="CH36" t="e">
        <f>#REF!-"vlM!$3n"</f>
        <v>#REF!</v>
      </c>
      <c r="CI36" t="e">
        <f>#REF!-"vlM!$3o"</f>
        <v>#REF!</v>
      </c>
      <c r="CJ36" t="e">
        <f>#REF!-"vlM!$3p"</f>
        <v>#REF!</v>
      </c>
      <c r="CK36" t="e">
        <f>#REF!+"vlM!$3q"</f>
        <v>#REF!</v>
      </c>
      <c r="CL36" t="e">
        <f>#REF!+"vlM!$3r"</f>
        <v>#REF!</v>
      </c>
      <c r="CM36" t="e">
        <f>#REF!+"vlM!$3s"</f>
        <v>#REF!</v>
      </c>
      <c r="CN36" t="e">
        <f>#REF!+"vlM!$3t"</f>
        <v>#REF!</v>
      </c>
      <c r="CO36" t="e">
        <f>#REF!+"vlM!$3u"</f>
        <v>#REF!</v>
      </c>
      <c r="CP36" t="e">
        <f>#REF!+"vlM!$3v"</f>
        <v>#REF!</v>
      </c>
      <c r="CQ36" t="e">
        <f>#REF!+"vlM!$3w"</f>
        <v>#REF!</v>
      </c>
      <c r="CR36" t="e">
        <f>#REF!+"vlM!$3x"</f>
        <v>#REF!</v>
      </c>
      <c r="CS36" t="e">
        <f>#REF!+"vlM!$3y"</f>
        <v>#REF!</v>
      </c>
      <c r="CT36" t="e">
        <f>#REF!+"vlM!$3z"</f>
        <v>#REF!</v>
      </c>
      <c r="CU36" t="e">
        <f>#REF!+"vlM!$3{"</f>
        <v>#REF!</v>
      </c>
      <c r="CV36" t="e">
        <f>#REF!+"vlM!$3|"</f>
        <v>#REF!</v>
      </c>
      <c r="CW36" t="e">
        <f>#REF!+"vlM!$3}"</f>
        <v>#REF!</v>
      </c>
      <c r="CX36" t="e">
        <f>#REF!+"vlM!$3~"</f>
        <v>#REF!</v>
      </c>
      <c r="CY36" t="e">
        <f>#REF!+"vlM!$4#"</f>
        <v>#REF!</v>
      </c>
      <c r="CZ36" t="e">
        <f>#REF!+"vlM!$4$"</f>
        <v>#REF!</v>
      </c>
      <c r="DA36" t="e">
        <f>#REF!+"vlM!$4%"</f>
        <v>#REF!</v>
      </c>
      <c r="DB36" t="e">
        <f>#REF!+"vlM!$4&amp;"</f>
        <v>#REF!</v>
      </c>
      <c r="DC36" t="e">
        <f>#REF!+"vlM!$4'"</f>
        <v>#REF!</v>
      </c>
      <c r="DD36" t="e">
        <f>#REF!+"vlM!$4("</f>
        <v>#REF!</v>
      </c>
      <c r="DE36" t="e">
        <f>#REF!+"vlM!$4)"</f>
        <v>#REF!</v>
      </c>
      <c r="DF36" t="e">
        <f>#REF!+"vlM!$4."</f>
        <v>#REF!</v>
      </c>
      <c r="DG36" t="e">
        <f>#REF!+"vlM!$4/"</f>
        <v>#REF!</v>
      </c>
      <c r="DH36" t="e">
        <f>#REF!+"vlM!$40"</f>
        <v>#REF!</v>
      </c>
      <c r="DI36" t="e">
        <f>#REF!+"vlM!$41"</f>
        <v>#REF!</v>
      </c>
      <c r="DJ36" t="e">
        <f>#REF!+"vlM!$42"</f>
        <v>#REF!</v>
      </c>
      <c r="DK36" t="e">
        <f>#REF!+"vlM!$43"</f>
        <v>#REF!</v>
      </c>
      <c r="DL36" t="e">
        <f>#REF!+"vlM!$44"</f>
        <v>#REF!</v>
      </c>
      <c r="DM36" t="e">
        <f>#REF!+"vlM!$45"</f>
        <v>#REF!</v>
      </c>
      <c r="DN36" t="e">
        <f>#REF!+"vlM!$46"</f>
        <v>#REF!</v>
      </c>
      <c r="DO36" t="e">
        <f>#REF!+"vlM!$47"</f>
        <v>#REF!</v>
      </c>
      <c r="DP36" t="e">
        <f>#REF!+"vlM!$48"</f>
        <v>#REF!</v>
      </c>
      <c r="DQ36" t="e">
        <f>#REF!+"vlM!$49"</f>
        <v>#REF!</v>
      </c>
      <c r="DR36" t="e">
        <f>#REF!+"vlM!$4:"</f>
        <v>#REF!</v>
      </c>
      <c r="DS36" t="e">
        <f>#REF!+"vlM!$4;"</f>
        <v>#REF!</v>
      </c>
      <c r="DT36" t="e">
        <f>#REF!+"vlM!$4&lt;"</f>
        <v>#REF!</v>
      </c>
      <c r="DU36" t="e">
        <f>#REF!+"vlM!$4="</f>
        <v>#REF!</v>
      </c>
      <c r="DV36" t="e">
        <f>#REF!+"vlM!$4&gt;"</f>
        <v>#REF!</v>
      </c>
      <c r="DW36" t="e">
        <f>#REF!+"vlM!$4?"</f>
        <v>#REF!</v>
      </c>
      <c r="DX36" t="e">
        <f>#REF!+"vlM!$4@"</f>
        <v>#REF!</v>
      </c>
      <c r="DY36" t="e">
        <f>#REF!+"vlM!$4A"</f>
        <v>#REF!</v>
      </c>
      <c r="DZ36" t="e">
        <f>#REF!+"vlM!$4B"</f>
        <v>#REF!</v>
      </c>
      <c r="EA36" t="e">
        <f>#REF!+"vlM!$4C"</f>
        <v>#REF!</v>
      </c>
      <c r="EB36" t="e">
        <f>#REF!+"vlM!$4D"</f>
        <v>#REF!</v>
      </c>
      <c r="EC36" t="e">
        <f>#REF!+"vlM!$4E"</f>
        <v>#REF!</v>
      </c>
      <c r="ED36" t="e">
        <f>#REF!+"vlM!$4F"</f>
        <v>#REF!</v>
      </c>
      <c r="EE36" t="e">
        <f>#REF!+"vlM!$4G"</f>
        <v>#REF!</v>
      </c>
      <c r="EF36" t="e">
        <f>#REF!+"vlM!$4H"</f>
        <v>#REF!</v>
      </c>
      <c r="EG36" t="e">
        <f>#REF!+"vlM!$4I"</f>
        <v>#REF!</v>
      </c>
      <c r="EH36" t="e">
        <f>#REF!+"vlM!$4J"</f>
        <v>#REF!</v>
      </c>
      <c r="EI36" t="e">
        <f>#REF!+"vlM!$4K"</f>
        <v>#REF!</v>
      </c>
      <c r="EJ36" t="e">
        <f>#REF!+"vlM!$4L"</f>
        <v>#REF!</v>
      </c>
      <c r="EK36" t="e">
        <f>#REF!+"vlM!$4M"</f>
        <v>#REF!</v>
      </c>
      <c r="EL36" t="e">
        <f>#REF!+"vlM!$4N"</f>
        <v>#REF!</v>
      </c>
      <c r="EM36" t="e">
        <f>#REF!+"vlM!$4O"</f>
        <v>#REF!</v>
      </c>
      <c r="EN36" t="e">
        <f>#REF!+"vlM!$4P"</f>
        <v>#REF!</v>
      </c>
      <c r="EO36" t="e">
        <f>#REF!+"vlM!$4Q"</f>
        <v>#REF!</v>
      </c>
      <c r="EP36" t="e">
        <f>#REF!+"vlM!$4R"</f>
        <v>#REF!</v>
      </c>
      <c r="EQ36" t="e">
        <f>#REF!+"vlM!$4S"</f>
        <v>#REF!</v>
      </c>
      <c r="ER36" t="e">
        <f>#REF!+"vlM!$4T"</f>
        <v>#REF!</v>
      </c>
      <c r="ES36" t="e">
        <f>#REF!+"vlM!$4U"</f>
        <v>#REF!</v>
      </c>
      <c r="ET36" t="e">
        <f>#REF!+"vlM!$4V"</f>
        <v>#REF!</v>
      </c>
      <c r="EU36" t="e">
        <f>#REF!+"vlM!$4W"</f>
        <v>#REF!</v>
      </c>
      <c r="EV36" t="e">
        <f>#REF!+"vlM!$4X"</f>
        <v>#REF!</v>
      </c>
      <c r="EW36" t="e">
        <f>#REF!+"vlM!$4Y"</f>
        <v>#REF!</v>
      </c>
      <c r="EX36" t="e">
        <f>#REF!+"vlM!$4Z"</f>
        <v>#REF!</v>
      </c>
      <c r="EY36" t="e">
        <f>#REF!+"vlM!$4["</f>
        <v>#REF!</v>
      </c>
      <c r="EZ36" t="e">
        <f>#REF!+"vlM!$4\"</f>
        <v>#REF!</v>
      </c>
      <c r="FA36" t="e">
        <f>#REF!+"vlM!$4]"</f>
        <v>#REF!</v>
      </c>
      <c r="FB36" t="e">
        <f>#REF!+"vlM!$4^"</f>
        <v>#REF!</v>
      </c>
      <c r="FC36" t="e">
        <f>#REF!+"vlM!$4_"</f>
        <v>#REF!</v>
      </c>
      <c r="FD36" t="e">
        <f>#REF!+"vlM!$4`"</f>
        <v>#REF!</v>
      </c>
      <c r="FE36" t="e">
        <f>#REF!+"vlM!$4a"</f>
        <v>#REF!</v>
      </c>
      <c r="FF36" t="e">
        <f>#REF!+"vlM!$4b"</f>
        <v>#REF!</v>
      </c>
      <c r="FG36" t="e">
        <f>#REF!+"vlM!$4c"</f>
        <v>#REF!</v>
      </c>
      <c r="FH36" t="e">
        <f>#REF!+"vlM!$4d"</f>
        <v>#REF!</v>
      </c>
      <c r="FI36" t="e">
        <f>#REF!+"vlM!$4e"</f>
        <v>#REF!</v>
      </c>
      <c r="FJ36" t="e">
        <f>#REF!+"vlM!$4f"</f>
        <v>#REF!</v>
      </c>
      <c r="FK36" s="4" t="e">
        <f>#REF!+"vlM!$4g"</f>
        <v>#REF!</v>
      </c>
      <c r="FL36" t="e">
        <f>#REF!+"vlM!$4h"</f>
        <v>#REF!</v>
      </c>
      <c r="FM36" t="e">
        <f>#REF!+"vlM!$4i"</f>
        <v>#REF!</v>
      </c>
      <c r="FN36" t="e">
        <f>#REF!+"vlM!$4j"</f>
        <v>#REF!</v>
      </c>
      <c r="FO36" t="e">
        <f>#REF!+"vlM!$4k"</f>
        <v>#REF!</v>
      </c>
      <c r="FP36" t="e">
        <f>#REF!+"vlM!$4l"</f>
        <v>#REF!</v>
      </c>
      <c r="FQ36" t="e">
        <f>#REF!+"vlM!$4m"</f>
        <v>#REF!</v>
      </c>
      <c r="FR36" t="e">
        <f>#REF!+"vlM!$4n"</f>
        <v>#REF!</v>
      </c>
      <c r="FS36" t="e">
        <f>#REF!+"vlM!$4o"</f>
        <v>#REF!</v>
      </c>
      <c r="FT36" t="e">
        <f>#REF!+"vlM!$4p"</f>
        <v>#REF!</v>
      </c>
      <c r="FU36" t="e">
        <f>#REF!+"vlM!$4q"</f>
        <v>#REF!</v>
      </c>
      <c r="FV36" t="e">
        <f>#REF!+"vlM!$4r"</f>
        <v>#REF!</v>
      </c>
      <c r="FW36" t="e">
        <f>#REF!+"vlM!$4s"</f>
        <v>#REF!</v>
      </c>
      <c r="FX36" t="e">
        <f>#REF!+"vlM!$4t"</f>
        <v>#REF!</v>
      </c>
      <c r="FY36" t="e">
        <f>#REF!+"vlM!$4u"</f>
        <v>#REF!</v>
      </c>
      <c r="FZ36" t="e">
        <f>#REF!+"vlM!$4v"</f>
        <v>#REF!</v>
      </c>
      <c r="GA36" t="e">
        <f>#REF!+"vlM!$4w"</f>
        <v>#REF!</v>
      </c>
      <c r="GB36" t="e">
        <f>#REF!+"vlM!$4x"</f>
        <v>#REF!</v>
      </c>
      <c r="GC36" t="e">
        <f>#REF!+"vlM!$4y"</f>
        <v>#REF!</v>
      </c>
      <c r="GD36" t="e">
        <f>#REF!+"vlM!$4z"</f>
        <v>#REF!</v>
      </c>
      <c r="GE36" t="e">
        <f>#REF!+"vlM!$4{"</f>
        <v>#REF!</v>
      </c>
      <c r="GF36" t="e">
        <f>#REF!+"vlM!$4|"</f>
        <v>#REF!</v>
      </c>
      <c r="GG36" t="e">
        <f>#REF!+"vlM!$4}"</f>
        <v>#REF!</v>
      </c>
      <c r="GH36" t="e">
        <f>#REF!+"vlM!$4~"</f>
        <v>#REF!</v>
      </c>
      <c r="GI36" t="e">
        <f>#REF!+"vlM!$5#"</f>
        <v>#REF!</v>
      </c>
      <c r="GJ36" t="e">
        <f>#REF!+"vlM!$5$"</f>
        <v>#REF!</v>
      </c>
      <c r="GK36" t="e">
        <f>#REF!+"vlM!$5%"</f>
        <v>#REF!</v>
      </c>
      <c r="GL36" t="e">
        <f>#REF!+"vlM!$5&amp;"</f>
        <v>#REF!</v>
      </c>
      <c r="GM36" t="e">
        <f>#REF!+"vlM!$5'"</f>
        <v>#REF!</v>
      </c>
      <c r="GN36" t="e">
        <f>#REF!+"vlM!$5("</f>
        <v>#REF!</v>
      </c>
      <c r="GO36" t="e">
        <f>#REF!+"vlM!$5)"</f>
        <v>#REF!</v>
      </c>
      <c r="GP36" t="e">
        <f>#REF!+"vlM!$5."</f>
        <v>#REF!</v>
      </c>
      <c r="GQ36" t="e">
        <f>#REF!+"vlM!$5/"</f>
        <v>#REF!</v>
      </c>
      <c r="GR36" t="e">
        <f>#REF!+"vlM!$50"</f>
        <v>#REF!</v>
      </c>
      <c r="GS36" t="e">
        <f>#REF!+"vlM!$51"</f>
        <v>#REF!</v>
      </c>
      <c r="GT36" t="e">
        <f>#REF!+"vlM!$52"</f>
        <v>#REF!</v>
      </c>
      <c r="GU36" t="e">
        <f>#REF!+"vlM!$53"</f>
        <v>#REF!</v>
      </c>
      <c r="GV36" t="e">
        <f>#REF!+"vlM!$54"</f>
        <v>#REF!</v>
      </c>
      <c r="GW36" t="e">
        <f>#REF!+"vlM!$55"</f>
        <v>#REF!</v>
      </c>
      <c r="GX36" t="e">
        <f>#REF!+"vlM!$56"</f>
        <v>#REF!</v>
      </c>
      <c r="GY36" t="e">
        <f>#REF!+"vlM!$57"</f>
        <v>#REF!</v>
      </c>
      <c r="GZ36" t="e">
        <f>#REF!+"vlM!$58"</f>
        <v>#REF!</v>
      </c>
      <c r="HA36" t="e">
        <f>#REF!+"vlM!$59"</f>
        <v>#REF!</v>
      </c>
      <c r="HB36" t="e">
        <f>#REF!+"vlM!$5:"</f>
        <v>#REF!</v>
      </c>
      <c r="HC36" t="e">
        <f>#REF!+"vlM!$5;"</f>
        <v>#REF!</v>
      </c>
      <c r="HD36" t="e">
        <f>#REF!+"vlM!$5&lt;"</f>
        <v>#REF!</v>
      </c>
      <c r="HE36" t="e">
        <f>#REF!+"vlM!$5="</f>
        <v>#REF!</v>
      </c>
      <c r="HF36" t="e">
        <f>#REF!+"vlM!$5&gt;"</f>
        <v>#REF!</v>
      </c>
      <c r="HG36" t="e">
        <f>#REF!+"vlM!$5?"</f>
        <v>#REF!</v>
      </c>
      <c r="HH36" t="e">
        <f>#REF!+"vlM!$5@"</f>
        <v>#REF!</v>
      </c>
      <c r="HI36" t="e">
        <f>#REF!+"vlM!$5A"</f>
        <v>#REF!</v>
      </c>
      <c r="HJ36" t="e">
        <f>#REF!+"vlM!$5B"</f>
        <v>#REF!</v>
      </c>
      <c r="HK36" t="e">
        <f>#REF!+"vlM!$5C"</f>
        <v>#REF!</v>
      </c>
      <c r="HL36" t="e">
        <f>#REF!+"vlM!$5D"</f>
        <v>#REF!</v>
      </c>
      <c r="HM36" t="e">
        <f>#REF!+"vlM!$5E"</f>
        <v>#REF!</v>
      </c>
      <c r="HN36" t="e">
        <f>#REF!+"vlM!$5F"</f>
        <v>#REF!</v>
      </c>
      <c r="HO36" t="e">
        <f>#REF!+"vlM!$5G"</f>
        <v>#REF!</v>
      </c>
      <c r="HP36" t="e">
        <f>#REF!+"vlM!$5H"</f>
        <v>#REF!</v>
      </c>
      <c r="HQ36" t="e">
        <f>#REF!+"vlM!$5I"</f>
        <v>#REF!</v>
      </c>
      <c r="HR36" t="e">
        <f>#REF!+"vlM!$5J"</f>
        <v>#REF!</v>
      </c>
      <c r="HS36" t="e">
        <f>#REF!+"vlM!$5K"</f>
        <v>#REF!</v>
      </c>
      <c r="HT36" t="e">
        <f>#REF!+"vlM!$5L"</f>
        <v>#REF!</v>
      </c>
      <c r="HU36" t="e">
        <f>#REF!+"vlM!$5M"</f>
        <v>#REF!</v>
      </c>
      <c r="HV36" t="e">
        <f>#REF!+"vlM!$5N"</f>
        <v>#REF!</v>
      </c>
      <c r="HW36" t="e">
        <f>#REF!+"vlM!$5O"</f>
        <v>#REF!</v>
      </c>
      <c r="HX36" t="e">
        <f>#REF!+"vlM!$5P"</f>
        <v>#REF!</v>
      </c>
      <c r="HY36" t="e">
        <f>#REF!+"vlM!$5Q"</f>
        <v>#REF!</v>
      </c>
      <c r="HZ36" t="e">
        <f>#REF!+"vlM!$5R"</f>
        <v>#REF!</v>
      </c>
      <c r="IA36" t="e">
        <f>#REF!+"vlM!$5S"</f>
        <v>#REF!</v>
      </c>
      <c r="IB36" t="e">
        <f>#REF!+"vlM!$5T"</f>
        <v>#REF!</v>
      </c>
      <c r="IC36" t="e">
        <f>#REF!+"vlM!$5U"</f>
        <v>#REF!</v>
      </c>
      <c r="ID36" t="e">
        <f>#REF!+"vlM!$5V"</f>
        <v>#REF!</v>
      </c>
      <c r="IE36" s="4" t="e">
        <f>#REF!+"vlM!$5W"</f>
        <v>#REF!</v>
      </c>
      <c r="IF36" t="e">
        <f>#REF!+"vlM!$5X"</f>
        <v>#REF!</v>
      </c>
      <c r="IG36" t="e">
        <f>#REF!+"vlM!$5Y"</f>
        <v>#REF!</v>
      </c>
      <c r="IH36" t="e">
        <f>#REF!+"vlM!$5Z"</f>
        <v>#REF!</v>
      </c>
      <c r="II36" t="e">
        <f>#REF!+"vlM!$5["</f>
        <v>#REF!</v>
      </c>
      <c r="IJ36" t="e">
        <f>#REF!+"vlM!$5\"</f>
        <v>#REF!</v>
      </c>
      <c r="IK36" t="e">
        <f>#REF!+"vlM!$5]"</f>
        <v>#REF!</v>
      </c>
      <c r="IL36" t="e">
        <f>#REF!+"vlM!$5^"</f>
        <v>#REF!</v>
      </c>
      <c r="IM36" t="e">
        <f>#REF!+"vlM!$5_"</f>
        <v>#REF!</v>
      </c>
      <c r="IN36" t="e">
        <f>#REF!+"vlM!$5`"</f>
        <v>#REF!</v>
      </c>
      <c r="IO36" t="e">
        <f>#REF!+"vlM!$5a"</f>
        <v>#REF!</v>
      </c>
      <c r="IP36" t="e">
        <f>#REF!+"vlM!$5b"</f>
        <v>#REF!</v>
      </c>
      <c r="IQ36" t="e">
        <f>#REF!+"vlM!$5c"</f>
        <v>#REF!</v>
      </c>
      <c r="IR36" t="e">
        <f>#REF!+"vlM!$5d"</f>
        <v>#REF!</v>
      </c>
      <c r="IS36" t="e">
        <f>#REF!+"vlM!$5e"</f>
        <v>#REF!</v>
      </c>
      <c r="IT36" t="e">
        <f>#REF!+"vlM!$5f"</f>
        <v>#REF!</v>
      </c>
      <c r="IU36" t="e">
        <f>#REF!+"vlM!$5g"</f>
        <v>#REF!</v>
      </c>
      <c r="IV36" t="e">
        <f>#REF!+"vlM!$5h"</f>
        <v>#REF!</v>
      </c>
    </row>
    <row r="37" spans="6:256" x14ac:dyDescent="0.25">
      <c r="F37" t="e">
        <f>#REF!+"vlM!$5i"</f>
        <v>#REF!</v>
      </c>
      <c r="G37" t="e">
        <f>#REF!+"vlM!$5j"</f>
        <v>#REF!</v>
      </c>
      <c r="H37" t="e">
        <f>#REF!+"vlM!$5k"</f>
        <v>#REF!</v>
      </c>
      <c r="I37" t="e">
        <f>#REF!+"vlM!$5l"</f>
        <v>#REF!</v>
      </c>
      <c r="J37" t="e">
        <f>#REF!+"vlM!$5m"</f>
        <v>#REF!</v>
      </c>
      <c r="K37" t="e">
        <f>#REF!+"vlM!$5n"</f>
        <v>#REF!</v>
      </c>
      <c r="L37" t="e">
        <f>#REF!+"vlM!$5o"</f>
        <v>#REF!</v>
      </c>
      <c r="M37" t="e">
        <f>#REF!+"vlM!$5p"</f>
        <v>#REF!</v>
      </c>
      <c r="N37" t="e">
        <f>#REF!+"vlM!$5q"</f>
        <v>#REF!</v>
      </c>
      <c r="O37" t="e">
        <f>#REF!+"vlM!$5r"</f>
        <v>#REF!</v>
      </c>
      <c r="P37" t="e">
        <f>#REF!+"vlM!$5s"</f>
        <v>#REF!</v>
      </c>
      <c r="Q37" t="e">
        <f>#REF!+"vlM!$5t"</f>
        <v>#REF!</v>
      </c>
      <c r="R37" t="e">
        <f>#REF!+"vlM!$5u"</f>
        <v>#REF!</v>
      </c>
      <c r="S37" t="e">
        <f>#REF!+"vlM!$5v"</f>
        <v>#REF!</v>
      </c>
      <c r="T37" t="e">
        <f>#REF!+"vlM!$5w"</f>
        <v>#REF!</v>
      </c>
      <c r="U37" t="e">
        <f>#REF!+"vlM!$5x"</f>
        <v>#REF!</v>
      </c>
      <c r="V37" t="e">
        <f>#REF!+"vlM!$5y"</f>
        <v>#REF!</v>
      </c>
      <c r="W37" t="e">
        <f>#REF!+"vlM!$5z"</f>
        <v>#REF!</v>
      </c>
      <c r="X37" t="e">
        <f>#REF!+"vlM!$5{"</f>
        <v>#REF!</v>
      </c>
      <c r="Y37" t="e">
        <f>#REF!+"vlM!$5|"</f>
        <v>#REF!</v>
      </c>
      <c r="Z37" t="e">
        <f>#REF!+"vlM!$5}"</f>
        <v>#REF!</v>
      </c>
      <c r="AA37" t="e">
        <f>#REF!+"vlM!$5~"</f>
        <v>#REF!</v>
      </c>
      <c r="AB37" t="e">
        <f>#REF!+"vlM!$6#"</f>
        <v>#REF!</v>
      </c>
      <c r="AC37" t="e">
        <f>#REF!+"vlM!$6$"</f>
        <v>#REF!</v>
      </c>
      <c r="AD37" t="e">
        <f>#REF!+"vlM!$6%"</f>
        <v>#REF!</v>
      </c>
      <c r="AE37" t="e">
        <f>#REF!+"vlM!$6&amp;"</f>
        <v>#REF!</v>
      </c>
      <c r="AF37" t="e">
        <f>#REF!+"vlM!$6'"</f>
        <v>#REF!</v>
      </c>
      <c r="AG37" t="e">
        <f>#REF!+"vlM!$6("</f>
        <v>#REF!</v>
      </c>
      <c r="AH37" t="e">
        <f>#REF!+"vlM!$6)"</f>
        <v>#REF!</v>
      </c>
      <c r="AI37" t="e">
        <f>#REF!+"vlM!$6."</f>
        <v>#REF!</v>
      </c>
      <c r="AJ37" t="e">
        <f>#REF!+"vlM!$6/"</f>
        <v>#REF!</v>
      </c>
      <c r="AK37" t="e">
        <f>#REF!+"vlM!$60"</f>
        <v>#REF!</v>
      </c>
      <c r="AL37" t="e">
        <f>#REF!+"vlM!$61"</f>
        <v>#REF!</v>
      </c>
      <c r="AM37" t="e">
        <f>#REF!+"vlM!$62"</f>
        <v>#REF!</v>
      </c>
      <c r="AN37" t="e">
        <f>#REF!+"vlM!$63"</f>
        <v>#REF!</v>
      </c>
      <c r="AO37" t="e">
        <f>#REF!+"vlM!$64"</f>
        <v>#REF!</v>
      </c>
      <c r="AP37" t="e">
        <f>#REF!+"vlM!$65"</f>
        <v>#REF!</v>
      </c>
      <c r="AQ37" t="e">
        <f>#REF!+"vlM!$66"</f>
        <v>#REF!</v>
      </c>
      <c r="AR37" t="e">
        <f>#REF!+"vlM!$67"</f>
        <v>#REF!</v>
      </c>
      <c r="AS37" t="e">
        <f>#REF!+"vlM!$68"</f>
        <v>#REF!</v>
      </c>
      <c r="AT37" t="e">
        <f>#REF!+"vlM!$69"</f>
        <v>#REF!</v>
      </c>
      <c r="AU37" t="e">
        <f>#REF!+"vlM!$6:"</f>
        <v>#REF!</v>
      </c>
      <c r="AV37" t="e">
        <f>#REF!+"vlM!$6;"</f>
        <v>#REF!</v>
      </c>
      <c r="AW37" t="e">
        <f>#REF!+"vlM!$6&lt;"</f>
        <v>#REF!</v>
      </c>
      <c r="AX37" t="e">
        <f>#REF!+"vlM!$6="</f>
        <v>#REF!</v>
      </c>
      <c r="AY37" t="e">
        <f>#REF!+"vlM!$6&gt;"</f>
        <v>#REF!</v>
      </c>
      <c r="AZ37" t="e">
        <f>#REF!+"vlM!$6?"</f>
        <v>#REF!</v>
      </c>
      <c r="BA37" t="e">
        <f>#REF!+"vlM!$6@"</f>
        <v>#REF!</v>
      </c>
      <c r="BB37" t="e">
        <f>#REF!+"vlM!$6A"</f>
        <v>#REF!</v>
      </c>
      <c r="BC37" t="e">
        <f>#REF!+"vlM!$6B"</f>
        <v>#REF!</v>
      </c>
      <c r="BD37" t="e">
        <f>#REF!+"vlM!$6C"</f>
        <v>#REF!</v>
      </c>
      <c r="BE37" t="e">
        <f>#REF!+"vlM!$6D"</f>
        <v>#REF!</v>
      </c>
      <c r="BF37" t="e">
        <f>#REF!+"vlM!$6E"</f>
        <v>#REF!</v>
      </c>
      <c r="BG37" t="e">
        <f>#REF!+"vlM!$6F"</f>
        <v>#REF!</v>
      </c>
      <c r="BH37" t="e">
        <f>#REF!+"vlM!$6G"</f>
        <v>#REF!</v>
      </c>
      <c r="BI37" t="e">
        <f>#REF!+"vlM!$6H"</f>
        <v>#REF!</v>
      </c>
      <c r="BJ37" t="e">
        <f>#REF!+"vlM!$6I"</f>
        <v>#REF!</v>
      </c>
      <c r="BK37" t="e">
        <f>#REF!+"vlM!$6J"</f>
        <v>#REF!</v>
      </c>
      <c r="BL37" t="e">
        <f>#REF!+"vlM!$6K"</f>
        <v>#REF!</v>
      </c>
      <c r="BM37" t="e">
        <f>#REF!+"vlM!$6L"</f>
        <v>#REF!</v>
      </c>
      <c r="BN37" t="e">
        <f>#REF!+"vlM!$6M"</f>
        <v>#REF!</v>
      </c>
      <c r="BO37" t="e">
        <f>#REF!+"vlM!$6N"</f>
        <v>#REF!</v>
      </c>
      <c r="BP37" t="e">
        <f>#REF!+"vlM!$6O"</f>
        <v>#REF!</v>
      </c>
      <c r="BQ37" t="e">
        <f>#REF!+"vlM!$6P"</f>
        <v>#REF!</v>
      </c>
      <c r="BR37" t="e">
        <f>#REF!+"vlM!$6Q"</f>
        <v>#REF!</v>
      </c>
      <c r="BS37" t="e">
        <f>#REF!+"vlM!$6R"</f>
        <v>#REF!</v>
      </c>
      <c r="BT37" t="e">
        <f>#REF!+"vlM!$6S"</f>
        <v>#REF!</v>
      </c>
      <c r="BU37" t="e">
        <f>#REF!+"vlM!$6T"</f>
        <v>#REF!</v>
      </c>
      <c r="BV37" t="e">
        <f>#REF!+"vlM!$6U"</f>
        <v>#REF!</v>
      </c>
      <c r="BW37" t="e">
        <f>#REF!+"vlM!$6V"</f>
        <v>#REF!</v>
      </c>
      <c r="BX37" t="e">
        <f>#REF!+"vlM!$6W"</f>
        <v>#REF!</v>
      </c>
      <c r="BY37" t="e">
        <f>#REF!+"vlM!$6X"</f>
        <v>#REF!</v>
      </c>
      <c r="BZ37" t="e">
        <f>#REF!+"vlM!$6Y"</f>
        <v>#REF!</v>
      </c>
      <c r="CA37" t="e">
        <f>#REF!+"vlM!$6Z"</f>
        <v>#REF!</v>
      </c>
      <c r="CB37" t="e">
        <f>#REF!+"vlM!$6["</f>
        <v>#REF!</v>
      </c>
      <c r="CC37" t="e">
        <f>#REF!+"vlM!$6\"</f>
        <v>#REF!</v>
      </c>
      <c r="CD37" t="e">
        <f>#REF!+"vlM!$6]"</f>
        <v>#REF!</v>
      </c>
      <c r="CE37" t="e">
        <f>#REF!+"vlM!$6^"</f>
        <v>#REF!</v>
      </c>
      <c r="CF37" t="e">
        <f>#REF!+"vlM!$6_"</f>
        <v>#REF!</v>
      </c>
      <c r="CG37" t="e">
        <f>#REF!+"vlM!$6`"</f>
        <v>#REF!</v>
      </c>
      <c r="CH37" t="e">
        <f>#REF!+"vlM!$6a"</f>
        <v>#REF!</v>
      </c>
      <c r="CI37" t="e">
        <f>#REF!+"vlM!$6b"</f>
        <v>#REF!</v>
      </c>
      <c r="CJ37" t="e">
        <f>#REF!+"vlM!$6c"</f>
        <v>#REF!</v>
      </c>
      <c r="CK37" t="e">
        <f>#REF!+"vlM!$6d"</f>
        <v>#REF!</v>
      </c>
      <c r="CL37" t="e">
        <f>#REF!+"vlM!$6e"</f>
        <v>#REF!</v>
      </c>
      <c r="CM37" t="e">
        <f>#REF!+"vlM!$6f"</f>
        <v>#REF!</v>
      </c>
      <c r="CN37" t="e">
        <f>#REF!+"vlM!$6g"</f>
        <v>#REF!</v>
      </c>
      <c r="CO37" t="e">
        <f>#REF!+"vlM!$6h"</f>
        <v>#REF!</v>
      </c>
      <c r="CP37" t="e">
        <f>#REF!+"vlM!$6i"</f>
        <v>#REF!</v>
      </c>
      <c r="CQ37" t="e">
        <f>#REF!+"vlM!$6j"</f>
        <v>#REF!</v>
      </c>
      <c r="CR37" t="e">
        <f>#REF!+"vlM!$6k"</f>
        <v>#REF!</v>
      </c>
      <c r="CS37" t="e">
        <f>#REF!+"vlM!$6l"</f>
        <v>#REF!</v>
      </c>
      <c r="CT37" t="e">
        <f>#REF!+"vlM!$6m"</f>
        <v>#REF!</v>
      </c>
      <c r="CU37" t="e">
        <f>#REF!+"vlM!$6n"</f>
        <v>#REF!</v>
      </c>
      <c r="CV37" t="e">
        <f>#REF!+"vlM!$6o"</f>
        <v>#REF!</v>
      </c>
      <c r="CW37" t="e">
        <f>#REF!+"vlM!$6p"</f>
        <v>#REF!</v>
      </c>
      <c r="CX37" t="e">
        <f>#REF!+"vlM!$6q"</f>
        <v>#REF!</v>
      </c>
      <c r="CY37" t="e">
        <f>#REF!+"vlM!$6r"</f>
        <v>#REF!</v>
      </c>
      <c r="CZ37" t="e">
        <f>#REF!+"vlM!$6s"</f>
        <v>#REF!</v>
      </c>
      <c r="DA37" t="e">
        <f>#REF!+"vlM!$6t"</f>
        <v>#REF!</v>
      </c>
      <c r="DB37" t="e">
        <f>#REF!+"vlM!$6u"</f>
        <v>#REF!</v>
      </c>
      <c r="DC37" t="e">
        <f>#REF!+"vlM!$6v"</f>
        <v>#REF!</v>
      </c>
      <c r="DD37" t="e">
        <f>#REF!+"vlM!$6w"</f>
        <v>#REF!</v>
      </c>
      <c r="DE37" t="e">
        <f>#REF!*"vlM!$6x"</f>
        <v>#REF!</v>
      </c>
      <c r="DF37" t="e">
        <f>#REF!*"vlM!$6y"</f>
        <v>#REF!</v>
      </c>
      <c r="DG37" t="e">
        <f>#REF!*"vlM!$6z"</f>
        <v>#REF!</v>
      </c>
      <c r="DH37" t="e">
        <f>#REF!*"vlM!$6{"</f>
        <v>#REF!</v>
      </c>
      <c r="DI37" t="e">
        <f>#REF!*"vlM!$6|"</f>
        <v>#REF!</v>
      </c>
      <c r="DJ37" t="e">
        <f>#REF!*"vlM!$6}"</f>
        <v>#REF!</v>
      </c>
      <c r="DK37" t="e">
        <f>#REF!*"vlM!$6~"</f>
        <v>#REF!</v>
      </c>
      <c r="DL37" t="e">
        <f>#REF!*"vlM!$7#"</f>
        <v>#REF!</v>
      </c>
      <c r="DM37" t="e">
        <f>#REF!*"vlM!$7$"</f>
        <v>#REF!</v>
      </c>
      <c r="DN37" t="e">
        <f>#REF!*"vlM!$7%"</f>
        <v>#REF!</v>
      </c>
      <c r="DO37" t="e">
        <f>#REF!*"vlM!$7&amp;"</f>
        <v>#REF!</v>
      </c>
      <c r="DP37" t="e">
        <f>#REF!*"vlM!$7'"</f>
        <v>#REF!</v>
      </c>
      <c r="DQ37" t="e">
        <f>#REF!*"vlM!$7("</f>
        <v>#REF!</v>
      </c>
      <c r="DR37" t="e">
        <f>#REF!*"vlM!$7)"</f>
        <v>#REF!</v>
      </c>
      <c r="DS37" t="e">
        <f>#REF!*"vlM!$7."</f>
        <v>#REF!</v>
      </c>
      <c r="DT37" t="e">
        <f>#REF!*"vlM!$7/"</f>
        <v>#REF!</v>
      </c>
      <c r="DU37" t="e">
        <f>#REF!*"vlM!$70"</f>
        <v>#REF!</v>
      </c>
      <c r="DV37" t="e">
        <f>#REF!*"vlM!$71"</f>
        <v>#REF!</v>
      </c>
      <c r="DW37" t="e">
        <f>#REF!*"vlM!$72"</f>
        <v>#REF!</v>
      </c>
      <c r="DX37" t="e">
        <f>#REF!*"vlM!$73"</f>
        <v>#REF!</v>
      </c>
      <c r="DY37" t="e">
        <f>#REF!*"vlM!$74"</f>
        <v>#REF!</v>
      </c>
      <c r="DZ37" t="e">
        <f>#REF!*"vlM!$75"</f>
        <v>#REF!</v>
      </c>
      <c r="EA37" t="e">
        <f>#REF!*"vlM!$76"</f>
        <v>#REF!</v>
      </c>
      <c r="EB37" t="e">
        <f>#REF!*"vlM!$77"</f>
        <v>#REF!</v>
      </c>
      <c r="EC37" t="e">
        <f>#REF!*"vlM!$78"</f>
        <v>#REF!</v>
      </c>
      <c r="ED37" t="e">
        <f>#REF!*"vlM!$79"</f>
        <v>#REF!</v>
      </c>
      <c r="EE37" t="e">
        <f>#REF!*"vlM!$7:"</f>
        <v>#REF!</v>
      </c>
      <c r="EF37" t="e">
        <f>#REF!*"vlM!$7;"</f>
        <v>#REF!</v>
      </c>
      <c r="EG37" t="e">
        <f>#REF!*"vlM!$7&lt;"</f>
        <v>#REF!</v>
      </c>
      <c r="EH37" t="e">
        <f>#REF!*"vlM!$7="</f>
        <v>#REF!</v>
      </c>
      <c r="EI37" t="e">
        <f>#REF!*"vlM!$7&gt;"</f>
        <v>#REF!</v>
      </c>
      <c r="EJ37" t="e">
        <f>#REF!*"vlM!$7?"</f>
        <v>#REF!</v>
      </c>
      <c r="EK37" t="e">
        <f>#REF!*"vlM!$7@"</f>
        <v>#REF!</v>
      </c>
      <c r="EL37" t="e">
        <f>#REF!*"vlM!$7A"</f>
        <v>#REF!</v>
      </c>
      <c r="EM37" t="e">
        <f>#REF!*"vlM!$7B"</f>
        <v>#REF!</v>
      </c>
      <c r="EN37" t="e">
        <f>#REF!*"vlM!$7C"</f>
        <v>#REF!</v>
      </c>
      <c r="EO37" t="e">
        <f>#REF!*"vlM!$7D"</f>
        <v>#REF!</v>
      </c>
      <c r="EP37" t="e">
        <f>#REF!*"vlM!$7E"</f>
        <v>#REF!</v>
      </c>
      <c r="EQ37" t="e">
        <f>#REF!*"vlM!$7F"</f>
        <v>#REF!</v>
      </c>
      <c r="ER37" t="e">
        <f>#REF!*"vlM!$7G"</f>
        <v>#REF!</v>
      </c>
      <c r="ES37" t="e">
        <f>#REF!*"vlM!$7H"</f>
        <v>#REF!</v>
      </c>
      <c r="ET37" t="e">
        <f>#REF!*"vlM!$7I"</f>
        <v>#REF!</v>
      </c>
      <c r="EU37" t="e">
        <f>#REF!*"vlM!$7J"</f>
        <v>#REF!</v>
      </c>
      <c r="EV37" t="e">
        <f>#REF!*"vlM!$7K"</f>
        <v>#REF!</v>
      </c>
      <c r="EW37" t="e">
        <f>#REF!*"vlM!$7L"</f>
        <v>#REF!</v>
      </c>
      <c r="EX37" t="e">
        <f>#REF!*"vlM!$7M"</f>
        <v>#REF!</v>
      </c>
      <c r="EY37" t="e">
        <f>#REF!*"vlM!$7N"</f>
        <v>#REF!</v>
      </c>
      <c r="EZ37" t="e">
        <f>#REF!*"vlM!$7O"</f>
        <v>#REF!</v>
      </c>
      <c r="FA37" t="e">
        <f>#REF!*"vlM!$7P"</f>
        <v>#REF!</v>
      </c>
      <c r="FB37" t="e">
        <f>#REF!*"vlM!$7Q"</f>
        <v>#REF!</v>
      </c>
      <c r="FC37" t="e">
        <f>#REF!*"vlM!$7R"</f>
        <v>#REF!</v>
      </c>
      <c r="FD37" t="e">
        <f>#REF!*"vlM!$7S"</f>
        <v>#REF!</v>
      </c>
      <c r="FE37" t="e">
        <f>#REF!*"vlM!$7T"</f>
        <v>#REF!</v>
      </c>
      <c r="FF37" t="e">
        <f>#REF!-"vlM!$7U"</f>
        <v>#REF!</v>
      </c>
      <c r="FG37" t="e">
        <f>#REF!-"vlM!$7V"</f>
        <v>#REF!</v>
      </c>
      <c r="FH37" t="e">
        <f>#REF!-"vlM!$7W"</f>
        <v>#REF!</v>
      </c>
      <c r="FI37" t="e">
        <f>#REF!-"vlM!$7X"</f>
        <v>#REF!</v>
      </c>
      <c r="FJ37" t="e">
        <f>#REF!-"vlM!$7Y"</f>
        <v>#REF!</v>
      </c>
      <c r="FK37" t="e">
        <f>#REF!-"vlM!$7Z"</f>
        <v>#REF!</v>
      </c>
      <c r="FL37" t="e">
        <f>#REF!-"vlM!$7["</f>
        <v>#REF!</v>
      </c>
      <c r="FM37" t="e">
        <f>#REF!-"vlM!$7\"</f>
        <v>#REF!</v>
      </c>
      <c r="FN37" t="e">
        <f>#REF!-"vlM!$7]"</f>
        <v>#REF!</v>
      </c>
      <c r="FO37" t="e">
        <f>#REF!-"vlM!$7^"</f>
        <v>#REF!</v>
      </c>
      <c r="FP37" t="e">
        <f>#REF!-"vlM!$7_"</f>
        <v>#REF!</v>
      </c>
      <c r="FQ37" t="e">
        <f>#REF!-"vlM!$7`"</f>
        <v>#REF!</v>
      </c>
      <c r="FR37" t="e">
        <f>#REF!-"vlM!$7a"</f>
        <v>#REF!</v>
      </c>
      <c r="FS37" t="e">
        <f>#REF!-"vlM!$7b"</f>
        <v>#REF!</v>
      </c>
      <c r="FT37" t="e">
        <f>#REF!-"vlM!$7c"</f>
        <v>#REF!</v>
      </c>
      <c r="FU37" t="e">
        <f>#REF!-"vlM!$7d"</f>
        <v>#REF!</v>
      </c>
      <c r="FV37" t="e">
        <f>#REF!-"vlM!$7e"</f>
        <v>#REF!</v>
      </c>
      <c r="FW37" t="e">
        <f>#REF!-"vlM!$7f"</f>
        <v>#REF!</v>
      </c>
      <c r="FX37" t="e">
        <f>#REF!-"vlM!$7g"</f>
        <v>#REF!</v>
      </c>
      <c r="FY37" t="e">
        <f>#REF!-"vlM!$7h"</f>
        <v>#REF!</v>
      </c>
      <c r="FZ37" t="e">
        <f>#REF!-"vlM!$7i"</f>
        <v>#REF!</v>
      </c>
      <c r="GA37" t="e">
        <f>#REF!-"vlM!$7j"</f>
        <v>#REF!</v>
      </c>
      <c r="GB37" t="e">
        <f>#REF!-"vlM!$7k"</f>
        <v>#REF!</v>
      </c>
      <c r="GC37" t="e">
        <f>#REF!-"vlM!$7l"</f>
        <v>#REF!</v>
      </c>
      <c r="GD37" t="e">
        <f>#REF!-"vlM!$7m"</f>
        <v>#REF!</v>
      </c>
      <c r="GE37" t="e">
        <f>#REF!-"vlM!$7n"</f>
        <v>#REF!</v>
      </c>
      <c r="GF37" t="e">
        <f>#REF!-"vlM!$7o"</f>
        <v>#REF!</v>
      </c>
      <c r="GG37" t="e">
        <f>#REF!-"vlM!$7p"</f>
        <v>#REF!</v>
      </c>
      <c r="GH37" t="e">
        <f>#REF!-"vlM!$7q"</f>
        <v>#REF!</v>
      </c>
      <c r="GI37" t="e">
        <f>#REF!-"vlM!$7r"</f>
        <v>#REF!</v>
      </c>
      <c r="GJ37" t="e">
        <f>#REF!-"vlM!$7s"</f>
        <v>#REF!</v>
      </c>
      <c r="GK37" t="e">
        <f>#REF!-"vlM!$7t"</f>
        <v>#REF!</v>
      </c>
      <c r="GL37" t="e">
        <f>#REF!-"vlM!$7u"</f>
        <v>#REF!</v>
      </c>
      <c r="GM37" t="e">
        <f>#REF!-"vlM!$7v"</f>
        <v>#REF!</v>
      </c>
      <c r="GN37" t="e">
        <f>#REF!-"vlM!$7w"</f>
        <v>#REF!</v>
      </c>
      <c r="GO37" t="e">
        <f>#REF!-"vlM!$7x"</f>
        <v>#REF!</v>
      </c>
      <c r="GP37" t="e">
        <f>#REF!-"vlM!$7y"</f>
        <v>#REF!</v>
      </c>
      <c r="GQ37" t="e">
        <f>#REF!-"vlM!$7z"</f>
        <v>#REF!</v>
      </c>
      <c r="GR37" t="e">
        <f>#REF!-"vlM!$7{"</f>
        <v>#REF!</v>
      </c>
      <c r="GS37" t="e">
        <f>#REF!-"vlM!$7|"</f>
        <v>#REF!</v>
      </c>
      <c r="GT37" t="e">
        <f>#REF!-"vlM!$7}"</f>
        <v>#REF!</v>
      </c>
      <c r="GU37" t="e">
        <f>#REF!-"vlM!$7~"</f>
        <v>#REF!</v>
      </c>
      <c r="GV37" t="e">
        <f>#REF!-"vlM!$8#"</f>
        <v>#REF!</v>
      </c>
      <c r="GW37" t="e">
        <f>#REF!-"vlM!$8$"</f>
        <v>#REF!</v>
      </c>
      <c r="GX37" t="e">
        <f>#REF!-"vlM!$8%"</f>
        <v>#REF!</v>
      </c>
      <c r="GY37" t="e">
        <f>#REF!-"vlM!$8&amp;"</f>
        <v>#REF!</v>
      </c>
      <c r="GZ37" t="e">
        <f>#REF!-"vlM!$8'"</f>
        <v>#REF!</v>
      </c>
      <c r="HA37" t="e">
        <f>#REF!-"vlM!$8("</f>
        <v>#REF!</v>
      </c>
      <c r="HB37" t="e">
        <f>#REF!-"vlM!$8)"</f>
        <v>#REF!</v>
      </c>
      <c r="HC37" t="e">
        <f>#REF!-"vlM!$8."</f>
        <v>#REF!</v>
      </c>
      <c r="HD37" t="e">
        <f>#REF!-"vlM!$8/"</f>
        <v>#REF!</v>
      </c>
      <c r="HE37" t="e">
        <f>#REF!-"vlM!$80"</f>
        <v>#REF!</v>
      </c>
      <c r="HF37" t="e">
        <f>#REF!-"vlM!$81"</f>
        <v>#REF!</v>
      </c>
      <c r="HG37" t="e">
        <f>#REF!-"vlM!$82"</f>
        <v>#REF!</v>
      </c>
      <c r="HH37" t="e">
        <f>#REF!-"vlM!$83"</f>
        <v>#REF!</v>
      </c>
      <c r="HI37" t="e">
        <f>#REF!-"vlM!$84"</f>
        <v>#REF!</v>
      </c>
      <c r="HJ37" t="e">
        <f>#REF!-"vlM!$85"</f>
        <v>#REF!</v>
      </c>
      <c r="HK37" t="e">
        <f>#REF!-"vlM!$86"</f>
        <v>#REF!</v>
      </c>
      <c r="HL37" t="e">
        <f>#REF!-"vlM!$87"</f>
        <v>#REF!</v>
      </c>
      <c r="HM37" t="e">
        <f>#REF!-"vlM!$88"</f>
        <v>#REF!</v>
      </c>
      <c r="HN37" t="e">
        <f>#REF!-"vlM!$89"</f>
        <v>#REF!</v>
      </c>
      <c r="HO37" t="e">
        <f>#REF!-"vlM!$8:"</f>
        <v>#REF!</v>
      </c>
      <c r="HP37" t="e">
        <f>#REF!-"vlM!$8;"</f>
        <v>#REF!</v>
      </c>
      <c r="HQ37" t="e">
        <f>#REF!-"vlM!$8&lt;"</f>
        <v>#REF!</v>
      </c>
      <c r="HR37" t="e">
        <f>#REF!-"vlM!$8="</f>
        <v>#REF!</v>
      </c>
      <c r="HS37" t="e">
        <f>#REF!-"vlM!$8&gt;"</f>
        <v>#REF!</v>
      </c>
      <c r="HT37" t="e">
        <f>#REF!-"vlM!$8?"</f>
        <v>#REF!</v>
      </c>
      <c r="HU37" t="e">
        <f>#REF!-"vlM!$8@"</f>
        <v>#REF!</v>
      </c>
      <c r="HV37" t="e">
        <f>#REF!-"vlM!$8A"</f>
        <v>#REF!</v>
      </c>
      <c r="HW37" t="e">
        <f>#REF!-"vlM!$8B"</f>
        <v>#REF!</v>
      </c>
      <c r="HX37" t="e">
        <f>#REF!-"vlM!$8C"</f>
        <v>#REF!</v>
      </c>
      <c r="HY37" t="e">
        <f>#REF!-"vlM!$8D"</f>
        <v>#REF!</v>
      </c>
      <c r="HZ37" t="e">
        <f>#REF!-"vlM!$8E"</f>
        <v>#REF!</v>
      </c>
      <c r="IA37" t="e">
        <f>#REF!-"vlM!$8F"</f>
        <v>#REF!</v>
      </c>
      <c r="IB37" t="e">
        <f>#REF!-"vlM!$8G"</f>
        <v>#REF!</v>
      </c>
      <c r="IC37" t="e">
        <f>#REF!-"vlM!$8H"</f>
        <v>#REF!</v>
      </c>
      <c r="ID37" t="e">
        <f>#REF!-"vlM!$8I"</f>
        <v>#REF!</v>
      </c>
      <c r="IE37" t="e">
        <f>#REF!-"vlM!$8J"</f>
        <v>#REF!</v>
      </c>
      <c r="IF37" t="e">
        <f>#REF!-"vlM!$8K"</f>
        <v>#REF!</v>
      </c>
      <c r="IG37" t="e">
        <f>#REF!-"vlM!$8L"</f>
        <v>#REF!</v>
      </c>
      <c r="IH37" t="e">
        <f>#REF!-"vlM!$8M"</f>
        <v>#REF!</v>
      </c>
      <c r="II37" t="e">
        <f>#REF!-"vlM!$8N"</f>
        <v>#REF!</v>
      </c>
      <c r="IJ37" t="e">
        <f>#REF!-"vlM!$8O"</f>
        <v>#REF!</v>
      </c>
      <c r="IK37" t="e">
        <f>#REF!-"vlM!$8P"</f>
        <v>#REF!</v>
      </c>
      <c r="IL37" t="e">
        <f>#REF!-"vlM!$8Q"</f>
        <v>#REF!</v>
      </c>
      <c r="IM37" t="e">
        <f>#REF!-"vlM!$8R"</f>
        <v>#REF!</v>
      </c>
      <c r="IN37" t="e">
        <f>#REF!-"vlM!$8S"</f>
        <v>#REF!</v>
      </c>
      <c r="IO37" t="e">
        <f>#REF!-"vlM!$8T"</f>
        <v>#REF!</v>
      </c>
      <c r="IP37" t="e">
        <f>#REF!-"vlM!$8U"</f>
        <v>#REF!</v>
      </c>
      <c r="IQ37" t="e">
        <f>#REF!-"vlM!$8V"</f>
        <v>#REF!</v>
      </c>
      <c r="IR37" t="e">
        <f>#REF!-"vlM!$8W"</f>
        <v>#REF!</v>
      </c>
      <c r="IS37" t="e">
        <f>#REF!-"vlM!$8X"</f>
        <v>#REF!</v>
      </c>
      <c r="IT37" t="e">
        <f>#REF!-"vlM!$8Y"</f>
        <v>#REF!</v>
      </c>
      <c r="IU37" t="e">
        <f>#REF!-"vlM!$8Z"</f>
        <v>#REF!</v>
      </c>
      <c r="IV37" t="e">
        <f>#REF!-"vlM!$8["</f>
        <v>#REF!</v>
      </c>
    </row>
    <row r="38" spans="6:256" x14ac:dyDescent="0.25">
      <c r="F38" t="e">
        <f>#REF!-"vlM!$8\"</f>
        <v>#REF!</v>
      </c>
      <c r="G38" t="e">
        <f>#REF!-"vlM!$8]"</f>
        <v>#REF!</v>
      </c>
      <c r="H38" t="e">
        <f>#REF!-"vlM!$8^"</f>
        <v>#REF!</v>
      </c>
      <c r="I38" t="e">
        <f>#REF!-"vlM!$8_"</f>
        <v>#REF!</v>
      </c>
      <c r="J38" t="e">
        <f>#REF!-"vlM!$8`"</f>
        <v>#REF!</v>
      </c>
      <c r="K38" t="e">
        <f>#REF!-"vlM!$8a"</f>
        <v>#REF!</v>
      </c>
      <c r="L38" t="e">
        <f>#REF!-"vlM!$8b"</f>
        <v>#REF!</v>
      </c>
      <c r="M38" t="e">
        <f>#REF!-"vlM!$8c"</f>
        <v>#REF!</v>
      </c>
      <c r="N38" t="e">
        <f>#REF!-"vlM!$8d"</f>
        <v>#REF!</v>
      </c>
      <c r="O38" t="e">
        <f>#REF!-"vlM!$8e"</f>
        <v>#REF!</v>
      </c>
      <c r="P38" t="e">
        <f>#REF!-"vlM!$8f"</f>
        <v>#REF!</v>
      </c>
      <c r="Q38" t="e">
        <f>#REF!-"vlM!$8g"</f>
        <v>#REF!</v>
      </c>
      <c r="R38" t="e">
        <f>#REF!-"vlM!$8h"</f>
        <v>#REF!</v>
      </c>
      <c r="S38" t="e">
        <f>#REF!-"vlM!$8i"</f>
        <v>#REF!</v>
      </c>
      <c r="T38" t="e">
        <f>#REF!-"vlM!$8j"</f>
        <v>#REF!</v>
      </c>
      <c r="U38" t="e">
        <f>#REF!-"vlM!$8k"</f>
        <v>#REF!</v>
      </c>
      <c r="V38" t="e">
        <f>#REF!-"vlM!$8l"</f>
        <v>#REF!</v>
      </c>
      <c r="W38" t="e">
        <f>#REF!-"vlM!$8m"</f>
        <v>#REF!</v>
      </c>
      <c r="X38" t="e">
        <f>#REF!-"vlM!$8n"</f>
        <v>#REF!</v>
      </c>
      <c r="Y38" t="e">
        <f>#REF!-"vlM!$8o"</f>
        <v>#REF!</v>
      </c>
      <c r="Z38" t="e">
        <f>#REF!-"vlM!$8p"</f>
        <v>#REF!</v>
      </c>
      <c r="AA38" t="e">
        <f>#REF!-"vlM!$8q"</f>
        <v>#REF!</v>
      </c>
      <c r="AB38" t="e">
        <f>#REF!-"vlM!$8r"</f>
        <v>#REF!</v>
      </c>
      <c r="AC38" t="e">
        <f>#REF!-"vlM!$8s"</f>
        <v>#REF!</v>
      </c>
      <c r="AD38" t="e">
        <f>#REF!-"vlM!$8t"</f>
        <v>#REF!</v>
      </c>
      <c r="AE38" t="e">
        <f>#REF!-"vlM!$8u"</f>
        <v>#REF!</v>
      </c>
      <c r="AF38" t="e">
        <f>#REF!-"vlM!$8v"</f>
        <v>#REF!</v>
      </c>
      <c r="AG38" t="e">
        <f>#REF!-"vlM!$8w"</f>
        <v>#REF!</v>
      </c>
      <c r="AH38" t="e">
        <f>#REF!-"vlM!$8x"</f>
        <v>#REF!</v>
      </c>
      <c r="AI38" t="e">
        <f>#REF!-"vlM!$8y"</f>
        <v>#REF!</v>
      </c>
      <c r="AJ38" t="e">
        <f>#REF!-"vlM!$8z"</f>
        <v>#REF!</v>
      </c>
      <c r="AK38" t="e">
        <f>#REF!-"vlM!$8{"</f>
        <v>#REF!</v>
      </c>
      <c r="AL38" t="e">
        <f>#REF!-"vlM!$8|"</f>
        <v>#REF!</v>
      </c>
      <c r="AM38" t="e">
        <f>#REF!-"vlM!$8}"</f>
        <v>#REF!</v>
      </c>
      <c r="AN38" t="e">
        <f>#REF!-"vlM!$8~"</f>
        <v>#REF!</v>
      </c>
      <c r="AO38" t="e">
        <f>#REF!-"vlM!$9#"</f>
        <v>#REF!</v>
      </c>
      <c r="AP38" t="e">
        <f>#REF!-"vlM!$9$"</f>
        <v>#REF!</v>
      </c>
      <c r="AQ38" t="e">
        <f>#REF!-"vlM!$9%"</f>
        <v>#REF!</v>
      </c>
      <c r="AR38" t="e">
        <f>#REF!-"vlM!$9&amp;"</f>
        <v>#REF!</v>
      </c>
      <c r="AS38" t="e">
        <f>#REF!-"vlM!$9'"</f>
        <v>#REF!</v>
      </c>
      <c r="AT38" t="e">
        <f>#REF!-"vlM!$9("</f>
        <v>#REF!</v>
      </c>
      <c r="AU38" t="e">
        <f>#REF!-"vlM!$9)"</f>
        <v>#REF!</v>
      </c>
      <c r="AV38" t="e">
        <f>#REF!-"vlM!$9."</f>
        <v>#REF!</v>
      </c>
      <c r="AW38" t="e">
        <f>#REF!-"vlM!$9/"</f>
        <v>#REF!</v>
      </c>
      <c r="AX38" t="e">
        <f>#REF!-"vlM!$90"</f>
        <v>#REF!</v>
      </c>
      <c r="AY38" t="e">
        <f>#REF!-"vlM!$91"</f>
        <v>#REF!</v>
      </c>
      <c r="AZ38" t="e">
        <f>#REF!-"vlM!$92"</f>
        <v>#REF!</v>
      </c>
      <c r="BA38" t="e">
        <f>#REF!-"vlM!$93"</f>
        <v>#REF!</v>
      </c>
      <c r="BB38" t="e">
        <f>#REF!-"vlM!$94"</f>
        <v>#REF!</v>
      </c>
      <c r="BC38" t="e">
        <f>#REF!-"vlM!$95"</f>
        <v>#REF!</v>
      </c>
      <c r="BD38" t="e">
        <f>#REF!-"vlM!$96"</f>
        <v>#REF!</v>
      </c>
      <c r="BE38" t="e">
        <f>#REF!-"vlM!$97"</f>
        <v>#REF!</v>
      </c>
      <c r="BF38" t="e">
        <f>#REF!-"vlM!$98"</f>
        <v>#REF!</v>
      </c>
      <c r="BG38" t="e">
        <f>#REF!-"vlM!$99"</f>
        <v>#REF!</v>
      </c>
      <c r="BH38" t="e">
        <f>#REF!-"vlM!$9:"</f>
        <v>#REF!</v>
      </c>
      <c r="BI38" t="e">
        <f>#REF!-"vlM!$9;"</f>
        <v>#REF!</v>
      </c>
      <c r="BJ38" t="e">
        <f>#REF!-"vlM!$9&lt;"</f>
        <v>#REF!</v>
      </c>
      <c r="BK38" t="e">
        <f>#REF!-"vlM!$9="</f>
        <v>#REF!</v>
      </c>
      <c r="BL38" t="e">
        <f>#REF!-"vlM!$9&gt;"</f>
        <v>#REF!</v>
      </c>
      <c r="BM38" t="e">
        <f>#REF!-"vlM!$9?"</f>
        <v>#REF!</v>
      </c>
      <c r="BN38" t="e">
        <f>#REF!-"vlM!$9@"</f>
        <v>#REF!</v>
      </c>
      <c r="BO38" t="e">
        <f>#REF!-"vlM!$9A"</f>
        <v>#REF!</v>
      </c>
      <c r="BP38" t="e">
        <f>#REF!-"vlM!$9B"</f>
        <v>#REF!</v>
      </c>
      <c r="BQ38" t="e">
        <f>#REF!-"vlM!$9C"</f>
        <v>#REF!</v>
      </c>
      <c r="BR38" t="e">
        <f>#REF!-"vlM!$9D"</f>
        <v>#REF!</v>
      </c>
      <c r="BS38" t="e">
        <f>#REF!-"vlM!$9E"</f>
        <v>#REF!</v>
      </c>
      <c r="BT38" t="e">
        <f>#REF!-"vlM!$9F"</f>
        <v>#REF!</v>
      </c>
      <c r="BU38" t="e">
        <f>#REF!-"vlM!$9G"</f>
        <v>#REF!</v>
      </c>
      <c r="BV38" t="e">
        <f>#REF!-"vlM!$9H"</f>
        <v>#REF!</v>
      </c>
      <c r="BW38" t="e">
        <f>#REF!-"vlM!$9I"</f>
        <v>#REF!</v>
      </c>
      <c r="BX38" t="e">
        <f>#REF!-"vlM!$9J"</f>
        <v>#REF!</v>
      </c>
      <c r="BY38" t="e">
        <f>#REF!-"vlM!$9K"</f>
        <v>#REF!</v>
      </c>
      <c r="BZ38" t="e">
        <f>#REF!-"vlM!$9L"</f>
        <v>#REF!</v>
      </c>
      <c r="CA38" t="e">
        <f>#REF!-"vlM!$9M"</f>
        <v>#REF!</v>
      </c>
      <c r="CB38" t="e">
        <f>#REF!-"vlM!$9N"</f>
        <v>#REF!</v>
      </c>
      <c r="CC38" t="e">
        <f>#REF!-"vlM!$9O"</f>
        <v>#REF!</v>
      </c>
      <c r="CD38" t="e">
        <f>#REF!-"vlM!$9P"</f>
        <v>#REF!</v>
      </c>
      <c r="CE38" t="e">
        <f>#REF!-"vlM!$9Q"</f>
        <v>#REF!</v>
      </c>
      <c r="CF38" t="e">
        <f>#REF!-"vlM!$9R"</f>
        <v>#REF!</v>
      </c>
      <c r="CG38" t="e">
        <f>#REF!-"vlM!$9S"</f>
        <v>#REF!</v>
      </c>
      <c r="CH38" t="e">
        <f>#REF!-"vlM!$9T"</f>
        <v>#REF!</v>
      </c>
      <c r="CI38" t="e">
        <f>#REF!-"vlM!$9U"</f>
        <v>#REF!</v>
      </c>
      <c r="CJ38" t="e">
        <f>#REF!-"vlM!$9V"</f>
        <v>#REF!</v>
      </c>
      <c r="CK38" t="e">
        <f>#REF!-"vlM!$9W"</f>
        <v>#REF!</v>
      </c>
      <c r="CL38" t="e">
        <f>#REF!-"vlM!$9X"</f>
        <v>#REF!</v>
      </c>
      <c r="CM38" t="e">
        <f>#REF!-"vlM!$9Y"</f>
        <v>#REF!</v>
      </c>
      <c r="CN38" t="e">
        <f>#REF!-"vlM!$9Z"</f>
        <v>#REF!</v>
      </c>
      <c r="CO38" t="e">
        <f>#REF!-"vlM!$9["</f>
        <v>#REF!</v>
      </c>
      <c r="CP38" t="e">
        <f>#REF!-"vlM!$9\"</f>
        <v>#REF!</v>
      </c>
      <c r="CQ38" t="e">
        <f>#REF!-"vlM!$9]"</f>
        <v>#REF!</v>
      </c>
      <c r="CR38" t="e">
        <f>#REF!-"vlM!$9^"</f>
        <v>#REF!</v>
      </c>
      <c r="CS38" t="e">
        <f>#REF!-"vlM!$9_"</f>
        <v>#REF!</v>
      </c>
      <c r="CT38" t="e">
        <f>#REF!-"vlM!$9`"</f>
        <v>#REF!</v>
      </c>
      <c r="CU38" t="e">
        <f>#REF!-"vlM!$9a"</f>
        <v>#REF!</v>
      </c>
      <c r="CV38" t="e">
        <f>#REF!-"vlM!$9b"</f>
        <v>#REF!</v>
      </c>
      <c r="CW38" t="e">
        <f>#REF!-"vlM!$9c"</f>
        <v>#REF!</v>
      </c>
      <c r="CX38" t="e">
        <f>#REF!-"vlM!$9d"</f>
        <v>#REF!</v>
      </c>
      <c r="CY38" t="e">
        <f>#REF!-"vlM!$9e"</f>
        <v>#REF!</v>
      </c>
      <c r="CZ38" t="e">
        <f>#REF!-"vlM!$9f"</f>
        <v>#REF!</v>
      </c>
      <c r="DA38" t="e">
        <f>#REF!-"vlM!$9g"</f>
        <v>#REF!</v>
      </c>
      <c r="DB38" t="e">
        <f>#REF!-"vlM!$9h"</f>
        <v>#REF!</v>
      </c>
      <c r="DC38" t="e">
        <f>#REF!-"vlM!$9i"</f>
        <v>#REF!</v>
      </c>
      <c r="DD38" t="e">
        <f>#REF!-"vlM!$9j"</f>
        <v>#REF!</v>
      </c>
      <c r="DE38" t="e">
        <f>#REF!-"vlM!$9k"</f>
        <v>#REF!</v>
      </c>
      <c r="DF38" t="e">
        <f>#REF!-"vlM!$9l"</f>
        <v>#REF!</v>
      </c>
      <c r="DG38" t="e">
        <f>#REF!-"vlM!$9m"</f>
        <v>#REF!</v>
      </c>
      <c r="DH38" t="e">
        <f>#REF!-"vlM!$9n"</f>
        <v>#REF!</v>
      </c>
      <c r="DI38" t="e">
        <f>#REF!-"vlM!$9o"</f>
        <v>#REF!</v>
      </c>
      <c r="DJ38" t="e">
        <f>#REF!-"vlM!$9p"</f>
        <v>#REF!</v>
      </c>
      <c r="DK38" t="e">
        <f>#REF!-"vlM!$9q"</f>
        <v>#REF!</v>
      </c>
      <c r="DL38" t="e">
        <f>#REF!-"vlM!$9r"</f>
        <v>#REF!</v>
      </c>
      <c r="DM38" t="e">
        <f>#REF!-"vlM!$9s"</f>
        <v>#REF!</v>
      </c>
      <c r="DN38" t="e">
        <f>#REF!-"vlM!$9t"</f>
        <v>#REF!</v>
      </c>
      <c r="DO38" t="e">
        <f>#REF!-"vlM!$9u"</f>
        <v>#REF!</v>
      </c>
      <c r="DP38" t="e">
        <f>#REF!-"vlM!$9v"</f>
        <v>#REF!</v>
      </c>
      <c r="DQ38" t="e">
        <f>#REF!-"vlM!$9w"</f>
        <v>#REF!</v>
      </c>
      <c r="DR38" t="e">
        <f>#REF!-"vlM!$9x"</f>
        <v>#REF!</v>
      </c>
      <c r="DS38" t="e">
        <f>#REF!-"vlM!$9y"</f>
        <v>#REF!</v>
      </c>
      <c r="DT38" t="e">
        <f>#REF!-"vlM!$9z"</f>
        <v>#REF!</v>
      </c>
      <c r="DU38" t="e">
        <f>#REF!-"vlM!$9{"</f>
        <v>#REF!</v>
      </c>
      <c r="DV38" t="e">
        <f>#REF!-"vlM!$9|"</f>
        <v>#REF!</v>
      </c>
      <c r="DW38" t="e">
        <f>#REF!-"vlM!$9}"</f>
        <v>#REF!</v>
      </c>
      <c r="DX38" t="e">
        <f>#REF!-"vlM!$9~"</f>
        <v>#REF!</v>
      </c>
      <c r="DY38" t="e">
        <f>#REF!-"vlM!$:#"</f>
        <v>#REF!</v>
      </c>
      <c r="DZ38" t="e">
        <f>#REF!-"vlM!$:$"</f>
        <v>#REF!</v>
      </c>
      <c r="EA38" t="e">
        <f>#REF!-"vlM!$:%"</f>
        <v>#REF!</v>
      </c>
      <c r="EB38" t="e">
        <f>#REF!-"vlM!$:&amp;"</f>
        <v>#REF!</v>
      </c>
      <c r="EC38" t="e">
        <f>#REF!-"vlM!$:'"</f>
        <v>#REF!</v>
      </c>
      <c r="ED38" t="e">
        <f>#REF!-"vlM!$:("</f>
        <v>#REF!</v>
      </c>
      <c r="EE38" t="e">
        <f>#REF!-"vlM!$:)"</f>
        <v>#REF!</v>
      </c>
      <c r="EF38" t="e">
        <f>#REF!-"vlM!$:."</f>
        <v>#REF!</v>
      </c>
      <c r="EG38" t="e">
        <f>#REF!-"vlM!$:/"</f>
        <v>#REF!</v>
      </c>
      <c r="EH38" t="e">
        <f>#REF!-"vlM!$:0"</f>
        <v>#REF!</v>
      </c>
      <c r="EI38" t="e">
        <f>#REF!-"vlM!$:1"</f>
        <v>#REF!</v>
      </c>
      <c r="EJ38" t="e">
        <f>#REF!-"vlM!$:2"</f>
        <v>#REF!</v>
      </c>
      <c r="EK38" t="e">
        <f>#REF!-"vlM!$:3"</f>
        <v>#REF!</v>
      </c>
      <c r="EL38" t="e">
        <f>#REF!-"vlM!$:4"</f>
        <v>#REF!</v>
      </c>
      <c r="EM38" t="e">
        <f>#REF!-"vlM!$:5"</f>
        <v>#REF!</v>
      </c>
      <c r="EN38" t="e">
        <f>#REF!-"vlM!$:6"</f>
        <v>#REF!</v>
      </c>
      <c r="EO38" t="e">
        <f>#REF!-"vlM!$:7"</f>
        <v>#REF!</v>
      </c>
      <c r="EP38" t="e">
        <f>#REF!-"vlM!$:8"</f>
        <v>#REF!</v>
      </c>
      <c r="EQ38" t="e">
        <f>#REF!-"vlM!$:9"</f>
        <v>#REF!</v>
      </c>
      <c r="ER38" t="e">
        <f>#REF!-"vlM!$::"</f>
        <v>#REF!</v>
      </c>
      <c r="ES38" t="e">
        <f>#REF!-"vlM!$:;"</f>
        <v>#REF!</v>
      </c>
      <c r="ET38" t="e">
        <f>#REF!-"vlM!$:&lt;"</f>
        <v>#REF!</v>
      </c>
      <c r="EU38" t="e">
        <f>#REF!-"vlM!$:="</f>
        <v>#REF!</v>
      </c>
      <c r="EV38" t="e">
        <f>#REF!-"vlM!$:&gt;"</f>
        <v>#REF!</v>
      </c>
      <c r="EW38" t="e">
        <f>#REF!-"vlM!$:?"</f>
        <v>#REF!</v>
      </c>
      <c r="EX38" t="e">
        <f>#REF!-"vlM!$:@"</f>
        <v>#REF!</v>
      </c>
      <c r="EY38" t="e">
        <f>#REF!-"vlM!$:A"</f>
        <v>#REF!</v>
      </c>
      <c r="EZ38" t="e">
        <f>#REF!-"vlM!$:B"</f>
        <v>#REF!</v>
      </c>
      <c r="FA38" t="e">
        <f>#REF!-"vlM!$:C"</f>
        <v>#REF!</v>
      </c>
      <c r="FB38" t="e">
        <f>#REF!-"vlM!$:D"</f>
        <v>#REF!</v>
      </c>
      <c r="FC38" t="e">
        <f>#REF!-"vlM!$:E"</f>
        <v>#REF!</v>
      </c>
      <c r="FD38" t="e">
        <f>#REF!-"vlM!$:F"</f>
        <v>#REF!</v>
      </c>
      <c r="FE38" t="e">
        <f>#REF!-"vlM!$:G"</f>
        <v>#REF!</v>
      </c>
      <c r="FF38" t="e">
        <f>#REF!-"vlM!$:H"</f>
        <v>#REF!</v>
      </c>
      <c r="FG38" t="e">
        <f>#REF!-"vlM!$:I"</f>
        <v>#REF!</v>
      </c>
      <c r="FH38" t="e">
        <f>#REF!-"vlM!$:J"</f>
        <v>#REF!</v>
      </c>
      <c r="FI38" t="e">
        <f>#REF!-"vlM!$:K"</f>
        <v>#REF!</v>
      </c>
      <c r="FJ38" t="e">
        <f>#REF!-"vlM!$:L"</f>
        <v>#REF!</v>
      </c>
      <c r="FK38" t="e">
        <f>#REF!-"vlM!$:M"</f>
        <v>#REF!</v>
      </c>
      <c r="FL38" t="e">
        <f>#REF!-"vlM!$:N"</f>
        <v>#REF!</v>
      </c>
      <c r="FM38" t="e">
        <f>#REF!-"vlM!$:O"</f>
        <v>#REF!</v>
      </c>
      <c r="FN38" t="e">
        <f>#REF!-"vlM!$:P"</f>
        <v>#REF!</v>
      </c>
      <c r="FO38" t="e">
        <f>#REF!-"vlM!$:Q"</f>
        <v>#REF!</v>
      </c>
      <c r="FP38" t="e">
        <f>#REF!-"vlM!$:R"</f>
        <v>#REF!</v>
      </c>
      <c r="FQ38" t="e">
        <f>#REF!-"vlM!$:S"</f>
        <v>#REF!</v>
      </c>
      <c r="FR38" t="e">
        <f>#REF!-"vlM!$:T"</f>
        <v>#REF!</v>
      </c>
      <c r="FS38" t="e">
        <f>#REF!-"vlM!$:U"</f>
        <v>#REF!</v>
      </c>
      <c r="FT38" t="e">
        <f>#REF!-"vlM!$:V"</f>
        <v>#REF!</v>
      </c>
      <c r="FU38" t="e">
        <f>#REF!-"vlM!$:W"</f>
        <v>#REF!</v>
      </c>
      <c r="FV38" t="e">
        <f>#REF!-"vlM!$:X"</f>
        <v>#REF!</v>
      </c>
      <c r="FW38" t="e">
        <f>#REF!-"vlM!$:Y"</f>
        <v>#REF!</v>
      </c>
      <c r="FX38" t="e">
        <f>#REF!-"vlM!$:Z"</f>
        <v>#REF!</v>
      </c>
      <c r="FY38" t="e">
        <f>#REF!-"vlM!$:["</f>
        <v>#REF!</v>
      </c>
      <c r="FZ38" t="e">
        <f>#REF!-"vlM!$:\"</f>
        <v>#REF!</v>
      </c>
      <c r="GA38" t="e">
        <f>#REF!-"vlM!$:]"</f>
        <v>#REF!</v>
      </c>
      <c r="GB38" t="e">
        <f>#REF!-"vlM!$:^"</f>
        <v>#REF!</v>
      </c>
      <c r="GC38" t="e">
        <f>#REF!-"vlM!$:_"</f>
        <v>#REF!</v>
      </c>
      <c r="GD38" t="e">
        <f>#REF!-"vlM!$:`"</f>
        <v>#REF!</v>
      </c>
      <c r="GE38" t="e">
        <f>#REF!-"vlM!$:a"</f>
        <v>#REF!</v>
      </c>
      <c r="GF38" t="e">
        <f>#REF!-"vlM!$:b"</f>
        <v>#REF!</v>
      </c>
      <c r="GG38" t="e">
        <f>#REF!-"vlM!$:c"</f>
        <v>#REF!</v>
      </c>
      <c r="GH38" t="e">
        <f>#REF!-"vlM!$:d"</f>
        <v>#REF!</v>
      </c>
      <c r="GI38" t="e">
        <f>#REF!-"vlM!$:e"</f>
        <v>#REF!</v>
      </c>
      <c r="GJ38" t="e">
        <f>#REF!-"vlM!$:f"</f>
        <v>#REF!</v>
      </c>
      <c r="GK38" t="e">
        <f>#REF!-"vlM!$:g"</f>
        <v>#REF!</v>
      </c>
      <c r="GL38" t="e">
        <f>#REF!-"vlM!$:h"</f>
        <v>#REF!</v>
      </c>
      <c r="GM38" t="e">
        <f>#REF!-"vlM!$:i"</f>
        <v>#REF!</v>
      </c>
      <c r="GN38" t="e">
        <f>#REF!-"vlM!$:j"</f>
        <v>#REF!</v>
      </c>
      <c r="GO38" t="e">
        <f>#REF!-"vlM!$:k"</f>
        <v>#REF!</v>
      </c>
      <c r="GP38" t="e">
        <f>#REF!-"vlM!$:l"</f>
        <v>#REF!</v>
      </c>
      <c r="GQ38" t="e">
        <f>#REF!-"vlM!$:m"</f>
        <v>#REF!</v>
      </c>
      <c r="GR38" t="e">
        <f>#REF!-"vlM!$:n"</f>
        <v>#REF!</v>
      </c>
      <c r="GS38" t="e">
        <f>#REF!-"vlM!$:o"</f>
        <v>#REF!</v>
      </c>
      <c r="GT38" t="e">
        <f>#REF!-"vlM!$:p"</f>
        <v>#REF!</v>
      </c>
      <c r="GU38" t="e">
        <f>#REF!-"vlM!$:q"</f>
        <v>#REF!</v>
      </c>
      <c r="GV38" t="e">
        <f>#REF!-"vlM!$:r"</f>
        <v>#REF!</v>
      </c>
      <c r="GW38" t="e">
        <f>#REF!-"vlM!$:s"</f>
        <v>#REF!</v>
      </c>
      <c r="GX38" t="e">
        <f>#REF!-"vlM!$:t"</f>
        <v>#REF!</v>
      </c>
      <c r="GY38" t="e">
        <f>#REF!-"vlM!$:u"</f>
        <v>#REF!</v>
      </c>
      <c r="GZ38" t="e">
        <f>#REF!-"vlM!$:v"</f>
        <v>#REF!</v>
      </c>
      <c r="HA38" t="e">
        <f>#REF!-"vlM!$:w"</f>
        <v>#REF!</v>
      </c>
      <c r="HB38" t="e">
        <f>#REF!-"vlM!$:x"</f>
        <v>#REF!</v>
      </c>
      <c r="HC38" t="e">
        <f>#REF!-"vlM!$:y"</f>
        <v>#REF!</v>
      </c>
      <c r="HD38" t="e">
        <f>#REF!-"vlM!$:z"</f>
        <v>#REF!</v>
      </c>
      <c r="HE38" t="e">
        <f>#REF!-"vlM!$:{"</f>
        <v>#REF!</v>
      </c>
      <c r="HF38" t="e">
        <f>#REF!-"vlM!$:|"</f>
        <v>#REF!</v>
      </c>
      <c r="HG38" t="e">
        <f>#REF!-"vlM!$:}"</f>
        <v>#REF!</v>
      </c>
      <c r="HH38" t="e">
        <f>#REF!-"vlM!$:~"</f>
        <v>#REF!</v>
      </c>
      <c r="HI38" t="e">
        <f>#REF!-"vlM!$;#"</f>
        <v>#REF!</v>
      </c>
      <c r="HJ38" t="e">
        <f>#REF!-"vlM!$;$"</f>
        <v>#REF!</v>
      </c>
      <c r="HK38" t="e">
        <f>#REF!-"vlM!$;%"</f>
        <v>#REF!</v>
      </c>
      <c r="HL38" t="e">
        <f>#REF!-"vlM!$;&amp;"</f>
        <v>#REF!</v>
      </c>
      <c r="HM38" t="e">
        <f>#REF!-"vlM!$;'"</f>
        <v>#REF!</v>
      </c>
      <c r="HN38" t="e">
        <f>#REF!-"vlM!$;("</f>
        <v>#REF!</v>
      </c>
      <c r="HO38" t="e">
        <f>#REF!-"vlM!$;)"</f>
        <v>#REF!</v>
      </c>
      <c r="HP38" t="e">
        <f>#REF!-"vlM!$;."</f>
        <v>#REF!</v>
      </c>
      <c r="HQ38" t="e">
        <f>#REF!-"vlM!$;/"</f>
        <v>#REF!</v>
      </c>
      <c r="HR38" t="e">
        <f>#REF!-"vlM!$;0"</f>
        <v>#REF!</v>
      </c>
      <c r="HS38" t="e">
        <f>#REF!-"vlM!$;1"</f>
        <v>#REF!</v>
      </c>
      <c r="HT38" t="e">
        <f>#REF!-"vlM!$;2"</f>
        <v>#REF!</v>
      </c>
      <c r="HU38" t="e">
        <f>#REF!-"vlM!$;3"</f>
        <v>#REF!</v>
      </c>
      <c r="HV38" t="e">
        <f>#REF!-"vlM!$;4"</f>
        <v>#REF!</v>
      </c>
      <c r="HW38" t="e">
        <f>#REF!-"vlM!$;5"</f>
        <v>#REF!</v>
      </c>
      <c r="HX38" t="e">
        <f>#REF!-"vlM!$;6"</f>
        <v>#REF!</v>
      </c>
      <c r="HY38" t="e">
        <f>#REF!-"vlM!$;7"</f>
        <v>#REF!</v>
      </c>
      <c r="HZ38" t="e">
        <f>#REF!-"vlM!$;8"</f>
        <v>#REF!</v>
      </c>
      <c r="IA38" t="e">
        <f>#REF!-"vlM!$;9"</f>
        <v>#REF!</v>
      </c>
      <c r="IB38" t="e">
        <f>#REF!-"vlM!$;:"</f>
        <v>#REF!</v>
      </c>
      <c r="IC38" t="e">
        <f>#REF!-"vlM!$;;"</f>
        <v>#REF!</v>
      </c>
      <c r="ID38" t="e">
        <f>#REF!-"vlM!$;&lt;"</f>
        <v>#REF!</v>
      </c>
      <c r="IE38" t="e">
        <f>#REF!-"vlM!$;="</f>
        <v>#REF!</v>
      </c>
      <c r="IF38" t="e">
        <f>#REF!-"vlM!$;&gt;"</f>
        <v>#REF!</v>
      </c>
      <c r="IG38" t="e">
        <f>#REF!-"vlM!$;?"</f>
        <v>#REF!</v>
      </c>
      <c r="IH38" t="e">
        <f>#REF!-"vlM!$;@"</f>
        <v>#REF!</v>
      </c>
      <c r="II38" t="e">
        <f>#REF!-"vlM!$;A"</f>
        <v>#REF!</v>
      </c>
      <c r="IJ38" t="e">
        <f>#REF!-"vlM!$;B"</f>
        <v>#REF!</v>
      </c>
      <c r="IK38" t="e">
        <f>#REF!-"vlM!$;C"</f>
        <v>#REF!</v>
      </c>
      <c r="IL38" t="e">
        <f>#REF!-"vlM!$;D"</f>
        <v>#REF!</v>
      </c>
      <c r="IM38" t="e">
        <f>#REF!-"vlM!$;E"</f>
        <v>#REF!</v>
      </c>
      <c r="IN38" t="e">
        <f>#REF!-"vlM!$;F"</f>
        <v>#REF!</v>
      </c>
      <c r="IO38" t="e">
        <f>#REF!-"vlM!$;G"</f>
        <v>#REF!</v>
      </c>
      <c r="IP38" t="e">
        <f>#REF!-"vlM!$;H"</f>
        <v>#REF!</v>
      </c>
      <c r="IQ38" t="e">
        <f>#REF!-"vlM!$;I"</f>
        <v>#REF!</v>
      </c>
      <c r="IR38" t="e">
        <f>#REF!-"vlM!$;J"</f>
        <v>#REF!</v>
      </c>
      <c r="IS38" t="e">
        <f>#REF!-"vlM!$;K"</f>
        <v>#REF!</v>
      </c>
      <c r="IT38" t="e">
        <f>#REF!-"vlM!$;L"</f>
        <v>#REF!</v>
      </c>
      <c r="IU38" t="e">
        <f>#REF!-"vlM!$;M"</f>
        <v>#REF!</v>
      </c>
      <c r="IV38" t="e">
        <f>#REF!-"vlM!$;N"</f>
        <v>#REF!</v>
      </c>
    </row>
    <row r="39" spans="6:256" x14ac:dyDescent="0.25">
      <c r="F39" t="e">
        <f>#REF!-"vlM!$;O"</f>
        <v>#REF!</v>
      </c>
      <c r="G39" t="e">
        <f>#REF!-"vlM!$;P"</f>
        <v>#REF!</v>
      </c>
      <c r="H39" t="e">
        <f>#REF!-"vlM!$;Q"</f>
        <v>#REF!</v>
      </c>
      <c r="I39" t="e">
        <f>#REF!-"vlM!$;R"</f>
        <v>#REF!</v>
      </c>
      <c r="J39" t="e">
        <f>#REF!-"vlM!$;S"</f>
        <v>#REF!</v>
      </c>
      <c r="K39" t="e">
        <f>#REF!-"vlM!$;T"</f>
        <v>#REF!</v>
      </c>
      <c r="L39" t="e">
        <f>#REF!-"vlM!$;U"</f>
        <v>#REF!</v>
      </c>
      <c r="M39" t="e">
        <f>#REF!-"vlM!$;V"</f>
        <v>#REF!</v>
      </c>
      <c r="N39" t="e">
        <f>#REF!-"vlM!$;W"</f>
        <v>#REF!</v>
      </c>
      <c r="O39" t="e">
        <f>#REF!-"vlM!$;X"</f>
        <v>#REF!</v>
      </c>
      <c r="P39" t="e">
        <f>#REF!-"vlM!$;Y"</f>
        <v>#REF!</v>
      </c>
      <c r="Q39" t="e">
        <f>#REF!-"vlM!$;Z"</f>
        <v>#REF!</v>
      </c>
      <c r="R39" t="e">
        <f>#REF!-"vlM!$;["</f>
        <v>#REF!</v>
      </c>
      <c r="S39" t="e">
        <f>#REF!-"vlM!$;\"</f>
        <v>#REF!</v>
      </c>
      <c r="T39" t="e">
        <f>#REF!-"vlM!$;]"</f>
        <v>#REF!</v>
      </c>
      <c r="U39" t="e">
        <f>#REF!-"vlM!$;^"</f>
        <v>#REF!</v>
      </c>
      <c r="V39" t="e">
        <f>#REF!-"vlM!$;_"</f>
        <v>#REF!</v>
      </c>
      <c r="W39" t="e">
        <f>#REF!-"vlM!$;`"</f>
        <v>#REF!</v>
      </c>
      <c r="X39" t="e">
        <f>#REF!-"vlM!$;a"</f>
        <v>#REF!</v>
      </c>
      <c r="Y39" t="e">
        <f>#REF!-"vlM!$;b"</f>
        <v>#REF!</v>
      </c>
      <c r="Z39" t="e">
        <f>#REF!-"vlM!$;c"</f>
        <v>#REF!</v>
      </c>
      <c r="AA39" t="e">
        <f>#REF!-"vlM!$;d"</f>
        <v>#REF!</v>
      </c>
      <c r="AB39" t="e">
        <f>#REF!-"vlM!$;e"</f>
        <v>#REF!</v>
      </c>
      <c r="AC39" t="e">
        <f>#REF!-"vlM!$;f"</f>
        <v>#REF!</v>
      </c>
      <c r="AD39" t="e">
        <f>#REF!-"vlM!$;g"</f>
        <v>#REF!</v>
      </c>
      <c r="AE39" t="e">
        <f>#REF!-"vlM!$;h"</f>
        <v>#REF!</v>
      </c>
      <c r="AF39" t="e">
        <f>#REF!-"vlM!$;i"</f>
        <v>#REF!</v>
      </c>
      <c r="AG39" t="e">
        <f>#REF!-"vlM!$;j"</f>
        <v>#REF!</v>
      </c>
      <c r="AH39" t="e">
        <f>#REF!-"vlM!$;k"</f>
        <v>#REF!</v>
      </c>
      <c r="AI39" t="e">
        <f>#REF!-"vlM!$;l"</f>
        <v>#REF!</v>
      </c>
      <c r="AJ39" t="e">
        <f>#REF!-"vlM!$;m"</f>
        <v>#REF!</v>
      </c>
      <c r="AK39" t="e">
        <f>#REF!-"vlM!$;n"</f>
        <v>#REF!</v>
      </c>
      <c r="AL39" t="e">
        <f>#REF!-"vlM!$;o"</f>
        <v>#REF!</v>
      </c>
      <c r="AM39" t="e">
        <f>#REF!-"vlM!$;p"</f>
        <v>#REF!</v>
      </c>
      <c r="AN39" t="e">
        <f>#REF!-"vlM!$;q"</f>
        <v>#REF!</v>
      </c>
      <c r="AO39" t="e">
        <f>#REF!-"vlM!$;r"</f>
        <v>#REF!</v>
      </c>
      <c r="AP39" t="e">
        <f>#REF!-"vlM!$;s"</f>
        <v>#REF!</v>
      </c>
      <c r="AQ39" t="e">
        <f>#REF!-"vlM!$;t"</f>
        <v>#REF!</v>
      </c>
      <c r="AR39" t="e">
        <f>#REF!-"vlM!$;u"</f>
        <v>#REF!</v>
      </c>
      <c r="AS39" t="e">
        <f>#REF!-"vlM!$;v"</f>
        <v>#REF!</v>
      </c>
      <c r="AT39" t="e">
        <f>#REF!-"vlM!$;w"</f>
        <v>#REF!</v>
      </c>
      <c r="AU39" t="e">
        <f>#REF!-"vlM!$;x"</f>
        <v>#REF!</v>
      </c>
      <c r="AV39" t="e">
        <f>#REF!-"vlM!$;y"</f>
        <v>#REF!</v>
      </c>
      <c r="AW39" t="e">
        <f>#REF!-"vlM!$;z"</f>
        <v>#REF!</v>
      </c>
      <c r="AX39" t="e">
        <f>#REF!-"vlM!$;{"</f>
        <v>#REF!</v>
      </c>
      <c r="AY39" t="e">
        <f>#REF!-"vlM!$;|"</f>
        <v>#REF!</v>
      </c>
      <c r="AZ39" t="e">
        <f>#REF!-"vlM!$;}"</f>
        <v>#REF!</v>
      </c>
      <c r="BA39" t="e">
        <f>#REF!-"vlM!$;~"</f>
        <v>#REF!</v>
      </c>
      <c r="BB39" t="e">
        <f>#REF!-"vlM!$&lt;#"</f>
        <v>#REF!</v>
      </c>
      <c r="BC39" t="e">
        <f>#REF!-"vlM!$&lt;$"</f>
        <v>#REF!</v>
      </c>
      <c r="BD39" t="e">
        <f>#REF!-"vlM!$&lt;%"</f>
        <v>#REF!</v>
      </c>
      <c r="BE39" t="e">
        <f>#REF!-"vlM!$&lt;&amp;"</f>
        <v>#REF!</v>
      </c>
      <c r="BF39" t="e">
        <f>#REF!-"vlM!$&lt;'"</f>
        <v>#REF!</v>
      </c>
      <c r="BG39" t="e">
        <f>#REF!-"vlM!$&lt;("</f>
        <v>#REF!</v>
      </c>
      <c r="BH39" t="e">
        <f>#REF!-"vlM!$&lt;)"</f>
        <v>#REF!</v>
      </c>
      <c r="BI39" t="e">
        <f>#REF!-"vlM!$&lt;."</f>
        <v>#REF!</v>
      </c>
      <c r="BJ39" t="e">
        <f>#REF!-"vlM!$&lt;/"</f>
        <v>#REF!</v>
      </c>
      <c r="BK39" t="e">
        <f>#REF!-"vlM!$&lt;0"</f>
        <v>#REF!</v>
      </c>
      <c r="BL39" t="e">
        <f>#REF!-"vlM!$&lt;1"</f>
        <v>#REF!</v>
      </c>
      <c r="BM39" t="e">
        <f>#REF!-"vlM!$&lt;2"</f>
        <v>#REF!</v>
      </c>
      <c r="BN39" t="e">
        <f>#REF!-"vlM!$&lt;3"</f>
        <v>#REF!</v>
      </c>
      <c r="BO39" t="e">
        <f>#REF!-"vlM!$&lt;4"</f>
        <v>#REF!</v>
      </c>
      <c r="BP39" t="e">
        <f>#REF!-"vlM!$&lt;5"</f>
        <v>#REF!</v>
      </c>
      <c r="BQ39" t="e">
        <f>#REF!-"vlM!$&lt;6"</f>
        <v>#REF!</v>
      </c>
      <c r="BR39" t="e">
        <f>#REF!-"vlM!$&lt;7"</f>
        <v>#REF!</v>
      </c>
      <c r="BS39" t="e">
        <f>#REF!-"vlM!$&lt;8"</f>
        <v>#REF!</v>
      </c>
      <c r="BT39" t="e">
        <f>#REF!-"vlM!$&lt;9"</f>
        <v>#REF!</v>
      </c>
      <c r="BU39" t="e">
        <f>#REF!-"vlM!$&lt;:"</f>
        <v>#REF!</v>
      </c>
      <c r="BV39" t="e">
        <f>#REF!-"vlM!$&lt;;"</f>
        <v>#REF!</v>
      </c>
      <c r="BW39" t="e">
        <f>#REF!-"vlM!$&lt;&lt;"</f>
        <v>#REF!</v>
      </c>
      <c r="BX39" t="e">
        <f>#REF!-"vlM!$&lt;="</f>
        <v>#REF!</v>
      </c>
      <c r="BY39" t="e">
        <f>#REF!-"vlM!$&lt;&gt;"</f>
        <v>#REF!</v>
      </c>
      <c r="BZ39" t="e">
        <f>#REF!-"vlM!$&lt;?"</f>
        <v>#REF!</v>
      </c>
      <c r="CA39" t="e">
        <f>#REF!-"vlM!$&lt;@"</f>
        <v>#REF!</v>
      </c>
      <c r="CB39" t="e">
        <f>#REF!-"vlM!$&lt;A"</f>
        <v>#REF!</v>
      </c>
      <c r="CC39" t="e">
        <f>#REF!-"vlM!$&lt;B"</f>
        <v>#REF!</v>
      </c>
      <c r="CD39" t="e">
        <f>#REF!-"vlM!$&lt;C"</f>
        <v>#REF!</v>
      </c>
      <c r="CE39" t="e">
        <f>#REF!-"vlM!$&lt;D"</f>
        <v>#REF!</v>
      </c>
      <c r="CF39" t="e">
        <f>#REF!-"vlM!$&lt;E"</f>
        <v>#REF!</v>
      </c>
      <c r="CG39" t="e">
        <f>#REF!-"vlM!$&lt;F"</f>
        <v>#REF!</v>
      </c>
      <c r="CH39" t="e">
        <f>#REF!-"vlM!$&lt;G"</f>
        <v>#REF!</v>
      </c>
      <c r="CI39" t="e">
        <f>#REF!-"vlM!$&lt;H"</f>
        <v>#REF!</v>
      </c>
      <c r="CJ39" t="e">
        <f>#REF!-"vlM!$&lt;I"</f>
        <v>#REF!</v>
      </c>
      <c r="CK39" t="e">
        <f>#REF!-"vlM!$&lt;J"</f>
        <v>#REF!</v>
      </c>
      <c r="CL39" t="e">
        <f>#REF!-"vlM!$&lt;K"</f>
        <v>#REF!</v>
      </c>
      <c r="CM39" t="e">
        <f>#REF!-"vlM!$&lt;L"</f>
        <v>#REF!</v>
      </c>
      <c r="CN39" t="e">
        <f>#REF!-"vlM!$&lt;M"</f>
        <v>#REF!</v>
      </c>
      <c r="CO39" t="e">
        <f>#REF!-"vlM!$&lt;N"</f>
        <v>#REF!</v>
      </c>
      <c r="CP39" t="e">
        <f>#REF!-"vlM!$&lt;O"</f>
        <v>#REF!</v>
      </c>
      <c r="CQ39" t="e">
        <f>#REF!-"vlM!$&lt;P"</f>
        <v>#REF!</v>
      </c>
      <c r="CR39" t="e">
        <f>#REF!-"vlM!$&lt;Q"</f>
        <v>#REF!</v>
      </c>
      <c r="CS39" t="e">
        <f>#REF!-"vlM!$&lt;R"</f>
        <v>#REF!</v>
      </c>
      <c r="CT39" t="e">
        <f>#REF!-"vlM!$&lt;S"</f>
        <v>#REF!</v>
      </c>
      <c r="CU39" t="e">
        <f>#REF!-"vlM!$&lt;T"</f>
        <v>#REF!</v>
      </c>
      <c r="CV39" t="e">
        <f>#REF!-"vlM!$&lt;U"</f>
        <v>#REF!</v>
      </c>
      <c r="CW39" t="e">
        <f>#REF!-"vlM!$&lt;V"</f>
        <v>#REF!</v>
      </c>
      <c r="CX39" t="e">
        <f>#REF!-"vlM!$&lt;W"</f>
        <v>#REF!</v>
      </c>
      <c r="CY39" t="e">
        <f>#REF!-"vlM!$&lt;X"</f>
        <v>#REF!</v>
      </c>
      <c r="CZ39" t="e">
        <f>#REF!-"vlM!$&lt;Y"</f>
        <v>#REF!</v>
      </c>
      <c r="DA39" t="e">
        <f>#REF!-"vlM!$&lt;Z"</f>
        <v>#REF!</v>
      </c>
      <c r="DB39" t="e">
        <f>#REF!-"vlM!$&lt;["</f>
        <v>#REF!</v>
      </c>
      <c r="DC39" t="e">
        <f>#REF!-"vlM!$&lt;\"</f>
        <v>#REF!</v>
      </c>
      <c r="DD39" t="e">
        <f>#REF!-"vlM!$&lt;]"</f>
        <v>#REF!</v>
      </c>
      <c r="DE39" t="e">
        <f>#REF!-"vlM!$&lt;^"</f>
        <v>#REF!</v>
      </c>
      <c r="DF39" t="e">
        <f>#REF!-"vlM!$&lt;_"</f>
        <v>#REF!</v>
      </c>
      <c r="DG39" t="e">
        <f>#REF!-"vlM!$&lt;`"</f>
        <v>#REF!</v>
      </c>
      <c r="DH39" t="e">
        <f>#REF!-"vlM!$&lt;a"</f>
        <v>#REF!</v>
      </c>
      <c r="DI39" t="e">
        <f>#REF!-"vlM!$&lt;b"</f>
        <v>#REF!</v>
      </c>
      <c r="DJ39" t="e">
        <f>#REF!-"vlM!$&lt;c"</f>
        <v>#REF!</v>
      </c>
      <c r="DK39" t="e">
        <f>#REF!-"vlM!$&lt;d"</f>
        <v>#REF!</v>
      </c>
      <c r="DL39" t="e">
        <f>#REF!-"vlM!$&lt;e"</f>
        <v>#REF!</v>
      </c>
      <c r="DM39" t="e">
        <f>#REF!-"vlM!$&lt;f"</f>
        <v>#REF!</v>
      </c>
      <c r="DN39" t="e">
        <f>#REF!-"vlM!$&lt;g"</f>
        <v>#REF!</v>
      </c>
      <c r="DO39" t="e">
        <f>#REF!-"vlM!$&lt;h"</f>
        <v>#REF!</v>
      </c>
      <c r="DP39" t="e">
        <f>#REF!-"vlM!$&lt;i"</f>
        <v>#REF!</v>
      </c>
      <c r="DQ39" t="e">
        <f>#REF!-"vlM!$&lt;j"</f>
        <v>#REF!</v>
      </c>
      <c r="DR39" t="e">
        <f>#REF!-"vlM!$&lt;k"</f>
        <v>#REF!</v>
      </c>
      <c r="DS39" t="e">
        <f>#REF!-"vlM!$&lt;l"</f>
        <v>#REF!</v>
      </c>
      <c r="DT39" t="e">
        <f>#REF!-"vlM!$&lt;m"</f>
        <v>#REF!</v>
      </c>
      <c r="DU39" t="e">
        <f>#REF!-"vlM!$&lt;n"</f>
        <v>#REF!</v>
      </c>
      <c r="DV39" t="e">
        <f>#REF!-"vlM!$&lt;o"</f>
        <v>#REF!</v>
      </c>
      <c r="DW39" t="e">
        <f>#REF!-"vlM!$&lt;p"</f>
        <v>#REF!</v>
      </c>
      <c r="DX39" t="e">
        <f>#REF!-"vlM!$&lt;q"</f>
        <v>#REF!</v>
      </c>
      <c r="DY39" t="e">
        <f>#REF!-"vlM!$&lt;r"</f>
        <v>#REF!</v>
      </c>
      <c r="DZ39" t="e">
        <f>#REF!-"vlM!$&lt;s"</f>
        <v>#REF!</v>
      </c>
      <c r="EA39" t="e">
        <f>#REF!-"vlM!$&lt;t"</f>
        <v>#REF!</v>
      </c>
      <c r="EB39" t="e">
        <f>#REF!-"vlM!$&lt;u"</f>
        <v>#REF!</v>
      </c>
      <c r="EC39" t="e">
        <f>#REF!-"vlM!$&lt;v"</f>
        <v>#REF!</v>
      </c>
      <c r="ED39" t="e">
        <f>#REF!-"vlM!$&lt;w"</f>
        <v>#REF!</v>
      </c>
      <c r="EE39" t="e">
        <f>#REF!-"vlM!$&lt;x"</f>
        <v>#REF!</v>
      </c>
      <c r="EF39" t="e">
        <f>#REF!-"vlM!$&lt;y"</f>
        <v>#REF!</v>
      </c>
      <c r="EG39" t="e">
        <f>#REF!-"vlM!$&lt;z"</f>
        <v>#REF!</v>
      </c>
      <c r="EH39" t="e">
        <f>#REF!-"vlM!$&lt;{"</f>
        <v>#REF!</v>
      </c>
      <c r="EI39" t="e">
        <f>#REF!-"vlM!$&lt;|"</f>
        <v>#REF!</v>
      </c>
      <c r="EJ39" t="e">
        <f>#REF!-"vlM!$&lt;}"</f>
        <v>#REF!</v>
      </c>
      <c r="EK39" t="e">
        <f>#REF!-"vlM!$&lt;~"</f>
        <v>#REF!</v>
      </c>
      <c r="EL39" t="e">
        <f>#REF!-"vlM!$=#"</f>
        <v>#REF!</v>
      </c>
      <c r="EM39" t="e">
        <f>#REF!-"vlM!$=$"</f>
        <v>#REF!</v>
      </c>
      <c r="EN39" t="e">
        <f>#REF!-"vlM!$=%"</f>
        <v>#REF!</v>
      </c>
      <c r="EO39" t="e">
        <f>#REF!-"vlM!$=&amp;"</f>
        <v>#REF!</v>
      </c>
      <c r="EP39" t="e">
        <f>#REF!-"vlM!$='"</f>
        <v>#REF!</v>
      </c>
      <c r="EQ39" t="e">
        <f>#REF!-"vlM!$=("</f>
        <v>#REF!</v>
      </c>
      <c r="ER39" t="e">
        <f>#REF!-"vlM!$=)"</f>
        <v>#REF!</v>
      </c>
      <c r="ES39" t="e">
        <f>#REF!-"vlM!$=."</f>
        <v>#REF!</v>
      </c>
      <c r="ET39" t="e">
        <f>#REF!-"vlM!$=/"</f>
        <v>#REF!</v>
      </c>
      <c r="EU39" t="e">
        <f>#REF!-"vlM!$=0"</f>
        <v>#REF!</v>
      </c>
      <c r="EV39" t="e">
        <f>#REF!-"vlM!$=1"</f>
        <v>#REF!</v>
      </c>
      <c r="EW39" t="e">
        <f>#REF!-"vlM!$=2"</f>
        <v>#REF!</v>
      </c>
      <c r="EX39" t="e">
        <f>#REF!-"vlM!$=3"</f>
        <v>#REF!</v>
      </c>
      <c r="EY39" t="e">
        <f>#REF!-"vlM!$=4"</f>
        <v>#REF!</v>
      </c>
      <c r="EZ39" t="e">
        <f>#REF!-"vlM!$=5"</f>
        <v>#REF!</v>
      </c>
      <c r="FA39" t="e">
        <f>#REF!-"vlM!$=6"</f>
        <v>#REF!</v>
      </c>
      <c r="FB39" t="e">
        <f>#REF!-"vlM!$=7"</f>
        <v>#REF!</v>
      </c>
      <c r="FC39" t="e">
        <f>#REF!-"vlM!$=8"</f>
        <v>#REF!</v>
      </c>
      <c r="FD39" t="e">
        <f>#REF!-"vlM!$=9"</f>
        <v>#REF!</v>
      </c>
      <c r="FE39" t="e">
        <f>#REF!-"vlM!$=:"</f>
        <v>#REF!</v>
      </c>
      <c r="FF39" t="e">
        <f>#REF!-"vlM!$=;"</f>
        <v>#REF!</v>
      </c>
      <c r="FG39" t="e">
        <f>#REF!-"vlM!$=&lt;"</f>
        <v>#REF!</v>
      </c>
      <c r="FH39" t="e">
        <f>#REF!-"vlM!$=="</f>
        <v>#REF!</v>
      </c>
      <c r="FI39" t="e">
        <f>#REF!-"vlM!$=&gt;"</f>
        <v>#REF!</v>
      </c>
      <c r="FJ39" t="e">
        <f>#REF!-"vlM!$=?"</f>
        <v>#REF!</v>
      </c>
      <c r="FK39" t="e">
        <f>#REF!-"vlM!$=@"</f>
        <v>#REF!</v>
      </c>
      <c r="FL39" t="e">
        <f>#REF!-"vlM!$=A"</f>
        <v>#REF!</v>
      </c>
      <c r="FM39" t="e">
        <f>#REF!-"vlM!$=B"</f>
        <v>#REF!</v>
      </c>
      <c r="FN39" t="e">
        <f>#REF!-"vlM!$=C"</f>
        <v>#REF!</v>
      </c>
      <c r="FO39" t="e">
        <f>#REF!-"vlM!$=D"</f>
        <v>#REF!</v>
      </c>
      <c r="FP39" t="e">
        <f>#REF!-"vlM!$=E"</f>
        <v>#REF!</v>
      </c>
      <c r="FQ39" t="e">
        <f>#REF!-"vlM!$=F"</f>
        <v>#REF!</v>
      </c>
      <c r="FR39" t="e">
        <f>#REF!-"vlM!$=G"</f>
        <v>#REF!</v>
      </c>
      <c r="FS39" t="e">
        <f>#REF!-"vlM!$=H"</f>
        <v>#REF!</v>
      </c>
      <c r="FT39" t="e">
        <f>#REF!-"vlM!$=I"</f>
        <v>#REF!</v>
      </c>
      <c r="FU39" t="e">
        <f>#REF!-"vlM!$=J"</f>
        <v>#REF!</v>
      </c>
      <c r="FV39" t="e">
        <f>#REF!-"vlM!$=K"</f>
        <v>#REF!</v>
      </c>
      <c r="FW39" t="e">
        <f>#REF!-"vlM!$=L"</f>
        <v>#REF!</v>
      </c>
      <c r="FX39" t="e">
        <f>#REF!-"vlM!$=M"</f>
        <v>#REF!</v>
      </c>
      <c r="FY39" t="e">
        <f>#REF!-"vlM!$=N"</f>
        <v>#REF!</v>
      </c>
      <c r="FZ39" t="e">
        <f>#REF!-"vlM!$=O"</f>
        <v>#REF!</v>
      </c>
      <c r="GA39" t="e">
        <f>#REF!-"vlM!$=P"</f>
        <v>#REF!</v>
      </c>
      <c r="GB39" t="e">
        <f>#REF!-"vlM!$=Q"</f>
        <v>#REF!</v>
      </c>
      <c r="GC39" t="e">
        <f>#REF!-"vlM!$=R"</f>
        <v>#REF!</v>
      </c>
      <c r="GD39" t="e">
        <f>#REF!-"vlM!$=S"</f>
        <v>#REF!</v>
      </c>
      <c r="GE39" t="e">
        <f>#REF!-"vlM!$=T"</f>
        <v>#REF!</v>
      </c>
      <c r="GF39" t="e">
        <f>#REF!-"vlM!$=U"</f>
        <v>#REF!</v>
      </c>
      <c r="GG39" t="e">
        <f>#REF!-"vlM!$=V"</f>
        <v>#REF!</v>
      </c>
      <c r="GH39" t="e">
        <f>#REF!-"vlM!$=W"</f>
        <v>#REF!</v>
      </c>
      <c r="GI39" t="e">
        <f>#REF!-"vlM!$=X"</f>
        <v>#REF!</v>
      </c>
      <c r="GJ39" t="e">
        <f>#REF!-"vlM!$=Y"</f>
        <v>#REF!</v>
      </c>
      <c r="GK39" t="e">
        <f>#REF!-"vlM!$=Z"</f>
        <v>#REF!</v>
      </c>
      <c r="GL39" t="e">
        <f>#REF!-"vlM!$=["</f>
        <v>#REF!</v>
      </c>
      <c r="GM39" t="e">
        <f>#REF!-"vlM!$=\"</f>
        <v>#REF!</v>
      </c>
      <c r="GN39" t="e">
        <f>#REF!-"vlM!$=]"</f>
        <v>#REF!</v>
      </c>
      <c r="GO39" t="e">
        <f>#REF!-"vlM!$=^"</f>
        <v>#REF!</v>
      </c>
      <c r="GP39" t="e">
        <f>#REF!-"vlM!$=_"</f>
        <v>#REF!</v>
      </c>
      <c r="GQ39" t="e">
        <f>#REF!-"vlM!$=`"</f>
        <v>#REF!</v>
      </c>
      <c r="GR39" t="e">
        <f>#REF!-"vlM!$=a"</f>
        <v>#REF!</v>
      </c>
      <c r="GS39" t="e">
        <f>#REF!-"vlM!$=b"</f>
        <v>#REF!</v>
      </c>
      <c r="GT39" t="e">
        <f>#REF!-"vlM!$=c"</f>
        <v>#REF!</v>
      </c>
      <c r="GU39" t="e">
        <f>#REF!-"vlM!$=d"</f>
        <v>#REF!</v>
      </c>
      <c r="GV39" t="e">
        <f>#REF!-"vlM!$=e"</f>
        <v>#REF!</v>
      </c>
      <c r="GW39" t="e">
        <f>#REF!-"vlM!$=f"</f>
        <v>#REF!</v>
      </c>
      <c r="GX39" t="e">
        <f>#REF!-"vlM!$=g"</f>
        <v>#REF!</v>
      </c>
      <c r="GY39" t="e">
        <f>#REF!-"vlM!$=h"</f>
        <v>#REF!</v>
      </c>
      <c r="GZ39" t="e">
        <f>#REF!-"vlM!$=i"</f>
        <v>#REF!</v>
      </c>
      <c r="HA39" t="e">
        <f>#REF!-"vlM!$=j"</f>
        <v>#REF!</v>
      </c>
      <c r="HB39" t="e">
        <f>#REF!-"vlM!$=k"</f>
        <v>#REF!</v>
      </c>
      <c r="HC39" t="e">
        <f>#REF!-"vlM!$=l"</f>
        <v>#REF!</v>
      </c>
      <c r="HD39" t="e">
        <f>#REF!-"vlM!$=m"</f>
        <v>#REF!</v>
      </c>
      <c r="HE39" t="e">
        <f>#REF!-"vlM!$=n"</f>
        <v>#REF!</v>
      </c>
      <c r="HF39" t="e">
        <f>#REF!-"vlM!$=o"</f>
        <v>#REF!</v>
      </c>
      <c r="HG39" t="e">
        <f>#REF!-"vlM!$=p"</f>
        <v>#REF!</v>
      </c>
      <c r="HH39" t="e">
        <f>#REF!-"vlM!$=q"</f>
        <v>#REF!</v>
      </c>
      <c r="HI39" t="e">
        <f>#REF!-"vlM!$=r"</f>
        <v>#REF!</v>
      </c>
      <c r="HJ39" t="e">
        <f>#REF!-"vlM!$=s"</f>
        <v>#REF!</v>
      </c>
      <c r="HK39" t="e">
        <f>#REF!-"vlM!$=t"</f>
        <v>#REF!</v>
      </c>
      <c r="HL39" t="e">
        <f>#REF!-"vlM!$=u"</f>
        <v>#REF!</v>
      </c>
      <c r="HM39" t="e">
        <f>#REF!-"vlM!$=v"</f>
        <v>#REF!</v>
      </c>
      <c r="HN39" t="e">
        <f>#REF!-"vlM!$=w"</f>
        <v>#REF!</v>
      </c>
      <c r="HO39" t="e">
        <f>#REF!-"vlM!$=x"</f>
        <v>#REF!</v>
      </c>
      <c r="HP39" t="e">
        <f>#REF!-"vlM!$=y"</f>
        <v>#REF!</v>
      </c>
      <c r="HQ39" t="e">
        <f>#REF!-"vlM!$=z"</f>
        <v>#REF!</v>
      </c>
      <c r="HR39" t="e">
        <f>#REF!-"vlM!$={"</f>
        <v>#REF!</v>
      </c>
      <c r="HS39" t="e">
        <f>#REF!-"vlM!$=|"</f>
        <v>#REF!</v>
      </c>
      <c r="HT39" t="e">
        <f>#REF!-"vlM!$=}"</f>
        <v>#REF!</v>
      </c>
      <c r="HU39" t="e">
        <f>#REF!-"vlM!$=~"</f>
        <v>#REF!</v>
      </c>
      <c r="HV39" t="e">
        <f>#REF!-"vlM!$&gt;#"</f>
        <v>#REF!</v>
      </c>
      <c r="HW39" t="e">
        <f>#REF!-"vlM!$&gt;$"</f>
        <v>#REF!</v>
      </c>
      <c r="HX39" t="e">
        <f>#REF!-"vlM!$&gt;%"</f>
        <v>#REF!</v>
      </c>
      <c r="HY39" t="e">
        <f>#REF!-"vlM!$&gt;&amp;"</f>
        <v>#REF!</v>
      </c>
      <c r="HZ39" t="e">
        <f>#REF!-"vlM!$&gt;'"</f>
        <v>#REF!</v>
      </c>
      <c r="IA39" t="e">
        <f>#REF!-"vlM!$&gt;("</f>
        <v>#REF!</v>
      </c>
      <c r="IB39" t="e">
        <f>#REF!-"vlM!$&gt;)"</f>
        <v>#REF!</v>
      </c>
      <c r="IC39" t="e">
        <f>#REF!-"vlM!$&gt;."</f>
        <v>#REF!</v>
      </c>
      <c r="ID39" t="e">
        <f>#REF!-"vlM!$&gt;/"</f>
        <v>#REF!</v>
      </c>
      <c r="IE39" t="e">
        <f>#REF!-"vlM!$&gt;0"</f>
        <v>#REF!</v>
      </c>
      <c r="IF39" t="e">
        <f>#REF!-"vlM!$&gt;1"</f>
        <v>#REF!</v>
      </c>
      <c r="IG39" t="e">
        <f>#REF!-"vlM!$&gt;2"</f>
        <v>#REF!</v>
      </c>
      <c r="IH39" t="e">
        <f>#REF!-"vlM!$&gt;3"</f>
        <v>#REF!</v>
      </c>
      <c r="II39" t="e">
        <f>#REF!-"vlM!$&gt;4"</f>
        <v>#REF!</v>
      </c>
      <c r="IJ39" t="e">
        <f>#REF!-"vlM!$&gt;5"</f>
        <v>#REF!</v>
      </c>
      <c r="IK39" t="e">
        <f>#REF!-"vlM!$&gt;6"</f>
        <v>#REF!</v>
      </c>
      <c r="IL39" t="e">
        <f>#REF!-"vlM!$&gt;7"</f>
        <v>#REF!</v>
      </c>
      <c r="IM39" t="e">
        <f>#REF!-"vlM!$&gt;8"</f>
        <v>#REF!</v>
      </c>
      <c r="IN39" t="e">
        <f>#REF!-"vlM!$&gt;9"</f>
        <v>#REF!</v>
      </c>
      <c r="IO39" t="e">
        <f>#REF!-"vlM!$&gt;:"</f>
        <v>#REF!</v>
      </c>
      <c r="IP39" t="e">
        <f>#REF!-"vlM!$&gt;;"</f>
        <v>#REF!</v>
      </c>
      <c r="IQ39" t="e">
        <f>#REF!-"vlM!$&gt;&lt;"</f>
        <v>#REF!</v>
      </c>
      <c r="IR39" t="e">
        <f>#REF!-"vlM!$&gt;="</f>
        <v>#REF!</v>
      </c>
      <c r="IS39" t="e">
        <f>#REF!-"vlM!$&gt;&gt;"</f>
        <v>#REF!</v>
      </c>
      <c r="IT39" t="e">
        <f>#REF!-"vlM!$&gt;?"</f>
        <v>#REF!</v>
      </c>
      <c r="IU39" t="e">
        <f>#REF!-"vlM!$&gt;@"</f>
        <v>#REF!</v>
      </c>
      <c r="IV39" t="e">
        <f>#REF!-"vlM!$&gt;A"</f>
        <v>#REF!</v>
      </c>
    </row>
    <row r="40" spans="6:256" x14ac:dyDescent="0.25">
      <c r="F40" t="e">
        <f>#REF!-"vlM!$&gt;B"</f>
        <v>#REF!</v>
      </c>
      <c r="G40" t="e">
        <f>#REF!-"vlM!$&gt;C"</f>
        <v>#REF!</v>
      </c>
      <c r="H40" t="e">
        <f>#REF!-"vlM!$&gt;D"</f>
        <v>#REF!</v>
      </c>
      <c r="I40" t="e">
        <f>#REF!-"vlM!$&gt;E"</f>
        <v>#REF!</v>
      </c>
      <c r="J40" t="e">
        <f>#REF!-"vlM!$&gt;F"</f>
        <v>#REF!</v>
      </c>
      <c r="K40" t="e">
        <f>#REF!-"vlM!$&gt;G"</f>
        <v>#REF!</v>
      </c>
      <c r="L40" t="e">
        <f>#REF!-"vlM!$&gt;H"</f>
        <v>#REF!</v>
      </c>
      <c r="M40" t="e">
        <f>#REF!-"vlM!$&gt;I"</f>
        <v>#REF!</v>
      </c>
      <c r="N40" t="e">
        <f>#REF!-"vlM!$&gt;J"</f>
        <v>#REF!</v>
      </c>
      <c r="O40" t="e">
        <f>#REF!-"vlM!$&gt;K"</f>
        <v>#REF!</v>
      </c>
      <c r="P40" t="e">
        <f>#REF!-"vlM!$&gt;L"</f>
        <v>#REF!</v>
      </c>
      <c r="Q40" t="e">
        <f>#REF!-"vlM!$&gt;M"</f>
        <v>#REF!</v>
      </c>
      <c r="R40" t="e">
        <f>#REF!-"vlM!$&gt;N"</f>
        <v>#REF!</v>
      </c>
      <c r="S40" t="e">
        <f>#REF!-"vlM!$&gt;O"</f>
        <v>#REF!</v>
      </c>
      <c r="T40" t="e">
        <f>#REF!-"vlM!$&gt;P"</f>
        <v>#REF!</v>
      </c>
      <c r="U40" t="e">
        <f>#REF!-"vlM!$&gt;Q"</f>
        <v>#REF!</v>
      </c>
      <c r="V40" t="e">
        <f>#REF!-"vlM!$&gt;R"</f>
        <v>#REF!</v>
      </c>
      <c r="W40" t="e">
        <f>#REF!-"vlM!$&gt;S"</f>
        <v>#REF!</v>
      </c>
      <c r="X40" t="e">
        <f>#REF!-"vlM!$&gt;T"</f>
        <v>#REF!</v>
      </c>
      <c r="Y40" t="e">
        <f>#REF!-"vlM!$&gt;U"</f>
        <v>#REF!</v>
      </c>
      <c r="Z40" t="e">
        <f>#REF!-"vlM!$&gt;V"</f>
        <v>#REF!</v>
      </c>
      <c r="AA40" t="e">
        <f>#REF!-"vlM!$&gt;W"</f>
        <v>#REF!</v>
      </c>
      <c r="AB40" t="e">
        <f>#REF!-"vlM!$&gt;X"</f>
        <v>#REF!</v>
      </c>
      <c r="AC40" t="e">
        <f>#REF!-"vlM!$&gt;Y"</f>
        <v>#REF!</v>
      </c>
      <c r="AD40" t="e">
        <f>#REF!-"vlM!$&gt;Z"</f>
        <v>#REF!</v>
      </c>
      <c r="AE40" t="e">
        <f>#REF!-"vlM!$&gt;["</f>
        <v>#REF!</v>
      </c>
      <c r="AF40" t="e">
        <f>#REF!-"vlM!$&gt;\"</f>
        <v>#REF!</v>
      </c>
      <c r="AG40" t="e">
        <f>#REF!-"vlM!$&gt;]"</f>
        <v>#REF!</v>
      </c>
      <c r="AH40" t="e">
        <f>#REF!-"vlM!$&gt;^"</f>
        <v>#REF!</v>
      </c>
      <c r="AI40" t="e">
        <f>#REF!-"vlM!$&gt;_"</f>
        <v>#REF!</v>
      </c>
      <c r="AJ40" t="e">
        <f>#REF!-"vlM!$&gt;`"</f>
        <v>#REF!</v>
      </c>
      <c r="AK40" t="e">
        <f>#REF!-"vlM!$&gt;a"</f>
        <v>#REF!</v>
      </c>
      <c r="AL40" t="e">
        <f>#REF!-"vlM!$&gt;b"</f>
        <v>#REF!</v>
      </c>
      <c r="AM40" t="e">
        <f>#REF!-"vlM!$&gt;c"</f>
        <v>#REF!</v>
      </c>
      <c r="AN40" t="e">
        <f>#REF!-"vlM!$&gt;d"</f>
        <v>#REF!</v>
      </c>
      <c r="AO40" t="e">
        <f>#REF!-"vlM!$&gt;e"</f>
        <v>#REF!</v>
      </c>
      <c r="AP40" t="e">
        <f>#REF!-"vlM!$&gt;f"</f>
        <v>#REF!</v>
      </c>
      <c r="AQ40" t="e">
        <f>#REF!-"vlM!$&gt;g"</f>
        <v>#REF!</v>
      </c>
      <c r="AR40" t="e">
        <f>#REF!-"vlM!$&gt;h"</f>
        <v>#REF!</v>
      </c>
      <c r="AS40" t="e">
        <f>#REF!-"vlM!$&gt;i"</f>
        <v>#REF!</v>
      </c>
      <c r="AT40" t="e">
        <f>#REF!-"vlM!$&gt;j"</f>
        <v>#REF!</v>
      </c>
      <c r="AU40" t="e">
        <f>#REF!-"vlM!$&gt;k"</f>
        <v>#REF!</v>
      </c>
      <c r="AV40" t="e">
        <f>#REF!-"vlM!$&gt;l"</f>
        <v>#REF!</v>
      </c>
      <c r="AW40" t="e">
        <f>#REF!-"vlM!$&gt;m"</f>
        <v>#REF!</v>
      </c>
      <c r="AX40" t="e">
        <f>#REF!-"vlM!$&gt;n"</f>
        <v>#REF!</v>
      </c>
      <c r="AY40" t="e">
        <f>#REF!-"vlM!$&gt;o"</f>
        <v>#REF!</v>
      </c>
      <c r="AZ40" t="e">
        <f>#REF!-"vlM!$&gt;p"</f>
        <v>#REF!</v>
      </c>
      <c r="BA40" t="e">
        <f>#REF!-"vlM!$&gt;q"</f>
        <v>#REF!</v>
      </c>
      <c r="BB40" t="e">
        <f>#REF!-"vlM!$&gt;r"</f>
        <v>#REF!</v>
      </c>
      <c r="BC40" t="e">
        <f>#REF!-"vlM!$&gt;s"</f>
        <v>#REF!</v>
      </c>
      <c r="BD40" t="e">
        <f>#REF!-"vlM!$&gt;t"</f>
        <v>#REF!</v>
      </c>
      <c r="BE40" t="e">
        <f>#REF!-"vlM!$&gt;u"</f>
        <v>#REF!</v>
      </c>
      <c r="BF40" t="e">
        <f>#REF!-"vlM!$&gt;v"</f>
        <v>#REF!</v>
      </c>
      <c r="BG40" t="e">
        <f>#REF!-"vlM!$&gt;w"</f>
        <v>#REF!</v>
      </c>
      <c r="BH40" t="e">
        <f>#REF!-"vlM!$&gt;x"</f>
        <v>#REF!</v>
      </c>
      <c r="BI40" t="e">
        <f>#REF!-"vlM!$&gt;y"</f>
        <v>#REF!</v>
      </c>
      <c r="BJ40" t="e">
        <f>#REF!-"vlM!$&gt;z"</f>
        <v>#REF!</v>
      </c>
      <c r="BK40" t="e">
        <f>#REF!-"vlM!$&gt;{"</f>
        <v>#REF!</v>
      </c>
      <c r="BL40" t="e">
        <f>#REF!-"vlM!$&gt;|"</f>
        <v>#REF!</v>
      </c>
      <c r="BM40" t="e">
        <f>#REF!-"vlM!$&gt;}"</f>
        <v>#REF!</v>
      </c>
      <c r="BN40" t="e">
        <f>#REF!-"vlM!$&gt;~"</f>
        <v>#REF!</v>
      </c>
      <c r="BO40" t="e">
        <f>#REF!-"vlM!$?#"</f>
        <v>#REF!</v>
      </c>
      <c r="BP40" t="e">
        <f>#REF!-"vlM!$?$"</f>
        <v>#REF!</v>
      </c>
      <c r="BQ40" t="e">
        <f>#REF!-"vlM!$?%"</f>
        <v>#REF!</v>
      </c>
      <c r="BR40" t="e">
        <f>#REF!-"vlM!$?&amp;"</f>
        <v>#REF!</v>
      </c>
      <c r="BS40" t="e">
        <f>#REF!-"vlM!$?'"</f>
        <v>#REF!</v>
      </c>
      <c r="BT40" t="e">
        <f>#REF!-"vlM!$?("</f>
        <v>#REF!</v>
      </c>
      <c r="BU40" t="e">
        <f>#REF!-"vlM!$?)"</f>
        <v>#REF!</v>
      </c>
      <c r="BV40" t="e">
        <f>#REF!-"vlM!$?."</f>
        <v>#REF!</v>
      </c>
      <c r="BW40" t="e">
        <f>#REF!-"vlM!$?/"</f>
        <v>#REF!</v>
      </c>
      <c r="BX40" t="e">
        <f>#REF!-"vlM!$?0"</f>
        <v>#REF!</v>
      </c>
      <c r="BY40" t="e">
        <f>#REF!-"vlM!$?1"</f>
        <v>#REF!</v>
      </c>
      <c r="BZ40" t="e">
        <f>#REF!-"vlM!$?2"</f>
        <v>#REF!</v>
      </c>
      <c r="CA40" t="e">
        <f>#REF!-"vlM!$?3"</f>
        <v>#REF!</v>
      </c>
      <c r="CB40" t="e">
        <f>#REF!-"vlM!$?4"</f>
        <v>#REF!</v>
      </c>
      <c r="CC40" t="e">
        <f>#REF!-"vlM!$?5"</f>
        <v>#REF!</v>
      </c>
      <c r="CD40" t="e">
        <f>#REF!-"vlM!$?6"</f>
        <v>#REF!</v>
      </c>
      <c r="CE40" t="e">
        <f>#REF!-"vlM!$?7"</f>
        <v>#REF!</v>
      </c>
      <c r="CF40" t="e">
        <f>#REF!-"vlM!$?8"</f>
        <v>#REF!</v>
      </c>
      <c r="CG40" t="e">
        <f>#REF!-"vlM!$?9"</f>
        <v>#REF!</v>
      </c>
      <c r="CH40" t="e">
        <f>#REF!-"vlM!$?:"</f>
        <v>#REF!</v>
      </c>
      <c r="CI40" t="e">
        <f>#REF!-"vlM!$?;"</f>
        <v>#REF!</v>
      </c>
      <c r="CJ40" t="e">
        <f>#REF!-"vlM!$?&lt;"</f>
        <v>#REF!</v>
      </c>
      <c r="CK40" t="e">
        <f>#REF!-"vlM!$?="</f>
        <v>#REF!</v>
      </c>
      <c r="CL40" t="e">
        <f>#REF!-"vlM!$?&gt;"</f>
        <v>#REF!</v>
      </c>
      <c r="CM40" t="e">
        <f>#REF!-"vlM!$??"</f>
        <v>#REF!</v>
      </c>
      <c r="CN40" t="e">
        <f>#REF!-"vlM!$?@"</f>
        <v>#REF!</v>
      </c>
      <c r="CO40" t="e">
        <f>#REF!-"vlM!$?A"</f>
        <v>#REF!</v>
      </c>
      <c r="CP40" t="e">
        <f>#REF!-"vlM!$?B"</f>
        <v>#REF!</v>
      </c>
      <c r="CQ40" t="e">
        <f>#REF!-"vlM!$?C"</f>
        <v>#REF!</v>
      </c>
      <c r="CR40" t="e">
        <f>#REF!-"vlM!$?D"</f>
        <v>#REF!</v>
      </c>
      <c r="CS40" t="e">
        <f>#REF!-"vlM!$?E"</f>
        <v>#REF!</v>
      </c>
      <c r="CT40" t="e">
        <f>#REF!-"vlM!$?F"</f>
        <v>#REF!</v>
      </c>
      <c r="CU40" t="e">
        <f>#REF!-"vlM!$?G"</f>
        <v>#REF!</v>
      </c>
      <c r="CV40" t="e">
        <f>#REF!-"vlM!$?H"</f>
        <v>#REF!</v>
      </c>
      <c r="CW40" t="e">
        <f>#REF!-"vlM!$?I"</f>
        <v>#REF!</v>
      </c>
      <c r="CX40" t="e">
        <f>#REF!-"vlM!$?J"</f>
        <v>#REF!</v>
      </c>
      <c r="CY40" t="e">
        <f>#REF!-"vlM!$?K"</f>
        <v>#REF!</v>
      </c>
      <c r="CZ40" t="e">
        <f>#REF!-"vlM!$?L"</f>
        <v>#REF!</v>
      </c>
      <c r="DA40" t="e">
        <f>#REF!-"vlM!$?M"</f>
        <v>#REF!</v>
      </c>
      <c r="DB40" t="e">
        <f>#REF!-"vlM!$?N"</f>
        <v>#REF!</v>
      </c>
      <c r="DC40" t="e">
        <f>#REF!-"vlM!$?O"</f>
        <v>#REF!</v>
      </c>
      <c r="DD40" t="e">
        <f>#REF!-"vlM!$?P"</f>
        <v>#REF!</v>
      </c>
      <c r="DE40" t="e">
        <f>#REF!-"vlM!$?Q"</f>
        <v>#REF!</v>
      </c>
      <c r="DF40" t="e">
        <f>#REF!-"vlM!$?R"</f>
        <v>#REF!</v>
      </c>
      <c r="DG40" t="e">
        <f>#REF!-"vlM!$?S"</f>
        <v>#REF!</v>
      </c>
      <c r="DH40" t="e">
        <f>#REF!-"vlM!$?T"</f>
        <v>#REF!</v>
      </c>
      <c r="DI40" t="e">
        <f>#REF!-"vlM!$?U"</f>
        <v>#REF!</v>
      </c>
      <c r="DJ40" t="e">
        <f>#REF!-"vlM!$?V"</f>
        <v>#REF!</v>
      </c>
      <c r="DK40" t="e">
        <f>#REF!-"vlM!$?W"</f>
        <v>#REF!</v>
      </c>
      <c r="DL40" t="e">
        <f>#REF!-"vlM!$?X"</f>
        <v>#REF!</v>
      </c>
      <c r="DM40" t="e">
        <f>#REF!-"vlM!$?Y"</f>
        <v>#REF!</v>
      </c>
      <c r="DN40" t="e">
        <f>#REF!-"vlM!$?Z"</f>
        <v>#REF!</v>
      </c>
      <c r="DO40" t="e">
        <f>#REF!-"vlM!$?["</f>
        <v>#REF!</v>
      </c>
      <c r="DP40" t="e">
        <f>#REF!-"vlM!$?\"</f>
        <v>#REF!</v>
      </c>
      <c r="DQ40" t="e">
        <f>#REF!-"vlM!$?]"</f>
        <v>#REF!</v>
      </c>
      <c r="DR40" t="e">
        <f>#REF!-"vlM!$?^"</f>
        <v>#REF!</v>
      </c>
      <c r="DS40" t="e">
        <f>#REF!-"vlM!$?_"</f>
        <v>#REF!</v>
      </c>
      <c r="DT40" t="e">
        <f>#REF!-"vlM!$?`"</f>
        <v>#REF!</v>
      </c>
      <c r="DU40" t="e">
        <f>#REF!-"vlM!$?a"</f>
        <v>#REF!</v>
      </c>
      <c r="DV40" t="e">
        <f>#REF!-"vlM!$?b"</f>
        <v>#REF!</v>
      </c>
      <c r="DW40" t="e">
        <f>#REF!-"vlM!$?c"</f>
        <v>#REF!</v>
      </c>
      <c r="DX40" t="e">
        <f>#REF!-"vlM!$?d"</f>
        <v>#REF!</v>
      </c>
      <c r="DY40" t="e">
        <f>#REF!-"vlM!$?e"</f>
        <v>#REF!</v>
      </c>
      <c r="DZ40" t="e">
        <f>#REF!-"vlM!$?f"</f>
        <v>#REF!</v>
      </c>
      <c r="EA40" t="e">
        <f>#REF!-"vlM!$?g"</f>
        <v>#REF!</v>
      </c>
      <c r="EB40" t="e">
        <f>#REF!-"vlM!$?h"</f>
        <v>#REF!</v>
      </c>
      <c r="EC40" t="e">
        <f>#REF!-"vlM!$?i"</f>
        <v>#REF!</v>
      </c>
      <c r="ED40" t="e">
        <f>#REF!-"vlM!$?j"</f>
        <v>#REF!</v>
      </c>
      <c r="EE40" t="e">
        <f>#REF!-"vlM!$?k"</f>
        <v>#REF!</v>
      </c>
      <c r="EF40" t="e">
        <f>#REF!-"vlM!$?l"</f>
        <v>#REF!</v>
      </c>
      <c r="EG40" t="e">
        <f>#REF!-"vlM!$?m"</f>
        <v>#REF!</v>
      </c>
      <c r="EH40" t="e">
        <f>#REF!-"vlM!$?n"</f>
        <v>#REF!</v>
      </c>
      <c r="EI40" t="e">
        <f>#REF!-"vlM!$?o"</f>
        <v>#REF!</v>
      </c>
      <c r="EJ40" t="e">
        <f>#REF!-"vlM!$?p"</f>
        <v>#REF!</v>
      </c>
      <c r="EK40" t="e">
        <f>#REF!-"vlM!$?q"</f>
        <v>#REF!</v>
      </c>
      <c r="EL40" t="e">
        <f>#REF!-"vlM!$?r"</f>
        <v>#REF!</v>
      </c>
      <c r="EM40" t="e">
        <f>#REF!-"vlM!$?s"</f>
        <v>#REF!</v>
      </c>
      <c r="EN40" t="e">
        <f>#REF!-"vlM!$?t"</f>
        <v>#REF!</v>
      </c>
      <c r="EO40" t="e">
        <f>#REF!-"vlM!$?u"</f>
        <v>#REF!</v>
      </c>
      <c r="EP40" t="e">
        <f>#REF!-"vlM!$?v"</f>
        <v>#REF!</v>
      </c>
      <c r="EQ40" t="e">
        <f>#REF!-"vlM!$?w"</f>
        <v>#REF!</v>
      </c>
      <c r="ER40" t="e">
        <f>#REF!-"vlM!$?x"</f>
        <v>#REF!</v>
      </c>
      <c r="ES40" t="e">
        <f>#REF!-"vlM!$?y"</f>
        <v>#REF!</v>
      </c>
      <c r="ET40" t="e">
        <f>#REF!-"vlM!$?z"</f>
        <v>#REF!</v>
      </c>
      <c r="EU40" t="e">
        <f>#REF!-"vlM!$?{"</f>
        <v>#REF!</v>
      </c>
      <c r="EV40" t="e">
        <f>#REF!-"vlM!$?|"</f>
        <v>#REF!</v>
      </c>
      <c r="EW40" t="e">
        <f>#REF!-"vlM!$?}"</f>
        <v>#REF!</v>
      </c>
      <c r="EX40" t="e">
        <f>#REF!-"vlM!$?~"</f>
        <v>#REF!</v>
      </c>
      <c r="EY40" t="e">
        <f>#REF!-"vlM!$@#"</f>
        <v>#REF!</v>
      </c>
      <c r="EZ40" t="e">
        <f>#REF!-"vlM!$@$"</f>
        <v>#REF!</v>
      </c>
      <c r="FA40" t="e">
        <f>#REF!-"vlM!$@%"</f>
        <v>#REF!</v>
      </c>
      <c r="FB40" t="e">
        <f>#REF!-"vlM!$@&amp;"</f>
        <v>#REF!</v>
      </c>
      <c r="FC40" t="e">
        <f>#REF!-"vlM!$@'"</f>
        <v>#REF!</v>
      </c>
      <c r="FD40" t="e">
        <f>#REF!-"vlM!$@("</f>
        <v>#REF!</v>
      </c>
      <c r="FE40" t="e">
        <f>#REF!-"vlM!$@)"</f>
        <v>#REF!</v>
      </c>
      <c r="FF40" t="e">
        <f>#REF!-"vlM!$@."</f>
        <v>#REF!</v>
      </c>
      <c r="FG40" t="e">
        <f>#REF!-"vlM!$@/"</f>
        <v>#REF!</v>
      </c>
      <c r="FH40" t="e">
        <f>#REF!-"vlM!$@0"</f>
        <v>#REF!</v>
      </c>
      <c r="FI40" t="e">
        <f>#REF!-"vlM!$@1"</f>
        <v>#REF!</v>
      </c>
      <c r="FJ40" t="e">
        <f>#REF!-"vlM!$@2"</f>
        <v>#REF!</v>
      </c>
      <c r="FK40" t="e">
        <f>#REF!-"vlM!$@3"</f>
        <v>#REF!</v>
      </c>
      <c r="FL40" t="e">
        <f>#REF!-"vlM!$@4"</f>
        <v>#REF!</v>
      </c>
      <c r="FM40" t="e">
        <f>#REF!-"vlM!$@5"</f>
        <v>#REF!</v>
      </c>
      <c r="FN40" t="e">
        <f>#REF!-"vlM!$@6"</f>
        <v>#REF!</v>
      </c>
      <c r="FO40" t="e">
        <f>#REF!-"vlM!$@7"</f>
        <v>#REF!</v>
      </c>
      <c r="FP40" t="e">
        <f>#REF!-"vlM!$@8"</f>
        <v>#REF!</v>
      </c>
      <c r="FQ40" t="e">
        <f>#REF!-"vlM!$@9"</f>
        <v>#REF!</v>
      </c>
      <c r="FR40" t="e">
        <f>#REF!-"vlM!$@:"</f>
        <v>#REF!</v>
      </c>
      <c r="FS40" t="e">
        <f>#REF!-"vlM!$@;"</f>
        <v>#REF!</v>
      </c>
      <c r="FT40" t="e">
        <f>#REF!-"vlM!$@&lt;"</f>
        <v>#REF!</v>
      </c>
      <c r="FU40" t="e">
        <f>#REF!-"vlM!$@="</f>
        <v>#REF!</v>
      </c>
      <c r="FV40" t="e">
        <f>#REF!-"vlM!$@&gt;"</f>
        <v>#REF!</v>
      </c>
      <c r="FW40" t="e">
        <f>#REF!-"vlM!$@?"</f>
        <v>#REF!</v>
      </c>
      <c r="FX40" t="e">
        <f>#REF!-"vlM!$@@"</f>
        <v>#REF!</v>
      </c>
      <c r="FY40" t="e">
        <f>#REF!-"vlM!$@A"</f>
        <v>#REF!</v>
      </c>
      <c r="FZ40" t="e">
        <f>#REF!-"vlM!$@B"</f>
        <v>#REF!</v>
      </c>
      <c r="GA40" t="e">
        <f>#REF!-"vlM!$@C"</f>
        <v>#REF!</v>
      </c>
      <c r="GB40" t="e">
        <f>#REF!-"vlM!$@D"</f>
        <v>#REF!</v>
      </c>
      <c r="GC40" t="e">
        <f>#REF!-"vlM!$@E"</f>
        <v>#REF!</v>
      </c>
      <c r="GD40" t="e">
        <f>#REF!-"vlM!$@F"</f>
        <v>#REF!</v>
      </c>
      <c r="GE40" t="e">
        <f>#REF!-"vlM!$@G"</f>
        <v>#REF!</v>
      </c>
      <c r="GF40" t="e">
        <f>#REF!-"vlM!$@H"</f>
        <v>#REF!</v>
      </c>
      <c r="GG40" t="e">
        <f>#REF!-"vlM!$@I"</f>
        <v>#REF!</v>
      </c>
      <c r="GH40" t="e">
        <f>#REF!-"vlM!$@J"</f>
        <v>#REF!</v>
      </c>
      <c r="GI40" t="e">
        <f>#REF!-"vlM!$@K"</f>
        <v>#REF!</v>
      </c>
      <c r="GJ40" t="e">
        <f>#REF!-"vlM!$@L"</f>
        <v>#REF!</v>
      </c>
      <c r="GK40" t="e">
        <f>#REF!-"vlM!$@M"</f>
        <v>#REF!</v>
      </c>
      <c r="GL40" t="e">
        <f>#REF!-"vlM!$@N"</f>
        <v>#REF!</v>
      </c>
      <c r="GM40" t="e">
        <f>#REF!-"vlM!$@O"</f>
        <v>#REF!</v>
      </c>
      <c r="GN40" t="e">
        <f>#REF!-"vlM!$@P"</f>
        <v>#REF!</v>
      </c>
      <c r="GO40" t="e">
        <f>#REF!-"vlM!$@Q"</f>
        <v>#REF!</v>
      </c>
      <c r="GP40" t="e">
        <f>#REF!-"vlM!$@R"</f>
        <v>#REF!</v>
      </c>
      <c r="GQ40" t="e">
        <f>#REF!-"vlM!$@S"</f>
        <v>#REF!</v>
      </c>
      <c r="GR40" t="e">
        <f>#REF!-"vlM!$@T"</f>
        <v>#REF!</v>
      </c>
      <c r="GS40" t="e">
        <f>#REF!-"vlM!$@U"</f>
        <v>#REF!</v>
      </c>
      <c r="GT40" t="e">
        <f>#REF!-"vlM!$@V"</f>
        <v>#REF!</v>
      </c>
      <c r="GU40" t="e">
        <f>#REF!-"vlM!$@W"</f>
        <v>#REF!</v>
      </c>
      <c r="GV40" t="e">
        <f>#REF!-"vlM!$@X"</f>
        <v>#REF!</v>
      </c>
      <c r="GW40" t="e">
        <f>#REF!-"vlM!$@Y"</f>
        <v>#REF!</v>
      </c>
      <c r="GX40" t="e">
        <f>#REF!-"vlM!$@Z"</f>
        <v>#REF!</v>
      </c>
      <c r="GY40" t="e">
        <f>#REF!-"vlM!$@["</f>
        <v>#REF!</v>
      </c>
      <c r="GZ40" t="e">
        <f>#REF!-"vlM!$@\"</f>
        <v>#REF!</v>
      </c>
      <c r="HA40" t="e">
        <f>#REF!-"vlM!$@]"</f>
        <v>#REF!</v>
      </c>
      <c r="HB40" t="e">
        <f>#REF!-"vlM!$@^"</f>
        <v>#REF!</v>
      </c>
      <c r="HC40" t="e">
        <f>#REF!-"vlM!$@_"</f>
        <v>#REF!</v>
      </c>
      <c r="HD40" t="e">
        <f>#REF!-"vlM!$@`"</f>
        <v>#REF!</v>
      </c>
      <c r="HE40" t="e">
        <f>#REF!-"vlM!$@a"</f>
        <v>#REF!</v>
      </c>
      <c r="HF40" t="e">
        <f>#REF!-"vlM!$@b"</f>
        <v>#REF!</v>
      </c>
      <c r="HG40" t="e">
        <f>#REF!-"vlM!$@c"</f>
        <v>#REF!</v>
      </c>
      <c r="HH40" t="e">
        <f>#REF!-"vlM!$@d"</f>
        <v>#REF!</v>
      </c>
      <c r="HI40" t="e">
        <f>#REF!-"vlM!$@e"</f>
        <v>#REF!</v>
      </c>
      <c r="HJ40" t="e">
        <f>#REF!-"vlM!$@f"</f>
        <v>#REF!</v>
      </c>
      <c r="HK40" t="e">
        <f>#REF!-"vlM!$@g"</f>
        <v>#REF!</v>
      </c>
      <c r="HL40" t="e">
        <f>#REF!-"vlM!$@h"</f>
        <v>#REF!</v>
      </c>
      <c r="HM40" t="e">
        <f>#REF!-"vlM!$@i"</f>
        <v>#REF!</v>
      </c>
      <c r="HN40" t="e">
        <f>#REF!-"vlM!$@j"</f>
        <v>#REF!</v>
      </c>
      <c r="HO40" t="e">
        <f>#REF!-"vlM!$@k"</f>
        <v>#REF!</v>
      </c>
      <c r="HP40" t="e">
        <f>#REF!-"vlM!$@l"</f>
        <v>#REF!</v>
      </c>
      <c r="HQ40" t="e">
        <f>#REF!-"vlM!$@m"</f>
        <v>#REF!</v>
      </c>
      <c r="HR40" t="e">
        <f>#REF!-"vlM!$@n"</f>
        <v>#REF!</v>
      </c>
      <c r="HS40" t="e">
        <f>#REF!-"vlM!$@o"</f>
        <v>#REF!</v>
      </c>
      <c r="HT40" t="e">
        <f>#REF!-"vlM!$@p"</f>
        <v>#REF!</v>
      </c>
      <c r="HU40" t="e">
        <f>#REF!-"vlM!$@q"</f>
        <v>#REF!</v>
      </c>
      <c r="HV40" t="e">
        <f>#REF!-"vlM!$@r"</f>
        <v>#REF!</v>
      </c>
      <c r="HW40" t="e">
        <f>#REF!-"vlM!$@s"</f>
        <v>#REF!</v>
      </c>
      <c r="HX40" t="e">
        <f>#REF!-"vlM!$@t"</f>
        <v>#REF!</v>
      </c>
      <c r="HY40" t="e">
        <f>#REF!-"vlM!$@u"</f>
        <v>#REF!</v>
      </c>
      <c r="HZ40" t="e">
        <f>#REF!-"vlM!$@v"</f>
        <v>#REF!</v>
      </c>
      <c r="IA40" t="e">
        <f>#REF!-"vlM!$@w"</f>
        <v>#REF!</v>
      </c>
      <c r="IB40" t="e">
        <f>#REF!-"vlM!$@x"</f>
        <v>#REF!</v>
      </c>
      <c r="IC40" t="e">
        <f>#REF!-"vlM!$@y"</f>
        <v>#REF!</v>
      </c>
      <c r="ID40" t="e">
        <f>#REF!-"vlM!$@z"</f>
        <v>#REF!</v>
      </c>
      <c r="IE40" t="e">
        <f>#REF!-"vlM!$@{"</f>
        <v>#REF!</v>
      </c>
      <c r="IF40" t="e">
        <f>#REF!-"vlM!$@|"</f>
        <v>#REF!</v>
      </c>
      <c r="IG40" t="e">
        <f>#REF!-"vlM!$@}"</f>
        <v>#REF!</v>
      </c>
      <c r="IH40" t="e">
        <f>#REF!-"vlM!$@~"</f>
        <v>#REF!</v>
      </c>
      <c r="II40" t="e">
        <f>#REF!-"vlM!$A#"</f>
        <v>#REF!</v>
      </c>
      <c r="IJ40" t="e">
        <f>#REF!-"vlM!$A$"</f>
        <v>#REF!</v>
      </c>
      <c r="IK40" t="e">
        <f>#REF!-"vlM!$A%"</f>
        <v>#REF!</v>
      </c>
      <c r="IL40" t="e">
        <f>#REF!-"vlM!$A&amp;"</f>
        <v>#REF!</v>
      </c>
      <c r="IM40" t="e">
        <f>#REF!-"vlM!$A'"</f>
        <v>#REF!</v>
      </c>
      <c r="IN40" t="e">
        <f>#REF!-"vlM!$A("</f>
        <v>#REF!</v>
      </c>
      <c r="IO40" t="e">
        <f>#REF!-"vlM!$A)"</f>
        <v>#REF!</v>
      </c>
      <c r="IP40" t="e">
        <f>#REF!-"vlM!$A."</f>
        <v>#REF!</v>
      </c>
      <c r="IQ40" t="e">
        <f>#REF!-"vlM!$A/"</f>
        <v>#REF!</v>
      </c>
      <c r="IR40" t="e">
        <f>#REF!-"vlM!$A0"</f>
        <v>#REF!</v>
      </c>
      <c r="IS40" t="e">
        <f>#REF!-"vlM!$A1"</f>
        <v>#REF!</v>
      </c>
      <c r="IT40" t="e">
        <f>#REF!-"vlM!$A2"</f>
        <v>#REF!</v>
      </c>
      <c r="IU40" t="e">
        <f>#REF!-"vlM!$A3"</f>
        <v>#REF!</v>
      </c>
      <c r="IV40" t="e">
        <f>#REF!-"vlM!$A4"</f>
        <v>#REF!</v>
      </c>
    </row>
    <row r="41" spans="6:256" x14ac:dyDescent="0.25">
      <c r="F41" t="e">
        <f>#REF!-"vlM!$A5"</f>
        <v>#REF!</v>
      </c>
      <c r="G41" t="e">
        <f>#REF!-"vlM!$A6"</f>
        <v>#REF!</v>
      </c>
      <c r="H41" t="e">
        <f>#REF!-"vlM!$A7"</f>
        <v>#REF!</v>
      </c>
      <c r="I41" t="e">
        <f>#REF!-"vlM!$A8"</f>
        <v>#REF!</v>
      </c>
      <c r="J41" t="e">
        <f>#REF!-"vlM!$A9"</f>
        <v>#REF!</v>
      </c>
      <c r="K41" t="e">
        <f>#REF!-"vlM!$A:"</f>
        <v>#REF!</v>
      </c>
      <c r="L41" t="e">
        <f>#REF!-"vlM!$A;"</f>
        <v>#REF!</v>
      </c>
      <c r="M41" t="e">
        <f>#REF!-"vlM!$A&lt;"</f>
        <v>#REF!</v>
      </c>
      <c r="N41" t="e">
        <f>#REF!-"vlM!$A="</f>
        <v>#REF!</v>
      </c>
      <c r="O41" t="e">
        <f>#REF!-"vlM!$A&gt;"</f>
        <v>#REF!</v>
      </c>
      <c r="P41" t="e">
        <f>#REF!-"vlM!$A?"</f>
        <v>#REF!</v>
      </c>
      <c r="Q41" t="e">
        <f>#REF!-"vlM!$A@"</f>
        <v>#REF!</v>
      </c>
      <c r="R41" t="e">
        <f>#REF!-"vlM!$AA"</f>
        <v>#REF!</v>
      </c>
      <c r="S41" t="e">
        <f>#REF!-"vlM!$AB"</f>
        <v>#REF!</v>
      </c>
      <c r="T41" t="e">
        <f>#REF!-"vlM!$AC"</f>
        <v>#REF!</v>
      </c>
      <c r="U41" t="e">
        <f>#REF!-"vlM!$AD"</f>
        <v>#REF!</v>
      </c>
      <c r="V41" t="e">
        <f>#REF!-"vlM!$AE"</f>
        <v>#REF!</v>
      </c>
      <c r="W41" t="e">
        <f>#REF!-"vlM!$AF"</f>
        <v>#REF!</v>
      </c>
      <c r="X41" t="e">
        <f>#REF!-"vlM!$AG"</f>
        <v>#REF!</v>
      </c>
      <c r="Y41" t="e">
        <f>#REF!-"vlM!$AH"</f>
        <v>#REF!</v>
      </c>
      <c r="Z41" t="e">
        <f>#REF!-"vlM!$AI"</f>
        <v>#REF!</v>
      </c>
      <c r="AA41" t="e">
        <f>#REF!-"vlM!$AJ"</f>
        <v>#REF!</v>
      </c>
      <c r="AB41" t="e">
        <f>#REF!-"vlM!$AK"</f>
        <v>#REF!</v>
      </c>
      <c r="AC41" t="e">
        <f>#REF!-"vlM!$AL"</f>
        <v>#REF!</v>
      </c>
      <c r="AD41" t="e">
        <f>#REF!-"vlM!$AM"</f>
        <v>#REF!</v>
      </c>
      <c r="AE41" t="e">
        <f>#REF!-"vlM!$AN"</f>
        <v>#REF!</v>
      </c>
      <c r="AF41" t="e">
        <f>#REF!-"vlM!$AO"</f>
        <v>#REF!</v>
      </c>
      <c r="AG41" t="e">
        <f>#REF!-"vlM!$AP"</f>
        <v>#REF!</v>
      </c>
      <c r="AH41" t="e">
        <f>#REF!-"vlM!$AQ"</f>
        <v>#REF!</v>
      </c>
      <c r="AI41" t="e">
        <f>#REF!-"vlM!$AR"</f>
        <v>#REF!</v>
      </c>
      <c r="AJ41" t="e">
        <f>#REF!-"vlM!$AS"</f>
        <v>#REF!</v>
      </c>
      <c r="AK41" t="e">
        <f>#REF!-"vlM!$AT"</f>
        <v>#REF!</v>
      </c>
      <c r="AL41" t="e">
        <f>#REF!-"vlM!$AU"</f>
        <v>#REF!</v>
      </c>
      <c r="AM41" t="e">
        <f>#REF!-"vlM!$AV"</f>
        <v>#REF!</v>
      </c>
      <c r="AN41" t="e">
        <f>#REF!-"vlM!$AW"</f>
        <v>#REF!</v>
      </c>
      <c r="AO41" t="e">
        <f>#REF!-"vlM!$AX"</f>
        <v>#REF!</v>
      </c>
      <c r="AP41" t="e">
        <f>#REF!-"vlM!$AY"</f>
        <v>#REF!</v>
      </c>
      <c r="AQ41" t="e">
        <f>#REF!-"vlM!$AZ"</f>
        <v>#REF!</v>
      </c>
      <c r="AR41" t="e">
        <f>#REF!-"vlM!$A["</f>
        <v>#REF!</v>
      </c>
      <c r="AS41" t="e">
        <f>#REF!-"vlM!$A\"</f>
        <v>#REF!</v>
      </c>
      <c r="AT41" t="e">
        <f>#REF!-"vlM!$A]"</f>
        <v>#REF!</v>
      </c>
      <c r="AU41" t="e">
        <f>#REF!-"vlM!$A^"</f>
        <v>#REF!</v>
      </c>
      <c r="AV41" t="e">
        <f>#REF!-"vlM!$A_"</f>
        <v>#REF!</v>
      </c>
      <c r="AW41" t="e">
        <f>#REF!-"vlM!$A`"</f>
        <v>#REF!</v>
      </c>
      <c r="AX41" t="e">
        <f>#REF!-"vlM!$Aa"</f>
        <v>#REF!</v>
      </c>
      <c r="AY41" t="e">
        <f>#REF!-"vlM!$Ab"</f>
        <v>#REF!</v>
      </c>
      <c r="AZ41" t="e">
        <f>#REF!-"vlM!$Ac"</f>
        <v>#REF!</v>
      </c>
      <c r="BA41" t="e">
        <f>#REF!-"vlM!$Ad"</f>
        <v>#REF!</v>
      </c>
      <c r="BB41" t="e">
        <f>#REF!-"vlM!$Ae"</f>
        <v>#REF!</v>
      </c>
      <c r="BC41" t="e">
        <f>#REF!-"vlM!$Af"</f>
        <v>#REF!</v>
      </c>
      <c r="BD41" t="e">
        <f>#REF!-"vlM!$Ag"</f>
        <v>#REF!</v>
      </c>
      <c r="BE41" t="e">
        <f>#REF!-"vlM!$Ah"</f>
        <v>#REF!</v>
      </c>
      <c r="BF41" t="e">
        <f>#REF!-"vlM!$Ai"</f>
        <v>#REF!</v>
      </c>
      <c r="BG41" t="e">
        <f>#REF!-"vlM!$Aj"</f>
        <v>#REF!</v>
      </c>
      <c r="BH41" t="e">
        <f>#REF!-"vlM!$Ak"</f>
        <v>#REF!</v>
      </c>
      <c r="BI41" t="e">
        <f>#REF!-"vlM!$Al"</f>
        <v>#REF!</v>
      </c>
      <c r="BJ41" t="e">
        <f>#REF!-"vlM!$Am"</f>
        <v>#REF!</v>
      </c>
      <c r="BK41" t="e">
        <f>#REF!-"vlM!$An"</f>
        <v>#REF!</v>
      </c>
      <c r="BL41" t="e">
        <f>#REF!-"vlM!$Ao"</f>
        <v>#REF!</v>
      </c>
      <c r="BM41" t="e">
        <f>#REF!-"vlM!$Ap"</f>
        <v>#REF!</v>
      </c>
      <c r="BN41" t="e">
        <f>#REF!-"vlM!$Aq"</f>
        <v>#REF!</v>
      </c>
      <c r="BO41" t="e">
        <f>#REF!-"vlM!$Ar"</f>
        <v>#REF!</v>
      </c>
      <c r="BP41" t="e">
        <f>#REF!-"vlM!$As"</f>
        <v>#REF!</v>
      </c>
      <c r="BQ41" t="e">
        <f>#REF!-"vlM!$At"</f>
        <v>#REF!</v>
      </c>
      <c r="BR41" t="e">
        <f>#REF!-"vlM!$Au"</f>
        <v>#REF!</v>
      </c>
      <c r="BS41" t="e">
        <f>#REF!-"vlM!$Av"</f>
        <v>#REF!</v>
      </c>
      <c r="BT41" t="e">
        <f>#REF!-"vlM!$Aw"</f>
        <v>#REF!</v>
      </c>
      <c r="BU41" t="e">
        <f>#REF!-"vlM!$Ax"</f>
        <v>#REF!</v>
      </c>
      <c r="BV41" t="e">
        <f>#REF!-"vlM!$Ay"</f>
        <v>#REF!</v>
      </c>
      <c r="BW41" t="e">
        <f>#REF!-"vlM!$Az"</f>
        <v>#REF!</v>
      </c>
      <c r="BX41" t="e">
        <f>#REF!-"vlM!$A{"</f>
        <v>#REF!</v>
      </c>
      <c r="BY41" t="e">
        <f>#REF!-"vlM!$A|"</f>
        <v>#REF!</v>
      </c>
      <c r="BZ41" t="e">
        <f>#REF!-"vlM!$A}"</f>
        <v>#REF!</v>
      </c>
      <c r="CA41" t="e">
        <f>#REF!-"vlM!$A~"</f>
        <v>#REF!</v>
      </c>
      <c r="CB41" t="e">
        <f>#REF!-"vlM!$B#"</f>
        <v>#REF!</v>
      </c>
      <c r="CC41" t="e">
        <f>#REF!-"vlM!$B$"</f>
        <v>#REF!</v>
      </c>
      <c r="CD41" t="e">
        <f>#REF!-"vlM!$B%"</f>
        <v>#REF!</v>
      </c>
      <c r="CE41" t="e">
        <f>#REF!-"vlM!$B&amp;"</f>
        <v>#REF!</v>
      </c>
      <c r="CF41" t="e">
        <f>#REF!-"vlM!$B'"</f>
        <v>#REF!</v>
      </c>
      <c r="CG41" t="e">
        <f>#REF!-"vlM!$B("</f>
        <v>#REF!</v>
      </c>
      <c r="CH41" t="e">
        <f>#REF!-"vlM!$B)"</f>
        <v>#REF!</v>
      </c>
      <c r="CI41" t="e">
        <f>#REF!-"vlM!$B."</f>
        <v>#REF!</v>
      </c>
      <c r="CJ41" t="e">
        <f>#REF!-"vlM!$B/"</f>
        <v>#REF!</v>
      </c>
      <c r="CK41" t="e">
        <f>#REF!-"vlM!$B0"</f>
        <v>#REF!</v>
      </c>
      <c r="CL41" t="e">
        <f>#REF!-"vlM!$B1"</f>
        <v>#REF!</v>
      </c>
      <c r="CM41" t="e">
        <f>#REF!-"vlM!$B2"</f>
        <v>#REF!</v>
      </c>
      <c r="CN41" t="e">
        <f>#REF!-"vlM!$B3"</f>
        <v>#REF!</v>
      </c>
      <c r="CO41" t="e">
        <f>#REF!-"vlM!$B4"</f>
        <v>#REF!</v>
      </c>
      <c r="CP41" t="e">
        <f>#REF!-"vlM!$B5"</f>
        <v>#REF!</v>
      </c>
      <c r="CQ41" t="e">
        <f>#REF!-"vlM!$B6"</f>
        <v>#REF!</v>
      </c>
      <c r="CR41" t="e">
        <f>#REF!-"vlM!$B7"</f>
        <v>#REF!</v>
      </c>
      <c r="CS41" t="e">
        <f>#REF!-"vlM!$B8"</f>
        <v>#REF!</v>
      </c>
      <c r="CT41" t="e">
        <f>#REF!-"vlM!$B9"</f>
        <v>#REF!</v>
      </c>
      <c r="CU41" t="e">
        <f>#REF!-"vlM!$B:"</f>
        <v>#REF!</v>
      </c>
      <c r="CV41" t="e">
        <f>#REF!-"vlM!$B;"</f>
        <v>#REF!</v>
      </c>
      <c r="CW41" t="e">
        <f>#REF!-"vlM!$B&lt;"</f>
        <v>#REF!</v>
      </c>
      <c r="CX41" t="e">
        <f>#REF!-"vlM!$B="</f>
        <v>#REF!</v>
      </c>
      <c r="CY41" t="e">
        <f>#REF!-"vlM!$B&gt;"</f>
        <v>#REF!</v>
      </c>
      <c r="CZ41" t="e">
        <f>#REF!-"vlM!$B?"</f>
        <v>#REF!</v>
      </c>
      <c r="DA41" t="e">
        <f>#REF!-"vlM!$B@"</f>
        <v>#REF!</v>
      </c>
      <c r="DB41" t="e">
        <f>#REF!-"vlM!$BA"</f>
        <v>#REF!</v>
      </c>
      <c r="DC41" t="e">
        <f>#REF!-"vlM!$BB"</f>
        <v>#REF!</v>
      </c>
      <c r="DD41" t="e">
        <f>#REF!-"vlM!$BC"</f>
        <v>#REF!</v>
      </c>
      <c r="DE41" t="e">
        <f>#REF!-"vlM!$BD"</f>
        <v>#REF!</v>
      </c>
      <c r="DF41" t="e">
        <f>#REF!-"vlM!$BE"</f>
        <v>#REF!</v>
      </c>
      <c r="DG41" t="e">
        <f>#REF!-"vlM!$BF"</f>
        <v>#REF!</v>
      </c>
      <c r="DH41" t="e">
        <f>#REF!-"vlM!$BG"</f>
        <v>#REF!</v>
      </c>
      <c r="DI41" t="e">
        <f>#REF!-"vlM!$BH"</f>
        <v>#REF!</v>
      </c>
      <c r="DJ41" t="e">
        <f>#REF!-"vlM!$BI"</f>
        <v>#REF!</v>
      </c>
      <c r="DK41" t="e">
        <f>#REF!-"vlM!$BJ"</f>
        <v>#REF!</v>
      </c>
      <c r="DL41" t="e">
        <f>#REF!-"vlM!$BK"</f>
        <v>#REF!</v>
      </c>
      <c r="DM41" t="e">
        <f>#REF!-"vlM!$BL"</f>
        <v>#REF!</v>
      </c>
      <c r="DN41" t="e">
        <f>#REF!-"vlM!$BM"</f>
        <v>#REF!</v>
      </c>
      <c r="DO41" t="e">
        <f>#REF!-"vlM!$BN"</f>
        <v>#REF!</v>
      </c>
      <c r="DP41" t="e">
        <f>#REF!-"vlM!$BO"</f>
        <v>#REF!</v>
      </c>
      <c r="DQ41" t="e">
        <f>#REF!-"vlM!$BP"</f>
        <v>#REF!</v>
      </c>
      <c r="DR41" t="e">
        <f>#REF!-"vlM!$BQ"</f>
        <v>#REF!</v>
      </c>
      <c r="DS41" t="e">
        <f>#REF!-"vlM!$BR"</f>
        <v>#REF!</v>
      </c>
      <c r="DT41" t="e">
        <f>#REF!-"vlM!$BS"</f>
        <v>#REF!</v>
      </c>
      <c r="DU41" t="e">
        <f>#REF!-"vlM!$BT"</f>
        <v>#REF!</v>
      </c>
      <c r="DV41" t="e">
        <f>#REF!-"vlM!$BU"</f>
        <v>#REF!</v>
      </c>
      <c r="DW41" t="e">
        <f>#REF!-"vlM!$BV"</f>
        <v>#REF!</v>
      </c>
      <c r="DX41" t="e">
        <f>#REF!-"vlM!$BW"</f>
        <v>#REF!</v>
      </c>
      <c r="DY41" t="e">
        <f>#REF!-"vlM!$BX"</f>
        <v>#REF!</v>
      </c>
      <c r="DZ41" t="e">
        <f>#REF!-"vlM!$BY"</f>
        <v>#REF!</v>
      </c>
      <c r="EA41" t="e">
        <f>#REF!-"vlM!$BZ"</f>
        <v>#REF!</v>
      </c>
      <c r="EB41" t="e">
        <f>#REF!-"vlM!$B["</f>
        <v>#REF!</v>
      </c>
      <c r="EC41" t="e">
        <f>#REF!-"vlM!$B\"</f>
        <v>#REF!</v>
      </c>
      <c r="ED41" t="e">
        <f>#REF!-"vlM!$B]"</f>
        <v>#REF!</v>
      </c>
      <c r="EE41" t="e">
        <f>#REF!-"vlM!$B^"</f>
        <v>#REF!</v>
      </c>
      <c r="EF41" t="e">
        <f>#REF!-"vlM!$B_"</f>
        <v>#REF!</v>
      </c>
      <c r="EG41" t="e">
        <f>#REF!-"vlM!$B`"</f>
        <v>#REF!</v>
      </c>
      <c r="EH41" t="e">
        <f>#REF!-"vlM!$Ba"</f>
        <v>#REF!</v>
      </c>
      <c r="EI41" t="e">
        <f>#REF!-"vlM!$Bb"</f>
        <v>#REF!</v>
      </c>
      <c r="EJ41" t="e">
        <f>#REF!-"vlM!$Bc"</f>
        <v>#REF!</v>
      </c>
      <c r="EK41" t="e">
        <f>#REF!-"vlM!$Bd"</f>
        <v>#REF!</v>
      </c>
      <c r="EL41" t="e">
        <f>#REF!-"vlM!$Be"</f>
        <v>#REF!</v>
      </c>
      <c r="EM41" t="e">
        <f>#REF!-"vlM!$Bf"</f>
        <v>#REF!</v>
      </c>
      <c r="EN41" t="e">
        <f>#REF!-"vlM!$Bg"</f>
        <v>#REF!</v>
      </c>
      <c r="EO41" t="e">
        <f>#REF!-"vlM!$Bh"</f>
        <v>#REF!</v>
      </c>
      <c r="EP41" t="e">
        <f>#REF!-"vlM!$Bi"</f>
        <v>#REF!</v>
      </c>
      <c r="EQ41" t="e">
        <f>#REF!-"vlM!$Bj"</f>
        <v>#REF!</v>
      </c>
      <c r="ER41" t="e">
        <f>#REF!-"vlM!$Bk"</f>
        <v>#REF!</v>
      </c>
      <c r="ES41" t="e">
        <f>#REF!-"vlM!$Bl"</f>
        <v>#REF!</v>
      </c>
      <c r="ET41" t="e">
        <f>#REF!-"vlM!$Bm"</f>
        <v>#REF!</v>
      </c>
      <c r="EU41" t="e">
        <f>#REF!-"vlM!$Bn"</f>
        <v>#REF!</v>
      </c>
      <c r="EV41" t="e">
        <f>#REF!-"vlM!$Bo"</f>
        <v>#REF!</v>
      </c>
      <c r="EW41" t="e">
        <f>#REF!-"vlM!$Bp"</f>
        <v>#REF!</v>
      </c>
      <c r="EX41" t="e">
        <f>#REF!-"vlM!$Bq"</f>
        <v>#REF!</v>
      </c>
      <c r="EY41" t="e">
        <f>#REF!-"vlM!$Br"</f>
        <v>#REF!</v>
      </c>
      <c r="EZ41" t="e">
        <f>#REF!-"vlM!$Bs"</f>
        <v>#REF!</v>
      </c>
      <c r="FA41" t="e">
        <f>#REF!-"vlM!$Bt"</f>
        <v>#REF!</v>
      </c>
      <c r="FB41" t="e">
        <f>#REF!-"vlM!$Bu"</f>
        <v>#REF!</v>
      </c>
      <c r="FC41" t="e">
        <f>#REF!-"vlM!$Bv"</f>
        <v>#REF!</v>
      </c>
      <c r="FD41" t="e">
        <f>#REF!-"vlM!$Bw"</f>
        <v>#REF!</v>
      </c>
      <c r="FE41" t="e">
        <f>#REF!-"vlM!$Bx"</f>
        <v>#REF!</v>
      </c>
      <c r="FF41" t="e">
        <f>#REF!-"vlM!$By"</f>
        <v>#REF!</v>
      </c>
      <c r="FG41" t="e">
        <f>#REF!-"vlM!$Bz"</f>
        <v>#REF!</v>
      </c>
      <c r="FH41" t="e">
        <f>#REF!-"vlM!$B{"</f>
        <v>#REF!</v>
      </c>
      <c r="FI41" t="e">
        <f>#REF!-"vlM!$B|"</f>
        <v>#REF!</v>
      </c>
      <c r="FJ41" t="e">
        <f>#REF!-"vlM!$B}"</f>
        <v>#REF!</v>
      </c>
      <c r="FK41" t="e">
        <f>#REF!-"vlM!$B~"</f>
        <v>#REF!</v>
      </c>
      <c r="FL41" t="e">
        <f>#REF!-"vlM!$C#"</f>
        <v>#REF!</v>
      </c>
      <c r="FM41" t="e">
        <f>#REF!-"vlM!$C$"</f>
        <v>#REF!</v>
      </c>
      <c r="FN41" t="e">
        <f>#REF!-"vlM!$C%"</f>
        <v>#REF!</v>
      </c>
      <c r="FO41" t="e">
        <f>#REF!-"vlM!$C&amp;"</f>
        <v>#REF!</v>
      </c>
      <c r="FP41" t="e">
        <f>#REF!-"vlM!$C'"</f>
        <v>#REF!</v>
      </c>
      <c r="FQ41" t="e">
        <f>#REF!-"vlM!$C("</f>
        <v>#REF!</v>
      </c>
      <c r="FR41" t="e">
        <f>#REF!-"vlM!$C)"</f>
        <v>#REF!</v>
      </c>
      <c r="FS41" t="e">
        <f>#REF!-"vlM!$C."</f>
        <v>#REF!</v>
      </c>
      <c r="FT41" t="e">
        <f>#REF!-"vlM!$C/"</f>
        <v>#REF!</v>
      </c>
      <c r="FU41" t="e">
        <f>#REF!-"vlM!$C0"</f>
        <v>#REF!</v>
      </c>
      <c r="FV41" t="e">
        <f>#REF!-"vlM!$C1"</f>
        <v>#REF!</v>
      </c>
      <c r="FW41" t="e">
        <f>#REF!-"vlM!$C2"</f>
        <v>#REF!</v>
      </c>
      <c r="FX41" t="e">
        <f>#REF!-"vlM!$C3"</f>
        <v>#REF!</v>
      </c>
      <c r="FY41" t="e">
        <f>#REF!-"vlM!$C4"</f>
        <v>#REF!</v>
      </c>
      <c r="FZ41" t="e">
        <f>#REF!-"vlM!$C5"</f>
        <v>#REF!</v>
      </c>
      <c r="GA41" t="e">
        <f>#REF!-"vlM!$C6"</f>
        <v>#REF!</v>
      </c>
      <c r="GB41" t="e">
        <f>#REF!-"vlM!$C7"</f>
        <v>#REF!</v>
      </c>
      <c r="GC41" t="e">
        <f>#REF!-"vlM!$C8"</f>
        <v>#REF!</v>
      </c>
      <c r="GD41" t="e">
        <f>#REF!-"vlM!$C9"</f>
        <v>#REF!</v>
      </c>
      <c r="GE41" t="e">
        <f>#REF!-"vlM!$C:"</f>
        <v>#REF!</v>
      </c>
      <c r="GF41" t="e">
        <f>#REF!-"vlM!$C;"</f>
        <v>#REF!</v>
      </c>
      <c r="GG41" t="e">
        <f>#REF!-"vlM!$C&lt;"</f>
        <v>#REF!</v>
      </c>
      <c r="GH41" t="e">
        <f>#REF!-"vlM!$C="</f>
        <v>#REF!</v>
      </c>
      <c r="GI41" t="e">
        <f>#REF!-"vlM!$C&gt;"</f>
        <v>#REF!</v>
      </c>
      <c r="GJ41" t="e">
        <f>#REF!-"vlM!$C?"</f>
        <v>#REF!</v>
      </c>
      <c r="GK41" t="e">
        <f>#REF!-"vlM!$C@"</f>
        <v>#REF!</v>
      </c>
      <c r="GL41" t="e">
        <f>#REF!-"vlM!$CA"</f>
        <v>#REF!</v>
      </c>
      <c r="GM41" t="e">
        <f>#REF!-"vlM!$CB"</f>
        <v>#REF!</v>
      </c>
      <c r="GN41" t="e">
        <f>#REF!-"vlM!$CC"</f>
        <v>#REF!</v>
      </c>
      <c r="GO41" t="e">
        <f>#REF!-"vlM!$CD"</f>
        <v>#REF!</v>
      </c>
      <c r="GP41" t="e">
        <f>#REF!-"vlM!$CE"</f>
        <v>#REF!</v>
      </c>
      <c r="GQ41" t="e">
        <f>#REF!-"vlM!$CF"</f>
        <v>#REF!</v>
      </c>
      <c r="GR41" t="e">
        <f>#REF!-"vlM!$CG"</f>
        <v>#REF!</v>
      </c>
      <c r="GS41" t="e">
        <f>#REF!-"vlM!$CH"</f>
        <v>#REF!</v>
      </c>
      <c r="GT41" t="e">
        <f>#REF!-"vlM!$CI"</f>
        <v>#REF!</v>
      </c>
      <c r="GU41" t="e">
        <f>#REF!-"vlM!$CJ"</f>
        <v>#REF!</v>
      </c>
      <c r="GV41" t="e">
        <f>#REF!-"vlM!$CK"</f>
        <v>#REF!</v>
      </c>
      <c r="GW41" t="e">
        <f>#REF!-"vlM!$CL"</f>
        <v>#REF!</v>
      </c>
      <c r="GX41" t="e">
        <f>#REF!-"vlM!$CM"</f>
        <v>#REF!</v>
      </c>
      <c r="GY41" t="e">
        <f>#REF!-"vlM!$CN"</f>
        <v>#REF!</v>
      </c>
      <c r="GZ41" t="e">
        <f>#REF!-"vlM!$CO"</f>
        <v>#REF!</v>
      </c>
      <c r="HA41" t="e">
        <f>#REF!-"vlM!$CP"</f>
        <v>#REF!</v>
      </c>
      <c r="HB41" t="e">
        <f>#REF!-"vlM!$CQ"</f>
        <v>#REF!</v>
      </c>
      <c r="HC41" t="e">
        <f>#REF!-"vlM!$CR"</f>
        <v>#REF!</v>
      </c>
      <c r="HD41" t="e">
        <f>#REF!-"vlM!$CS"</f>
        <v>#REF!</v>
      </c>
      <c r="HE41" t="e">
        <f>#REF!-"vlM!$CT"</f>
        <v>#REF!</v>
      </c>
      <c r="HF41" t="e">
        <f>#REF!+"vlM!$CU"</f>
        <v>#REF!</v>
      </c>
      <c r="HG41" t="e">
        <f>#REF!+"vlM!$CV"</f>
        <v>#REF!</v>
      </c>
      <c r="HH41" t="e">
        <f>#REF!+"vlM!$CW"</f>
        <v>#REF!</v>
      </c>
      <c r="HI41" t="e">
        <f>#REF!+"vlM!$CX"</f>
        <v>#REF!</v>
      </c>
      <c r="HJ41" t="e">
        <f>#REF!+"vlM!$CY"</f>
        <v>#REF!</v>
      </c>
      <c r="HK41" t="e">
        <f>#REF!+"vlM!$CZ"</f>
        <v>#REF!</v>
      </c>
      <c r="HL41" t="e">
        <f>#REF!+"vlM!$C["</f>
        <v>#REF!</v>
      </c>
      <c r="HM41" t="e">
        <f>#REF!+"vlM!$C\"</f>
        <v>#REF!</v>
      </c>
      <c r="HN41" t="e">
        <f>#REF!+"vlM!$C]"</f>
        <v>#REF!</v>
      </c>
      <c r="HO41" t="e">
        <f>#REF!+"vlM!$C^"</f>
        <v>#REF!</v>
      </c>
      <c r="HP41" t="e">
        <f>#REF!+"vlM!$C_"</f>
        <v>#REF!</v>
      </c>
      <c r="HQ41" t="e">
        <f>#REF!+"vlM!$C`"</f>
        <v>#REF!</v>
      </c>
      <c r="HR41" t="e">
        <f>#REF!+"vlM!$Ca"</f>
        <v>#REF!</v>
      </c>
      <c r="HS41" t="e">
        <f>#REF!+"vlM!$Cb"</f>
        <v>#REF!</v>
      </c>
      <c r="HT41" t="e">
        <f>#REF!+"vlM!$Cc"</f>
        <v>#REF!</v>
      </c>
      <c r="HU41" t="e">
        <f>#REF!+"vlM!$Cd"</f>
        <v>#REF!</v>
      </c>
      <c r="HV41" t="e">
        <f>#REF!+"vlM!$Ce"</f>
        <v>#REF!</v>
      </c>
      <c r="HW41" t="e">
        <f>#REF!+"vlM!$Cf"</f>
        <v>#REF!</v>
      </c>
      <c r="HX41" t="e">
        <f>#REF!+"vlM!$Cg"</f>
        <v>#REF!</v>
      </c>
      <c r="HY41" t="e">
        <f>#REF!+"vlM!$Ch"</f>
        <v>#REF!</v>
      </c>
      <c r="HZ41" t="e">
        <f>#REF!+"vlM!$Ci"</f>
        <v>#REF!</v>
      </c>
      <c r="IA41" t="e">
        <f>#REF!+"vlM!$Cj"</f>
        <v>#REF!</v>
      </c>
      <c r="IB41" t="e">
        <f>#REF!+"vlM!$Ck"</f>
        <v>#REF!</v>
      </c>
      <c r="IC41" t="e">
        <f>#REF!+"vlM!$Cl"</f>
        <v>#REF!</v>
      </c>
      <c r="ID41" t="e">
        <f>#REF!+"vlM!$Cm"</f>
        <v>#REF!</v>
      </c>
      <c r="IE41" t="e">
        <f>#REF!+"vlM!$Cn"</f>
        <v>#REF!</v>
      </c>
      <c r="IF41" t="e">
        <f>#REF!+"vlM!$Co"</f>
        <v>#REF!</v>
      </c>
      <c r="IG41" t="e">
        <f>#REF!+"vlM!$Cp"</f>
        <v>#REF!</v>
      </c>
      <c r="IH41" t="e">
        <f>#REF!+"vlM!$Cq"</f>
        <v>#REF!</v>
      </c>
      <c r="II41" t="e">
        <f>#REF!+"vlM!$Cr"</f>
        <v>#REF!</v>
      </c>
      <c r="IJ41" t="e">
        <f>#REF!+"vlM!$Cs"</f>
        <v>#REF!</v>
      </c>
      <c r="IK41" t="e">
        <f>#REF!+"vlM!$Ct"</f>
        <v>#REF!</v>
      </c>
      <c r="IL41" t="e">
        <f>#REF!+"vlM!$Cu"</f>
        <v>#REF!</v>
      </c>
      <c r="IM41" t="e">
        <f>#REF!+"vlM!$Cv"</f>
        <v>#REF!</v>
      </c>
      <c r="IN41" t="e">
        <f>#REF!+"vlM!$Cw"</f>
        <v>#REF!</v>
      </c>
      <c r="IO41" t="e">
        <f>#REF!+"vlM!$Cx"</f>
        <v>#REF!</v>
      </c>
      <c r="IP41" t="e">
        <f>#REF!+"vlM!$Cy"</f>
        <v>#REF!</v>
      </c>
      <c r="IQ41" t="e">
        <f>#REF!+"vlM!$Cz"</f>
        <v>#REF!</v>
      </c>
      <c r="IR41" t="e">
        <f>#REF!+"vlM!$C{"</f>
        <v>#REF!</v>
      </c>
      <c r="IS41" t="e">
        <f>#REF!+"vlM!$C|"</f>
        <v>#REF!</v>
      </c>
      <c r="IT41" t="e">
        <f>#REF!+"vlM!$C}"</f>
        <v>#REF!</v>
      </c>
      <c r="IU41" t="e">
        <f>#REF!+"vlM!$C~"</f>
        <v>#REF!</v>
      </c>
      <c r="IV41" t="e">
        <f>#REF!+"vlM!$D#"</f>
        <v>#REF!</v>
      </c>
    </row>
    <row r="42" spans="6:256" x14ac:dyDescent="0.25">
      <c r="F42" t="e">
        <f>#REF!+"vlM!$D$"</f>
        <v>#REF!</v>
      </c>
      <c r="G42" t="e">
        <f>#REF!+"vlM!$D%"</f>
        <v>#REF!</v>
      </c>
      <c r="H42" t="e">
        <f>#REF!+"vlM!$D&amp;"</f>
        <v>#REF!</v>
      </c>
      <c r="I42" t="e">
        <f>#REF!+"vlM!$D'"</f>
        <v>#REF!</v>
      </c>
      <c r="J42" t="e">
        <f>#REF!+"vlM!$D("</f>
        <v>#REF!</v>
      </c>
      <c r="K42" t="e">
        <f>#REF!+"vlM!$D)"</f>
        <v>#REF!</v>
      </c>
      <c r="L42" t="e">
        <f>#REF!+"vlM!$D."</f>
        <v>#REF!</v>
      </c>
      <c r="M42" t="e">
        <f>#REF!+"vlM!$D/"</f>
        <v>#REF!</v>
      </c>
      <c r="N42" t="e">
        <f>#REF!+"vlM!$D0"</f>
        <v>#REF!</v>
      </c>
      <c r="O42" t="e">
        <f>#REF!+"vlM!$D1"</f>
        <v>#REF!</v>
      </c>
      <c r="P42" t="e">
        <f>#REF!+"vlM!$D2"</f>
        <v>#REF!</v>
      </c>
      <c r="Q42" t="e">
        <f>#REF!+"vlM!$D3"</f>
        <v>#REF!</v>
      </c>
      <c r="R42" t="e">
        <f>#REF!+"vlM!$D4"</f>
        <v>#REF!</v>
      </c>
      <c r="S42" t="e">
        <f>#REF!+"vlM!$D5"</f>
        <v>#REF!</v>
      </c>
      <c r="T42" t="e">
        <f>#REF!+"vlM!$D6"</f>
        <v>#REF!</v>
      </c>
      <c r="U42" t="e">
        <f>#REF!+"vlM!$D7"</f>
        <v>#REF!</v>
      </c>
      <c r="V42" t="e">
        <f>#REF!+"vlM!$D8"</f>
        <v>#REF!</v>
      </c>
      <c r="W42" t="e">
        <f>#REF!+"vlM!$D9"</f>
        <v>#REF!</v>
      </c>
      <c r="X42" t="e">
        <f>#REF!+"vlM!$D:"</f>
        <v>#REF!</v>
      </c>
      <c r="Y42" t="e">
        <f>#REF!+"vlM!$D;"</f>
        <v>#REF!</v>
      </c>
      <c r="Z42" t="e">
        <f>#REF!+"vlM!$D&lt;"</f>
        <v>#REF!</v>
      </c>
      <c r="AA42" t="e">
        <f>#REF!+"vlM!$D="</f>
        <v>#REF!</v>
      </c>
      <c r="AB42" t="e">
        <f>#REF!+"vlM!$D&gt;"</f>
        <v>#REF!</v>
      </c>
      <c r="AC42" t="e">
        <f>#REF!+"vlM!$D?"</f>
        <v>#REF!</v>
      </c>
      <c r="AD42" t="e">
        <f>#REF!+"vlM!$D@"</f>
        <v>#REF!</v>
      </c>
      <c r="AE42" t="e">
        <f>#REF!+"vlM!$DA"</f>
        <v>#REF!</v>
      </c>
      <c r="AF42" t="e">
        <f>#REF!+"vlM!$DB"</f>
        <v>#REF!</v>
      </c>
      <c r="AG42" t="e">
        <f>#REF!+"vlM!$DC"</f>
        <v>#REF!</v>
      </c>
      <c r="AH42" t="e">
        <f>#REF!+"vlM!$DD"</f>
        <v>#REF!</v>
      </c>
      <c r="AI42" t="e">
        <f>#REF!+"vlM!$DE"</f>
        <v>#REF!</v>
      </c>
      <c r="AJ42" t="e">
        <f>#REF!+"vlM!$DF"</f>
        <v>#REF!</v>
      </c>
      <c r="AK42" t="e">
        <f>#REF!+"vlM!$DG"</f>
        <v>#REF!</v>
      </c>
      <c r="AL42" t="e">
        <f>#REF!+"vlM!$DH"</f>
        <v>#REF!</v>
      </c>
      <c r="AM42" t="e">
        <f>#REF!+"vlM!$DI"</f>
        <v>#REF!</v>
      </c>
      <c r="AN42" t="e">
        <f>#REF!+"vlM!$DJ"</f>
        <v>#REF!</v>
      </c>
      <c r="AO42" t="e">
        <f>#REF!+"vlM!$DK"</f>
        <v>#REF!</v>
      </c>
      <c r="AP42" t="e">
        <f>#REF!+"vlM!$DL"</f>
        <v>#REF!</v>
      </c>
      <c r="AQ42" t="e">
        <f>#REF!+"vlM!$DM"</f>
        <v>#REF!</v>
      </c>
      <c r="AR42" t="e">
        <f>#REF!+"vlM!$DN"</f>
        <v>#REF!</v>
      </c>
      <c r="AS42" t="e">
        <f>#REF!+"vlM!$DO"</f>
        <v>#REF!</v>
      </c>
      <c r="AT42" t="e">
        <f>#REF!+"vlM!$DP"</f>
        <v>#REF!</v>
      </c>
      <c r="AU42" t="e">
        <f>#REF!+"vlM!$DQ"</f>
        <v>#REF!</v>
      </c>
      <c r="AV42" t="e">
        <f>#REF!+"vlM!$DR"</f>
        <v>#REF!</v>
      </c>
      <c r="AW42" t="e">
        <f>#REF!+"vlM!$DS"</f>
        <v>#REF!</v>
      </c>
      <c r="AX42" t="e">
        <f>#REF!+"vlM!$DT"</f>
        <v>#REF!</v>
      </c>
      <c r="AY42" t="e">
        <f>#REF!+"vlM!$DU"</f>
        <v>#REF!</v>
      </c>
      <c r="AZ42" t="e">
        <f>#REF!+"vlM!$DV"</f>
        <v>#REF!</v>
      </c>
      <c r="BA42" t="e">
        <f>#REF!+"vlM!$DW"</f>
        <v>#REF!</v>
      </c>
      <c r="BB42" t="e">
        <f>#REF!+"vlM!$DX"</f>
        <v>#REF!</v>
      </c>
      <c r="BC42" t="e">
        <f>#REF!+"vlM!$DY"</f>
        <v>#REF!</v>
      </c>
      <c r="BD42" t="e">
        <f>#REF!+"vlM!$DZ"</f>
        <v>#REF!</v>
      </c>
      <c r="BE42" t="e">
        <f>#REF!+"vlM!$D["</f>
        <v>#REF!</v>
      </c>
      <c r="BF42" t="e">
        <f>#REF!+"vlM!$D\"</f>
        <v>#REF!</v>
      </c>
      <c r="BG42" t="e">
        <f>#REF!+"vlM!$D]"</f>
        <v>#REF!</v>
      </c>
      <c r="BH42" t="e">
        <f>#REF!+"vlM!$D^"</f>
        <v>#REF!</v>
      </c>
      <c r="BI42" t="e">
        <f>#REF!+"vlM!$D_"</f>
        <v>#REF!</v>
      </c>
      <c r="BJ42" t="e">
        <f>#REF!+"vlM!$D`"</f>
        <v>#REF!</v>
      </c>
      <c r="BK42" t="e">
        <f>#REF!+"vlM!$Da"</f>
        <v>#REF!</v>
      </c>
      <c r="BL42" t="e">
        <f>#REF!+"vlM!$Db"</f>
        <v>#REF!</v>
      </c>
      <c r="BM42" t="e">
        <f>#REF!+"vlM!$Dc"</f>
        <v>#REF!</v>
      </c>
      <c r="BN42" t="e">
        <f>#REF!+"vlM!$Dd"</f>
        <v>#REF!</v>
      </c>
      <c r="BO42" t="e">
        <f>#REF!+"vlM!$De"</f>
        <v>#REF!</v>
      </c>
      <c r="BP42" t="e">
        <f>#REF!+"vlM!$Df"</f>
        <v>#REF!</v>
      </c>
      <c r="BQ42" t="e">
        <f>#REF!+"vlM!$Dg"</f>
        <v>#REF!</v>
      </c>
      <c r="BR42" t="e">
        <f>#REF!+"vlM!$Dh"</f>
        <v>#REF!</v>
      </c>
      <c r="BS42" t="e">
        <f>#REF!+"vlM!$Di"</f>
        <v>#REF!</v>
      </c>
      <c r="BT42" t="e">
        <f>#REF!+"vlM!$Dj"</f>
        <v>#REF!</v>
      </c>
      <c r="BU42" t="e">
        <f>#REF!+"vlM!$Dk"</f>
        <v>#REF!</v>
      </c>
      <c r="BV42" t="e">
        <f>#REF!+"vlM!$Dl"</f>
        <v>#REF!</v>
      </c>
      <c r="BW42" t="e">
        <f>#REF!+"vlM!$Dm"</f>
        <v>#REF!</v>
      </c>
      <c r="BX42" t="e">
        <f>#REF!+"vlM!$Dn"</f>
        <v>#REF!</v>
      </c>
      <c r="BY42" t="e">
        <f>#REF!+"vlM!$Do"</f>
        <v>#REF!</v>
      </c>
      <c r="BZ42" t="e">
        <f>#REF!+"vlM!$Dp"</f>
        <v>#REF!</v>
      </c>
      <c r="CA42" t="e">
        <f>#REF!+"vlM!$Dq"</f>
        <v>#REF!</v>
      </c>
      <c r="CB42" t="e">
        <f>#REF!+"vlM!$Dr"</f>
        <v>#REF!</v>
      </c>
      <c r="CC42" t="e">
        <f>#REF!+"vlM!$Ds"</f>
        <v>#REF!</v>
      </c>
      <c r="CD42" t="e">
        <f>#REF!+"vlM!$Dt"</f>
        <v>#REF!</v>
      </c>
      <c r="CE42" t="e">
        <f>#REF!+"vlM!$Du"</f>
        <v>#REF!</v>
      </c>
      <c r="CF42" t="e">
        <f>#REF!+"vlM!$Dv"</f>
        <v>#REF!</v>
      </c>
      <c r="CG42" t="e">
        <f>#REF!+"vlM!$Dw"</f>
        <v>#REF!</v>
      </c>
      <c r="CH42" t="e">
        <f>#REF!+"vlM!$Dx"</f>
        <v>#REF!</v>
      </c>
      <c r="CI42" t="e">
        <f>#REF!+"vlM!$Dy"</f>
        <v>#REF!</v>
      </c>
      <c r="CJ42" t="e">
        <f>#REF!+"vlM!$Dz"</f>
        <v>#REF!</v>
      </c>
      <c r="CK42" t="e">
        <f>#REF!+"vlM!$D{"</f>
        <v>#REF!</v>
      </c>
      <c r="CL42" t="e">
        <f>#REF!+"vlM!$D|"</f>
        <v>#REF!</v>
      </c>
      <c r="CM42" t="e">
        <f>#REF!+"vlM!$D}"</f>
        <v>#REF!</v>
      </c>
      <c r="CN42" t="e">
        <f>#REF!+"vlM!$D~"</f>
        <v>#REF!</v>
      </c>
      <c r="CO42" t="e">
        <f>#REF!+"vlM!$E#"</f>
        <v>#REF!</v>
      </c>
      <c r="CP42" t="e">
        <f>#REF!+"vlM!$E$"</f>
        <v>#REF!</v>
      </c>
      <c r="CQ42" t="e">
        <f>#REF!+"vlM!$E%"</f>
        <v>#REF!</v>
      </c>
      <c r="CR42" t="e">
        <f>#REF!+"vlM!$E&amp;"</f>
        <v>#REF!</v>
      </c>
      <c r="CS42" t="e">
        <f>#REF!+"vlM!$E'"</f>
        <v>#REF!</v>
      </c>
      <c r="CT42" t="e">
        <f>#REF!+"vlM!$E("</f>
        <v>#REF!</v>
      </c>
      <c r="CU42" t="e">
        <f>#REF!+"vlM!$E)"</f>
        <v>#REF!</v>
      </c>
      <c r="CV42" t="e">
        <f>#REF!+"vlM!$E."</f>
        <v>#REF!</v>
      </c>
      <c r="CW42" t="e">
        <f>#REF!+"vlM!$E/"</f>
        <v>#REF!</v>
      </c>
      <c r="CX42" t="e">
        <f>#REF!+"vlM!$E0"</f>
        <v>#REF!</v>
      </c>
      <c r="CY42" t="e">
        <f>#REF!+"vlM!$E1"</f>
        <v>#REF!</v>
      </c>
      <c r="CZ42" t="e">
        <f>#REF!+"vlM!$E2"</f>
        <v>#REF!</v>
      </c>
      <c r="DA42" t="e">
        <f>#REF!+"vlM!$E3"</f>
        <v>#REF!</v>
      </c>
      <c r="DB42" t="e">
        <f>#REF!+"vlM!$E4"</f>
        <v>#REF!</v>
      </c>
      <c r="DC42" t="e">
        <f>#REF!+"vlM!$E5"</f>
        <v>#REF!</v>
      </c>
      <c r="DD42" t="e">
        <f>#REF!+"vlM!$E6"</f>
        <v>#REF!</v>
      </c>
      <c r="DE42" t="e">
        <f>#REF!+"vlM!$E7"</f>
        <v>#REF!</v>
      </c>
      <c r="DF42" t="e">
        <f>#REF!+"vlM!$E8"</f>
        <v>#REF!</v>
      </c>
      <c r="DG42" t="e">
        <f>#REF!+"vlM!$E9"</f>
        <v>#REF!</v>
      </c>
      <c r="DH42" t="e">
        <f>#REF!+"vlM!$E:"</f>
        <v>#REF!</v>
      </c>
      <c r="DI42" t="e">
        <f>#REF!+"vlM!$E;"</f>
        <v>#REF!</v>
      </c>
      <c r="DJ42" t="e">
        <f>#REF!+"vlM!$E&lt;"</f>
        <v>#REF!</v>
      </c>
      <c r="DK42" t="e">
        <f>#REF!+"vlM!$E="</f>
        <v>#REF!</v>
      </c>
      <c r="DL42" t="e">
        <f>#REF!+"vlM!$E&gt;"</f>
        <v>#REF!</v>
      </c>
      <c r="DM42" t="e">
        <f>#REF!+"vlM!$E?"</f>
        <v>#REF!</v>
      </c>
      <c r="DN42" t="e">
        <f>#REF!+"vlM!$E@"</f>
        <v>#REF!</v>
      </c>
      <c r="DO42" t="e">
        <f>#REF!+"vlM!$EA"</f>
        <v>#REF!</v>
      </c>
      <c r="DP42" t="e">
        <f>#REF!+"vlM!$EB"</f>
        <v>#REF!</v>
      </c>
      <c r="DQ42" t="e">
        <f>#REF!+"vlM!$EC"</f>
        <v>#REF!</v>
      </c>
      <c r="DR42" t="e">
        <f>#REF!+"vlM!$ED"</f>
        <v>#REF!</v>
      </c>
      <c r="DS42" t="e">
        <f>#REF!+"vlM!$EE"</f>
        <v>#REF!</v>
      </c>
      <c r="DT42" t="e">
        <f>#REF!+"vlM!$EF"</f>
        <v>#REF!</v>
      </c>
      <c r="DU42" t="e">
        <f>#REF!+"vlM!$EG"</f>
        <v>#REF!</v>
      </c>
      <c r="DV42" t="e">
        <f>#REF!+"vlM!$EH"</f>
        <v>#REF!</v>
      </c>
      <c r="DW42" t="e">
        <f>#REF!+"vlM!$EI"</f>
        <v>#REF!</v>
      </c>
      <c r="DX42" t="e">
        <f>#REF!+"vlM!$EJ"</f>
        <v>#REF!</v>
      </c>
      <c r="DY42" t="e">
        <f>#REF!+"vlM!$EK"</f>
        <v>#REF!</v>
      </c>
      <c r="DZ42" t="e">
        <f>#REF!+"vlM!$EL"</f>
        <v>#REF!</v>
      </c>
      <c r="EA42" t="e">
        <f>#REF!+"vlM!$EM"</f>
        <v>#REF!</v>
      </c>
      <c r="EB42" t="e">
        <f>#REF!+"vlM!$EN"</f>
        <v>#REF!</v>
      </c>
      <c r="EC42" t="e">
        <f>#REF!+"vlM!$EO"</f>
        <v>#REF!</v>
      </c>
      <c r="ED42" t="e">
        <f>#REF!+"vlM!$EP"</f>
        <v>#REF!</v>
      </c>
      <c r="EE42" t="e">
        <f>#REF!+"vlM!$EQ"</f>
        <v>#REF!</v>
      </c>
      <c r="EF42" t="e">
        <f>#REF!+"vlM!$ER"</f>
        <v>#REF!</v>
      </c>
      <c r="EG42" t="e">
        <f>#REF!+"vlM!$ES"</f>
        <v>#REF!</v>
      </c>
      <c r="EH42" t="e">
        <f>#REF!+"vlM!$ET"</f>
        <v>#REF!</v>
      </c>
      <c r="EI42" t="e">
        <f>#REF!+"vlM!$EU"</f>
        <v>#REF!</v>
      </c>
      <c r="EJ42" t="e">
        <f>#REF!+"vlM!$EV"</f>
        <v>#REF!</v>
      </c>
      <c r="EK42" t="e">
        <f>#REF!+"vlM!$EW"</f>
        <v>#REF!</v>
      </c>
      <c r="EL42" t="e">
        <f>#REF!+"vlM!$EX"</f>
        <v>#REF!</v>
      </c>
      <c r="EM42" t="e">
        <f>#REF!+"vlM!$EY"</f>
        <v>#REF!</v>
      </c>
      <c r="EN42" t="e">
        <f>#REF!+"vlM!$EZ"</f>
        <v>#REF!</v>
      </c>
      <c r="EO42" t="e">
        <f>#REF!+"vlM!$E["</f>
        <v>#REF!</v>
      </c>
      <c r="EP42" t="e">
        <f>#REF!+"vlM!$E\"</f>
        <v>#REF!</v>
      </c>
      <c r="EQ42" t="e">
        <f>#REF!+"vlM!$E]"</f>
        <v>#REF!</v>
      </c>
      <c r="ER42" t="e">
        <f>#REF!+"vlM!$E^"</f>
        <v>#REF!</v>
      </c>
      <c r="ES42" t="e">
        <f>#REF!+"vlM!$E_"</f>
        <v>#REF!</v>
      </c>
      <c r="ET42" t="e">
        <f>#REF!+"vlM!$E`"</f>
        <v>#REF!</v>
      </c>
      <c r="EU42" t="e">
        <f>#REF!+"vlM!$Ea"</f>
        <v>#REF!</v>
      </c>
      <c r="EV42" t="e">
        <f>#REF!+"vlM!$Eb"</f>
        <v>#REF!</v>
      </c>
      <c r="EW42" t="e">
        <f>#REF!+"vlM!$Ec"</f>
        <v>#REF!</v>
      </c>
      <c r="EX42" t="e">
        <f>#REF!+"vlM!$Ed"</f>
        <v>#REF!</v>
      </c>
      <c r="EY42" t="e">
        <f>#REF!+"vlM!$Ee"</f>
        <v>#REF!</v>
      </c>
      <c r="EZ42" t="e">
        <f>#REF!+"vlM!$Ef"</f>
        <v>#REF!</v>
      </c>
      <c r="FA42" t="e">
        <f>#REF!+"vlM!$Eg"</f>
        <v>#REF!</v>
      </c>
      <c r="FB42" t="e">
        <f>#REF!+"vlM!$Eh"</f>
        <v>#REF!</v>
      </c>
      <c r="FC42" t="e">
        <f>#REF!+"vlM!$Ei"</f>
        <v>#REF!</v>
      </c>
      <c r="FD42" t="e">
        <f>#REF!+"vlM!$Ej"</f>
        <v>#REF!</v>
      </c>
      <c r="FE42" t="e">
        <f>#REF!+"vlM!$Ek"</f>
        <v>#REF!</v>
      </c>
      <c r="FF42" t="e">
        <f>#REF!+"vlM!$El"</f>
        <v>#REF!</v>
      </c>
      <c r="FG42" t="e">
        <f>#REF!+"vlM!$Em"</f>
        <v>#REF!</v>
      </c>
      <c r="FH42" t="e">
        <f>#REF!+"vlM!$En"</f>
        <v>#REF!</v>
      </c>
      <c r="FI42" t="e">
        <f>#REF!+"vlM!$Eo"</f>
        <v>#REF!</v>
      </c>
      <c r="FJ42" t="e">
        <f>#REF!+"vlM!$Ep"</f>
        <v>#REF!</v>
      </c>
      <c r="FK42" t="e">
        <f>#REF!+"vlM!$Eq"</f>
        <v>#REF!</v>
      </c>
      <c r="FL42" t="e">
        <f>#REF!+"vlM!$Er"</f>
        <v>#REF!</v>
      </c>
      <c r="FM42" t="e">
        <f>#REF!+"vlM!$Es"</f>
        <v>#REF!</v>
      </c>
      <c r="FN42" t="e">
        <f>#REF!+"vlM!$Et"</f>
        <v>#REF!</v>
      </c>
      <c r="FO42" t="e">
        <f>#REF!+"vlM!$Eu"</f>
        <v>#REF!</v>
      </c>
      <c r="FP42" t="e">
        <f>#REF!+"vlM!$Ev"</f>
        <v>#REF!</v>
      </c>
      <c r="FQ42" t="e">
        <f>#REF!+"vlM!$Ew"</f>
        <v>#REF!</v>
      </c>
      <c r="FR42" t="e">
        <f>#REF!+"vlM!$Ex"</f>
        <v>#REF!</v>
      </c>
      <c r="FS42" t="e">
        <f>#REF!+"vlM!$Ey"</f>
        <v>#REF!</v>
      </c>
      <c r="FT42" t="e">
        <f>#REF!+"vlM!$Ez"</f>
        <v>#REF!</v>
      </c>
      <c r="FU42" t="e">
        <f>#REF!+"vlM!$E{"</f>
        <v>#REF!</v>
      </c>
      <c r="FV42" t="e">
        <f>#REF!+"vlM!$E|"</f>
        <v>#REF!</v>
      </c>
      <c r="FW42" t="e">
        <f>#REF!+"vlM!$E}"</f>
        <v>#REF!</v>
      </c>
      <c r="FX42" t="e">
        <f>#REF!+"vlM!$E~"</f>
        <v>#REF!</v>
      </c>
      <c r="FY42" t="e">
        <f>#REF!+"vlM!$F#"</f>
        <v>#REF!</v>
      </c>
      <c r="FZ42" t="e">
        <f>#REF!+"vlM!$F$"</f>
        <v>#REF!</v>
      </c>
      <c r="GA42" t="e">
        <f>#REF!+"vlM!$F%"</f>
        <v>#REF!</v>
      </c>
      <c r="GB42" t="e">
        <f>#REF!+"vlM!$F&amp;"</f>
        <v>#REF!</v>
      </c>
      <c r="GC42" t="e">
        <f>#REF!+"vlM!$F'"</f>
        <v>#REF!</v>
      </c>
      <c r="GD42" t="e">
        <f>#REF!+"vlM!$F("</f>
        <v>#REF!</v>
      </c>
      <c r="GE42" t="e">
        <f>#REF!+"vlM!$F)"</f>
        <v>#REF!</v>
      </c>
      <c r="GF42" t="e">
        <f>#REF!+"vlM!$F."</f>
        <v>#REF!</v>
      </c>
      <c r="GG42" t="e">
        <f>#REF!+"vlM!$F/"</f>
        <v>#REF!</v>
      </c>
      <c r="GH42" t="e">
        <f>#REF!+"vlM!$F0"</f>
        <v>#REF!</v>
      </c>
      <c r="GI42" t="e">
        <f>#REF!+"vlM!$F1"</f>
        <v>#REF!</v>
      </c>
      <c r="GJ42" t="e">
        <f>#REF!+"vlM!$F2"</f>
        <v>#REF!</v>
      </c>
      <c r="GK42" t="e">
        <f>#REF!+"vlM!$F3"</f>
        <v>#REF!</v>
      </c>
      <c r="GL42" t="e">
        <f>#REF!+"vlM!$F4"</f>
        <v>#REF!</v>
      </c>
      <c r="GM42" t="e">
        <f>#REF!+"vlM!$F5"</f>
        <v>#REF!</v>
      </c>
      <c r="GN42" t="e">
        <f>#REF!+"vlM!$F6"</f>
        <v>#REF!</v>
      </c>
      <c r="GO42" t="e">
        <f>#REF!+"vlM!$F7"</f>
        <v>#REF!</v>
      </c>
      <c r="GP42" t="e">
        <f>#REF!+"vlM!$F8"</f>
        <v>#REF!</v>
      </c>
      <c r="GQ42" t="e">
        <f>#REF!+"vlM!$F9"</f>
        <v>#REF!</v>
      </c>
      <c r="GR42" t="e">
        <f>#REF!+"vlM!$F:"</f>
        <v>#REF!</v>
      </c>
      <c r="GS42" t="e">
        <f>#REF!+"vlM!$F;"</f>
        <v>#REF!</v>
      </c>
      <c r="GT42" t="e">
        <f>#REF!+"vlM!$F&lt;"</f>
        <v>#REF!</v>
      </c>
      <c r="GU42" t="e">
        <f>#REF!+"vlM!$F="</f>
        <v>#REF!</v>
      </c>
      <c r="GV42" t="e">
        <f>#REF!+"vlM!$F&gt;"</f>
        <v>#REF!</v>
      </c>
      <c r="GW42" t="e">
        <f>#REF!+"vlM!$F?"</f>
        <v>#REF!</v>
      </c>
      <c r="GX42" t="e">
        <f>#REF!+"vlM!$F@"</f>
        <v>#REF!</v>
      </c>
      <c r="GY42" t="e">
        <f>#REF!+"vlM!$FA"</f>
        <v>#REF!</v>
      </c>
      <c r="GZ42" t="e">
        <f>#REF!+"vlM!$FB"</f>
        <v>#REF!</v>
      </c>
      <c r="HA42" t="e">
        <f>#REF!+"vlM!$FC"</f>
        <v>#REF!</v>
      </c>
      <c r="HB42" t="e">
        <f>#REF!+"vlM!$FD"</f>
        <v>#REF!</v>
      </c>
      <c r="HC42" t="e">
        <f>#REF!+"vlM!$FE"</f>
        <v>#REF!</v>
      </c>
      <c r="HD42" t="e">
        <f>#REF!+"vlM!$FF"</f>
        <v>#REF!</v>
      </c>
      <c r="HE42" t="e">
        <f>#REF!+"vlM!$FG"</f>
        <v>#REF!</v>
      </c>
      <c r="HF42" t="e">
        <f>#REF!+"vlM!$FH"</f>
        <v>#REF!</v>
      </c>
      <c r="HG42" t="e">
        <f>#REF!+"vlM!$FI"</f>
        <v>#REF!</v>
      </c>
      <c r="HH42" t="e">
        <f>#REF!+"vlM!$FJ"</f>
        <v>#REF!</v>
      </c>
      <c r="HI42" t="e">
        <f>#REF!+"vlM!$FK"</f>
        <v>#REF!</v>
      </c>
      <c r="HJ42" t="e">
        <f>#REF!+"vlM!$FL"</f>
        <v>#REF!</v>
      </c>
      <c r="HK42" t="e">
        <f>#REF!+"vlM!$FM"</f>
        <v>#REF!</v>
      </c>
      <c r="HL42" t="e">
        <f>#REF!+"vlM!$FN"</f>
        <v>#REF!</v>
      </c>
      <c r="HM42" t="e">
        <f>#REF!+"vlM!$FO"</f>
        <v>#REF!</v>
      </c>
      <c r="HN42" t="e">
        <f>#REF!+"vlM!$FP"</f>
        <v>#REF!</v>
      </c>
      <c r="HO42" t="e">
        <f>#REF!+"vlM!$FQ"</f>
        <v>#REF!</v>
      </c>
      <c r="HP42" t="e">
        <f>#REF!+"vlM!$FR"</f>
        <v>#REF!</v>
      </c>
      <c r="HQ42" t="e">
        <f>#REF!+"vlM!$FS"</f>
        <v>#REF!</v>
      </c>
      <c r="HR42" t="e">
        <f>#REF!+"vlM!$FT"</f>
        <v>#REF!</v>
      </c>
      <c r="HS42" t="e">
        <f>#REF!+"vlM!$FU"</f>
        <v>#REF!</v>
      </c>
      <c r="HT42" t="e">
        <f>#REF!+"vlM!$FV"</f>
        <v>#REF!</v>
      </c>
      <c r="HU42" t="e">
        <f>#REF!+"vlM!$FW"</f>
        <v>#REF!</v>
      </c>
      <c r="HV42" t="e">
        <f>#REF!+"vlM!$FX"</f>
        <v>#REF!</v>
      </c>
      <c r="HW42" t="e">
        <f>#REF!+"vlM!$FY"</f>
        <v>#REF!</v>
      </c>
      <c r="HX42" t="e">
        <f>#REF!+"vlM!$FZ"</f>
        <v>#REF!</v>
      </c>
      <c r="HY42" t="e">
        <f>#REF!+"vlM!$F["</f>
        <v>#REF!</v>
      </c>
      <c r="HZ42" t="e">
        <f>#REF!+"vlM!$F\"</f>
        <v>#REF!</v>
      </c>
      <c r="IA42" t="e">
        <f>#REF!+"vlM!$F]"</f>
        <v>#REF!</v>
      </c>
      <c r="IB42" t="e">
        <f>#REF!+"vlM!$F^"</f>
        <v>#REF!</v>
      </c>
      <c r="IC42" t="e">
        <f>#REF!+"vlM!$F_"</f>
        <v>#REF!</v>
      </c>
      <c r="ID42" t="e">
        <f>#REF!+"vlM!$F`"</f>
        <v>#REF!</v>
      </c>
      <c r="IE42" t="e">
        <f>#REF!+"vlM!$Fa"</f>
        <v>#REF!</v>
      </c>
      <c r="IF42" t="e">
        <f>#REF!+"vlM!$Fb"</f>
        <v>#REF!</v>
      </c>
      <c r="IG42" t="e">
        <f>#REF!+"vlM!$Fc"</f>
        <v>#REF!</v>
      </c>
      <c r="IH42" t="e">
        <f>#REF!+"vlM!$Fd"</f>
        <v>#REF!</v>
      </c>
      <c r="II42" t="e">
        <f>#REF!+"vlM!$Fe"</f>
        <v>#REF!</v>
      </c>
      <c r="IJ42" t="e">
        <f>#REF!+"vlM!$Ff"</f>
        <v>#REF!</v>
      </c>
      <c r="IK42" t="e">
        <f>#REF!+"vlM!$Fg"</f>
        <v>#REF!</v>
      </c>
      <c r="IL42" t="e">
        <f>#REF!+"vlM!$Fh"</f>
        <v>#REF!</v>
      </c>
      <c r="IM42" t="e">
        <f>#REF!+"vlM!$Fi"</f>
        <v>#REF!</v>
      </c>
      <c r="IN42" t="e">
        <f>#REF!+"vlM!$Fj"</f>
        <v>#REF!</v>
      </c>
      <c r="IO42" t="e">
        <f>#REF!+"vlM!$Fk"</f>
        <v>#REF!</v>
      </c>
      <c r="IP42" t="e">
        <f>#REF!+"vlM!$Fl"</f>
        <v>#REF!</v>
      </c>
      <c r="IQ42" t="e">
        <f>#REF!+"vlM!$Fm"</f>
        <v>#REF!</v>
      </c>
      <c r="IR42" t="e">
        <f>#REF!+"vlM!$Fn"</f>
        <v>#REF!</v>
      </c>
      <c r="IS42" t="e">
        <f>#REF!+"vlM!$Fo"</f>
        <v>#REF!</v>
      </c>
      <c r="IT42" t="e">
        <f>#REF!+"vlM!$Fp"</f>
        <v>#REF!</v>
      </c>
      <c r="IU42" t="e">
        <f>#REF!+"vlM!$Fq"</f>
        <v>#REF!</v>
      </c>
      <c r="IV42" t="e">
        <f>#REF!+"vlM!$Fr"</f>
        <v>#REF!</v>
      </c>
    </row>
    <row r="43" spans="6:256" x14ac:dyDescent="0.25">
      <c r="F43" t="e">
        <f>#REF!+"vlM!$Fs"</f>
        <v>#REF!</v>
      </c>
      <c r="G43" t="e">
        <f>#REF!+"vlM!$Ft"</f>
        <v>#REF!</v>
      </c>
      <c r="H43" t="e">
        <f>#REF!+"vlM!$Fu"</f>
        <v>#REF!</v>
      </c>
      <c r="I43" t="e">
        <f>#REF!+"vlM!$Fv"</f>
        <v>#REF!</v>
      </c>
      <c r="J43" t="e">
        <f>#REF!+"vlM!$Fw"</f>
        <v>#REF!</v>
      </c>
      <c r="K43" t="e">
        <f>#REF!+"vlM!$Fx"</f>
        <v>#REF!</v>
      </c>
      <c r="L43" t="e">
        <f>#REF!+"vlM!$Fy"</f>
        <v>#REF!</v>
      </c>
      <c r="M43" t="e">
        <f>#REF!+"vlM!$Fz"</f>
        <v>#REF!</v>
      </c>
      <c r="N43" t="e">
        <f>#REF!+"vlM!$F{"</f>
        <v>#REF!</v>
      </c>
      <c r="O43" t="e">
        <f>#REF!+"vlM!$F|"</f>
        <v>#REF!</v>
      </c>
      <c r="P43" t="e">
        <f>#REF!+"vlM!$F}"</f>
        <v>#REF!</v>
      </c>
      <c r="Q43" t="e">
        <f>#REF!+"vlM!$F~"</f>
        <v>#REF!</v>
      </c>
      <c r="R43" t="e">
        <f>#REF!+"vlM!$G#"</f>
        <v>#REF!</v>
      </c>
      <c r="S43" t="e">
        <f>#REF!+"vlM!$G$"</f>
        <v>#REF!</v>
      </c>
      <c r="T43" t="e">
        <f>#REF!+"vlM!$G%"</f>
        <v>#REF!</v>
      </c>
      <c r="U43" t="e">
        <f>#REF!+"vlM!$G&amp;"</f>
        <v>#REF!</v>
      </c>
      <c r="V43" t="e">
        <f>#REF!+"vlM!$G'"</f>
        <v>#REF!</v>
      </c>
      <c r="W43" t="e">
        <f>#REF!+"vlM!$G("</f>
        <v>#REF!</v>
      </c>
      <c r="X43" t="e">
        <f>#REF!+"vlM!$G)"</f>
        <v>#REF!</v>
      </c>
      <c r="Y43" t="e">
        <f>#REF!+"vlM!$G."</f>
        <v>#REF!</v>
      </c>
      <c r="Z43" t="e">
        <f>#REF!+"vlM!$G/"</f>
        <v>#REF!</v>
      </c>
      <c r="AA43" t="e">
        <f>#REF!+"vlM!$G0"</f>
        <v>#REF!</v>
      </c>
      <c r="AB43" t="e">
        <f>#REF!+"vlM!$G1"</f>
        <v>#REF!</v>
      </c>
      <c r="AC43" t="e">
        <f>#REF!+"vlM!$G2"</f>
        <v>#REF!</v>
      </c>
      <c r="AD43" t="e">
        <f>#REF!+"vlM!$G3"</f>
        <v>#REF!</v>
      </c>
      <c r="AE43" t="e">
        <f>#REF!+"vlM!$G4"</f>
        <v>#REF!</v>
      </c>
      <c r="AF43" t="e">
        <f>#REF!+"vlM!$G5"</f>
        <v>#REF!</v>
      </c>
      <c r="AG43" t="e">
        <f>#REF!+"vlM!$G6"</f>
        <v>#REF!</v>
      </c>
      <c r="AH43" t="e">
        <f>#REF!+"vlM!$G7"</f>
        <v>#REF!</v>
      </c>
      <c r="AI43" t="e">
        <f>#REF!+"vlM!$G8"</f>
        <v>#REF!</v>
      </c>
      <c r="AJ43" t="e">
        <f>#REF!+"vlM!$G9"</f>
        <v>#REF!</v>
      </c>
      <c r="AK43" t="e">
        <f>#REF!+"vlM!$G:"</f>
        <v>#REF!</v>
      </c>
      <c r="AL43" t="e">
        <f>#REF!+"vlM!$G;"</f>
        <v>#REF!</v>
      </c>
      <c r="AM43" t="e">
        <f>#REF!+"vlM!$G&lt;"</f>
        <v>#REF!</v>
      </c>
      <c r="AN43" t="e">
        <f>#REF!+"vlM!$G="</f>
        <v>#REF!</v>
      </c>
      <c r="AO43" t="e">
        <f>#REF!+"vlM!$G&gt;"</f>
        <v>#REF!</v>
      </c>
      <c r="AP43" t="e">
        <f>#REF!+"vlM!$G?"</f>
        <v>#REF!</v>
      </c>
      <c r="AQ43" t="e">
        <f>#REF!+"vlM!$G@"</f>
        <v>#REF!</v>
      </c>
      <c r="AR43" t="e">
        <f>#REF!+"vlM!$GA"</f>
        <v>#REF!</v>
      </c>
      <c r="AS43" t="e">
        <f>#REF!+"vlM!$GB"</f>
        <v>#REF!</v>
      </c>
      <c r="AT43" t="e">
        <f>#REF!+"vlM!$GC"</f>
        <v>#REF!</v>
      </c>
      <c r="AU43" t="e">
        <f>#REF!+"vlM!$GD"</f>
        <v>#REF!</v>
      </c>
      <c r="AV43" t="e">
        <f>#REF!+"vlM!$GE"</f>
        <v>#REF!</v>
      </c>
      <c r="AW43" t="e">
        <f>#REF!+"vlM!$GF"</f>
        <v>#REF!</v>
      </c>
      <c r="AX43" t="e">
        <f>#REF!+"vlM!$GG"</f>
        <v>#REF!</v>
      </c>
      <c r="AY43" t="e">
        <f>#REF!+"vlM!$GH"</f>
        <v>#REF!</v>
      </c>
      <c r="AZ43" t="e">
        <f>#REF!+"vlM!$GI"</f>
        <v>#REF!</v>
      </c>
      <c r="BA43" t="e">
        <f>#REF!+"vlM!$GJ"</f>
        <v>#REF!</v>
      </c>
      <c r="BB43" t="e">
        <f>#REF!+"vlM!$GK"</f>
        <v>#REF!</v>
      </c>
      <c r="BC43" t="e">
        <f>#REF!+"vlM!$GL"</f>
        <v>#REF!</v>
      </c>
      <c r="BD43" t="e">
        <f>#REF!+"vlM!$GM"</f>
        <v>#REF!</v>
      </c>
      <c r="BE43" t="e">
        <f>#REF!+"vlM!$GN"</f>
        <v>#REF!</v>
      </c>
      <c r="BF43" t="e">
        <f>#REF!+"vlM!$GO"</f>
        <v>#REF!</v>
      </c>
      <c r="BG43" t="e">
        <f>#REF!+"vlM!$GP"</f>
        <v>#REF!</v>
      </c>
      <c r="BH43" t="e">
        <f>#REF!+"vlM!$GQ"</f>
        <v>#REF!</v>
      </c>
      <c r="BI43" t="e">
        <f>#REF!+"vlM!$GR"</f>
        <v>#REF!</v>
      </c>
      <c r="BJ43" t="e">
        <f>#REF!+"vlM!$GS"</f>
        <v>#REF!</v>
      </c>
      <c r="BK43" t="e">
        <f>#REF!+"vlM!$GT"</f>
        <v>#REF!</v>
      </c>
      <c r="BL43" t="e">
        <f>#REF!+"vlM!$GU"</f>
        <v>#REF!</v>
      </c>
      <c r="BM43" t="e">
        <f>#REF!+"vlM!$GV"</f>
        <v>#REF!</v>
      </c>
      <c r="BN43" t="e">
        <f>#REF!+"vlM!$GW"</f>
        <v>#REF!</v>
      </c>
      <c r="BO43" t="e">
        <f>#REF!+"vlM!$GX"</f>
        <v>#REF!</v>
      </c>
      <c r="BP43" t="e">
        <f>#REF!+"vlM!$GY"</f>
        <v>#REF!</v>
      </c>
      <c r="BQ43" t="e">
        <f>#REF!+"vlM!$GZ"</f>
        <v>#REF!</v>
      </c>
      <c r="BR43" t="e">
        <f>#REF!+"vlM!$G["</f>
        <v>#REF!</v>
      </c>
      <c r="BS43" t="e">
        <f>#REF!+"vlM!$G\"</f>
        <v>#REF!</v>
      </c>
      <c r="BT43" t="e">
        <f>#REF!+"vlM!$G]"</f>
        <v>#REF!</v>
      </c>
      <c r="BU43" t="e">
        <f>#REF!+"vlM!$G^"</f>
        <v>#REF!</v>
      </c>
      <c r="BV43" t="e">
        <f>#REF!+"vlM!$G_"</f>
        <v>#REF!</v>
      </c>
      <c r="BW43" t="e">
        <f>#REF!+"vlM!$G`"</f>
        <v>#REF!</v>
      </c>
      <c r="BX43" t="e">
        <f>#REF!+"vlM!$Ga"</f>
        <v>#REF!</v>
      </c>
      <c r="BY43" t="e">
        <f>#REF!+"vlM!$Gb"</f>
        <v>#REF!</v>
      </c>
      <c r="BZ43" t="e">
        <f>#REF!+"vlM!$Gc"</f>
        <v>#REF!</v>
      </c>
      <c r="CA43" t="e">
        <f>#REF!+"vlM!$Gd"</f>
        <v>#REF!</v>
      </c>
      <c r="CB43" t="e">
        <f>#REF!+"vlM!$Ge"</f>
        <v>#REF!</v>
      </c>
      <c r="CC43" t="e">
        <f>#REF!+"vlM!$Gf"</f>
        <v>#REF!</v>
      </c>
      <c r="CD43" t="e">
        <f>#REF!+"vlM!$Gg"</f>
        <v>#REF!</v>
      </c>
      <c r="CE43" t="e">
        <f>#REF!+"vlM!$Gh"</f>
        <v>#REF!</v>
      </c>
      <c r="CF43" t="e">
        <f>#REF!+"vlM!$Gi"</f>
        <v>#REF!</v>
      </c>
      <c r="CG43" t="e">
        <f>#REF!+"vlM!$Gj"</f>
        <v>#REF!</v>
      </c>
      <c r="CH43" t="e">
        <f>#REF!+"vlM!$Gk"</f>
        <v>#REF!</v>
      </c>
      <c r="CI43" t="e">
        <f>#REF!+"vlM!$Gl"</f>
        <v>#REF!</v>
      </c>
      <c r="CJ43" t="e">
        <f>#REF!+"vlM!$Gm"</f>
        <v>#REF!</v>
      </c>
      <c r="CK43" t="e">
        <f>#REF!+"vlM!$Gn"</f>
        <v>#REF!</v>
      </c>
      <c r="CL43" t="e">
        <f>#REF!+"vlM!$Go"</f>
        <v>#REF!</v>
      </c>
      <c r="CM43" t="e">
        <f>#REF!+"vlM!$Gp"</f>
        <v>#REF!</v>
      </c>
      <c r="CN43" t="e">
        <f>#REF!+"vlM!$Gq"</f>
        <v>#REF!</v>
      </c>
      <c r="CO43" t="e">
        <f>#REF!+"vlM!$Gr"</f>
        <v>#REF!</v>
      </c>
      <c r="CP43" t="e">
        <f>#REF!+"vlM!$Gs"</f>
        <v>#REF!</v>
      </c>
      <c r="CQ43" t="e">
        <f>#REF!+"vlM!$Gt"</f>
        <v>#REF!</v>
      </c>
      <c r="CR43" t="e">
        <f>#REF!+"vlM!$Gu"</f>
        <v>#REF!</v>
      </c>
      <c r="CS43" t="e">
        <f>#REF!+"vlM!$Gv"</f>
        <v>#REF!</v>
      </c>
      <c r="CT43" t="e">
        <f>#REF!+"vlM!$Gw"</f>
        <v>#REF!</v>
      </c>
      <c r="CU43" t="e">
        <f>#REF!+"vlM!$Gx"</f>
        <v>#REF!</v>
      </c>
      <c r="CV43" t="e">
        <f>#REF!+"vlM!$Gy"</f>
        <v>#REF!</v>
      </c>
      <c r="CW43" t="e">
        <f>#REF!+"vlM!$Gz"</f>
        <v>#REF!</v>
      </c>
      <c r="CX43" t="e">
        <f>#REF!+"vlM!$G{"</f>
        <v>#REF!</v>
      </c>
      <c r="CY43" t="e">
        <f>#REF!+"vlM!$G|"</f>
        <v>#REF!</v>
      </c>
      <c r="CZ43" t="e">
        <f>#REF!+"vlM!$G}"</f>
        <v>#REF!</v>
      </c>
      <c r="DA43" t="e">
        <f>#REF!+"vlM!$G~"</f>
        <v>#REF!</v>
      </c>
      <c r="DB43" t="e">
        <f>#REF!+"vlM!$H#"</f>
        <v>#REF!</v>
      </c>
      <c r="DC43" t="e">
        <f>#REF!+"vlM!$H$"</f>
        <v>#REF!</v>
      </c>
      <c r="DD43" t="e">
        <f>#REF!+"vlM!$H%"</f>
        <v>#REF!</v>
      </c>
      <c r="DE43" t="e">
        <f>#REF!+"vlM!$H&amp;"</f>
        <v>#REF!</v>
      </c>
      <c r="DF43" t="e">
        <f>#REF!+"vlM!$H'"</f>
        <v>#REF!</v>
      </c>
      <c r="DG43" t="e">
        <f>#REF!+"vlM!$H("</f>
        <v>#REF!</v>
      </c>
      <c r="DH43" t="e">
        <f>#REF!+"vlM!$H)"</f>
        <v>#REF!</v>
      </c>
      <c r="DI43" t="e">
        <f>#REF!+"vlM!$H."</f>
        <v>#REF!</v>
      </c>
      <c r="DJ43" t="e">
        <f>#REF!+"vlM!$H/"</f>
        <v>#REF!</v>
      </c>
      <c r="DK43" t="e">
        <f>#REF!+"vlM!$H0"</f>
        <v>#REF!</v>
      </c>
      <c r="DL43" t="e">
        <f>#REF!+"vlM!$H1"</f>
        <v>#REF!</v>
      </c>
      <c r="DM43" t="e">
        <f>#REF!+"vlM!$H2"</f>
        <v>#REF!</v>
      </c>
      <c r="DN43" t="e">
        <f>#REF!+"vlM!$H3"</f>
        <v>#REF!</v>
      </c>
      <c r="DO43" t="e">
        <f>#REF!+"vlM!$H4"</f>
        <v>#REF!</v>
      </c>
      <c r="DP43" t="e">
        <f>#REF!+"vlM!$H5"</f>
        <v>#REF!</v>
      </c>
      <c r="DQ43" t="e">
        <f>#REF!+"vlM!$H6"</f>
        <v>#REF!</v>
      </c>
      <c r="DR43" t="e">
        <f>#REF!+"vlM!$H7"</f>
        <v>#REF!</v>
      </c>
      <c r="DS43" t="e">
        <f>#REF!+"vlM!$H8"</f>
        <v>#REF!</v>
      </c>
      <c r="DT43" t="e">
        <f>#REF!+"vlM!$H9"</f>
        <v>#REF!</v>
      </c>
      <c r="DU43" t="e">
        <f>#REF!+"vlM!$H:"</f>
        <v>#REF!</v>
      </c>
      <c r="DV43" t="e">
        <f>#REF!+"vlM!$H;"</f>
        <v>#REF!</v>
      </c>
      <c r="DW43" t="e">
        <f>#REF!+"vlM!$H&lt;"</f>
        <v>#REF!</v>
      </c>
      <c r="DX43" t="e">
        <f>#REF!+"vlM!$H="</f>
        <v>#REF!</v>
      </c>
      <c r="DY43" t="e">
        <f>#REF!+"vlM!$H&gt;"</f>
        <v>#REF!</v>
      </c>
      <c r="DZ43" t="e">
        <f>#REF!+"vlM!$H?"</f>
        <v>#REF!</v>
      </c>
      <c r="EA43" t="e">
        <f>#REF!+"vlM!$H@"</f>
        <v>#REF!</v>
      </c>
      <c r="EB43" t="e">
        <f>#REF!+"vlM!$HA"</f>
        <v>#REF!</v>
      </c>
      <c r="EC43" t="e">
        <f>#REF!+"vlM!$HB"</f>
        <v>#REF!</v>
      </c>
      <c r="ED43" t="e">
        <f>#REF!+"vlM!$HC"</f>
        <v>#REF!</v>
      </c>
      <c r="EE43" t="e">
        <f>#REF!+"vlM!$HD"</f>
        <v>#REF!</v>
      </c>
      <c r="EF43" t="e">
        <f>#REF!+"vlM!$HE"</f>
        <v>#REF!</v>
      </c>
      <c r="EG43" t="e">
        <f>#REF!+"vlM!$HF"</f>
        <v>#REF!</v>
      </c>
      <c r="EH43" t="e">
        <f>#REF!+"vlM!$HG"</f>
        <v>#REF!</v>
      </c>
      <c r="EI43" t="e">
        <f>#REF!+"vlM!$HH"</f>
        <v>#REF!</v>
      </c>
      <c r="EJ43" t="e">
        <f>#REF!+"vlM!$HI"</f>
        <v>#REF!</v>
      </c>
      <c r="EK43" t="e">
        <f>#REF!+"vlM!$HJ"</f>
        <v>#REF!</v>
      </c>
      <c r="EL43" t="e">
        <f>#REF!+"vlM!$HK"</f>
        <v>#REF!</v>
      </c>
      <c r="EM43" t="e">
        <f>#REF!+"vlM!$HL"</f>
        <v>#REF!</v>
      </c>
      <c r="EN43" t="e">
        <f>#REF!+"vlM!$HM"</f>
        <v>#REF!</v>
      </c>
      <c r="EO43" t="e">
        <f>#REF!+"vlM!$HN"</f>
        <v>#REF!</v>
      </c>
      <c r="EP43" t="e">
        <f>#REF!+"vlM!$HO"</f>
        <v>#REF!</v>
      </c>
      <c r="EQ43" t="e">
        <f>#REF!+"vlM!$HP"</f>
        <v>#REF!</v>
      </c>
      <c r="ER43" t="e">
        <f>#REF!+"vlM!$HQ"</f>
        <v>#REF!</v>
      </c>
      <c r="ES43" t="e">
        <f>#REF!+"vlM!$HR"</f>
        <v>#REF!</v>
      </c>
      <c r="ET43" t="e">
        <f>#REF!+"vlM!$HS"</f>
        <v>#REF!</v>
      </c>
      <c r="EU43" t="e">
        <f>#REF!+"vlM!$HT"</f>
        <v>#REF!</v>
      </c>
      <c r="EV43" t="e">
        <f>#REF!+"vlM!$HU"</f>
        <v>#REF!</v>
      </c>
      <c r="EW43" t="e">
        <f>#REF!+"vlM!$HV"</f>
        <v>#REF!</v>
      </c>
      <c r="EX43" t="e">
        <f>#REF!+"vlM!$HW"</f>
        <v>#REF!</v>
      </c>
      <c r="EY43" t="e">
        <f>#REF!+"vlM!$HX"</f>
        <v>#REF!</v>
      </c>
      <c r="EZ43" t="e">
        <f>#REF!+"vlM!$HY"</f>
        <v>#REF!</v>
      </c>
      <c r="FA43" t="e">
        <f>#REF!+"vlM!$HZ"</f>
        <v>#REF!</v>
      </c>
      <c r="FB43" t="e">
        <f>#REF!+"vlM!$H["</f>
        <v>#REF!</v>
      </c>
      <c r="FC43" t="e">
        <f>#REF!+"vlM!$H\"</f>
        <v>#REF!</v>
      </c>
      <c r="FD43" t="e">
        <f>#REF!+"vlM!$H]"</f>
        <v>#REF!</v>
      </c>
      <c r="FE43" t="e">
        <f>#REF!+"vlM!$H^"</f>
        <v>#REF!</v>
      </c>
      <c r="FF43" t="e">
        <f>#REF!+"vlM!$H_"</f>
        <v>#REF!</v>
      </c>
      <c r="FG43" t="e">
        <f>#REF!+"vlM!$H`"</f>
        <v>#REF!</v>
      </c>
      <c r="FH43" t="e">
        <f>#REF!+"vlM!$Ha"</f>
        <v>#REF!</v>
      </c>
      <c r="FI43" t="e">
        <f>#REF!+"vlM!$Hb"</f>
        <v>#REF!</v>
      </c>
      <c r="FJ43" t="e">
        <f>#REF!+"vlM!$Hc"</f>
        <v>#REF!</v>
      </c>
      <c r="FK43" t="e">
        <f>#REF!+"vlM!$Hd"</f>
        <v>#REF!</v>
      </c>
      <c r="FL43" t="e">
        <f>#REF!+"vlM!$He"</f>
        <v>#REF!</v>
      </c>
      <c r="FM43" t="e">
        <f>#REF!+"vlM!$Hf"</f>
        <v>#REF!</v>
      </c>
      <c r="FN43" t="e">
        <f>#REF!+"vlM!$Hg"</f>
        <v>#REF!</v>
      </c>
      <c r="FO43" t="e">
        <f>#REF!+"vlM!$Hh"</f>
        <v>#REF!</v>
      </c>
      <c r="FP43" t="e">
        <f>#REF!+"vlM!$Hi"</f>
        <v>#REF!</v>
      </c>
      <c r="FQ43" t="e">
        <f>#REF!+"vlM!$Hj"</f>
        <v>#REF!</v>
      </c>
      <c r="FR43" t="e">
        <f>#REF!+"vlM!$Hk"</f>
        <v>#REF!</v>
      </c>
      <c r="FS43" t="e">
        <f>#REF!+"vlM!$Hl"</f>
        <v>#REF!</v>
      </c>
      <c r="FT43" t="e">
        <f>#REF!+"vlM!$Hm"</f>
        <v>#REF!</v>
      </c>
      <c r="FU43" t="e">
        <f>#REF!+"vlM!$Hn"</f>
        <v>#REF!</v>
      </c>
      <c r="FV43" t="e">
        <f>#REF!+"vlM!$Ho"</f>
        <v>#REF!</v>
      </c>
      <c r="FW43" t="e">
        <f>#REF!+"vlM!$Hp"</f>
        <v>#REF!</v>
      </c>
      <c r="FX43" t="e">
        <f>#REF!+"vlM!$Hq"</f>
        <v>#REF!</v>
      </c>
      <c r="FY43" t="e">
        <f>#REF!+"vlM!$Hr"</f>
        <v>#REF!</v>
      </c>
      <c r="FZ43" t="e">
        <f>#REF!+"vlM!$Hs"</f>
        <v>#REF!</v>
      </c>
      <c r="GA43" t="e">
        <f>#REF!+"vlM!$Ht"</f>
        <v>#REF!</v>
      </c>
      <c r="GB43" t="e">
        <f>#REF!+"vlM!$Hu"</f>
        <v>#REF!</v>
      </c>
      <c r="GC43" t="e">
        <f>#REF!+"vlM!$Hv"</f>
        <v>#REF!</v>
      </c>
      <c r="GD43" t="e">
        <f>#REF!+"vlM!$Hw"</f>
        <v>#REF!</v>
      </c>
      <c r="GE43" t="e">
        <f>#REF!+"vlM!$Hx"</f>
        <v>#REF!</v>
      </c>
      <c r="GF43" t="e">
        <f>#REF!+"vlM!$Hy"</f>
        <v>#REF!</v>
      </c>
      <c r="GG43" t="e">
        <f>#REF!+"vlM!$Hz"</f>
        <v>#REF!</v>
      </c>
      <c r="GH43" t="e">
        <f>#REF!+"vlM!$H{"</f>
        <v>#REF!</v>
      </c>
      <c r="GI43" t="e">
        <f>#REF!+"vlM!$H|"</f>
        <v>#REF!</v>
      </c>
      <c r="GJ43" t="e">
        <f>#REF!+"vlM!$H}"</f>
        <v>#REF!</v>
      </c>
      <c r="GK43" t="e">
        <f>#REF!+"vlM!$H~"</f>
        <v>#REF!</v>
      </c>
      <c r="GL43" t="e">
        <f>#REF!+"vlM!$I#"</f>
        <v>#REF!</v>
      </c>
      <c r="GM43" t="e">
        <f>#REF!+"vlM!$I$"</f>
        <v>#REF!</v>
      </c>
      <c r="GN43" t="e">
        <f>#REF!+"vlM!$I%"</f>
        <v>#REF!</v>
      </c>
      <c r="GO43" t="e">
        <f>#REF!+"vlM!$I&amp;"</f>
        <v>#REF!</v>
      </c>
      <c r="GP43" t="e">
        <f>#REF!+"vlM!$I'"</f>
        <v>#REF!</v>
      </c>
      <c r="GQ43" t="e">
        <f>#REF!+"vlM!$I("</f>
        <v>#REF!</v>
      </c>
      <c r="GR43" t="e">
        <f>#REF!+"vlM!$I)"</f>
        <v>#REF!</v>
      </c>
      <c r="GS43" t="e">
        <f>#REF!+"vlM!$I."</f>
        <v>#REF!</v>
      </c>
      <c r="GT43" t="e">
        <f>#REF!+"vlM!$I/"</f>
        <v>#REF!</v>
      </c>
      <c r="GU43" t="e">
        <f>#REF!+"vlM!$I0"</f>
        <v>#REF!</v>
      </c>
      <c r="GV43" t="e">
        <f>#REF!+"vlM!$I1"</f>
        <v>#REF!</v>
      </c>
      <c r="GW43" t="e">
        <f>#REF!+"vlM!$I2"</f>
        <v>#REF!</v>
      </c>
      <c r="GX43" t="e">
        <f>#REF!+"vlM!$I3"</f>
        <v>#REF!</v>
      </c>
      <c r="GY43" t="e">
        <f>#REF!+"vlM!$I4"</f>
        <v>#REF!</v>
      </c>
      <c r="GZ43" t="e">
        <f>#REF!+"vlM!$I5"</f>
        <v>#REF!</v>
      </c>
      <c r="HA43" t="e">
        <f>#REF!+"vlM!$I6"</f>
        <v>#REF!</v>
      </c>
      <c r="HB43" t="e">
        <f>#REF!+"vlM!$I7"</f>
        <v>#REF!</v>
      </c>
      <c r="HC43" t="e">
        <f>#REF!+"vlM!$I8"</f>
        <v>#REF!</v>
      </c>
      <c r="HD43" t="e">
        <f>#REF!+"vlM!$I9"</f>
        <v>#REF!</v>
      </c>
      <c r="HE43" t="e">
        <f>#REF!+"vlM!$I:"</f>
        <v>#REF!</v>
      </c>
      <c r="HF43" t="e">
        <f>#REF!+"vlM!$I;"</f>
        <v>#REF!</v>
      </c>
      <c r="HG43" t="e">
        <f>#REF!+"vlM!$I&lt;"</f>
        <v>#REF!</v>
      </c>
      <c r="HH43" t="e">
        <f>#REF!+"vlM!$I="</f>
        <v>#REF!</v>
      </c>
      <c r="HI43" t="e">
        <f>#REF!+"vlM!$I&gt;"</f>
        <v>#REF!</v>
      </c>
      <c r="HJ43" t="e">
        <f>#REF!+"vlM!$I?"</f>
        <v>#REF!</v>
      </c>
      <c r="HK43" t="e">
        <f>#REF!+"vlM!$I@"</f>
        <v>#REF!</v>
      </c>
      <c r="HL43" t="e">
        <f>#REF!+"vlM!$IA"</f>
        <v>#REF!</v>
      </c>
      <c r="HM43" t="e">
        <f>#REF!+"vlM!$IB"</f>
        <v>#REF!</v>
      </c>
      <c r="HN43" t="e">
        <f>#REF!+"vlM!$IC"</f>
        <v>#REF!</v>
      </c>
      <c r="HO43" t="e">
        <f>#REF!+"vlM!$ID"</f>
        <v>#REF!</v>
      </c>
      <c r="HP43" t="e">
        <f>#REF!+"vlM!$IE"</f>
        <v>#REF!</v>
      </c>
      <c r="HQ43" t="e">
        <f>#REF!+"vlM!$IF"</f>
        <v>#REF!</v>
      </c>
      <c r="HR43" t="e">
        <f>#REF!+"vlM!$IG"</f>
        <v>#REF!</v>
      </c>
      <c r="HS43" t="e">
        <f>#REF!+"vlM!$IH"</f>
        <v>#REF!</v>
      </c>
      <c r="HT43" t="e">
        <f>#REF!+"vlM!$II"</f>
        <v>#REF!</v>
      </c>
      <c r="HU43" t="e">
        <f>#REF!+"vlM!$IJ"</f>
        <v>#REF!</v>
      </c>
      <c r="HV43" t="e">
        <f>#REF!+"vlM!$IK"</f>
        <v>#REF!</v>
      </c>
      <c r="HW43" t="e">
        <f>#REF!+"vlM!$IL"</f>
        <v>#REF!</v>
      </c>
      <c r="HX43" t="e">
        <f>#REF!+"vlM!$IM"</f>
        <v>#REF!</v>
      </c>
      <c r="HY43" t="e">
        <f>#REF!+"vlM!$IN"</f>
        <v>#REF!</v>
      </c>
      <c r="HZ43" t="e">
        <f>#REF!+"vlM!$IO"</f>
        <v>#REF!</v>
      </c>
      <c r="IA43" t="e">
        <f>#REF!+"vlM!$IP"</f>
        <v>#REF!</v>
      </c>
      <c r="IB43" t="e">
        <f>#REF!+"vlM!$IQ"</f>
        <v>#REF!</v>
      </c>
      <c r="IC43" t="e">
        <f>#REF!+"vlM!$IR"</f>
        <v>#REF!</v>
      </c>
      <c r="ID43" t="e">
        <f>#REF!+"vlM!$IS"</f>
        <v>#REF!</v>
      </c>
      <c r="IE43" t="e">
        <f>#REF!+"vlM!$IT"</f>
        <v>#REF!</v>
      </c>
      <c r="IF43" t="e">
        <f>#REF!+"vlM!$IU"</f>
        <v>#REF!</v>
      </c>
      <c r="IG43" t="e">
        <f>#REF!+"vlM!$IV"</f>
        <v>#REF!</v>
      </c>
      <c r="IH43" t="e">
        <f>#REF!+"vlM!$IW"</f>
        <v>#REF!</v>
      </c>
      <c r="II43" t="e">
        <f>#REF!+"vlM!$IX"</f>
        <v>#REF!</v>
      </c>
      <c r="IJ43" t="e">
        <f>#REF!+"vlM!$IY"</f>
        <v>#REF!</v>
      </c>
      <c r="IK43" t="e">
        <f>#REF!+"vlM!$IZ"</f>
        <v>#REF!</v>
      </c>
      <c r="IL43" t="e">
        <f>#REF!+"vlM!$I["</f>
        <v>#REF!</v>
      </c>
      <c r="IM43" t="e">
        <f>#REF!+"vlM!$I\"</f>
        <v>#REF!</v>
      </c>
      <c r="IN43" t="e">
        <f>#REF!+"vlM!$I]"</f>
        <v>#REF!</v>
      </c>
      <c r="IO43" t="e">
        <f>#REF!+"vlM!$I^"</f>
        <v>#REF!</v>
      </c>
      <c r="IP43" t="e">
        <f>#REF!+"vlM!$I_"</f>
        <v>#REF!</v>
      </c>
      <c r="IQ43" t="e">
        <f>#REF!+"vlM!$I`"</f>
        <v>#REF!</v>
      </c>
      <c r="IR43" t="e">
        <f>#REF!+"vlM!$Ia"</f>
        <v>#REF!</v>
      </c>
      <c r="IS43" t="e">
        <f>#REF!+"vlM!$Ib"</f>
        <v>#REF!</v>
      </c>
      <c r="IT43" t="e">
        <f>#REF!+"vlM!$Ic"</f>
        <v>#REF!</v>
      </c>
      <c r="IU43" t="e">
        <f>#REF!+"vlM!$Id"</f>
        <v>#REF!</v>
      </c>
      <c r="IV43" t="e">
        <f>#REF!+"vlM!$Ie"</f>
        <v>#REF!</v>
      </c>
    </row>
    <row r="44" spans="6:256" x14ac:dyDescent="0.25">
      <c r="F44" t="e">
        <f>#REF!+"vlM!$If"</f>
        <v>#REF!</v>
      </c>
      <c r="G44" t="e">
        <f>#REF!+"vlM!$Ig"</f>
        <v>#REF!</v>
      </c>
      <c r="H44" t="e">
        <f>#REF!+"vlM!$Ih"</f>
        <v>#REF!</v>
      </c>
      <c r="I44" t="e">
        <f>#REF!+"vlM!$Ii"</f>
        <v>#REF!</v>
      </c>
      <c r="J44" t="e">
        <f>#REF!+"vlM!$Ij"</f>
        <v>#REF!</v>
      </c>
      <c r="K44" t="e">
        <f>#REF!+"vlM!$Ik"</f>
        <v>#REF!</v>
      </c>
      <c r="L44" t="e">
        <f>#REF!+"vlM!$Il"</f>
        <v>#REF!</v>
      </c>
      <c r="M44" t="e">
        <f>#REF!+"vlM!$Im"</f>
        <v>#REF!</v>
      </c>
      <c r="N44" t="e">
        <f>#REF!+"vlM!$In"</f>
        <v>#REF!</v>
      </c>
      <c r="O44" t="e">
        <f>#REF!+"vlM!$Io"</f>
        <v>#REF!</v>
      </c>
      <c r="P44" t="e">
        <f>#REF!+"vlM!$Ip"</f>
        <v>#REF!</v>
      </c>
      <c r="Q44" t="e">
        <f>#REF!+"vlM!$Iq"</f>
        <v>#REF!</v>
      </c>
      <c r="R44" t="e">
        <f>#REF!+"vlM!$Ir"</f>
        <v>#REF!</v>
      </c>
      <c r="S44" t="e">
        <f>#REF!+"vlM!$Is"</f>
        <v>#REF!</v>
      </c>
      <c r="T44" t="e">
        <f>#REF!+"vlM!$It"</f>
        <v>#REF!</v>
      </c>
      <c r="U44" t="e">
        <f>#REF!+"vlM!$Iu"</f>
        <v>#REF!</v>
      </c>
      <c r="V44" t="e">
        <f>#REF!+"vlM!$Iv"</f>
        <v>#REF!</v>
      </c>
      <c r="W44" t="e">
        <f>#REF!+"vlM!$Iw"</f>
        <v>#REF!</v>
      </c>
      <c r="X44" t="e">
        <f>#REF!+"vlM!$Ix"</f>
        <v>#REF!</v>
      </c>
      <c r="Y44" t="e">
        <f>#REF!+"vlM!$Iy"</f>
        <v>#REF!</v>
      </c>
      <c r="Z44" t="e">
        <f>#REF!+"vlM!$Iz"</f>
        <v>#REF!</v>
      </c>
      <c r="AA44" t="e">
        <f>#REF!+"vlM!$I{"</f>
        <v>#REF!</v>
      </c>
      <c r="AB44" t="e">
        <f>#REF!+"vlM!$I|"</f>
        <v>#REF!</v>
      </c>
      <c r="AC44" t="e">
        <f>#REF!+"vlM!$I}"</f>
        <v>#REF!</v>
      </c>
      <c r="AD44" t="e">
        <f>#REF!+"vlM!$I~"</f>
        <v>#REF!</v>
      </c>
      <c r="AE44" t="e">
        <f>#REF!+"vlM!$J#"</f>
        <v>#REF!</v>
      </c>
      <c r="AF44" t="e">
        <f>#REF!+"vlM!$J$"</f>
        <v>#REF!</v>
      </c>
      <c r="AG44" t="e">
        <f>#REF!+"vlM!$J%"</f>
        <v>#REF!</v>
      </c>
      <c r="AH44" t="e">
        <f>#REF!+"vlM!$J&amp;"</f>
        <v>#REF!</v>
      </c>
      <c r="AI44" t="e">
        <f>#REF!+"vlM!$J'"</f>
        <v>#REF!</v>
      </c>
      <c r="AJ44" t="e">
        <f>#REF!+"vlM!$J("</f>
        <v>#REF!</v>
      </c>
      <c r="AK44" t="e">
        <f>#REF!+"vlM!$J)"</f>
        <v>#REF!</v>
      </c>
      <c r="AL44" t="e">
        <f>#REF!+"vlM!$J."</f>
        <v>#REF!</v>
      </c>
      <c r="AM44" t="e">
        <f>#REF!+"vlM!$J/"</f>
        <v>#REF!</v>
      </c>
      <c r="AN44" t="e">
        <f>#REF!+"vlM!$J0"</f>
        <v>#REF!</v>
      </c>
      <c r="AO44" t="e">
        <f>#REF!+"vlM!$J1"</f>
        <v>#REF!</v>
      </c>
      <c r="AP44" t="e">
        <f>#REF!+"vlM!$J2"</f>
        <v>#REF!</v>
      </c>
      <c r="AQ44" t="e">
        <f>#REF!+"vlM!$J3"</f>
        <v>#REF!</v>
      </c>
      <c r="AR44" t="e">
        <f>#REF!+"vlM!$J4"</f>
        <v>#REF!</v>
      </c>
      <c r="AS44" t="e">
        <f>#REF!+"vlM!$J5"</f>
        <v>#REF!</v>
      </c>
      <c r="AT44" t="e">
        <f>#REF!+"vlM!$J6"</f>
        <v>#REF!</v>
      </c>
      <c r="AU44" t="e">
        <f>#REF!+"vlM!$J7"</f>
        <v>#REF!</v>
      </c>
      <c r="AV44" t="e">
        <f>#REF!+"vlM!$J8"</f>
        <v>#REF!</v>
      </c>
      <c r="AW44" t="e">
        <f>#REF!+"vlM!$J9"</f>
        <v>#REF!</v>
      </c>
      <c r="AX44" t="e">
        <f>#REF!+"vlM!$J:"</f>
        <v>#REF!</v>
      </c>
      <c r="AY44" t="e">
        <f>#REF!+"vlM!$J;"</f>
        <v>#REF!</v>
      </c>
      <c r="AZ44" t="e">
        <f>#REF!+"vlM!$J&lt;"</f>
        <v>#REF!</v>
      </c>
      <c r="BA44" t="e">
        <f>#REF!+"vlM!$J="</f>
        <v>#REF!</v>
      </c>
      <c r="BB44" t="e">
        <f>#REF!+"vlM!$J&gt;"</f>
        <v>#REF!</v>
      </c>
      <c r="BC44" t="e">
        <f>#REF!+"vlM!$J?"</f>
        <v>#REF!</v>
      </c>
      <c r="BD44" t="e">
        <f>#REF!+"vlM!$J@"</f>
        <v>#REF!</v>
      </c>
      <c r="BE44" t="e">
        <f>#REF!+"vlM!$JA"</f>
        <v>#REF!</v>
      </c>
      <c r="BF44" t="e">
        <f>#REF!+"vlM!$JB"</f>
        <v>#REF!</v>
      </c>
      <c r="BG44" t="e">
        <f>#REF!+"vlM!$JC"</f>
        <v>#REF!</v>
      </c>
      <c r="BH44" t="e">
        <f>#REF!+"vlM!$JD"</f>
        <v>#REF!</v>
      </c>
      <c r="BI44" t="e">
        <f>#REF!+"vlM!$JE"</f>
        <v>#REF!</v>
      </c>
      <c r="BJ44" t="e">
        <f>#REF!+"vlM!$JF"</f>
        <v>#REF!</v>
      </c>
      <c r="BK44" t="e">
        <f>#REF!+"vlM!$JG"</f>
        <v>#REF!</v>
      </c>
      <c r="BL44" t="e">
        <f>#REF!+"vlM!$JH"</f>
        <v>#REF!</v>
      </c>
      <c r="BM44" t="e">
        <f>#REF!+"vlM!$JI"</f>
        <v>#REF!</v>
      </c>
      <c r="BN44" t="e">
        <f>#REF!+"vlM!$JJ"</f>
        <v>#REF!</v>
      </c>
      <c r="BO44" t="e">
        <f>#REF!+"vlM!$JK"</f>
        <v>#REF!</v>
      </c>
      <c r="BP44" t="e">
        <f>#REF!+"vlM!$JL"</f>
        <v>#REF!</v>
      </c>
      <c r="BQ44" t="e">
        <f>#REF!+"vlM!$JM"</f>
        <v>#REF!</v>
      </c>
      <c r="BR44" t="e">
        <f>#REF!+"vlM!$JN"</f>
        <v>#REF!</v>
      </c>
      <c r="BS44" t="e">
        <f>#REF!+"vlM!$JO"</f>
        <v>#REF!</v>
      </c>
      <c r="BT44" t="e">
        <f>#REF!+"vlM!$JP"</f>
        <v>#REF!</v>
      </c>
      <c r="BU44" t="e">
        <f>#REF!+"vlM!$JQ"</f>
        <v>#REF!</v>
      </c>
      <c r="BV44" t="e">
        <f>#REF!+"vlM!$JR"</f>
        <v>#REF!</v>
      </c>
      <c r="BW44" t="e">
        <f>#REF!+"vlM!$JS"</f>
        <v>#REF!</v>
      </c>
      <c r="BX44" t="e">
        <f>#REF!+"vlM!$JT"</f>
        <v>#REF!</v>
      </c>
      <c r="BY44" t="e">
        <f>#REF!+"vlM!$JU"</f>
        <v>#REF!</v>
      </c>
      <c r="BZ44" t="e">
        <f>#REF!+"vlM!$JV"</f>
        <v>#REF!</v>
      </c>
      <c r="CA44" t="e">
        <f>#REF!+"vlM!$JW"</f>
        <v>#REF!</v>
      </c>
      <c r="CB44" t="e">
        <f>#REF!+"vlM!$JX"</f>
        <v>#REF!</v>
      </c>
      <c r="CC44" t="e">
        <f>#REF!+"vlM!$JY"</f>
        <v>#REF!</v>
      </c>
      <c r="CD44" t="e">
        <f>#REF!+"vlM!$JZ"</f>
        <v>#REF!</v>
      </c>
      <c r="CE44" t="e">
        <f>#REF!+"vlM!$J["</f>
        <v>#REF!</v>
      </c>
      <c r="CF44" t="e">
        <f>#REF!+"vlM!$J\"</f>
        <v>#REF!</v>
      </c>
      <c r="CG44" t="e">
        <f>#REF!+"vlM!$J]"</f>
        <v>#REF!</v>
      </c>
      <c r="CH44" t="e">
        <f>#REF!+"vlM!$J^"</f>
        <v>#REF!</v>
      </c>
      <c r="CI44" t="e">
        <f>#REF!+"vlM!$J_"</f>
        <v>#REF!</v>
      </c>
      <c r="CJ44" t="e">
        <f>#REF!+"vlM!$J`"</f>
        <v>#REF!</v>
      </c>
      <c r="CK44" t="e">
        <f>#REF!+"vlM!$Ja"</f>
        <v>#REF!</v>
      </c>
      <c r="CL44" t="e">
        <f>#REF!+"vlM!$Jb"</f>
        <v>#REF!</v>
      </c>
      <c r="CM44" t="e">
        <f>#REF!+"vlM!$Jc"</f>
        <v>#REF!</v>
      </c>
      <c r="CN44" t="e">
        <f>#REF!+"vlM!$Jd"</f>
        <v>#REF!</v>
      </c>
      <c r="CO44" t="e">
        <f>#REF!+"vlM!$Je"</f>
        <v>#REF!</v>
      </c>
      <c r="CP44" t="e">
        <f>#REF!+"vlM!$Jf"</f>
        <v>#REF!</v>
      </c>
      <c r="CQ44" t="e">
        <f>#REF!+"vlM!$Jg"</f>
        <v>#REF!</v>
      </c>
      <c r="CR44" t="e">
        <f>#REF!+"vlM!$Jh"</f>
        <v>#REF!</v>
      </c>
      <c r="CS44" t="e">
        <f>#REF!+"vlM!$Ji"</f>
        <v>#REF!</v>
      </c>
      <c r="CT44" t="e">
        <f>#REF!+"vlM!$Jj"</f>
        <v>#REF!</v>
      </c>
      <c r="CU44" t="e">
        <f>#REF!+"vlM!$Jk"</f>
        <v>#REF!</v>
      </c>
      <c r="CV44" t="e">
        <f>#REF!+"vlM!$Jl"</f>
        <v>#REF!</v>
      </c>
      <c r="CW44" t="e">
        <f>#REF!+"vlM!$Jm"</f>
        <v>#REF!</v>
      </c>
      <c r="CX44" t="e">
        <f>#REF!+"vlM!$Jn"</f>
        <v>#REF!</v>
      </c>
      <c r="CY44" t="e">
        <f>#REF!+"vlM!$Jo"</f>
        <v>#REF!</v>
      </c>
      <c r="CZ44" t="e">
        <f>#REF!+"vlM!$Jp"</f>
        <v>#REF!</v>
      </c>
      <c r="DA44" t="e">
        <f>#REF!+"vlM!$Jq"</f>
        <v>#REF!</v>
      </c>
      <c r="DB44" t="e">
        <f>#REF!+"vlM!$Jr"</f>
        <v>#REF!</v>
      </c>
      <c r="DC44" t="e">
        <f>#REF!+"vlM!$Js"</f>
        <v>#REF!</v>
      </c>
      <c r="DD44" t="e">
        <f>#REF!+"vlM!$Jt"</f>
        <v>#REF!</v>
      </c>
      <c r="DE44" t="e">
        <f>#REF!+"vlM!$Ju"</f>
        <v>#REF!</v>
      </c>
      <c r="DF44" t="e">
        <f>#REF!+"vlM!$Jv"</f>
        <v>#REF!</v>
      </c>
      <c r="DG44" t="e">
        <f>#REF!+"vlM!$Jw"</f>
        <v>#REF!</v>
      </c>
      <c r="DH44" t="e">
        <f>#REF!+"vlM!$Jx"</f>
        <v>#REF!</v>
      </c>
      <c r="DI44" t="e">
        <f>#REF!+"vlM!$Jy"</f>
        <v>#REF!</v>
      </c>
      <c r="DJ44" t="e">
        <f>#REF!+"vlM!$Jz"</f>
        <v>#REF!</v>
      </c>
      <c r="DK44" t="e">
        <f>#REF!+"vlM!$J{"</f>
        <v>#REF!</v>
      </c>
      <c r="DL44" t="e">
        <f>#REF!+"vlM!$J|"</f>
        <v>#REF!</v>
      </c>
      <c r="DM44" t="e">
        <f>#REF!+"vlM!$J}"</f>
        <v>#REF!</v>
      </c>
      <c r="DN44" t="e">
        <f>#REF!+"vlM!$J~"</f>
        <v>#REF!</v>
      </c>
      <c r="DO44" t="e">
        <f>#REF!+"vlM!$K#"</f>
        <v>#REF!</v>
      </c>
      <c r="DP44" t="e">
        <f>#REF!+"vlM!$K$"</f>
        <v>#REF!</v>
      </c>
      <c r="DQ44" t="e">
        <f>#REF!+"vlM!$K%"</f>
        <v>#REF!</v>
      </c>
      <c r="DR44" t="e">
        <f>#REF!+"vlM!$K&amp;"</f>
        <v>#REF!</v>
      </c>
      <c r="DS44" t="e">
        <f>#REF!+"vlM!$K'"</f>
        <v>#REF!</v>
      </c>
      <c r="DT44" t="e">
        <f>#REF!+"vlM!$K("</f>
        <v>#REF!</v>
      </c>
      <c r="DU44" t="e">
        <f>#REF!+"vlM!$K)"</f>
        <v>#REF!</v>
      </c>
      <c r="DV44" t="e">
        <f>#REF!+"vlM!$K."</f>
        <v>#REF!</v>
      </c>
      <c r="DW44" t="e">
        <f>#REF!+"vlM!$K/"</f>
        <v>#REF!</v>
      </c>
      <c r="DX44" t="e">
        <f>#REF!+"vlM!$K0"</f>
        <v>#REF!</v>
      </c>
      <c r="DY44" t="e">
        <f>#REF!+"vlM!$K1"</f>
        <v>#REF!</v>
      </c>
      <c r="DZ44" t="e">
        <f>#REF!+"vlM!$K2"</f>
        <v>#REF!</v>
      </c>
      <c r="EA44" t="e">
        <f>#REF!+"vlM!$K3"</f>
        <v>#REF!</v>
      </c>
      <c r="EB44" t="e">
        <f>#REF!+"vlM!$K4"</f>
        <v>#REF!</v>
      </c>
      <c r="EC44" t="e">
        <f>#REF!+"vlM!$K5"</f>
        <v>#REF!</v>
      </c>
      <c r="ED44" t="e">
        <f>#REF!+"vlM!$K6"</f>
        <v>#REF!</v>
      </c>
      <c r="EE44" t="e">
        <f>#REF!+"vlM!$K7"</f>
        <v>#REF!</v>
      </c>
      <c r="EF44" t="e">
        <f>#REF!+"vlM!$K8"</f>
        <v>#REF!</v>
      </c>
      <c r="EG44" t="e">
        <f>#REF!+"vlM!$K9"</f>
        <v>#REF!</v>
      </c>
      <c r="EH44" t="e">
        <f>#REF!+"vlM!$K:"</f>
        <v>#REF!</v>
      </c>
      <c r="EI44" t="e">
        <f>#REF!+"vlM!$K;"</f>
        <v>#REF!</v>
      </c>
      <c r="EJ44" t="e">
        <f>#REF!+"vlM!$K&lt;"</f>
        <v>#REF!</v>
      </c>
      <c r="EK44" t="e">
        <f>#REF!+"vlM!$K="</f>
        <v>#REF!</v>
      </c>
      <c r="EL44" t="e">
        <f>#REF!+"vlM!$K&gt;"</f>
        <v>#REF!</v>
      </c>
      <c r="EM44" t="e">
        <f>#REF!+"vlM!$K?"</f>
        <v>#REF!</v>
      </c>
      <c r="EN44" t="e">
        <f>#REF!+"vlM!$K@"</f>
        <v>#REF!</v>
      </c>
      <c r="EO44" t="e">
        <f>#REF!+"vlM!$KA"</f>
        <v>#REF!</v>
      </c>
      <c r="EP44" t="e">
        <f>#REF!+"vlM!$KB"</f>
        <v>#REF!</v>
      </c>
      <c r="EQ44" t="e">
        <f>#REF!+"vlM!$KC"</f>
        <v>#REF!</v>
      </c>
      <c r="ER44" t="e">
        <f>#REF!+"vlM!$KD"</f>
        <v>#REF!</v>
      </c>
      <c r="ES44" t="e">
        <f>#REF!+"vlM!$KE"</f>
        <v>#REF!</v>
      </c>
      <c r="ET44" t="e">
        <f>#REF!+"vlM!$KF"</f>
        <v>#REF!</v>
      </c>
      <c r="EU44" t="e">
        <f>#REF!+"vlM!$KG"</f>
        <v>#REF!</v>
      </c>
      <c r="EV44" t="e">
        <f>#REF!+"vlM!$KH"</f>
        <v>#REF!</v>
      </c>
      <c r="EW44" t="e">
        <f>#REF!+"vlM!$KI"</f>
        <v>#REF!</v>
      </c>
      <c r="EX44" t="e">
        <f>#REF!+"vlM!$KJ"</f>
        <v>#REF!</v>
      </c>
      <c r="EY44" t="e">
        <f>#REF!+"vlM!$KK"</f>
        <v>#REF!</v>
      </c>
      <c r="EZ44" t="e">
        <f>#REF!+"vlM!$KL"</f>
        <v>#REF!</v>
      </c>
      <c r="FA44" t="e">
        <f>#REF!+"vlM!$KM"</f>
        <v>#REF!</v>
      </c>
      <c r="FB44" t="e">
        <f>#REF!+"vlM!$KN"</f>
        <v>#REF!</v>
      </c>
      <c r="FC44" t="e">
        <f>#REF!+"vlM!$KO"</f>
        <v>#REF!</v>
      </c>
      <c r="FD44" t="e">
        <f>#REF!+"vlM!$KP"</f>
        <v>#REF!</v>
      </c>
      <c r="FE44" t="e">
        <f>#REF!+"vlM!$KQ"</f>
        <v>#REF!</v>
      </c>
      <c r="FF44" t="e">
        <f>#REF!+"vlM!$KR"</f>
        <v>#REF!</v>
      </c>
      <c r="FG44" t="e">
        <f>#REF!+"vlM!$KS"</f>
        <v>#REF!</v>
      </c>
      <c r="FH44" t="e">
        <f>#REF!+"vlM!$KT"</f>
        <v>#REF!</v>
      </c>
      <c r="FI44" t="e">
        <f>#REF!+"vlM!$KU"</f>
        <v>#REF!</v>
      </c>
      <c r="FJ44" t="e">
        <f>#REF!+"vlM!$KV"</f>
        <v>#REF!</v>
      </c>
      <c r="FK44" t="e">
        <f>#REF!+"vlM!$KW"</f>
        <v>#REF!</v>
      </c>
      <c r="FL44" t="e">
        <f>#REF!+"vlM!$KX"</f>
        <v>#REF!</v>
      </c>
      <c r="FM44" t="e">
        <f>#REF!+"vlM!$KY"</f>
        <v>#REF!</v>
      </c>
      <c r="FN44" t="e">
        <f>#REF!+"vlM!$KZ"</f>
        <v>#REF!</v>
      </c>
      <c r="FO44" t="e">
        <f>#REF!+"vlM!$K["</f>
        <v>#REF!</v>
      </c>
      <c r="FP44" t="e">
        <f>#REF!+"vlM!$K\"</f>
        <v>#REF!</v>
      </c>
      <c r="FQ44" t="e">
        <f>#REF!+"vlM!$K]"</f>
        <v>#REF!</v>
      </c>
      <c r="FR44" t="e">
        <f>#REF!+"vlM!$K^"</f>
        <v>#REF!</v>
      </c>
      <c r="FS44" t="e">
        <f>#REF!+"vlM!$K_"</f>
        <v>#REF!</v>
      </c>
      <c r="FT44" t="e">
        <f>#REF!+"vlM!$K`"</f>
        <v>#REF!</v>
      </c>
      <c r="FU44" t="e">
        <f>#REF!+"vlM!$Ka"</f>
        <v>#REF!</v>
      </c>
      <c r="FV44" t="e">
        <f>#REF!+"vlM!$Kb"</f>
        <v>#REF!</v>
      </c>
      <c r="FW44" t="e">
        <f>#REF!+"vlM!$Kc"</f>
        <v>#REF!</v>
      </c>
      <c r="FX44" t="e">
        <f>#REF!+"vlM!$Kd"</f>
        <v>#REF!</v>
      </c>
      <c r="FY44" t="e">
        <f>#REF!+"vlM!$Ke"</f>
        <v>#REF!</v>
      </c>
      <c r="FZ44" t="e">
        <f>#REF!+"vlM!$Kf"</f>
        <v>#REF!</v>
      </c>
      <c r="GA44" t="e">
        <f>#REF!+"vlM!$Kg"</f>
        <v>#REF!</v>
      </c>
      <c r="GB44" t="e">
        <f>#REF!+"vlM!$Kh"</f>
        <v>#REF!</v>
      </c>
      <c r="GC44" t="e">
        <f>#REF!+"vlM!$Ki"</f>
        <v>#REF!</v>
      </c>
      <c r="GD44" t="e">
        <f>#REF!+"vlM!$Kj"</f>
        <v>#REF!</v>
      </c>
      <c r="GE44" t="e">
        <f>#REF!+"vlM!$Kk"</f>
        <v>#REF!</v>
      </c>
      <c r="GF44" t="e">
        <f>#REF!+"vlM!$Kl"</f>
        <v>#REF!</v>
      </c>
      <c r="GG44" t="e">
        <f>#REF!+"vlM!$Km"</f>
        <v>#REF!</v>
      </c>
      <c r="GH44" t="e">
        <f>#REF!+"vlM!$Kn"</f>
        <v>#REF!</v>
      </c>
      <c r="GI44" t="e">
        <f>#REF!+"vlM!$Ko"</f>
        <v>#REF!</v>
      </c>
      <c r="GJ44" t="e">
        <f>#REF!+"vlM!$Kp"</f>
        <v>#REF!</v>
      </c>
      <c r="GK44" t="e">
        <f>#REF!+"vlM!$Kq"</f>
        <v>#REF!</v>
      </c>
      <c r="GL44" t="e">
        <f>#REF!+"vlM!$Kr"</f>
        <v>#REF!</v>
      </c>
      <c r="GM44" t="e">
        <f>#REF!+"vlM!$Ks"</f>
        <v>#REF!</v>
      </c>
      <c r="GN44" t="e">
        <f>#REF!+"vlM!$Kt"</f>
        <v>#REF!</v>
      </c>
      <c r="GO44" t="e">
        <f>#REF!+"vlM!$Ku"</f>
        <v>#REF!</v>
      </c>
      <c r="GP44" t="e">
        <f>#REF!+"vlM!$Kv"</f>
        <v>#REF!</v>
      </c>
      <c r="GQ44" t="e">
        <f>#REF!+"vlM!$Kw"</f>
        <v>#REF!</v>
      </c>
      <c r="GR44" t="e">
        <f>#REF!+"vlM!$Kx"</f>
        <v>#REF!</v>
      </c>
      <c r="GS44" t="e">
        <f>#REF!+"vlM!$Ky"</f>
        <v>#REF!</v>
      </c>
      <c r="GT44" t="e">
        <f>#REF!+"vlM!$Kz"</f>
        <v>#REF!</v>
      </c>
      <c r="GU44" t="e">
        <f>#REF!+"vlM!$K{"</f>
        <v>#REF!</v>
      </c>
      <c r="GV44" t="e">
        <f>#REF!+"vlM!$K|"</f>
        <v>#REF!</v>
      </c>
      <c r="GW44" t="e">
        <f>#REF!+"vlM!$K}"</f>
        <v>#REF!</v>
      </c>
      <c r="GX44" t="e">
        <f>#REF!+"vlM!$K~"</f>
        <v>#REF!</v>
      </c>
      <c r="GY44" t="e">
        <f>#REF!+"vlM!$L#"</f>
        <v>#REF!</v>
      </c>
      <c r="GZ44" t="e">
        <f>#REF!+"vlM!$L$"</f>
        <v>#REF!</v>
      </c>
      <c r="HA44" t="e">
        <f>#REF!+"vlM!$L%"</f>
        <v>#REF!</v>
      </c>
      <c r="HB44" t="e">
        <f>#REF!+"vlM!$L&amp;"</f>
        <v>#REF!</v>
      </c>
      <c r="HC44" t="e">
        <f>#REF!+"vlM!$L'"</f>
        <v>#REF!</v>
      </c>
      <c r="HD44" t="e">
        <f>#REF!+"vlM!$L("</f>
        <v>#REF!</v>
      </c>
      <c r="HE44" t="e">
        <f>#REF!+"vlM!$L)"</f>
        <v>#REF!</v>
      </c>
      <c r="HF44" t="e">
        <f>#REF!+"vlM!$L."</f>
        <v>#REF!</v>
      </c>
      <c r="HG44" t="e">
        <f>#REF!+"vlM!$L/"</f>
        <v>#REF!</v>
      </c>
      <c r="HH44" t="e">
        <f>#REF!+"vlM!$L0"</f>
        <v>#REF!</v>
      </c>
      <c r="HI44" t="e">
        <f>#REF!+"vlM!$L1"</f>
        <v>#REF!</v>
      </c>
      <c r="HJ44" t="e">
        <f>#REF!+"vlM!$L2"</f>
        <v>#REF!</v>
      </c>
      <c r="HK44" t="e">
        <f>#REF!+"vlM!$L3"</f>
        <v>#REF!</v>
      </c>
      <c r="HL44" t="e">
        <f>#REF!+"vlM!$L4"</f>
        <v>#REF!</v>
      </c>
      <c r="HM44" t="e">
        <f>#REF!+"vlM!$L5"</f>
        <v>#REF!</v>
      </c>
      <c r="HN44" t="e">
        <f>#REF!+"vlM!$L6"</f>
        <v>#REF!</v>
      </c>
      <c r="HO44" t="e">
        <f>#REF!+"vlM!$L7"</f>
        <v>#REF!</v>
      </c>
      <c r="HP44" t="e">
        <f>#REF!+"vlM!$L8"</f>
        <v>#REF!</v>
      </c>
      <c r="HQ44" t="e">
        <f>#REF!+"vlM!$L9"</f>
        <v>#REF!</v>
      </c>
      <c r="HR44" t="e">
        <f>#REF!+"vlM!$L:"</f>
        <v>#REF!</v>
      </c>
      <c r="HS44" t="e">
        <f>#REF!+"vlM!$L;"</f>
        <v>#REF!</v>
      </c>
      <c r="HT44" t="e">
        <f>#REF!+"vlM!$L&lt;"</f>
        <v>#REF!</v>
      </c>
      <c r="HU44" t="e">
        <f>#REF!+"vlM!$L="</f>
        <v>#REF!</v>
      </c>
      <c r="HV44" t="e">
        <f>#REF!+"vlM!$L&gt;"</f>
        <v>#REF!</v>
      </c>
      <c r="HW44" t="e">
        <f>#REF!+"vlM!$L?"</f>
        <v>#REF!</v>
      </c>
      <c r="HX44" t="e">
        <f>#REF!+"vlM!$L@"</f>
        <v>#REF!</v>
      </c>
      <c r="HY44" t="e">
        <f>#REF!+"vlM!$LA"</f>
        <v>#REF!</v>
      </c>
      <c r="HZ44" t="e">
        <f>#REF!+"vlM!$LB"</f>
        <v>#REF!</v>
      </c>
      <c r="IA44" t="e">
        <f>#REF!+"vlM!$LC"</f>
        <v>#REF!</v>
      </c>
      <c r="IB44" t="e">
        <f>#REF!+"vlM!$LD"</f>
        <v>#REF!</v>
      </c>
      <c r="IC44" t="e">
        <f>#REF!+"vlM!$LE"</f>
        <v>#REF!</v>
      </c>
      <c r="ID44" t="e">
        <f>#REF!+"vlM!$LF"</f>
        <v>#REF!</v>
      </c>
      <c r="IE44" t="e">
        <f>#REF!+"vlM!$LG"</f>
        <v>#REF!</v>
      </c>
      <c r="IF44" t="e">
        <f>#REF!+"vlM!$LH"</f>
        <v>#REF!</v>
      </c>
      <c r="IG44" t="e">
        <f>#REF!+"vlM!$LI"</f>
        <v>#REF!</v>
      </c>
      <c r="IH44" t="e">
        <f>#REF!+"vlM!$LJ"</f>
        <v>#REF!</v>
      </c>
      <c r="II44" t="e">
        <f>#REF!+"vlM!$LK"</f>
        <v>#REF!</v>
      </c>
      <c r="IJ44" t="e">
        <f>#REF!+"vlM!$LL"</f>
        <v>#REF!</v>
      </c>
      <c r="IK44" t="e">
        <f>#REF!+"vlM!$LM"</f>
        <v>#REF!</v>
      </c>
      <c r="IL44" t="e">
        <f>#REF!+"vlM!$LN"</f>
        <v>#REF!</v>
      </c>
      <c r="IM44" t="e">
        <f>#REF!+"vlM!$LO"</f>
        <v>#REF!</v>
      </c>
      <c r="IN44" t="e">
        <f>#REF!+"vlM!$LP"</f>
        <v>#REF!</v>
      </c>
      <c r="IO44" t="e">
        <f>#REF!+"vlM!$LQ"</f>
        <v>#REF!</v>
      </c>
      <c r="IP44" t="e">
        <f>#REF!+"vlM!$LR"</f>
        <v>#REF!</v>
      </c>
      <c r="IQ44" t="e">
        <f>#REF!+"vlM!$LS"</f>
        <v>#REF!</v>
      </c>
      <c r="IR44" t="e">
        <f>#REF!+"vlM!$LT"</f>
        <v>#REF!</v>
      </c>
      <c r="IS44" t="e">
        <f>#REF!+"vlM!$LU"</f>
        <v>#REF!</v>
      </c>
      <c r="IT44" t="e">
        <f>#REF!+"vlM!$LV"</f>
        <v>#REF!</v>
      </c>
      <c r="IU44" t="e">
        <f>#REF!+"vlM!$LW"</f>
        <v>#REF!</v>
      </c>
      <c r="IV44" t="e">
        <f>#REF!+"vlM!$LX"</f>
        <v>#REF!</v>
      </c>
    </row>
    <row r="45" spans="6:256" x14ac:dyDescent="0.25">
      <c r="F45" t="e">
        <f>#REF!+"vlM!$LY"</f>
        <v>#REF!</v>
      </c>
      <c r="G45" t="e">
        <f>#REF!+"vlM!$LZ"</f>
        <v>#REF!</v>
      </c>
      <c r="H45" t="e">
        <f>#REF!+"vlM!$L["</f>
        <v>#REF!</v>
      </c>
      <c r="I45" t="e">
        <f>#REF!+"vlM!$L\"</f>
        <v>#REF!</v>
      </c>
      <c r="J45" t="e">
        <f>#REF!+"vlM!$L]"</f>
        <v>#REF!</v>
      </c>
      <c r="K45" t="e">
        <f>#REF!+"vlM!$L^"</f>
        <v>#REF!</v>
      </c>
      <c r="L45" t="e">
        <f>#REF!+"vlM!$L_"</f>
        <v>#REF!</v>
      </c>
      <c r="M45" t="e">
        <f>#REF!+"vlM!$L`"</f>
        <v>#REF!</v>
      </c>
      <c r="N45" t="e">
        <f>#REF!+"vlM!$La"</f>
        <v>#REF!</v>
      </c>
      <c r="O45" t="e">
        <f>#REF!+"vlM!$Lb"</f>
        <v>#REF!</v>
      </c>
      <c r="P45" t="e">
        <f>#REF!+"vlM!$Lc"</f>
        <v>#REF!</v>
      </c>
      <c r="Q45" t="e">
        <f>#REF!+"vlM!$Ld"</f>
        <v>#REF!</v>
      </c>
      <c r="R45" t="e">
        <f>#REF!+"vlM!$Le"</f>
        <v>#REF!</v>
      </c>
      <c r="S45" t="e">
        <f>#REF!+"vlM!$Lf"</f>
        <v>#REF!</v>
      </c>
      <c r="T45" t="e">
        <f>#REF!+"vlM!$Lg"</f>
        <v>#REF!</v>
      </c>
      <c r="U45" t="e">
        <f>#REF!+"vlM!$Lh"</f>
        <v>#REF!</v>
      </c>
      <c r="V45" t="e">
        <f>#REF!+"vlM!$Li"</f>
        <v>#REF!</v>
      </c>
      <c r="W45" t="e">
        <f>#REF!+"vlM!$Lj"</f>
        <v>#REF!</v>
      </c>
      <c r="X45" t="e">
        <f>#REF!+"vlM!$Lk"</f>
        <v>#REF!</v>
      </c>
      <c r="Y45" t="e">
        <f>#REF!+"vlM!$Ll"</f>
        <v>#REF!</v>
      </c>
      <c r="Z45" t="e">
        <f>#REF!+"vlM!$Lm"</f>
        <v>#REF!</v>
      </c>
      <c r="AA45" t="e">
        <f>#REF!+"vlM!$Ln"</f>
        <v>#REF!</v>
      </c>
      <c r="AB45" t="e">
        <f>#REF!+"vlM!$Lo"</f>
        <v>#REF!</v>
      </c>
      <c r="AC45" t="e">
        <f>#REF!+"vlM!$Lp"</f>
        <v>#REF!</v>
      </c>
      <c r="AD45" t="e">
        <f>#REF!+"vlM!$Lq"</f>
        <v>#REF!</v>
      </c>
      <c r="AE45" t="e">
        <f>#REF!+"vlM!$Lr"</f>
        <v>#REF!</v>
      </c>
      <c r="AF45" t="e">
        <f>#REF!+"vlM!$Ls"</f>
        <v>#REF!</v>
      </c>
      <c r="AG45" t="e">
        <f>#REF!+"vlM!$Lt"</f>
        <v>#REF!</v>
      </c>
      <c r="AH45" t="e">
        <f>#REF!+"vlM!$Lu"</f>
        <v>#REF!</v>
      </c>
      <c r="AI45" t="e">
        <f>#REF!+"vlM!$Lv"</f>
        <v>#REF!</v>
      </c>
      <c r="AJ45" t="e">
        <f>#REF!+"vlM!$Lw"</f>
        <v>#REF!</v>
      </c>
      <c r="AK45" t="e">
        <f>#REF!+"vlM!$Lx"</f>
        <v>#REF!</v>
      </c>
      <c r="AL45" t="e">
        <f>#REF!+"vlM!$Ly"</f>
        <v>#REF!</v>
      </c>
      <c r="AM45" t="e">
        <f>#REF!+"vlM!$Lz"</f>
        <v>#REF!</v>
      </c>
      <c r="AN45" t="e">
        <f>#REF!+"vlM!$L{"</f>
        <v>#REF!</v>
      </c>
      <c r="AO45" t="e">
        <f>#REF!+"vlM!$L|"</f>
        <v>#REF!</v>
      </c>
      <c r="AP45" t="e">
        <f>#REF!+"vlM!$L}"</f>
        <v>#REF!</v>
      </c>
      <c r="AQ45" t="e">
        <f>#REF!+"vlM!$L~"</f>
        <v>#REF!</v>
      </c>
      <c r="AR45" t="e">
        <f>#REF!+"vlM!$M#"</f>
        <v>#REF!</v>
      </c>
      <c r="AS45" t="e">
        <f>#REF!+"vlM!$M$"</f>
        <v>#REF!</v>
      </c>
      <c r="AT45" t="e">
        <f>#REF!+"vlM!$M%"</f>
        <v>#REF!</v>
      </c>
      <c r="AU45" t="e">
        <f>#REF!+"vlM!$M&amp;"</f>
        <v>#REF!</v>
      </c>
      <c r="AV45" t="e">
        <f>#REF!+"vlM!$M'"</f>
        <v>#REF!</v>
      </c>
      <c r="AW45" t="e">
        <f>#REF!+"vlM!$M("</f>
        <v>#REF!</v>
      </c>
      <c r="AX45" t="e">
        <f>#REF!+"vlM!$M)"</f>
        <v>#REF!</v>
      </c>
      <c r="AY45" t="e">
        <f>#REF!+"vlM!$M."</f>
        <v>#REF!</v>
      </c>
      <c r="AZ45" t="e">
        <f>#REF!+"vlM!$M/"</f>
        <v>#REF!</v>
      </c>
      <c r="BA45" t="e">
        <f>#REF!+"vlM!$M0"</f>
        <v>#REF!</v>
      </c>
      <c r="BB45" t="e">
        <f>#REF!+"vlM!$M1"</f>
        <v>#REF!</v>
      </c>
      <c r="BC45" t="e">
        <f>#REF!+"vlM!$M2"</f>
        <v>#REF!</v>
      </c>
      <c r="BD45" t="e">
        <f>#REF!+"vlM!$M3"</f>
        <v>#REF!</v>
      </c>
      <c r="BE45" t="e">
        <f>#REF!+"vlM!$M4"</f>
        <v>#REF!</v>
      </c>
      <c r="BF45" t="e">
        <f>#REF!+"vlM!$M5"</f>
        <v>#REF!</v>
      </c>
      <c r="BG45" t="e">
        <f>#REF!+"vlM!$M6"</f>
        <v>#REF!</v>
      </c>
      <c r="BH45" t="e">
        <f>#REF!+"vlM!$M7"</f>
        <v>#REF!</v>
      </c>
      <c r="BI45" t="e">
        <f>#REF!+"vlM!$M8"</f>
        <v>#REF!</v>
      </c>
      <c r="BJ45" t="e">
        <f>#REF!+"vlM!$M9"</f>
        <v>#REF!</v>
      </c>
      <c r="BK45" t="e">
        <f>#REF!+"vlM!$M:"</f>
        <v>#REF!</v>
      </c>
      <c r="BL45" t="e">
        <f>#REF!+"vlM!$M;"</f>
        <v>#REF!</v>
      </c>
      <c r="BM45" t="e">
        <f>#REF!+"vlM!$M&lt;"</f>
        <v>#REF!</v>
      </c>
      <c r="BN45" t="e">
        <f>#REF!+"vlM!$M="</f>
        <v>#REF!</v>
      </c>
      <c r="BO45" t="e">
        <f>#REF!+"vlM!$M&gt;"</f>
        <v>#REF!</v>
      </c>
      <c r="BP45" t="e">
        <f>#REF!+"vlM!$M?"</f>
        <v>#REF!</v>
      </c>
      <c r="BQ45" t="e">
        <f>#REF!+"vlM!$M@"</f>
        <v>#REF!</v>
      </c>
      <c r="BR45" t="e">
        <f>#REF!+"vlM!$MA"</f>
        <v>#REF!</v>
      </c>
      <c r="BS45" t="e">
        <f>#REF!+"vlM!$MB"</f>
        <v>#REF!</v>
      </c>
      <c r="BT45" t="e">
        <f>#REF!+"vlM!$MC"</f>
        <v>#REF!</v>
      </c>
      <c r="BU45" t="e">
        <f>#REF!+"vlM!$MD"</f>
        <v>#REF!</v>
      </c>
      <c r="BV45" t="e">
        <f>#REF!+"vlM!$ME"</f>
        <v>#REF!</v>
      </c>
      <c r="BW45" t="e">
        <f>#REF!+"vlM!$MF"</f>
        <v>#REF!</v>
      </c>
      <c r="BX45" t="e">
        <f>#REF!+"vlM!$MG"</f>
        <v>#REF!</v>
      </c>
      <c r="BY45" t="e">
        <f>#REF!+"vlM!$MH"</f>
        <v>#REF!</v>
      </c>
      <c r="BZ45" t="e">
        <f>#REF!+"vlM!$MI"</f>
        <v>#REF!</v>
      </c>
      <c r="CA45" t="e">
        <f>#REF!+"vlM!$MJ"</f>
        <v>#REF!</v>
      </c>
      <c r="CB45" t="e">
        <f>#REF!+"vlM!$MK"</f>
        <v>#REF!</v>
      </c>
      <c r="CC45" t="e">
        <f>#REF!+"vlM!$ML"</f>
        <v>#REF!</v>
      </c>
      <c r="CD45" t="e">
        <f>#REF!+"vlM!$MM"</f>
        <v>#REF!</v>
      </c>
      <c r="CE45" t="e">
        <f>#REF!+"vlM!$MN"</f>
        <v>#REF!</v>
      </c>
      <c r="CF45" t="e">
        <f>#REF!+"vlM!$MO"</f>
        <v>#REF!</v>
      </c>
      <c r="CG45" t="e">
        <f>#REF!+"vlM!$MP"</f>
        <v>#REF!</v>
      </c>
      <c r="CH45" t="e">
        <f>#REF!+"vlM!$MQ"</f>
        <v>#REF!</v>
      </c>
      <c r="CI45" t="e">
        <f>#REF!+"vlM!$MR"</f>
        <v>#REF!</v>
      </c>
      <c r="CJ45" t="e">
        <f>#REF!+"vlM!$MS"</f>
        <v>#REF!</v>
      </c>
      <c r="CK45" t="e">
        <f>#REF!+"vlM!$MT"</f>
        <v>#REF!</v>
      </c>
      <c r="CL45" t="e">
        <f>#REF!+"vlM!$MU"</f>
        <v>#REF!</v>
      </c>
      <c r="CM45" t="e">
        <f>#REF!+"vlM!$MV"</f>
        <v>#REF!</v>
      </c>
      <c r="CN45" t="e">
        <f>#REF!+"vlM!$MW"</f>
        <v>#REF!</v>
      </c>
      <c r="CO45" t="e">
        <f>#REF!+"vlM!$MX"</f>
        <v>#REF!</v>
      </c>
      <c r="CP45" t="e">
        <f>#REF!+"vlM!$MY"</f>
        <v>#REF!</v>
      </c>
      <c r="CQ45" t="e">
        <f>#REF!+"vlM!$MZ"</f>
        <v>#REF!</v>
      </c>
      <c r="CR45" t="e">
        <f>#REF!+"vlM!$M["</f>
        <v>#REF!</v>
      </c>
      <c r="CS45" t="e">
        <f>#REF!+"vlM!$M\"</f>
        <v>#REF!</v>
      </c>
      <c r="CT45" t="e">
        <f>#REF!+"vlM!$M]"</f>
        <v>#REF!</v>
      </c>
      <c r="CU45" t="e">
        <f>#REF!+"vlM!$M^"</f>
        <v>#REF!</v>
      </c>
      <c r="CV45" t="e">
        <f>#REF!+"vlM!$M_"</f>
        <v>#REF!</v>
      </c>
      <c r="CW45" t="e">
        <f>#REF!+"vlM!$M`"</f>
        <v>#REF!</v>
      </c>
      <c r="CX45" t="e">
        <f>#REF!+"vlM!$Ma"</f>
        <v>#REF!</v>
      </c>
      <c r="CY45" t="e">
        <f>#REF!+"vlM!$Mb"</f>
        <v>#REF!</v>
      </c>
      <c r="CZ45" t="e">
        <f>#REF!+"vlM!$Mc"</f>
        <v>#REF!</v>
      </c>
      <c r="DA45" t="e">
        <f>#REF!+"vlM!$Md"</f>
        <v>#REF!</v>
      </c>
      <c r="DB45" t="e">
        <f>#REF!+"vlM!$Me"</f>
        <v>#REF!</v>
      </c>
      <c r="DC45" t="e">
        <f>#REF!+"vlM!$Mf"</f>
        <v>#REF!</v>
      </c>
      <c r="DD45" t="e">
        <f>#REF!+"vlM!$Mg"</f>
        <v>#REF!</v>
      </c>
      <c r="DE45" t="e">
        <f>#REF!+"vlM!$Mh"</f>
        <v>#REF!</v>
      </c>
      <c r="DF45" t="e">
        <f>#REF!+"vlM!$Mi"</f>
        <v>#REF!</v>
      </c>
      <c r="DG45" t="e">
        <f>#REF!+"vlM!$Mj"</f>
        <v>#REF!</v>
      </c>
      <c r="DH45" t="e">
        <f>#REF!+"vlM!$Mk"</f>
        <v>#REF!</v>
      </c>
      <c r="DI45" t="e">
        <f>#REF!+"vlM!$Ml"</f>
        <v>#REF!</v>
      </c>
      <c r="DJ45" t="e">
        <f>#REF!+"vlM!$Mm"</f>
        <v>#REF!</v>
      </c>
      <c r="DK45" t="e">
        <f>#REF!+"vlM!$Mn"</f>
        <v>#REF!</v>
      </c>
      <c r="DL45" t="e">
        <f>#REF!+"vlM!$Mo"</f>
        <v>#REF!</v>
      </c>
      <c r="DM45" t="e">
        <f>#REF!+"vlM!$Mp"</f>
        <v>#REF!</v>
      </c>
      <c r="DN45" t="e">
        <f>#REF!+"vlM!$Mq"</f>
        <v>#REF!</v>
      </c>
      <c r="DO45" t="e">
        <f>#REF!+"vlM!$Mr"</f>
        <v>#REF!</v>
      </c>
      <c r="DP45" t="e">
        <f>#REF!+"vlM!$Ms"</f>
        <v>#REF!</v>
      </c>
      <c r="DQ45" t="e">
        <f>#REF!+"vlM!$Mt"</f>
        <v>#REF!</v>
      </c>
      <c r="DR45" t="e">
        <f>#REF!+"vlM!$Mu"</f>
        <v>#REF!</v>
      </c>
      <c r="DS45" t="e">
        <f>#REF!+"vlM!$Mv"</f>
        <v>#REF!</v>
      </c>
      <c r="DT45" t="e">
        <f>#REF!+"vlM!$Mw"</f>
        <v>#REF!</v>
      </c>
      <c r="DU45" t="e">
        <f>#REF!+"vlM!$Mx"</f>
        <v>#REF!</v>
      </c>
      <c r="DV45" t="e">
        <f>#REF!+"vlM!$My"</f>
        <v>#REF!</v>
      </c>
      <c r="DW45" t="e">
        <f>#REF!+"vlM!$Mz"</f>
        <v>#REF!</v>
      </c>
      <c r="DX45" t="e">
        <f>#REF!+"vlM!$M{"</f>
        <v>#REF!</v>
      </c>
      <c r="DY45" t="e">
        <f>#REF!+"vlM!$M|"</f>
        <v>#REF!</v>
      </c>
      <c r="DZ45" t="e">
        <f>#REF!+"vlM!$M}"</f>
        <v>#REF!</v>
      </c>
      <c r="EA45" t="e">
        <f>#REF!+"vlM!$M~"</f>
        <v>#REF!</v>
      </c>
      <c r="EB45" t="e">
        <f>#REF!+"vlM!$N#"</f>
        <v>#REF!</v>
      </c>
      <c r="EC45" t="e">
        <f>#REF!+"vlM!$N$"</f>
        <v>#REF!</v>
      </c>
      <c r="ED45" t="e">
        <f>#REF!+"vlM!$N%"</f>
        <v>#REF!</v>
      </c>
      <c r="EE45" t="e">
        <f>#REF!+"vlM!$N&amp;"</f>
        <v>#REF!</v>
      </c>
      <c r="EF45" t="e">
        <f>#REF!+"vlM!$N'"</f>
        <v>#REF!</v>
      </c>
      <c r="EG45" t="e">
        <f>#REF!+"vlM!$N("</f>
        <v>#REF!</v>
      </c>
      <c r="EH45" t="e">
        <f>#REF!+"vlM!$N)"</f>
        <v>#REF!</v>
      </c>
      <c r="EI45" t="e">
        <f>#REF!+"vlM!$N."</f>
        <v>#REF!</v>
      </c>
      <c r="EJ45" t="e">
        <f>#REF!+"vlM!$N/"</f>
        <v>#REF!</v>
      </c>
      <c r="EK45" t="e">
        <f>#REF!+"vlM!$N0"</f>
        <v>#REF!</v>
      </c>
      <c r="EL45" t="e">
        <f>#REF!+"vlM!$N1"</f>
        <v>#REF!</v>
      </c>
      <c r="EM45" t="e">
        <f>#REF!+"vlM!$N2"</f>
        <v>#REF!</v>
      </c>
      <c r="EN45" t="e">
        <f>#REF!+"vlM!$N3"</f>
        <v>#REF!</v>
      </c>
      <c r="EO45" t="e">
        <f>#REF!+"vlM!$N4"</f>
        <v>#REF!</v>
      </c>
      <c r="EP45" t="e">
        <f>#REF!+"vlM!$N5"</f>
        <v>#REF!</v>
      </c>
      <c r="EQ45" t="e">
        <f>#REF!+"vlM!$N6"</f>
        <v>#REF!</v>
      </c>
      <c r="ER45" t="e">
        <f>#REF!+"vlM!$N7"</f>
        <v>#REF!</v>
      </c>
      <c r="ES45" t="e">
        <f>#REF!+"vlM!$N8"</f>
        <v>#REF!</v>
      </c>
      <c r="ET45" t="e">
        <f>#REF!+"vlM!$N9"</f>
        <v>#REF!</v>
      </c>
      <c r="EU45" t="e">
        <f>#REF!+"vlM!$N:"</f>
        <v>#REF!</v>
      </c>
      <c r="EV45" t="e">
        <f>#REF!+"vlM!$N;"</f>
        <v>#REF!</v>
      </c>
      <c r="EW45" t="e">
        <f>#REF!+"vlM!$N&lt;"</f>
        <v>#REF!</v>
      </c>
      <c r="EX45" t="e">
        <f>#REF!+"vlM!$N="</f>
        <v>#REF!</v>
      </c>
      <c r="EY45" t="e">
        <f>#REF!+"vlM!$N&gt;"</f>
        <v>#REF!</v>
      </c>
      <c r="EZ45" t="e">
        <f>#REF!+"vlM!$N?"</f>
        <v>#REF!</v>
      </c>
      <c r="FA45" t="e">
        <f>#REF!+"vlM!$N@"</f>
        <v>#REF!</v>
      </c>
      <c r="FB45" t="e">
        <f>#REF!+"vlM!$NA"</f>
        <v>#REF!</v>
      </c>
      <c r="FC45" t="e">
        <f>#REF!+"vlM!$NB"</f>
        <v>#REF!</v>
      </c>
      <c r="FD45" t="e">
        <f>#REF!+"vlM!$NC"</f>
        <v>#REF!</v>
      </c>
      <c r="FE45" t="e">
        <f>#REF!+"vlM!$ND"</f>
        <v>#REF!</v>
      </c>
      <c r="FF45" t="e">
        <f>#REF!+"vlM!$NE"</f>
        <v>#REF!</v>
      </c>
      <c r="FG45" t="e">
        <f>#REF!+"vlM!$NF"</f>
        <v>#REF!</v>
      </c>
      <c r="FH45" t="e">
        <f>#REF!+"vlM!$NG"</f>
        <v>#REF!</v>
      </c>
      <c r="FI45" t="e">
        <f>#REF!+"vlM!$NH"</f>
        <v>#REF!</v>
      </c>
      <c r="FJ45" t="e">
        <f>#REF!+"vlM!$NI"</f>
        <v>#REF!</v>
      </c>
      <c r="FK45" t="e">
        <f>#REF!+"vlM!$NJ"</f>
        <v>#REF!</v>
      </c>
      <c r="FL45" t="e">
        <f>#REF!+"vlM!$NK"</f>
        <v>#REF!</v>
      </c>
      <c r="FM45" t="e">
        <f>#REF!+"vlM!$NL"</f>
        <v>#REF!</v>
      </c>
      <c r="FN45" t="e">
        <f>#REF!+"vlM!$NM"</f>
        <v>#REF!</v>
      </c>
      <c r="FO45" t="e">
        <f>#REF!+"vlM!$NN"</f>
        <v>#REF!</v>
      </c>
      <c r="FP45" t="e">
        <f>#REF!+"vlM!$NO"</f>
        <v>#REF!</v>
      </c>
      <c r="FQ45" t="e">
        <f>#REF!+"vlM!$NP"</f>
        <v>#REF!</v>
      </c>
      <c r="FR45" t="e">
        <f>#REF!+"vlM!$NQ"</f>
        <v>#REF!</v>
      </c>
      <c r="FS45" t="e">
        <f>#REF!+"vlM!$NR"</f>
        <v>#REF!</v>
      </c>
      <c r="FT45" t="e">
        <f>#REF!+"vlM!$NS"</f>
        <v>#REF!</v>
      </c>
      <c r="FU45" t="e">
        <f>#REF!+"vlM!$NT"</f>
        <v>#REF!</v>
      </c>
      <c r="FV45" t="e">
        <f>#REF!+"vlM!$NU"</f>
        <v>#REF!</v>
      </c>
      <c r="FW45" t="e">
        <f>#REF!+"vlM!$NV"</f>
        <v>#REF!</v>
      </c>
      <c r="FX45" t="e">
        <f>#REF!+"vlM!$NW"</f>
        <v>#REF!</v>
      </c>
      <c r="FY45" t="e">
        <f>#REF!+"vlM!$NX"</f>
        <v>#REF!</v>
      </c>
      <c r="FZ45" t="e">
        <f>#REF!+"vlM!$NY"</f>
        <v>#REF!</v>
      </c>
      <c r="GA45" t="e">
        <f>#REF!+"vlM!$NZ"</f>
        <v>#REF!</v>
      </c>
      <c r="GB45" t="e">
        <f>#REF!+"vlM!$N["</f>
        <v>#REF!</v>
      </c>
      <c r="GC45" t="e">
        <f>#REF!+"vlM!$N\"</f>
        <v>#REF!</v>
      </c>
      <c r="GD45" t="e">
        <f>#REF!+"vlM!$N]"</f>
        <v>#REF!</v>
      </c>
      <c r="GE45" t="e">
        <f>#REF!+"vlM!$N^"</f>
        <v>#REF!</v>
      </c>
      <c r="GF45" t="e">
        <f>#REF!+"vlM!$N_"</f>
        <v>#REF!</v>
      </c>
      <c r="GG45" t="e">
        <f>#REF!+"vlM!$N`"</f>
        <v>#REF!</v>
      </c>
      <c r="GH45" t="e">
        <f>#REF!+"vlM!$Na"</f>
        <v>#REF!</v>
      </c>
      <c r="GI45" t="e">
        <f>#REF!+"vlM!$Nb"</f>
        <v>#REF!</v>
      </c>
      <c r="GJ45" t="e">
        <f>#REF!+"vlM!$Nc"</f>
        <v>#REF!</v>
      </c>
      <c r="GK45" t="e">
        <f>#REF!+"vlM!$Nd"</f>
        <v>#REF!</v>
      </c>
      <c r="GL45" t="e">
        <f>#REF!+"vlM!$Ne"</f>
        <v>#REF!</v>
      </c>
      <c r="GM45" t="e">
        <f>#REF!+"vlM!$Nf"</f>
        <v>#REF!</v>
      </c>
      <c r="GN45" t="e">
        <f>#REF!+"vlM!$Ng"</f>
        <v>#REF!</v>
      </c>
      <c r="GO45" t="e">
        <f>#REF!+"vlM!$Nh"</f>
        <v>#REF!</v>
      </c>
      <c r="GP45" t="e">
        <f>#REF!+"vlM!$Ni"</f>
        <v>#REF!</v>
      </c>
      <c r="GQ45" t="e">
        <f>#REF!+"vlM!$Nj"</f>
        <v>#REF!</v>
      </c>
      <c r="GR45" t="e">
        <f>#REF!+"vlM!$Nk"</f>
        <v>#REF!</v>
      </c>
      <c r="GS45" t="e">
        <f>#REF!+"vlM!$Nl"</f>
        <v>#REF!</v>
      </c>
      <c r="GT45" t="e">
        <f>#REF!+"vlM!$Nm"</f>
        <v>#REF!</v>
      </c>
      <c r="GU45" t="e">
        <f>#REF!+"vlM!$Nn"</f>
        <v>#REF!</v>
      </c>
      <c r="GV45" t="e">
        <f>#REF!+"vlM!$No"</f>
        <v>#REF!</v>
      </c>
      <c r="GW45" t="e">
        <f>#REF!+"vlM!$Np"</f>
        <v>#REF!</v>
      </c>
      <c r="GX45" t="e">
        <f>#REF!+"vlM!$Nq"</f>
        <v>#REF!</v>
      </c>
      <c r="GY45" t="e">
        <f>#REF!+"vlM!$Nr"</f>
        <v>#REF!</v>
      </c>
      <c r="GZ45" t="e">
        <f>#REF!+"vlM!$Ns"</f>
        <v>#REF!</v>
      </c>
      <c r="HA45" t="e">
        <f>#REF!+"vlM!$Nt"</f>
        <v>#REF!</v>
      </c>
      <c r="HB45" t="e">
        <f>#REF!+"vlM!$Nu"</f>
        <v>#REF!</v>
      </c>
      <c r="HC45" t="e">
        <f>#REF!+"vlM!$Nv"</f>
        <v>#REF!</v>
      </c>
      <c r="HD45" t="e">
        <f>#REF!+"vlM!$Nw"</f>
        <v>#REF!</v>
      </c>
      <c r="HE45" t="e">
        <f>#REF!+"vlM!$Nx"</f>
        <v>#REF!</v>
      </c>
      <c r="HF45" t="e">
        <f>#REF!+"vlM!$Ny"</f>
        <v>#REF!</v>
      </c>
      <c r="HG45" t="e">
        <f>#REF!+"vlM!$Nz"</f>
        <v>#REF!</v>
      </c>
      <c r="HH45" t="e">
        <f>#REF!+"vlM!$N{"</f>
        <v>#REF!</v>
      </c>
      <c r="HI45" t="e">
        <f>#REF!+"vlM!$N|"</f>
        <v>#REF!</v>
      </c>
      <c r="HJ45" t="e">
        <f>#REF!+"vlM!$N}"</f>
        <v>#REF!</v>
      </c>
      <c r="HK45" t="e">
        <f>#REF!+"vlM!$N~"</f>
        <v>#REF!</v>
      </c>
      <c r="HL45" t="e">
        <f>#REF!+"vlM!$O#"</f>
        <v>#REF!</v>
      </c>
      <c r="HM45" t="e">
        <f>#REF!+"vlM!$O$"</f>
        <v>#REF!</v>
      </c>
      <c r="HN45" t="e">
        <f>#REF!+"vlM!$O%"</f>
        <v>#REF!</v>
      </c>
      <c r="HO45" t="e">
        <f>#REF!+"vlM!$O&amp;"</f>
        <v>#REF!</v>
      </c>
      <c r="HP45" t="e">
        <f>#REF!+"vlM!$O'"</f>
        <v>#REF!</v>
      </c>
      <c r="HQ45" t="e">
        <f>#REF!+"vlM!$O("</f>
        <v>#REF!</v>
      </c>
      <c r="HR45" t="e">
        <f>#REF!+"vlM!$O)"</f>
        <v>#REF!</v>
      </c>
      <c r="HS45" t="e">
        <f>#REF!+"vlM!$O."</f>
        <v>#REF!</v>
      </c>
      <c r="HT45" t="e">
        <f>#REF!+"vlM!$O/"</f>
        <v>#REF!</v>
      </c>
      <c r="HU45" t="e">
        <f>#REF!+"vlM!$O0"</f>
        <v>#REF!</v>
      </c>
      <c r="HV45" t="e">
        <f>#REF!+"vlM!$O1"</f>
        <v>#REF!</v>
      </c>
      <c r="HW45" t="e">
        <f>#REF!+"vlM!$O2"</f>
        <v>#REF!</v>
      </c>
      <c r="HX45" t="e">
        <f>#REF!+"vlM!$O3"</f>
        <v>#REF!</v>
      </c>
      <c r="HY45" t="e">
        <f>#REF!+"vlM!$O4"</f>
        <v>#REF!</v>
      </c>
      <c r="HZ45" t="e">
        <f>#REF!+"vlM!$O5"</f>
        <v>#REF!</v>
      </c>
      <c r="IA45" t="e">
        <f>#REF!+"vlM!$O6"</f>
        <v>#REF!</v>
      </c>
      <c r="IB45" t="e">
        <f>#REF!+"vlM!$O7"</f>
        <v>#REF!</v>
      </c>
      <c r="IC45" t="e">
        <f>#REF!+"vlM!$O8"</f>
        <v>#REF!</v>
      </c>
      <c r="ID45" t="e">
        <f>#REF!+"vlM!$O9"</f>
        <v>#REF!</v>
      </c>
      <c r="IE45" t="e">
        <f>#REF!+"vlM!$O:"</f>
        <v>#REF!</v>
      </c>
      <c r="IF45" t="e">
        <f>#REF!+"vlM!$O;"</f>
        <v>#REF!</v>
      </c>
      <c r="IG45" t="e">
        <f>#REF!+"vlM!$O&lt;"</f>
        <v>#REF!</v>
      </c>
      <c r="IH45" t="e">
        <f>#REF!+"vlM!$O="</f>
        <v>#REF!</v>
      </c>
      <c r="II45" t="e">
        <f>#REF!+"vlM!$O&gt;"</f>
        <v>#REF!</v>
      </c>
      <c r="IJ45" t="e">
        <f>#REF!+"vlM!$O?"</f>
        <v>#REF!</v>
      </c>
      <c r="IK45" t="e">
        <f>#REF!+"vlM!$O@"</f>
        <v>#REF!</v>
      </c>
      <c r="IL45" t="e">
        <f>#REF!+"vlM!$OA"</f>
        <v>#REF!</v>
      </c>
      <c r="IM45" t="e">
        <f>#REF!+"vlM!$OB"</f>
        <v>#REF!</v>
      </c>
      <c r="IN45" t="e">
        <f>#REF!+"vlM!$OC"</f>
        <v>#REF!</v>
      </c>
      <c r="IO45" t="e">
        <f>#REF!+"vlM!$OD"</f>
        <v>#REF!</v>
      </c>
      <c r="IP45" t="e">
        <f>#REF!+"vlM!$OE"</f>
        <v>#REF!</v>
      </c>
      <c r="IQ45" t="e">
        <f>#REF!+"vlM!$OF"</f>
        <v>#REF!</v>
      </c>
      <c r="IR45" t="e">
        <f>#REF!+"vlM!$OG"</f>
        <v>#REF!</v>
      </c>
      <c r="IS45" t="e">
        <f>#REF!+"vlM!$OH"</f>
        <v>#REF!</v>
      </c>
      <c r="IT45" t="e">
        <f>#REF!+"vlM!$OI"</f>
        <v>#REF!</v>
      </c>
      <c r="IU45" t="e">
        <f>#REF!+"vlM!$OJ"</f>
        <v>#REF!</v>
      </c>
      <c r="IV45" t="e">
        <f>#REF!+"vlM!$OK"</f>
        <v>#REF!</v>
      </c>
    </row>
    <row r="46" spans="6:256" x14ac:dyDescent="0.25">
      <c r="F46" t="e">
        <f>#REF!+"vlM!$OL"</f>
        <v>#REF!</v>
      </c>
      <c r="G46" t="e">
        <f>#REF!+"vlM!$OM"</f>
        <v>#REF!</v>
      </c>
      <c r="H46" t="e">
        <f>#REF!+"vlM!$ON"</f>
        <v>#REF!</v>
      </c>
      <c r="I46" t="e">
        <f>#REF!+"vlM!$OO"</f>
        <v>#REF!</v>
      </c>
      <c r="J46" t="e">
        <f>#REF!+"vlM!$OP"</f>
        <v>#REF!</v>
      </c>
      <c r="K46" t="e">
        <f>#REF!+"vlM!$OQ"</f>
        <v>#REF!</v>
      </c>
      <c r="L46" t="e">
        <f>#REF!+"vlM!$OR"</f>
        <v>#REF!</v>
      </c>
      <c r="M46" t="e">
        <f>#REF!+"vlM!$OS"</f>
        <v>#REF!</v>
      </c>
      <c r="N46" t="e">
        <f>#REF!+"vlM!$OT"</f>
        <v>#REF!</v>
      </c>
      <c r="O46" t="e">
        <f>#REF!+"vlM!$OU"</f>
        <v>#REF!</v>
      </c>
      <c r="P46" t="e">
        <f>#REF!+"vlM!$OV"</f>
        <v>#REF!</v>
      </c>
      <c r="Q46" t="e">
        <f>#REF!+"vlM!$OW"</f>
        <v>#REF!</v>
      </c>
      <c r="R46" t="e">
        <f>#REF!+"vlM!$OX"</f>
        <v>#REF!</v>
      </c>
      <c r="S46" t="e">
        <f>#REF!+"vlM!$OY"</f>
        <v>#REF!</v>
      </c>
      <c r="T46" t="e">
        <f>#REF!+"vlM!$OZ"</f>
        <v>#REF!</v>
      </c>
      <c r="U46" t="e">
        <f>#REF!+"vlM!$O["</f>
        <v>#REF!</v>
      </c>
      <c r="V46" t="e">
        <f>#REF!+"vlM!$O\"</f>
        <v>#REF!</v>
      </c>
      <c r="W46" t="e">
        <f>#REF!+"vlM!$O]"</f>
        <v>#REF!</v>
      </c>
      <c r="X46" t="e">
        <f>#REF!+"vlM!$O^"</f>
        <v>#REF!</v>
      </c>
      <c r="Y46" t="e">
        <f>#REF!+"vlM!$O_"</f>
        <v>#REF!</v>
      </c>
      <c r="Z46" t="e">
        <f>#REF!+"vlM!$O`"</f>
        <v>#REF!</v>
      </c>
      <c r="AA46" t="e">
        <f>#REF!+"vlM!$Oa"</f>
        <v>#REF!</v>
      </c>
      <c r="AB46" t="e">
        <f>#REF!+"vlM!$Ob"</f>
        <v>#REF!</v>
      </c>
      <c r="AC46" t="e">
        <f>#REF!+"vlM!$Oc"</f>
        <v>#REF!</v>
      </c>
      <c r="AD46" t="e">
        <f>#REF!+"vlM!$Od"</f>
        <v>#REF!</v>
      </c>
      <c r="AE46" t="e">
        <f>#REF!+"vlM!$Oe"</f>
        <v>#REF!</v>
      </c>
      <c r="AF46" t="e">
        <f>#REF!+"vlM!$Of"</f>
        <v>#REF!</v>
      </c>
      <c r="AG46" t="e">
        <f>#REF!+"vlM!$Og"</f>
        <v>#REF!</v>
      </c>
      <c r="AH46" t="e">
        <f>#REF!+"vlM!$Oh"</f>
        <v>#REF!</v>
      </c>
      <c r="AI46" t="e">
        <f>#REF!+"vlM!$Oi"</f>
        <v>#REF!</v>
      </c>
      <c r="AJ46" t="e">
        <f>#REF!+"vlM!$Oj"</f>
        <v>#REF!</v>
      </c>
      <c r="AK46" t="e">
        <f>#REF!+"vlM!$Ok"</f>
        <v>#REF!</v>
      </c>
      <c r="AL46" t="e">
        <f>#REF!+"vlM!$Ol"</f>
        <v>#REF!</v>
      </c>
      <c r="AM46" t="e">
        <f>#REF!+"vlM!$Om"</f>
        <v>#REF!</v>
      </c>
      <c r="AN46" t="e">
        <f>#REF!+"vlM!$On"</f>
        <v>#REF!</v>
      </c>
      <c r="AO46" t="e">
        <f>#REF!+"vlM!$Oo"</f>
        <v>#REF!</v>
      </c>
      <c r="AP46" t="e">
        <f>#REF!+"vlM!$Op"</f>
        <v>#REF!</v>
      </c>
      <c r="AQ46" t="e">
        <f>#REF!+"vlM!$Oq"</f>
        <v>#REF!</v>
      </c>
      <c r="AR46" t="e">
        <f>#REF!+"vlM!$Or"</f>
        <v>#REF!</v>
      </c>
      <c r="AS46" t="e">
        <f>#REF!+"vlM!$Os"</f>
        <v>#REF!</v>
      </c>
      <c r="AT46" t="e">
        <f>#REF!+"vlM!$Ot"</f>
        <v>#REF!</v>
      </c>
      <c r="AU46" t="e">
        <f>#REF!+"vlM!$Ou"</f>
        <v>#REF!</v>
      </c>
      <c r="AV46" t="e">
        <f>#REF!+"vlM!$Ov"</f>
        <v>#REF!</v>
      </c>
      <c r="AW46" t="e">
        <f>#REF!+"vlM!$Ow"</f>
        <v>#REF!</v>
      </c>
      <c r="AX46" t="e">
        <f>#REF!+"vlM!$Ox"</f>
        <v>#REF!</v>
      </c>
      <c r="AY46" t="e">
        <f>#REF!+"vlM!$Oy"</f>
        <v>#REF!</v>
      </c>
      <c r="AZ46" t="e">
        <f>#REF!+"vlM!$Oz"</f>
        <v>#REF!</v>
      </c>
      <c r="BA46" t="e">
        <f>#REF!+"vlM!$O{"</f>
        <v>#REF!</v>
      </c>
      <c r="BB46" t="e">
        <f>#REF!+"vlM!$O|"</f>
        <v>#REF!</v>
      </c>
      <c r="BC46" t="e">
        <f>#REF!+"vlM!$O}"</f>
        <v>#REF!</v>
      </c>
      <c r="BD46" t="e">
        <f>#REF!+"vlM!$O~"</f>
        <v>#REF!</v>
      </c>
      <c r="BE46" t="e">
        <f>#REF!+"vlM!$P#"</f>
        <v>#REF!</v>
      </c>
      <c r="BF46" t="e">
        <f>#REF!+"vlM!$P$"</f>
        <v>#REF!</v>
      </c>
      <c r="BG46" t="e">
        <f>#REF!+"vlM!$P%"</f>
        <v>#REF!</v>
      </c>
      <c r="BH46" t="e">
        <f>#REF!+"vlM!$P&amp;"</f>
        <v>#REF!</v>
      </c>
      <c r="BI46" t="e">
        <f>#REF!+"vlM!$P'"</f>
        <v>#REF!</v>
      </c>
      <c r="BJ46" t="e">
        <f>#REF!+"vlM!$P("</f>
        <v>#REF!</v>
      </c>
      <c r="BK46" t="e">
        <f>#REF!+"vlM!$P)"</f>
        <v>#REF!</v>
      </c>
      <c r="BL46" t="e">
        <f>#REF!+"vlM!$P."</f>
        <v>#REF!</v>
      </c>
      <c r="BM46" t="e">
        <f>#REF!+"vlM!$P/"</f>
        <v>#REF!</v>
      </c>
      <c r="BN46" t="e">
        <f>#REF!+"vlM!$P0"</f>
        <v>#REF!</v>
      </c>
      <c r="BO46" t="e">
        <f>#REF!+"vlM!$P1"</f>
        <v>#REF!</v>
      </c>
      <c r="BP46" t="e">
        <f>#REF!+"vlM!$P2"</f>
        <v>#REF!</v>
      </c>
      <c r="BQ46" t="e">
        <f>#REF!+"vlM!$P3"</f>
        <v>#REF!</v>
      </c>
      <c r="BR46" t="e">
        <f>#REF!+"vlM!$P4"</f>
        <v>#REF!</v>
      </c>
      <c r="BS46" t="e">
        <f>#REF!+"vlM!$P5"</f>
        <v>#REF!</v>
      </c>
      <c r="BT46" t="e">
        <f>#REF!+"vlM!$P6"</f>
        <v>#REF!</v>
      </c>
      <c r="BU46" t="e">
        <f>#REF!+"vlM!$P7"</f>
        <v>#REF!</v>
      </c>
      <c r="BV46" t="e">
        <f>#REF!+"vlM!$P8"</f>
        <v>#REF!</v>
      </c>
      <c r="BW46" t="e">
        <f>#REF!+"vlM!$P9"</f>
        <v>#REF!</v>
      </c>
      <c r="BX46" t="e">
        <f>#REF!+"vlM!$P:"</f>
        <v>#REF!</v>
      </c>
      <c r="BY46" t="e">
        <f>#REF!+"vlM!$P;"</f>
        <v>#REF!</v>
      </c>
      <c r="BZ46" t="e">
        <f>#REF!+"vlM!$P&lt;"</f>
        <v>#REF!</v>
      </c>
      <c r="CA46" t="e">
        <f>#REF!+"vlM!$P="</f>
        <v>#REF!</v>
      </c>
      <c r="CB46" t="e">
        <f>#REF!+"vlM!$P&gt;"</f>
        <v>#REF!</v>
      </c>
      <c r="CC46" t="e">
        <f>#REF!+"vlM!$P?"</f>
        <v>#REF!</v>
      </c>
      <c r="CD46" t="e">
        <f>#REF!+"vlM!$P@"</f>
        <v>#REF!</v>
      </c>
      <c r="CE46" t="e">
        <f>#REF!+"vlM!$PA"</f>
        <v>#REF!</v>
      </c>
      <c r="CF46" t="e">
        <f>#REF!+"vlM!$PB"</f>
        <v>#REF!</v>
      </c>
      <c r="CG46" t="e">
        <f>#REF!+"vlM!$PC"</f>
        <v>#REF!</v>
      </c>
      <c r="CH46" t="e">
        <f>#REF!+"vlM!$PD"</f>
        <v>#REF!</v>
      </c>
      <c r="CI46" t="e">
        <f>#REF!+"vlM!$PE"</f>
        <v>#REF!</v>
      </c>
      <c r="CJ46" t="e">
        <f>#REF!+"vlM!$PF"</f>
        <v>#REF!</v>
      </c>
      <c r="CK46" t="e">
        <f>#REF!+"vlM!$PG"</f>
        <v>#REF!</v>
      </c>
      <c r="CL46" t="e">
        <f>#REF!+"vlM!$PH"</f>
        <v>#REF!</v>
      </c>
      <c r="CM46" t="e">
        <f>#REF!+"vlM!$PI"</f>
        <v>#REF!</v>
      </c>
      <c r="CN46" t="e">
        <f>#REF!+"vlM!$PJ"</f>
        <v>#REF!</v>
      </c>
      <c r="CO46" t="e">
        <f>#REF!+"vlM!$PK"</f>
        <v>#REF!</v>
      </c>
      <c r="CP46" t="e">
        <f>#REF!+"vlM!$PL"</f>
        <v>#REF!</v>
      </c>
      <c r="CQ46" t="e">
        <f>#REF!+"vlM!$PM"</f>
        <v>#REF!</v>
      </c>
      <c r="CR46" t="e">
        <f>#REF!+"vlM!$PN"</f>
        <v>#REF!</v>
      </c>
      <c r="CS46" t="e">
        <f>#REF!+"vlM!$PO"</f>
        <v>#REF!</v>
      </c>
      <c r="CT46" t="e">
        <f>#REF!+"vlM!$PP"</f>
        <v>#REF!</v>
      </c>
      <c r="CU46" t="e">
        <f>#REF!+"vlM!$PQ"</f>
        <v>#REF!</v>
      </c>
      <c r="CV46" t="e">
        <f>#REF!+"vlM!$PR"</f>
        <v>#REF!</v>
      </c>
      <c r="CW46" t="e">
        <f>#REF!+"vlM!$PS"</f>
        <v>#REF!</v>
      </c>
      <c r="CX46" t="e">
        <f>#REF!+"vlM!$PT"</f>
        <v>#REF!</v>
      </c>
      <c r="CY46" t="e">
        <f>#REF!+"vlM!$PU"</f>
        <v>#REF!</v>
      </c>
      <c r="CZ46" t="e">
        <f>#REF!+"vlM!$PV"</f>
        <v>#REF!</v>
      </c>
      <c r="DA46" t="e">
        <f>#REF!+"vlM!$PW"</f>
        <v>#REF!</v>
      </c>
      <c r="DB46" t="e">
        <f>#REF!+"vlM!$PX"</f>
        <v>#REF!</v>
      </c>
      <c r="DC46" t="e">
        <f>#REF!+"vlM!$PY"</f>
        <v>#REF!</v>
      </c>
      <c r="DD46" t="e">
        <f>#REF!+"vlM!$PZ"</f>
        <v>#REF!</v>
      </c>
      <c r="DE46" t="e">
        <f>#REF!+"vlM!$P["</f>
        <v>#REF!</v>
      </c>
      <c r="DF46" t="e">
        <f>#REF!+"vlM!$P\"</f>
        <v>#REF!</v>
      </c>
      <c r="DG46" t="e">
        <f>#REF!+"vlM!$P]"</f>
        <v>#REF!</v>
      </c>
      <c r="DH46" t="e">
        <f>#REF!+"vlM!$P^"</f>
        <v>#REF!</v>
      </c>
      <c r="DI46" t="e">
        <f>#REF!+"vlM!$P_"</f>
        <v>#REF!</v>
      </c>
      <c r="DJ46" t="e">
        <f>#REF!+"vlM!$P`"</f>
        <v>#REF!</v>
      </c>
      <c r="DK46" t="e">
        <f>#REF!+"vlM!$Pa"</f>
        <v>#REF!</v>
      </c>
      <c r="DL46" t="e">
        <f>#REF!+"vlM!$Pb"</f>
        <v>#REF!</v>
      </c>
      <c r="DM46" t="e">
        <f>#REF!+"vlM!$Pc"</f>
        <v>#REF!</v>
      </c>
      <c r="DN46" t="e">
        <f>#REF!+"vlM!$Pd"</f>
        <v>#REF!</v>
      </c>
      <c r="DO46" t="e">
        <f>#REF!+"vlM!$Pe"</f>
        <v>#REF!</v>
      </c>
      <c r="DP46" t="e">
        <f>#REF!+"vlM!$Pf"</f>
        <v>#REF!</v>
      </c>
      <c r="DQ46" t="e">
        <f>#REF!+"vlM!$Pg"</f>
        <v>#REF!</v>
      </c>
      <c r="DR46" t="e">
        <f>#REF!+"vlM!$Ph"</f>
        <v>#REF!</v>
      </c>
      <c r="DS46" t="e">
        <f>#REF!+"vlM!$Pi"</f>
        <v>#REF!</v>
      </c>
      <c r="DT46" t="e">
        <f>#REF!+"vlM!$Pj"</f>
        <v>#REF!</v>
      </c>
      <c r="DU46" t="e">
        <f>#REF!+"vlM!$Pk"</f>
        <v>#REF!</v>
      </c>
      <c r="DV46" t="e">
        <f>#REF!+"vlM!$Pl"</f>
        <v>#REF!</v>
      </c>
      <c r="DW46" t="e">
        <f>#REF!+"vlM!$Pm"</f>
        <v>#REF!</v>
      </c>
      <c r="DX46" t="e">
        <f>#REF!+"vlM!$Pn"</f>
        <v>#REF!</v>
      </c>
      <c r="DY46" t="e">
        <f>#REF!+"vlM!$Po"</f>
        <v>#REF!</v>
      </c>
      <c r="DZ46" t="e">
        <f>#REF!+"vlM!$Pp"</f>
        <v>#REF!</v>
      </c>
      <c r="EA46" t="e">
        <f>#REF!+"vlM!$Pq"</f>
        <v>#REF!</v>
      </c>
      <c r="EB46" t="e">
        <f>#REF!+"vlM!$Pr"</f>
        <v>#REF!</v>
      </c>
      <c r="EC46" t="e">
        <f>#REF!+"vlM!$Ps"</f>
        <v>#REF!</v>
      </c>
      <c r="ED46" t="e">
        <f>#REF!+"vlM!$Pt"</f>
        <v>#REF!</v>
      </c>
      <c r="EE46" t="e">
        <f>#REF!+"vlM!$Pu"</f>
        <v>#REF!</v>
      </c>
      <c r="EF46" t="e">
        <f>#REF!+"vlM!$Pv"</f>
        <v>#REF!</v>
      </c>
      <c r="EG46" t="e">
        <f>#REF!+"vlM!$Pw"</f>
        <v>#REF!</v>
      </c>
      <c r="EH46" t="e">
        <f>#REF!+"vlM!$Px"</f>
        <v>#REF!</v>
      </c>
      <c r="EI46" t="e">
        <f>#REF!+"vlM!$Py"</f>
        <v>#REF!</v>
      </c>
      <c r="EJ46" t="e">
        <f>#REF!+"vlM!$Pz"</f>
        <v>#REF!</v>
      </c>
      <c r="EK46" t="e">
        <f>#REF!+"vlM!$P{"</f>
        <v>#REF!</v>
      </c>
      <c r="EL46" t="e">
        <f>#REF!+"vlM!$P|"</f>
        <v>#REF!</v>
      </c>
      <c r="EM46" t="e">
        <f>#REF!+"vlM!$P}"</f>
        <v>#REF!</v>
      </c>
      <c r="EN46" t="e">
        <f>#REF!+"vlM!$P~"</f>
        <v>#REF!</v>
      </c>
      <c r="EO46" t="e">
        <f>#REF!+"vlM!$Q#"</f>
        <v>#REF!</v>
      </c>
      <c r="EP46" t="e">
        <f>#REF!+"vlM!$Q$"</f>
        <v>#REF!</v>
      </c>
      <c r="EQ46" t="e">
        <f>#REF!+"vlM!$Q%"</f>
        <v>#REF!</v>
      </c>
      <c r="ER46" t="e">
        <f>#REF!+"vlM!$Q&amp;"</f>
        <v>#REF!</v>
      </c>
      <c r="ES46" t="e">
        <f>#REF!+"vlM!$Q'"</f>
        <v>#REF!</v>
      </c>
      <c r="ET46" t="e">
        <f>#REF!+"vlM!$Q("</f>
        <v>#REF!</v>
      </c>
      <c r="EU46" t="e">
        <f>#REF!+"vlM!$Q)"</f>
        <v>#REF!</v>
      </c>
      <c r="EV46" t="e">
        <f>#REF!+"vlM!$Q."</f>
        <v>#REF!</v>
      </c>
      <c r="EW46" t="e">
        <f>#REF!+"vlM!$Q/"</f>
        <v>#REF!</v>
      </c>
      <c r="EX46" t="e">
        <f>#REF!+"vlM!$Q0"</f>
        <v>#REF!</v>
      </c>
      <c r="EY46" t="e">
        <f>#REF!+"vlM!$Q1"</f>
        <v>#REF!</v>
      </c>
      <c r="EZ46" t="e">
        <f>#REF!+"vlM!$Q2"</f>
        <v>#REF!</v>
      </c>
      <c r="FA46" t="e">
        <f>#REF!+"vlM!$Q3"</f>
        <v>#REF!</v>
      </c>
      <c r="FB46" t="e">
        <f>#REF!+"vlM!$Q4"</f>
        <v>#REF!</v>
      </c>
      <c r="FC46" t="e">
        <f>#REF!+"vlM!$Q5"</f>
        <v>#REF!</v>
      </c>
      <c r="FD46" t="e">
        <f>#REF!+"vlM!$Q6"</f>
        <v>#REF!</v>
      </c>
      <c r="FE46" t="e">
        <f>#REF!+"vlM!$Q7"</f>
        <v>#REF!</v>
      </c>
      <c r="FF46" t="e">
        <f>#REF!+"vlM!$Q8"</f>
        <v>#REF!</v>
      </c>
      <c r="FG46" t="e">
        <f>#REF!+"vlM!$Q9"</f>
        <v>#REF!</v>
      </c>
      <c r="FH46" t="e">
        <f>#REF!+"vlM!$Q:"</f>
        <v>#REF!</v>
      </c>
      <c r="FI46" t="e">
        <f>#REF!+"vlM!$Q;"</f>
        <v>#REF!</v>
      </c>
      <c r="FJ46" t="e">
        <f>#REF!+"vlM!$Q&lt;"</f>
        <v>#REF!</v>
      </c>
      <c r="FK46" t="e">
        <f>#REF!+"vlM!$Q="</f>
        <v>#REF!</v>
      </c>
      <c r="FL46" t="e">
        <f>#REF!+"vlM!$Q&gt;"</f>
        <v>#REF!</v>
      </c>
      <c r="FM46" t="e">
        <f>#REF!+"vlM!$Q?"</f>
        <v>#REF!</v>
      </c>
      <c r="FN46" t="e">
        <f>#REF!+"vlM!$Q@"</f>
        <v>#REF!</v>
      </c>
      <c r="FO46" t="e">
        <f>#REF!+"vlM!$QA"</f>
        <v>#REF!</v>
      </c>
      <c r="FP46" t="e">
        <f>#REF!+"vlM!$QB"</f>
        <v>#REF!</v>
      </c>
      <c r="FQ46" t="e">
        <f>#REF!+"vlM!$QC"</f>
        <v>#REF!</v>
      </c>
      <c r="FR46" t="e">
        <f>#REF!+"vlM!$QD"</f>
        <v>#REF!</v>
      </c>
      <c r="FS46" t="e">
        <f>#REF!+"vlM!$QE"</f>
        <v>#REF!</v>
      </c>
      <c r="FT46" t="e">
        <f>#REF!+"vlM!$QF"</f>
        <v>#REF!</v>
      </c>
      <c r="FU46" t="e">
        <f>#REF!+"vlM!$QG"</f>
        <v>#REF!</v>
      </c>
      <c r="FV46" t="e">
        <f>#REF!+"vlM!$QH"</f>
        <v>#REF!</v>
      </c>
      <c r="FW46" t="e">
        <f>#REF!+"vlM!$QI"</f>
        <v>#REF!</v>
      </c>
      <c r="FX46" t="e">
        <f>#REF!+"vlM!$QJ"</f>
        <v>#REF!</v>
      </c>
      <c r="FY46" t="e">
        <f>#REF!+"vlM!$QK"</f>
        <v>#REF!</v>
      </c>
      <c r="FZ46" t="e">
        <f>#REF!+"vlM!$QL"</f>
        <v>#REF!</v>
      </c>
      <c r="GA46" t="e">
        <f>#REF!+"vlM!$QM"</f>
        <v>#REF!</v>
      </c>
      <c r="GB46" t="e">
        <f>#REF!+"vlM!$QN"</f>
        <v>#REF!</v>
      </c>
      <c r="GC46" t="e">
        <f>#REF!+"vlM!$QO"</f>
        <v>#REF!</v>
      </c>
      <c r="GD46" t="e">
        <f>#REF!+"vlM!$QP"</f>
        <v>#REF!</v>
      </c>
      <c r="GE46" t="e">
        <f>#REF!+"vlM!$QQ"</f>
        <v>#REF!</v>
      </c>
      <c r="GF46" t="e">
        <f>#REF!+"vlM!$QR"</f>
        <v>#REF!</v>
      </c>
      <c r="GG46" t="e">
        <f>#REF!+"vlM!$QS"</f>
        <v>#REF!</v>
      </c>
      <c r="GH46" t="e">
        <f>#REF!+"vlM!$QT"</f>
        <v>#REF!</v>
      </c>
      <c r="GI46" t="e">
        <f>#REF!+"vlM!$QU"</f>
        <v>#REF!</v>
      </c>
      <c r="GJ46" t="e">
        <f>#REF!+"vlM!$QV"</f>
        <v>#REF!</v>
      </c>
      <c r="GK46" t="e">
        <f>#REF!+"vlM!$QW"</f>
        <v>#REF!</v>
      </c>
      <c r="GL46" t="e">
        <f>#REF!+"vlM!$QX"</f>
        <v>#REF!</v>
      </c>
      <c r="GM46" t="e">
        <f>#REF!+"vlM!$QY"</f>
        <v>#REF!</v>
      </c>
      <c r="GN46" t="e">
        <f>#REF!+"vlM!$QZ"</f>
        <v>#REF!</v>
      </c>
      <c r="GO46" t="e">
        <f>#REF!+"vlM!$Q["</f>
        <v>#REF!</v>
      </c>
      <c r="GP46" t="e">
        <f>#REF!+"vlM!$Q\"</f>
        <v>#REF!</v>
      </c>
      <c r="GQ46" t="e">
        <f>#REF!+"vlM!$Q]"</f>
        <v>#REF!</v>
      </c>
      <c r="GR46" t="e">
        <f>#REF!+"vlM!$Q^"</f>
        <v>#REF!</v>
      </c>
      <c r="GS46" t="e">
        <f>#REF!+"vlM!$Q_"</f>
        <v>#REF!</v>
      </c>
      <c r="GT46" t="e">
        <f>#REF!+"vlM!$Q`"</f>
        <v>#REF!</v>
      </c>
      <c r="GU46" t="e">
        <f>#REF!+"vlM!$Qa"</f>
        <v>#REF!</v>
      </c>
      <c r="GV46" t="e">
        <f>#REF!+"vlM!$Qb"</f>
        <v>#REF!</v>
      </c>
      <c r="GW46" t="e">
        <f>#REF!+"vlM!$Qc"</f>
        <v>#REF!</v>
      </c>
      <c r="GX46" t="e">
        <f>#REF!+"vlM!$Qd"</f>
        <v>#REF!</v>
      </c>
      <c r="GY46" t="e">
        <f>#REF!+"vlM!$Qe"</f>
        <v>#REF!</v>
      </c>
      <c r="GZ46" t="e">
        <f>#REF!+"vlM!$Qf"</f>
        <v>#REF!</v>
      </c>
      <c r="HA46" t="e">
        <f>#REF!+"vlM!$Qg"</f>
        <v>#REF!</v>
      </c>
      <c r="HB46" t="e">
        <f>#REF!+"vlM!$Qh"</f>
        <v>#REF!</v>
      </c>
      <c r="HC46" t="e">
        <f>#REF!+"vlM!$Qi"</f>
        <v>#REF!</v>
      </c>
      <c r="HD46" t="e">
        <f>#REF!+"vlM!$Qj"</f>
        <v>#REF!</v>
      </c>
      <c r="HE46" t="e">
        <f>#REF!+"vlM!$Qk"</f>
        <v>#REF!</v>
      </c>
      <c r="HF46" t="e">
        <f>#REF!+"vlM!$Ql"</f>
        <v>#REF!</v>
      </c>
      <c r="HG46" t="e">
        <f>#REF!+"vlM!$Qm"</f>
        <v>#REF!</v>
      </c>
      <c r="HH46" t="e">
        <f>#REF!+"vlM!$Qn"</f>
        <v>#REF!</v>
      </c>
      <c r="HI46" t="e">
        <f>#REF!+"vlM!$Qo"</f>
        <v>#REF!</v>
      </c>
      <c r="HJ46" t="e">
        <f>#REF!+"vlM!$Qp"</f>
        <v>#REF!</v>
      </c>
      <c r="HK46" t="e">
        <f>#REF!+"vlM!$Qq"</f>
        <v>#REF!</v>
      </c>
      <c r="HL46" t="e">
        <f>#REF!+"vlM!$Qr"</f>
        <v>#REF!</v>
      </c>
      <c r="HM46" t="e">
        <f>#REF!+"vlM!$Qs"</f>
        <v>#REF!</v>
      </c>
      <c r="HN46" t="e">
        <f>#REF!+"vlM!$Qt"</f>
        <v>#REF!</v>
      </c>
      <c r="HO46" t="e">
        <f>#REF!+"vlM!$Qu"</f>
        <v>#REF!</v>
      </c>
      <c r="HP46" t="e">
        <f>#REF!+"vlM!$Qv"</f>
        <v>#REF!</v>
      </c>
      <c r="HQ46" t="e">
        <f>#REF!+"vlM!$Qw"</f>
        <v>#REF!</v>
      </c>
      <c r="HR46" t="e">
        <f>#REF!+"vlM!$Qx"</f>
        <v>#REF!</v>
      </c>
      <c r="HS46" t="e">
        <f>#REF!+"vlM!$Qy"</f>
        <v>#REF!</v>
      </c>
      <c r="HT46" t="e">
        <f>#REF!+"vlM!$Qz"</f>
        <v>#REF!</v>
      </c>
      <c r="HU46" t="e">
        <f>#REF!+"vlM!$Q{"</f>
        <v>#REF!</v>
      </c>
      <c r="HV46" t="e">
        <f>#REF!+"vlM!$Q|"</f>
        <v>#REF!</v>
      </c>
      <c r="HW46" t="e">
        <f>#REF!+"vlM!$Q}"</f>
        <v>#REF!</v>
      </c>
      <c r="HX46" t="e">
        <f>#REF!+"vlM!$Q~"</f>
        <v>#REF!</v>
      </c>
      <c r="HY46" t="e">
        <f>#REF!+"vlM!$R#"</f>
        <v>#REF!</v>
      </c>
      <c r="HZ46" t="e">
        <f>#REF!+"vlM!$R$"</f>
        <v>#REF!</v>
      </c>
      <c r="IA46" t="e">
        <f>#REF!+"vlM!$R%"</f>
        <v>#REF!</v>
      </c>
      <c r="IB46" t="e">
        <f>#REF!+"vlM!$R&amp;"</f>
        <v>#REF!</v>
      </c>
      <c r="IC46" t="e">
        <f>#REF!+"vlM!$R'"</f>
        <v>#REF!</v>
      </c>
      <c r="ID46" t="e">
        <f>#REF!+"vlM!$R("</f>
        <v>#REF!</v>
      </c>
      <c r="IE46" t="e">
        <f>#REF!+"vlM!$R)"</f>
        <v>#REF!</v>
      </c>
      <c r="IF46" t="e">
        <f>#REF!+"vlM!$R."</f>
        <v>#REF!</v>
      </c>
      <c r="IG46" t="e">
        <f>#REF!+"vlM!$R/"</f>
        <v>#REF!</v>
      </c>
      <c r="IH46" t="e">
        <f>#REF!+"vlM!$R0"</f>
        <v>#REF!</v>
      </c>
      <c r="II46" t="e">
        <f>#REF!+"vlM!$R1"</f>
        <v>#REF!</v>
      </c>
      <c r="IJ46" t="e">
        <f>#REF!+"vlM!$R2"</f>
        <v>#REF!</v>
      </c>
      <c r="IK46" t="e">
        <f>#REF!+"vlM!$R3"</f>
        <v>#REF!</v>
      </c>
      <c r="IL46" t="e">
        <f>#REF!+"vlM!$R4"</f>
        <v>#REF!</v>
      </c>
      <c r="IM46" t="e">
        <f>#REF!+"vlM!$R5"</f>
        <v>#REF!</v>
      </c>
      <c r="IN46" t="e">
        <f>#REF!+"vlM!$R6"</f>
        <v>#REF!</v>
      </c>
      <c r="IO46" t="e">
        <f>#REF!+"vlM!$R7"</f>
        <v>#REF!</v>
      </c>
      <c r="IP46" t="e">
        <f>#REF!+"vlM!$R8"</f>
        <v>#REF!</v>
      </c>
      <c r="IQ46" t="e">
        <f>#REF!+"vlM!$R9"</f>
        <v>#REF!</v>
      </c>
      <c r="IR46" t="e">
        <f>#REF!+"vlM!$R:"</f>
        <v>#REF!</v>
      </c>
      <c r="IS46" t="e">
        <f>#REF!+"vlM!$R;"</f>
        <v>#REF!</v>
      </c>
      <c r="IT46" t="e">
        <f>#REF!+"vlM!$R&lt;"</f>
        <v>#REF!</v>
      </c>
      <c r="IU46" t="e">
        <f>#REF!+"vlM!$R="</f>
        <v>#REF!</v>
      </c>
      <c r="IV46" t="e">
        <f>#REF!+"vlM!$R&gt;"</f>
        <v>#REF!</v>
      </c>
    </row>
    <row r="47" spans="6:256" x14ac:dyDescent="0.25">
      <c r="F47" t="e">
        <f>#REF!+"vlM!$R?"</f>
        <v>#REF!</v>
      </c>
      <c r="G47" t="e">
        <f>#REF!+"vlM!$R@"</f>
        <v>#REF!</v>
      </c>
      <c r="H47" t="e">
        <f>#REF!+"vlM!$RA"</f>
        <v>#REF!</v>
      </c>
      <c r="I47" t="e">
        <f>#REF!+"vlM!$RB"</f>
        <v>#REF!</v>
      </c>
      <c r="J47" t="e">
        <f>#REF!+"vlM!$RC"</f>
        <v>#REF!</v>
      </c>
      <c r="K47" t="e">
        <f>#REF!+"vlM!$RD"</f>
        <v>#REF!</v>
      </c>
      <c r="L47" t="e">
        <f>#REF!+"vlM!$RE"</f>
        <v>#REF!</v>
      </c>
      <c r="M47" t="e">
        <f>#REF!+"vlM!$RF"</f>
        <v>#REF!</v>
      </c>
      <c r="N47" t="e">
        <f>#REF!+"vlM!$RG"</f>
        <v>#REF!</v>
      </c>
      <c r="O47" t="e">
        <f>#REF!+"vlM!$RH"</f>
        <v>#REF!</v>
      </c>
      <c r="P47" t="e">
        <f>#REF!+"vlM!$RI"</f>
        <v>#REF!</v>
      </c>
      <c r="Q47" t="e">
        <f>#REF!+"vlM!$RJ"</f>
        <v>#REF!</v>
      </c>
      <c r="R47" t="e">
        <f>#REF!+"vlM!$RK"</f>
        <v>#REF!</v>
      </c>
      <c r="S47" t="e">
        <f>#REF!+"vlM!$RL"</f>
        <v>#REF!</v>
      </c>
      <c r="T47" t="e">
        <f>#REF!+"vlM!$RM"</f>
        <v>#REF!</v>
      </c>
      <c r="U47" t="e">
        <f>#REF!+"vlM!$RN"</f>
        <v>#REF!</v>
      </c>
      <c r="V47" t="e">
        <f>#REF!+"vlM!$RO"</f>
        <v>#REF!</v>
      </c>
      <c r="W47" t="e">
        <f>#REF!+"vlM!$RP"</f>
        <v>#REF!</v>
      </c>
      <c r="X47" t="e">
        <f>#REF!+"vlM!$RQ"</f>
        <v>#REF!</v>
      </c>
      <c r="Y47" t="e">
        <f>#REF!+"vlM!$RR"</f>
        <v>#REF!</v>
      </c>
      <c r="Z47" t="e">
        <f>#REF!+"vlM!$RS"</f>
        <v>#REF!</v>
      </c>
      <c r="AA47" t="e">
        <f>#REF!+"vlM!$RT"</f>
        <v>#REF!</v>
      </c>
      <c r="AB47" t="e">
        <f>#REF!+"vlM!$RU"</f>
        <v>#REF!</v>
      </c>
      <c r="AC47" t="e">
        <f>#REF!+"vlM!$RV"</f>
        <v>#REF!</v>
      </c>
      <c r="AD47" t="e">
        <f>#REF!+"vlM!$RW"</f>
        <v>#REF!</v>
      </c>
      <c r="AE47" t="e">
        <f>#REF!+"vlM!$RX"</f>
        <v>#REF!</v>
      </c>
      <c r="AF47" t="e">
        <f>#REF!+"vlM!$RY"</f>
        <v>#REF!</v>
      </c>
      <c r="AG47" t="e">
        <f>#REF!+"vlM!$RZ"</f>
        <v>#REF!</v>
      </c>
      <c r="AH47" t="e">
        <f>#REF!+"vlM!$R["</f>
        <v>#REF!</v>
      </c>
      <c r="AI47" t="e">
        <f>#REF!+"vlM!$R\"</f>
        <v>#REF!</v>
      </c>
      <c r="AJ47" t="e">
        <f>#REF!+"vlM!$R]"</f>
        <v>#REF!</v>
      </c>
      <c r="AK47" t="e">
        <f>#REF!+"vlM!$R^"</f>
        <v>#REF!</v>
      </c>
      <c r="AL47" t="e">
        <f>#REF!+"vlM!$R_"</f>
        <v>#REF!</v>
      </c>
      <c r="AM47" t="e">
        <f>#REF!+"vlM!$R`"</f>
        <v>#REF!</v>
      </c>
      <c r="AN47" t="e">
        <f>#REF!+"vlM!$Ra"</f>
        <v>#REF!</v>
      </c>
      <c r="AO47" t="e">
        <f>#REF!+"vlM!$Rb"</f>
        <v>#REF!</v>
      </c>
      <c r="AP47" t="e">
        <f>#REF!+"vlM!$Rc"</f>
        <v>#REF!</v>
      </c>
      <c r="AQ47" t="e">
        <f>#REF!+"vlM!$Rd"</f>
        <v>#REF!</v>
      </c>
      <c r="AR47" t="e">
        <f>#REF!+"vlM!$Re"</f>
        <v>#REF!</v>
      </c>
      <c r="AS47" t="e">
        <f>#REF!+"vlM!$Rf"</f>
        <v>#REF!</v>
      </c>
      <c r="AT47" t="e">
        <f>#REF!+"vlM!$Rg"</f>
        <v>#REF!</v>
      </c>
      <c r="AU47" t="e">
        <f>#REF!+"vlM!$Rh"</f>
        <v>#REF!</v>
      </c>
      <c r="AV47" t="e">
        <f>#REF!+"vlM!$Ri"</f>
        <v>#REF!</v>
      </c>
      <c r="AW47" t="e">
        <f>#REF!+"vlM!$Rj"</f>
        <v>#REF!</v>
      </c>
      <c r="AX47" t="e">
        <f>#REF!+"vlM!$Rk"</f>
        <v>#REF!</v>
      </c>
      <c r="AY47" t="e">
        <f>#REF!+"vlM!$Rl"</f>
        <v>#REF!</v>
      </c>
      <c r="AZ47" t="e">
        <f>#REF!+"vlM!$Rm"</f>
        <v>#REF!</v>
      </c>
      <c r="BA47" t="e">
        <f>#REF!+"vlM!$Rn"</f>
        <v>#REF!</v>
      </c>
      <c r="BB47" t="e">
        <f>#REF!+"vlM!$Ro"</f>
        <v>#REF!</v>
      </c>
      <c r="BC47" t="e">
        <f>#REF!+"vlM!$Rp"</f>
        <v>#REF!</v>
      </c>
      <c r="BD47" t="e">
        <f>#REF!+"vlM!$Rq"</f>
        <v>#REF!</v>
      </c>
      <c r="BE47" t="e">
        <f>#REF!+"vlM!$Rr"</f>
        <v>#REF!</v>
      </c>
      <c r="BF47" t="e">
        <f>#REF!+"vlM!$Rs"</f>
        <v>#REF!</v>
      </c>
      <c r="BG47" t="e">
        <f>#REF!+"vlM!$Rt"</f>
        <v>#REF!</v>
      </c>
      <c r="BH47" t="e">
        <f>#REF!+"vlM!$Ru"</f>
        <v>#REF!</v>
      </c>
      <c r="BI47" t="e">
        <f>#REF!+"vlM!$Rv"</f>
        <v>#REF!</v>
      </c>
      <c r="BJ47" t="e">
        <f>#REF!+"vlM!$Rw"</f>
        <v>#REF!</v>
      </c>
      <c r="BK47" t="e">
        <f>#REF!+"vlM!$Rx"</f>
        <v>#REF!</v>
      </c>
      <c r="BL47" t="e">
        <f>#REF!+"vlM!$Ry"</f>
        <v>#REF!</v>
      </c>
      <c r="BM47" t="e">
        <f>#REF!+"vlM!$Rz"</f>
        <v>#REF!</v>
      </c>
      <c r="BN47" t="e">
        <f>#REF!+"vlM!$R{"</f>
        <v>#REF!</v>
      </c>
      <c r="BO47" t="e">
        <f>#REF!+"vlM!$R|"</f>
        <v>#REF!</v>
      </c>
      <c r="BP47" t="e">
        <f>#REF!+"vlM!$R}"</f>
        <v>#REF!</v>
      </c>
      <c r="BQ47" t="e">
        <f>#REF!+"vlM!$R~"</f>
        <v>#REF!</v>
      </c>
      <c r="BR47" t="e">
        <f>#REF!+"vlM!$S#"</f>
        <v>#REF!</v>
      </c>
      <c r="BS47" t="e">
        <f>#REF!+"vlM!$S$"</f>
        <v>#REF!</v>
      </c>
      <c r="BT47" t="e">
        <f>#REF!+"vlM!$S%"</f>
        <v>#REF!</v>
      </c>
      <c r="BU47" t="e">
        <f>#REF!+"vlM!$S&amp;"</f>
        <v>#REF!</v>
      </c>
      <c r="BV47" t="e">
        <f>#REF!+"vlM!$S'"</f>
        <v>#REF!</v>
      </c>
      <c r="BW47" t="e">
        <f>#REF!+"vlM!$S("</f>
        <v>#REF!</v>
      </c>
      <c r="BX47" t="e">
        <f>#REF!+"vlM!$S)"</f>
        <v>#REF!</v>
      </c>
      <c r="BY47" t="e">
        <f>#REF!+"vlM!$S."</f>
        <v>#REF!</v>
      </c>
      <c r="BZ47" t="e">
        <f>#REF!+"vlM!$S/"</f>
        <v>#REF!</v>
      </c>
      <c r="CA47" t="e">
        <f>#REF!+"vlM!$S0"</f>
        <v>#REF!</v>
      </c>
      <c r="CB47" t="e">
        <f>#REF!+"vlM!$S1"</f>
        <v>#REF!</v>
      </c>
      <c r="CC47" t="e">
        <f>#REF!+"vlM!$S2"</f>
        <v>#REF!</v>
      </c>
      <c r="CD47" t="e">
        <f>#REF!+"vlM!$S3"</f>
        <v>#REF!</v>
      </c>
      <c r="CE47" t="e">
        <f>#REF!+"vlM!$S4"</f>
        <v>#REF!</v>
      </c>
      <c r="CF47" t="e">
        <f>#REF!+"vlM!$S5"</f>
        <v>#REF!</v>
      </c>
      <c r="CG47" t="e">
        <f>#REF!+"vlM!$S6"</f>
        <v>#REF!</v>
      </c>
      <c r="CH47" t="e">
        <f>#REF!+"vlM!$S7"</f>
        <v>#REF!</v>
      </c>
      <c r="CI47" t="e">
        <f>#REF!+"vlM!$S8"</f>
        <v>#REF!</v>
      </c>
      <c r="CJ47" t="e">
        <f>#REF!+"vlM!$S9"</f>
        <v>#REF!</v>
      </c>
      <c r="CK47" t="e">
        <f>#REF!+"vlM!$S:"</f>
        <v>#REF!</v>
      </c>
      <c r="CL47" t="e">
        <f>#REF!+"vlM!$S;"</f>
        <v>#REF!</v>
      </c>
      <c r="CM47" t="e">
        <f>#REF!+"vlM!$S&lt;"</f>
        <v>#REF!</v>
      </c>
      <c r="CN47" t="e">
        <f>#REF!+"vlM!$S="</f>
        <v>#REF!</v>
      </c>
      <c r="CO47" t="e">
        <f>#REF!+"vlM!$S&gt;"</f>
        <v>#REF!</v>
      </c>
      <c r="CP47" t="e">
        <f>#REF!+"vlM!$S?"</f>
        <v>#REF!</v>
      </c>
      <c r="CQ47" t="e">
        <f>#REF!+"vlM!$S@"</f>
        <v>#REF!</v>
      </c>
      <c r="CR47" t="e">
        <f>#REF!+"vlM!$SA"</f>
        <v>#REF!</v>
      </c>
      <c r="CS47" t="e">
        <f>#REF!+"vlM!$SB"</f>
        <v>#REF!</v>
      </c>
      <c r="CT47" t="e">
        <f>#REF!+"vlM!$SC"</f>
        <v>#REF!</v>
      </c>
      <c r="CU47" t="e">
        <f>#REF!+"vlM!$SD"</f>
        <v>#REF!</v>
      </c>
      <c r="CV47" t="e">
        <f>#REF!+"vlM!$SE"</f>
        <v>#REF!</v>
      </c>
      <c r="CW47" t="e">
        <f>#REF!+"vlM!$SF"</f>
        <v>#REF!</v>
      </c>
      <c r="CX47" t="e">
        <f>#REF!+"vlM!$SG"</f>
        <v>#REF!</v>
      </c>
      <c r="CY47" t="e">
        <f>#REF!+"vlM!$SH"</f>
        <v>#REF!</v>
      </c>
      <c r="CZ47" t="e">
        <f>#REF!+"vlM!$SI"</f>
        <v>#REF!</v>
      </c>
      <c r="DA47" t="e">
        <f>#REF!+"vlM!$SJ"</f>
        <v>#REF!</v>
      </c>
      <c r="DB47" t="e">
        <f>#REF!+"vlM!$SK"</f>
        <v>#REF!</v>
      </c>
      <c r="DC47" t="e">
        <f>#REF!+"vlM!$SL"</f>
        <v>#REF!</v>
      </c>
      <c r="DD47" t="e">
        <f>#REF!+"vlM!$SM"</f>
        <v>#REF!</v>
      </c>
      <c r="DE47" t="e">
        <f>#REF!+"vlM!$SN"</f>
        <v>#REF!</v>
      </c>
      <c r="DF47" t="e">
        <f>#REF!+"vlM!$SO"</f>
        <v>#REF!</v>
      </c>
      <c r="DG47" t="e">
        <f>#REF!+"vlM!$SP"</f>
        <v>#REF!</v>
      </c>
      <c r="DH47" t="e">
        <f>#REF!+"vlM!$SQ"</f>
        <v>#REF!</v>
      </c>
      <c r="DI47" t="e">
        <f>#REF!+"vlM!$SR"</f>
        <v>#REF!</v>
      </c>
      <c r="DJ47" t="e">
        <f>#REF!+"vlM!$SS"</f>
        <v>#REF!</v>
      </c>
      <c r="DK47" t="e">
        <f>#REF!+"vlM!$ST"</f>
        <v>#REF!</v>
      </c>
      <c r="DL47" t="e">
        <f>#REF!+"vlM!$SU"</f>
        <v>#REF!</v>
      </c>
      <c r="DM47" t="e">
        <f>#REF!+"vlM!$SV"</f>
        <v>#REF!</v>
      </c>
      <c r="DN47" t="e">
        <f>#REF!+"vlM!$SW"</f>
        <v>#REF!</v>
      </c>
      <c r="DO47" t="e">
        <f>#REF!+"vlM!$SX"</f>
        <v>#REF!</v>
      </c>
      <c r="DP47" t="e">
        <f>#REF!+"vlM!$SY"</f>
        <v>#REF!</v>
      </c>
      <c r="DQ47" t="e">
        <f>#REF!+"vlM!$SZ"</f>
        <v>#REF!</v>
      </c>
      <c r="DR47" t="e">
        <f>#REF!+"vlM!$S["</f>
        <v>#REF!</v>
      </c>
      <c r="DS47" t="e">
        <f>#REF!+"vlM!$S\"</f>
        <v>#REF!</v>
      </c>
      <c r="DT47" t="e">
        <f>#REF!+"vlM!$S]"</f>
        <v>#REF!</v>
      </c>
      <c r="DU47" t="e">
        <f>#REF!+"vlM!$S^"</f>
        <v>#REF!</v>
      </c>
      <c r="DV47" t="e">
        <f>#REF!+"vlM!$S_"</f>
        <v>#REF!</v>
      </c>
      <c r="DW47" t="e">
        <f>#REF!+"vlM!$S`"</f>
        <v>#REF!</v>
      </c>
      <c r="DX47" t="e">
        <f>#REF!+"vlM!$Sa"</f>
        <v>#REF!</v>
      </c>
      <c r="DY47" t="e">
        <f>#REF!+"vlM!$Sb"</f>
        <v>#REF!</v>
      </c>
      <c r="DZ47" t="e">
        <f>#REF!+"vlM!$Sc"</f>
        <v>#REF!</v>
      </c>
      <c r="EA47" t="e">
        <f>#REF!+"vlM!$Sd"</f>
        <v>#REF!</v>
      </c>
      <c r="EB47" t="e">
        <f>#REF!+"vlM!$Se"</f>
        <v>#REF!</v>
      </c>
      <c r="EC47" t="e">
        <f>#REF!+"vlM!$Sf"</f>
        <v>#REF!</v>
      </c>
      <c r="ED47" t="e">
        <f>#REF!+"vlM!$Sg"</f>
        <v>#REF!</v>
      </c>
      <c r="EE47" t="e">
        <f>#REF!+"vlM!$Sh"</f>
        <v>#REF!</v>
      </c>
      <c r="EF47" t="e">
        <f>#REF!+"vlM!$Si"</f>
        <v>#REF!</v>
      </c>
      <c r="EG47" t="e">
        <f>#REF!+"vlM!$Sj"</f>
        <v>#REF!</v>
      </c>
      <c r="EH47" t="e">
        <f>#REF!+"vlM!$Sk"</f>
        <v>#REF!</v>
      </c>
      <c r="EI47" t="e">
        <f>#REF!+"vlM!$Sl"</f>
        <v>#REF!</v>
      </c>
      <c r="EJ47" t="e">
        <f>#REF!+"vlM!$Sm"</f>
        <v>#REF!</v>
      </c>
      <c r="EK47" t="e">
        <f>#REF!+"vlM!$Sn"</f>
        <v>#REF!</v>
      </c>
      <c r="EL47" t="e">
        <f>#REF!+"vlM!$So"</f>
        <v>#REF!</v>
      </c>
      <c r="EM47" t="e">
        <f>#REF!+"vlM!$Sp"</f>
        <v>#REF!</v>
      </c>
      <c r="EN47" t="e">
        <f>#REF!+"vlM!$Sq"</f>
        <v>#REF!</v>
      </c>
      <c r="EO47" t="e">
        <f>#REF!+"vlM!$Sr"</f>
        <v>#REF!</v>
      </c>
      <c r="EP47" t="e">
        <f>#REF!+"vlM!$Ss"</f>
        <v>#REF!</v>
      </c>
      <c r="EQ47" t="e">
        <f>#REF!+"vlM!$St"</f>
        <v>#REF!</v>
      </c>
      <c r="ER47" t="e">
        <f>#REF!+"vlM!$Su"</f>
        <v>#REF!</v>
      </c>
      <c r="ES47" t="e">
        <f>#REF!+"vlM!$Sv"</f>
        <v>#REF!</v>
      </c>
      <c r="ET47" t="e">
        <f>#REF!+"vlM!$Sw"</f>
        <v>#REF!</v>
      </c>
      <c r="EU47" t="e">
        <f>#REF!+"vlM!$Sx"</f>
        <v>#REF!</v>
      </c>
      <c r="EV47" t="e">
        <f>#REF!+"vlM!$Sy"</f>
        <v>#REF!</v>
      </c>
      <c r="EW47" t="e">
        <f>#REF!+"vlM!$Sz"</f>
        <v>#REF!</v>
      </c>
      <c r="EX47" t="e">
        <f>#REF!+"vlM!$S{"</f>
        <v>#REF!</v>
      </c>
      <c r="EY47" t="e">
        <f>#REF!+"vlM!$S|"</f>
        <v>#REF!</v>
      </c>
      <c r="EZ47" t="e">
        <f>#REF!+"vlM!$S}"</f>
        <v>#REF!</v>
      </c>
      <c r="FA47" t="e">
        <f>#REF!+"vlM!$S~"</f>
        <v>#REF!</v>
      </c>
      <c r="FB47" t="e">
        <f>#REF!+"vlM!$T#"</f>
        <v>#REF!</v>
      </c>
      <c r="FC47" t="e">
        <f>#REF!+"vlM!$T$"</f>
        <v>#REF!</v>
      </c>
      <c r="FD47" t="e">
        <f>#REF!+"vlM!$T%"</f>
        <v>#REF!</v>
      </c>
      <c r="FE47" t="e">
        <f>#REF!+"vlM!$T&amp;"</f>
        <v>#REF!</v>
      </c>
      <c r="FF47" t="e">
        <f>#REF!+"vlM!$T'"</f>
        <v>#REF!</v>
      </c>
      <c r="FG47" t="e">
        <f>#REF!+"vlM!$T("</f>
        <v>#REF!</v>
      </c>
      <c r="FH47" t="e">
        <f>#REF!+"vlM!$T)"</f>
        <v>#REF!</v>
      </c>
      <c r="FI47" t="e">
        <f>#REF!+"vlM!$T."</f>
        <v>#REF!</v>
      </c>
      <c r="FJ47" t="e">
        <f>#REF!+"vlM!$T/"</f>
        <v>#REF!</v>
      </c>
      <c r="FK47" t="e">
        <f>#REF!+"vlM!$T0"</f>
        <v>#REF!</v>
      </c>
      <c r="FL47" t="e">
        <f>#REF!+"vlM!$T1"</f>
        <v>#REF!</v>
      </c>
      <c r="FM47" t="e">
        <f>#REF!+"vlM!$T2"</f>
        <v>#REF!</v>
      </c>
      <c r="FN47" t="e">
        <f>#REF!+"vlM!$T3"</f>
        <v>#REF!</v>
      </c>
      <c r="FO47" t="e">
        <f>#REF!+"vlM!$T4"</f>
        <v>#REF!</v>
      </c>
      <c r="FP47" t="e">
        <f>#REF!+"vlM!$T5"</f>
        <v>#REF!</v>
      </c>
      <c r="FQ47" t="e">
        <f>#REF!+"vlM!$T6"</f>
        <v>#REF!</v>
      </c>
      <c r="FR47" t="e">
        <f>#REF!+"vlM!$T7"</f>
        <v>#REF!</v>
      </c>
      <c r="FS47" t="e">
        <f>#REF!+"vlM!$T8"</f>
        <v>#REF!</v>
      </c>
      <c r="FT47" t="e">
        <f>#REF!+"vlM!$T9"</f>
        <v>#REF!</v>
      </c>
      <c r="FU47" t="e">
        <f>#REF!+"vlM!$T:"</f>
        <v>#REF!</v>
      </c>
      <c r="FV47" t="e">
        <f>#REF!+"vlM!$T;"</f>
        <v>#REF!</v>
      </c>
      <c r="FW47" t="e">
        <f>#REF!+"vlM!$T&lt;"</f>
        <v>#REF!</v>
      </c>
      <c r="FX47" t="e">
        <f>#REF!+"vlM!$T="</f>
        <v>#REF!</v>
      </c>
      <c r="FY47" t="e">
        <f>#REF!+"vlM!$T&gt;"</f>
        <v>#REF!</v>
      </c>
      <c r="FZ47" t="e">
        <f>#REF!+"vlM!$T?"</f>
        <v>#REF!</v>
      </c>
      <c r="GA47" t="e">
        <f>#REF!+"vlM!$T@"</f>
        <v>#REF!</v>
      </c>
      <c r="GB47" t="e">
        <f>#REF!+"vlM!$TA"</f>
        <v>#REF!</v>
      </c>
      <c r="GC47" t="e">
        <f>#REF!+"vlM!$TB"</f>
        <v>#REF!</v>
      </c>
      <c r="GD47" t="e">
        <f>#REF!+"vlM!$TC"</f>
        <v>#REF!</v>
      </c>
      <c r="GE47" t="e">
        <f>#REF!+"vlM!$TD"</f>
        <v>#REF!</v>
      </c>
      <c r="GF47" t="e">
        <f>#REF!+"vlM!$TE"</f>
        <v>#REF!</v>
      </c>
      <c r="GG47" t="e">
        <f>#REF!+"vlM!$TF"</f>
        <v>#REF!</v>
      </c>
      <c r="GH47" t="e">
        <f>#REF!+"vlM!$TG"</f>
        <v>#REF!</v>
      </c>
      <c r="GI47" t="e">
        <f>#REF!+"vlM!$TH"</f>
        <v>#REF!</v>
      </c>
      <c r="GJ47" t="e">
        <f>#REF!+"vlM!$TI"</f>
        <v>#REF!</v>
      </c>
      <c r="GK47" t="e">
        <f>#REF!+"vlM!$TJ"</f>
        <v>#REF!</v>
      </c>
      <c r="GL47" t="e">
        <f>#REF!+"vlM!$TK"</f>
        <v>#REF!</v>
      </c>
      <c r="GM47" t="e">
        <f>#REF!+"vlM!$TL"</f>
        <v>#REF!</v>
      </c>
      <c r="GN47" t="e">
        <f>#REF!+"vlM!$TM"</f>
        <v>#REF!</v>
      </c>
      <c r="GO47" t="e">
        <f>#REF!+"vlM!$TN"</f>
        <v>#REF!</v>
      </c>
      <c r="GP47" t="e">
        <f>#REF!+"vlM!$TO"</f>
        <v>#REF!</v>
      </c>
      <c r="GQ47" t="e">
        <f>#REF!+"vlM!$TP"</f>
        <v>#REF!</v>
      </c>
      <c r="GR47" t="e">
        <f>#REF!+"vlM!$TQ"</f>
        <v>#REF!</v>
      </c>
      <c r="GS47" t="e">
        <f>#REF!+"vlM!$TR"</f>
        <v>#REF!</v>
      </c>
      <c r="GT47" t="e">
        <f>#REF!+"vlM!$TS"</f>
        <v>#REF!</v>
      </c>
      <c r="GU47" t="e">
        <f>#REF!+"vlM!$TT"</f>
        <v>#REF!</v>
      </c>
      <c r="GV47" t="e">
        <f>#REF!+"vlM!$TU"</f>
        <v>#REF!</v>
      </c>
      <c r="GW47" t="e">
        <f>#REF!+"vlM!$TV"</f>
        <v>#REF!</v>
      </c>
      <c r="GX47" t="e">
        <f>#REF!+"vlM!$TW"</f>
        <v>#REF!</v>
      </c>
      <c r="GY47" t="e">
        <f>#REF!+"vlM!$TX"</f>
        <v>#REF!</v>
      </c>
      <c r="GZ47" t="e">
        <f>#REF!+"vlM!$TY"</f>
        <v>#REF!</v>
      </c>
      <c r="HA47" t="e">
        <f>#REF!+"vlM!$TZ"</f>
        <v>#REF!</v>
      </c>
      <c r="HB47" t="e">
        <f>#REF!+"vlM!$T["</f>
        <v>#REF!</v>
      </c>
      <c r="HC47" t="e">
        <f>#REF!+"vlM!$T\"</f>
        <v>#REF!</v>
      </c>
      <c r="HD47" t="e">
        <f>#REF!+"vlM!$T]"</f>
        <v>#REF!</v>
      </c>
      <c r="HE47" t="e">
        <f>#REF!+"vlM!$T^"</f>
        <v>#REF!</v>
      </c>
      <c r="HF47" t="e">
        <f>#REF!+"vlM!$T_"</f>
        <v>#REF!</v>
      </c>
      <c r="HG47" t="e">
        <f>#REF!+"vlM!$T`"</f>
        <v>#REF!</v>
      </c>
      <c r="HH47" t="e">
        <f>#REF!+"vlM!$Ta"</f>
        <v>#REF!</v>
      </c>
      <c r="HI47" t="e">
        <f>#REF!+"vlM!$Tb"</f>
        <v>#REF!</v>
      </c>
      <c r="HJ47" t="e">
        <f>#REF!+"vlM!$Tc"</f>
        <v>#REF!</v>
      </c>
      <c r="HK47" t="e">
        <f>#REF!+"vlM!$Td"</f>
        <v>#REF!</v>
      </c>
      <c r="HL47" t="e">
        <f>#REF!+"vlM!$Te"</f>
        <v>#REF!</v>
      </c>
      <c r="HM47" t="e">
        <f>#REF!+"vlM!$Tf"</f>
        <v>#REF!</v>
      </c>
      <c r="HN47" t="e">
        <f>#REF!+"vlM!$Tg"</f>
        <v>#REF!</v>
      </c>
      <c r="HO47" t="e">
        <f>#REF!+"vlM!$Th"</f>
        <v>#REF!</v>
      </c>
      <c r="HP47" t="e">
        <f>#REF!+"vlM!$Ti"</f>
        <v>#REF!</v>
      </c>
      <c r="HQ47" t="e">
        <f>#REF!+"vlM!$Tj"</f>
        <v>#REF!</v>
      </c>
      <c r="HR47" t="e">
        <f>#REF!+"vlM!$Tk"</f>
        <v>#REF!</v>
      </c>
      <c r="HS47" t="e">
        <f>#REF!+"vlM!$Tl"</f>
        <v>#REF!</v>
      </c>
      <c r="HT47" t="e">
        <f>#REF!+"vlM!$Tm"</f>
        <v>#REF!</v>
      </c>
      <c r="HU47" t="e">
        <f>#REF!+"vlM!$Tn"</f>
        <v>#REF!</v>
      </c>
      <c r="HV47" t="e">
        <f>#REF!+"vlM!$To"</f>
        <v>#REF!</v>
      </c>
      <c r="HW47" t="e">
        <f>#REF!+"vlM!$Tp"</f>
        <v>#REF!</v>
      </c>
      <c r="HX47" t="e">
        <f>#REF!+"vlM!$Tq"</f>
        <v>#REF!</v>
      </c>
      <c r="HY47" t="e">
        <f>#REF!+"vlM!$Tr"</f>
        <v>#REF!</v>
      </c>
      <c r="HZ47" t="e">
        <f>#REF!+"vlM!$Ts"</f>
        <v>#REF!</v>
      </c>
      <c r="IA47" t="e">
        <f>#REF!+"vlM!$Tt"</f>
        <v>#REF!</v>
      </c>
      <c r="IB47" t="e">
        <f>#REF!+"vlM!$Tu"</f>
        <v>#REF!</v>
      </c>
      <c r="IC47" t="e">
        <f>#REF!+"vlM!$Tv"</f>
        <v>#REF!</v>
      </c>
      <c r="ID47" t="e">
        <f>#REF!+"vlM!$Tw"</f>
        <v>#REF!</v>
      </c>
      <c r="IE47" t="e">
        <f>#REF!+"vlM!$Tx"</f>
        <v>#REF!</v>
      </c>
      <c r="IF47" t="e">
        <f>#REF!+"vlM!$Ty"</f>
        <v>#REF!</v>
      </c>
      <c r="IG47" t="e">
        <f>#REF!+"vlM!$Tz"</f>
        <v>#REF!</v>
      </c>
      <c r="IH47" t="e">
        <f>#REF!+"vlM!$T{"</f>
        <v>#REF!</v>
      </c>
      <c r="II47" t="e">
        <f>#REF!+"vlM!$T|"</f>
        <v>#REF!</v>
      </c>
      <c r="IJ47" t="e">
        <f>#REF!+"vlM!$T}"</f>
        <v>#REF!</v>
      </c>
      <c r="IK47" t="e">
        <f>#REF!+"vlM!$T~"</f>
        <v>#REF!</v>
      </c>
      <c r="IL47" t="e">
        <f>#REF!+"vlM!$U#"</f>
        <v>#REF!</v>
      </c>
      <c r="IM47" t="e">
        <f>#REF!+"vlM!$U$"</f>
        <v>#REF!</v>
      </c>
      <c r="IN47" t="e">
        <f>#REF!+"vlM!$U%"</f>
        <v>#REF!</v>
      </c>
      <c r="IO47" t="e">
        <f>#REF!+"vlM!$U&amp;"</f>
        <v>#REF!</v>
      </c>
      <c r="IP47" t="e">
        <f>#REF!+"vlM!$U'"</f>
        <v>#REF!</v>
      </c>
      <c r="IQ47" t="e">
        <f>#REF!+"vlM!$U("</f>
        <v>#REF!</v>
      </c>
      <c r="IR47" t="e">
        <f>#REF!+"vlM!$U)"</f>
        <v>#REF!</v>
      </c>
      <c r="IS47" t="e">
        <f>#REF!+"vlM!$U."</f>
        <v>#REF!</v>
      </c>
      <c r="IT47" t="e">
        <f>#REF!+"vlM!$U/"</f>
        <v>#REF!</v>
      </c>
      <c r="IU47" t="e">
        <f>#REF!+"vlM!$U0"</f>
        <v>#REF!</v>
      </c>
      <c r="IV47" t="e">
        <f>#REF!+"vlM!$U1"</f>
        <v>#REF!</v>
      </c>
    </row>
    <row r="48" spans="6:256" x14ac:dyDescent="0.25">
      <c r="F48" t="e">
        <f>#REF!+"vlM!$U2"</f>
        <v>#REF!</v>
      </c>
      <c r="G48" t="e">
        <f>#REF!+"vlM!$U3"</f>
        <v>#REF!</v>
      </c>
      <c r="H48" t="e">
        <f>#REF!+"vlM!$U4"</f>
        <v>#REF!</v>
      </c>
      <c r="I48" t="e">
        <f>#REF!+"vlM!$U5"</f>
        <v>#REF!</v>
      </c>
      <c r="J48" t="e">
        <f>#REF!+"vlM!$U6"</f>
        <v>#REF!</v>
      </c>
      <c r="K48" t="e">
        <f>#REF!+"vlM!$U7"</f>
        <v>#REF!</v>
      </c>
      <c r="L48" t="e">
        <f>#REF!+"vlM!$U8"</f>
        <v>#REF!</v>
      </c>
      <c r="M48" t="e">
        <f>#REF!+"vlM!$U9"</f>
        <v>#REF!</v>
      </c>
      <c r="N48" t="e">
        <f>#REF!+"vlM!$U:"</f>
        <v>#REF!</v>
      </c>
      <c r="O48" t="e">
        <f>#REF!+"vlM!$U;"</f>
        <v>#REF!</v>
      </c>
      <c r="P48" t="e">
        <f>#REF!+"vlM!$U&lt;"</f>
        <v>#REF!</v>
      </c>
      <c r="Q48" t="e">
        <f>#REF!+"vlM!$U="</f>
        <v>#REF!</v>
      </c>
      <c r="R48" t="e">
        <f>#REF!+"vlM!$U&gt;"</f>
        <v>#REF!</v>
      </c>
      <c r="S48" t="e">
        <f>#REF!+"vlM!$U?"</f>
        <v>#REF!</v>
      </c>
      <c r="T48" t="e">
        <f>#REF!+"vlM!$U@"</f>
        <v>#REF!</v>
      </c>
      <c r="U48" t="e">
        <f>#REF!+"vlM!$UA"</f>
        <v>#REF!</v>
      </c>
      <c r="V48" t="e">
        <f>#REF!+"vlM!$UB"</f>
        <v>#REF!</v>
      </c>
      <c r="W48" t="e">
        <f>#REF!+"vlM!$UC"</f>
        <v>#REF!</v>
      </c>
      <c r="X48" t="e">
        <f>#REF!+"vlM!$UD"</f>
        <v>#REF!</v>
      </c>
      <c r="Y48" t="e">
        <f>#REF!+"vlM!$UE"</f>
        <v>#REF!</v>
      </c>
      <c r="Z48" t="e">
        <f>#REF!+"vlM!$UF"</f>
        <v>#REF!</v>
      </c>
      <c r="AA48" t="e">
        <f>#REF!+"vlM!$UG"</f>
        <v>#REF!</v>
      </c>
      <c r="AB48" t="e">
        <f>#REF!+"vlM!$UH"</f>
        <v>#REF!</v>
      </c>
      <c r="AC48" t="e">
        <f>#REF!+"vlM!$UI"</f>
        <v>#REF!</v>
      </c>
      <c r="AD48" t="e">
        <f>#REF!+"vlM!$UJ"</f>
        <v>#REF!</v>
      </c>
      <c r="AE48" t="e">
        <f>#REF!+"vlM!$UK"</f>
        <v>#REF!</v>
      </c>
      <c r="AF48" t="e">
        <f>#REF!+"vlM!$UL"</f>
        <v>#REF!</v>
      </c>
      <c r="AG48" t="e">
        <f>#REF!+"vlM!$UM"</f>
        <v>#REF!</v>
      </c>
      <c r="AH48" t="e">
        <f>#REF!+"vlM!$UN"</f>
        <v>#REF!</v>
      </c>
      <c r="AI48" t="e">
        <f>#REF!+"vlM!$UO"</f>
        <v>#REF!</v>
      </c>
      <c r="AJ48" t="e">
        <f>#REF!+"vlM!$UP"</f>
        <v>#REF!</v>
      </c>
      <c r="AK48" t="e">
        <f>#REF!+"vlM!$UQ"</f>
        <v>#REF!</v>
      </c>
      <c r="AL48" t="e">
        <f>#REF!+"vlM!$UR"</f>
        <v>#REF!</v>
      </c>
      <c r="AM48" t="e">
        <f>#REF!+"vlM!$US"</f>
        <v>#REF!</v>
      </c>
      <c r="AN48" t="e">
        <f>#REF!+"vlM!$UT"</f>
        <v>#REF!</v>
      </c>
      <c r="AO48" t="e">
        <f>#REF!+"vlM!$UU"</f>
        <v>#REF!</v>
      </c>
      <c r="AP48" t="e">
        <f>#REF!+"vlM!$UV"</f>
        <v>#REF!</v>
      </c>
      <c r="AQ48" t="e">
        <f>#REF!+"vlM!$UW"</f>
        <v>#REF!</v>
      </c>
      <c r="AR48" t="e">
        <f>#REF!+"vlM!$UX"</f>
        <v>#REF!</v>
      </c>
      <c r="AS48" t="e">
        <f>#REF!+"vlM!$UY"</f>
        <v>#REF!</v>
      </c>
      <c r="AT48" t="e">
        <f>#REF!+"vlM!$UZ"</f>
        <v>#REF!</v>
      </c>
      <c r="AU48" t="e">
        <f>#REF!+"vlM!$U["</f>
        <v>#REF!</v>
      </c>
      <c r="AV48" t="e">
        <f>#REF!+"vlM!$U\"</f>
        <v>#REF!</v>
      </c>
      <c r="AW48" t="e">
        <f>#REF!+"vlM!$U]"</f>
        <v>#REF!</v>
      </c>
      <c r="AX48" t="e">
        <f>#REF!+"vlM!$U^"</f>
        <v>#REF!</v>
      </c>
      <c r="AY48" t="e">
        <f>#REF!+"vlM!$U_"</f>
        <v>#REF!</v>
      </c>
      <c r="AZ48" t="e">
        <f>#REF!+"vlM!$U`"</f>
        <v>#REF!</v>
      </c>
      <c r="BA48" t="e">
        <f>#REF!+"vlM!$Ua"</f>
        <v>#REF!</v>
      </c>
      <c r="BB48" t="e">
        <f>#REF!+"vlM!$Ub"</f>
        <v>#REF!</v>
      </c>
      <c r="BC48" t="e">
        <f>#REF!+"vlM!$Uc"</f>
        <v>#REF!</v>
      </c>
      <c r="BD48" t="e">
        <f>#REF!+"vlM!$Ud"</f>
        <v>#REF!</v>
      </c>
      <c r="BE48" t="e">
        <f>#REF!+"vlM!$Ue"</f>
        <v>#REF!</v>
      </c>
      <c r="BF48" t="e">
        <f>#REF!+"vlM!$Uf"</f>
        <v>#REF!</v>
      </c>
      <c r="BG48" t="e">
        <f>#REF!+"vlM!$Ug"</f>
        <v>#REF!</v>
      </c>
      <c r="BH48" t="e">
        <f>#REF!+"vlM!$Uh"</f>
        <v>#REF!</v>
      </c>
      <c r="BI48" t="e">
        <f>#REF!+"vlM!$Ui"</f>
        <v>#REF!</v>
      </c>
      <c r="BJ48" t="e">
        <f>#REF!+"vlM!$Uj"</f>
        <v>#REF!</v>
      </c>
      <c r="BK48" t="e">
        <f>#REF!+"vlM!$Uk"</f>
        <v>#REF!</v>
      </c>
      <c r="BL48" t="e">
        <f>#REF!+"vlM!$Ul"</f>
        <v>#REF!</v>
      </c>
      <c r="BM48" t="e">
        <f>#REF!+"vlM!$Um"</f>
        <v>#REF!</v>
      </c>
      <c r="BN48" t="e">
        <f>#REF!+"vlM!$Un"</f>
        <v>#REF!</v>
      </c>
      <c r="BO48" t="e">
        <f>#REF!+"vlM!$Uo"</f>
        <v>#REF!</v>
      </c>
      <c r="BP48" t="e">
        <f>#REF!+"vlM!$Up"</f>
        <v>#REF!</v>
      </c>
      <c r="BQ48" t="e">
        <f>#REF!+"vlM!$Uq"</f>
        <v>#REF!</v>
      </c>
      <c r="BR48" t="e">
        <f>#REF!+"vlM!$Ur"</f>
        <v>#REF!</v>
      </c>
      <c r="BS48" t="e">
        <f>#REF!+"vlM!$Us"</f>
        <v>#REF!</v>
      </c>
      <c r="BT48" t="e">
        <f>#REF!+"vlM!$Ut"</f>
        <v>#REF!</v>
      </c>
      <c r="BU48" t="e">
        <f>#REF!+"vlM!$Uu"</f>
        <v>#REF!</v>
      </c>
      <c r="BV48" t="e">
        <f>#REF!+"vlM!$Uv"</f>
        <v>#REF!</v>
      </c>
      <c r="BW48" t="e">
        <f>#REF!+"vlM!$Uw"</f>
        <v>#REF!</v>
      </c>
      <c r="BX48" t="e">
        <f>#REF!+"vlM!$Ux"</f>
        <v>#REF!</v>
      </c>
      <c r="BY48" t="e">
        <f>#REF!+"vlM!$Uy"</f>
        <v>#REF!</v>
      </c>
      <c r="BZ48" t="e">
        <f>#REF!+"vlM!$Uz"</f>
        <v>#REF!</v>
      </c>
      <c r="CA48" t="e">
        <f>#REF!+"vlM!$U{"</f>
        <v>#REF!</v>
      </c>
      <c r="CB48" t="e">
        <f>#REF!+"vlM!$U|"</f>
        <v>#REF!</v>
      </c>
      <c r="CC48" t="e">
        <f>#REF!+"vlM!$U}"</f>
        <v>#REF!</v>
      </c>
      <c r="CD48" t="e">
        <f>#REF!+"vlM!$U~"</f>
        <v>#REF!</v>
      </c>
      <c r="CE48" t="e">
        <f>#REF!+"vlM!$V#"</f>
        <v>#REF!</v>
      </c>
      <c r="CF48" t="e">
        <f>#REF!+"vlM!$V$"</f>
        <v>#REF!</v>
      </c>
      <c r="CG48" t="e">
        <f>#REF!+"vlM!$V%"</f>
        <v>#REF!</v>
      </c>
      <c r="CH48" t="e">
        <f>#REF!+"vlM!$V&amp;"</f>
        <v>#REF!</v>
      </c>
      <c r="CI48" t="e">
        <f>#REF!+"vlM!$V'"</f>
        <v>#REF!</v>
      </c>
      <c r="CJ48" t="e">
        <f>#REF!+"vlM!$V("</f>
        <v>#REF!</v>
      </c>
      <c r="CK48" t="e">
        <f>#REF!+"vlM!$V)"</f>
        <v>#REF!</v>
      </c>
      <c r="CL48" t="e">
        <f>#REF!+"vlM!$V."</f>
        <v>#REF!</v>
      </c>
      <c r="CM48" t="e">
        <f>#REF!+"vlM!$V/"</f>
        <v>#REF!</v>
      </c>
      <c r="CN48" t="e">
        <f>#REF!+"vlM!$V0"</f>
        <v>#REF!</v>
      </c>
      <c r="CO48" t="e">
        <f>#REF!+"vlM!$V1"</f>
        <v>#REF!</v>
      </c>
      <c r="CP48" t="e">
        <f>#REF!+"vlM!$V2"</f>
        <v>#REF!</v>
      </c>
      <c r="CQ48" t="e">
        <f>#REF!+"vlM!$V3"</f>
        <v>#REF!</v>
      </c>
      <c r="CR48" t="e">
        <f>#REF!+"vlM!$V4"</f>
        <v>#REF!</v>
      </c>
      <c r="CS48" t="e">
        <f>#REF!+"vlM!$V5"</f>
        <v>#REF!</v>
      </c>
      <c r="CT48" t="e">
        <f>#REF!+"vlM!$V6"</f>
        <v>#REF!</v>
      </c>
      <c r="CU48" t="e">
        <f>#REF!+"vlM!$V7"</f>
        <v>#REF!</v>
      </c>
      <c r="CV48" t="e">
        <f>#REF!+"vlM!$V8"</f>
        <v>#REF!</v>
      </c>
      <c r="CW48" t="e">
        <f>#REF!+"vlM!$V9"</f>
        <v>#REF!</v>
      </c>
      <c r="CX48" t="e">
        <f>#REF!+"vlM!$V:"</f>
        <v>#REF!</v>
      </c>
      <c r="CY48" t="e">
        <f>#REF!+"vlM!$V;"</f>
        <v>#REF!</v>
      </c>
      <c r="CZ48" t="e">
        <f>#REF!+"vlM!$V&lt;"</f>
        <v>#REF!</v>
      </c>
      <c r="DA48" t="e">
        <f>#REF!+"vlM!$V="</f>
        <v>#REF!</v>
      </c>
      <c r="DB48" t="e">
        <f>#REF!+"vlM!$V&gt;"</f>
        <v>#REF!</v>
      </c>
      <c r="DC48" t="e">
        <f>#REF!+"vlM!$V?"</f>
        <v>#REF!</v>
      </c>
      <c r="DD48" t="e">
        <f>#REF!+"vlM!$V@"</f>
        <v>#REF!</v>
      </c>
      <c r="DE48" t="e">
        <f>#REF!+"vlM!$VA"</f>
        <v>#REF!</v>
      </c>
      <c r="DF48" t="e">
        <f>#REF!+"vlM!$VB"</f>
        <v>#REF!</v>
      </c>
      <c r="DG48" t="e">
        <f>#REF!+"vlM!$VC"</f>
        <v>#REF!</v>
      </c>
      <c r="DH48" t="e">
        <f>#REF!+"vlM!$VD"</f>
        <v>#REF!</v>
      </c>
      <c r="DI48" t="e">
        <f>#REF!+"vlM!$VE"</f>
        <v>#REF!</v>
      </c>
      <c r="DJ48" t="e">
        <f>#REF!+"vlM!$VF"</f>
        <v>#REF!</v>
      </c>
      <c r="DK48" t="e">
        <f>#REF!+"vlM!$VG"</f>
        <v>#REF!</v>
      </c>
      <c r="DL48" t="e">
        <f>#REF!+"vlM!$VH"</f>
        <v>#REF!</v>
      </c>
      <c r="DM48" t="e">
        <f>#REF!+"vlM!$VI"</f>
        <v>#REF!</v>
      </c>
      <c r="DN48" t="e">
        <f>#REF!+"vlM!$VJ"</f>
        <v>#REF!</v>
      </c>
      <c r="DO48" t="e">
        <f>#REF!+"vlM!$VK"</f>
        <v>#REF!</v>
      </c>
      <c r="DP48" t="e">
        <f>#REF!+"vlM!$VL"</f>
        <v>#REF!</v>
      </c>
      <c r="DQ48" t="e">
        <f>#REF!+"vlM!$VM"</f>
        <v>#REF!</v>
      </c>
      <c r="DR48" t="e">
        <f>#REF!+"vlM!$VN"</f>
        <v>#REF!</v>
      </c>
      <c r="DS48" t="e">
        <f>#REF!+"vlM!$VO"</f>
        <v>#REF!</v>
      </c>
      <c r="DT48" t="e">
        <f>#REF!+"vlM!$VP"</f>
        <v>#REF!</v>
      </c>
      <c r="DU48" t="e">
        <f>#REF!+"vlM!$VQ"</f>
        <v>#REF!</v>
      </c>
      <c r="DV48" t="e">
        <f>#REF!+"vlM!$VR"</f>
        <v>#REF!</v>
      </c>
      <c r="DW48" t="e">
        <f>#REF!+"vlM!$VS"</f>
        <v>#REF!</v>
      </c>
      <c r="DX48" t="e">
        <f>#REF!+"vlM!$VT"</f>
        <v>#REF!</v>
      </c>
      <c r="DY48" t="e">
        <f>#REF!+"vlM!$VU"</f>
        <v>#REF!</v>
      </c>
      <c r="DZ48" t="e">
        <f>#REF!+"vlM!$VV"</f>
        <v>#REF!</v>
      </c>
      <c r="EA48" t="e">
        <f>#REF!+"vlM!$VW"</f>
        <v>#REF!</v>
      </c>
      <c r="EB48" t="e">
        <f>#REF!+"vlM!$VX"</f>
        <v>#REF!</v>
      </c>
      <c r="EC48" t="e">
        <f>#REF!+"vlM!$VY"</f>
        <v>#REF!</v>
      </c>
      <c r="ED48" t="e">
        <f>#REF!+"vlM!$VZ"</f>
        <v>#REF!</v>
      </c>
      <c r="EE48" t="e">
        <f>#REF!+"vlM!$V["</f>
        <v>#REF!</v>
      </c>
      <c r="EF48" t="e">
        <f>#REF!+"vlM!$V\"</f>
        <v>#REF!</v>
      </c>
      <c r="EG48" t="e">
        <f>#REF!+"vlM!$V]"</f>
        <v>#REF!</v>
      </c>
      <c r="EH48" t="e">
        <f>#REF!+"vlM!$V^"</f>
        <v>#REF!</v>
      </c>
      <c r="EI48" t="e">
        <f>#REF!+"vlM!$V_"</f>
        <v>#REF!</v>
      </c>
      <c r="EJ48" t="e">
        <f>#REF!+"vlM!$V`"</f>
        <v>#REF!</v>
      </c>
      <c r="EK48" t="e">
        <f>#REF!+"vlM!$Va"</f>
        <v>#REF!</v>
      </c>
      <c r="EL48" t="e">
        <f>#REF!+"vlM!$Vb"</f>
        <v>#REF!</v>
      </c>
      <c r="EM48" t="e">
        <f>#REF!+"vlM!$Vc"</f>
        <v>#REF!</v>
      </c>
      <c r="EN48" t="e">
        <f>#REF!+"vlM!$Vd"</f>
        <v>#REF!</v>
      </c>
      <c r="EO48" t="e">
        <f>#REF!+"vlM!$Ve"</f>
        <v>#REF!</v>
      </c>
      <c r="EP48" t="e">
        <f>#REF!+"vlM!$Vf"</f>
        <v>#REF!</v>
      </c>
      <c r="EQ48" t="e">
        <f>#REF!+"vlM!$Vg"</f>
        <v>#REF!</v>
      </c>
      <c r="ER48" t="e">
        <f>#REF!+"vlM!$Vh"</f>
        <v>#REF!</v>
      </c>
      <c r="ES48" t="e">
        <f>#REF!+"vlM!$Vi"</f>
        <v>#REF!</v>
      </c>
      <c r="ET48" t="e">
        <f>#REF!+"vlM!$Vj"</f>
        <v>#REF!</v>
      </c>
      <c r="EU48" t="e">
        <f>#REF!+"vlM!$Vk"</f>
        <v>#REF!</v>
      </c>
      <c r="EV48" t="e">
        <f>#REF!+"vlM!$Vl"</f>
        <v>#REF!</v>
      </c>
      <c r="EW48" t="e">
        <f>#REF!+"vlM!$Vm"</f>
        <v>#REF!</v>
      </c>
      <c r="EX48" t="e">
        <f>#REF!+"vlM!$Vn"</f>
        <v>#REF!</v>
      </c>
      <c r="EY48" t="e">
        <f>#REF!+"vlM!$Vo"</f>
        <v>#REF!</v>
      </c>
      <c r="EZ48" t="e">
        <f>#REF!+"vlM!$Vp"</f>
        <v>#REF!</v>
      </c>
      <c r="FA48" t="e">
        <f>#REF!+"vlM!$Vq"</f>
        <v>#REF!</v>
      </c>
      <c r="FB48" t="e">
        <f>#REF!+"vlM!$Vr"</f>
        <v>#REF!</v>
      </c>
      <c r="FC48" t="e">
        <f>#REF!+"vlM!$Vs"</f>
        <v>#REF!</v>
      </c>
      <c r="FD48" t="e">
        <f>#REF!+"vlM!$Vt"</f>
        <v>#REF!</v>
      </c>
      <c r="FE48" t="e">
        <f>#REF!+"vlM!$Vu"</f>
        <v>#REF!</v>
      </c>
      <c r="FF48" t="e">
        <f>#REF!+"vlM!$Vv"</f>
        <v>#REF!</v>
      </c>
      <c r="FG48" t="e">
        <f>#REF!+"vlM!$Vw"</f>
        <v>#REF!</v>
      </c>
      <c r="FH48" t="e">
        <f>#REF!+"vlM!$Vx"</f>
        <v>#REF!</v>
      </c>
      <c r="FI48" t="e">
        <f>#REF!-"vlM!$Vy"</f>
        <v>#REF!</v>
      </c>
      <c r="FJ48" t="e">
        <f>#REF!-"vlM!$Vz"</f>
        <v>#REF!</v>
      </c>
      <c r="FK48" t="e">
        <f>#REF!+"vlM!$V{"</f>
        <v>#REF!</v>
      </c>
      <c r="FL48" t="e">
        <f>#REF!+"vlM!$V|"</f>
        <v>#REF!</v>
      </c>
      <c r="FM48" t="e">
        <f>#REF!+"vlM!$V}"</f>
        <v>#REF!</v>
      </c>
      <c r="FN48" s="4" t="e">
        <f>#REF!+"vlM!$V~"</f>
        <v>#REF!</v>
      </c>
      <c r="FO48" t="e">
        <f>#REF!-"vlM!$W%"</f>
        <v>#REF!</v>
      </c>
      <c r="FP48" t="e">
        <f>#REF!-"vlM!$W&amp;"</f>
        <v>#REF!</v>
      </c>
      <c r="FQ48" t="e">
        <f>#REF!+"vlM!$W'"</f>
        <v>#REF!</v>
      </c>
      <c r="FR48" t="e">
        <f>#REF!*"vlM!$W("</f>
        <v>#REF!</v>
      </c>
      <c r="FS48" t="e">
        <f>#REF!*"vlM!$W)"</f>
        <v>#REF!</v>
      </c>
      <c r="FT48" t="e">
        <f>#REF!*"vlM!$W."</f>
        <v>#REF!</v>
      </c>
      <c r="FU48" t="e">
        <f>#REF!*"vlM!$W/"</f>
        <v>#REF!</v>
      </c>
      <c r="FV48" t="e">
        <f>#REF!*"vlM!$W0"</f>
        <v>#REF!</v>
      </c>
      <c r="FW48" t="e">
        <f>#REF!*"vlM!$W1"</f>
        <v>#REF!</v>
      </c>
      <c r="FX48" t="e">
        <f>#REF!*"vlM!$W2"</f>
        <v>#REF!</v>
      </c>
      <c r="FY48" t="e">
        <f>#REF!*"vlM!$W3"</f>
        <v>#REF!</v>
      </c>
      <c r="FZ48" t="e">
        <f>#REF!*"vlM!$W4"</f>
        <v>#REF!</v>
      </c>
      <c r="GA48" t="e">
        <f>#REF!*"vlM!$W5"</f>
        <v>#REF!</v>
      </c>
      <c r="GB48" t="e">
        <f>#REF!*"vlM!$W6"</f>
        <v>#REF!</v>
      </c>
      <c r="GC48" t="e">
        <f>#REF!*"vlM!$W7"</f>
        <v>#REF!</v>
      </c>
      <c r="GD48" t="e">
        <f>#REF!*"vlM!$W8"</f>
        <v>#REF!</v>
      </c>
      <c r="GE48" t="e">
        <f>#REF!*"vlM!$W9"</f>
        <v>#REF!</v>
      </c>
      <c r="GF48" t="e">
        <f>#REF!*"vlM!$W:"</f>
        <v>#REF!</v>
      </c>
      <c r="GG48" t="e">
        <f>#REF!*"vlM!$W;"</f>
        <v>#REF!</v>
      </c>
      <c r="GH48" t="e">
        <f>#REF!*"vlM!$W&lt;"</f>
        <v>#REF!</v>
      </c>
      <c r="GI48" t="e">
        <f>#REF!*"vlM!$W="</f>
        <v>#REF!</v>
      </c>
      <c r="GJ48" t="e">
        <f>#REF!*"vlM!$W&gt;"</f>
        <v>#REF!</v>
      </c>
      <c r="GK48" t="e">
        <f>#REF!*"vlM!$W?"</f>
        <v>#REF!</v>
      </c>
      <c r="GL48" t="e">
        <f>#REF!*"vlM!$W@"</f>
        <v>#REF!</v>
      </c>
      <c r="GM48" t="e">
        <f>#REF!*"vlM!$WA"</f>
        <v>#REF!</v>
      </c>
      <c r="GN48" t="e">
        <f>#REF!*"vlM!$WB"</f>
        <v>#REF!</v>
      </c>
      <c r="GO48" t="e">
        <f>#REF!*"vlM!$WC"</f>
        <v>#REF!</v>
      </c>
      <c r="GP48" t="e">
        <f>#REF!*"vlM!$WD"</f>
        <v>#REF!</v>
      </c>
      <c r="GQ48" t="e">
        <f>#REF!*"vlM!$WE"</f>
        <v>#REF!</v>
      </c>
      <c r="GR48" t="e">
        <f>#REF!*"vlM!$WF"</f>
        <v>#REF!</v>
      </c>
      <c r="GS48" t="e">
        <f>#REF!*"vlM!$WG"</f>
        <v>#REF!</v>
      </c>
      <c r="GT48" t="e">
        <f>#REF!*"vlM!$WH"</f>
        <v>#REF!</v>
      </c>
      <c r="GU48" t="e">
        <f>#REF!*"vlM!$WI"</f>
        <v>#REF!</v>
      </c>
      <c r="GV48" t="e">
        <f>#REF!*"vlM!$WJ"</f>
        <v>#REF!</v>
      </c>
      <c r="GW48" t="e">
        <f>#REF!*"vlM!$WK"</f>
        <v>#REF!</v>
      </c>
      <c r="GX48" t="e">
        <f>#REF!*"vlM!$WL"</f>
        <v>#REF!</v>
      </c>
      <c r="GY48" t="e">
        <f>#REF!*"vlM!$WM"</f>
        <v>#REF!</v>
      </c>
      <c r="GZ48" t="e">
        <f>#REF!*"vlM!$WN"</f>
        <v>#REF!</v>
      </c>
      <c r="HA48" t="e">
        <f>#REF!*"vlM!$WO"</f>
        <v>#REF!</v>
      </c>
      <c r="HB48" t="e">
        <f>#REF!*"vlM!$WP"</f>
        <v>#REF!</v>
      </c>
      <c r="HC48" t="e">
        <f>#REF!*"vlM!$WQ"</f>
        <v>#REF!</v>
      </c>
      <c r="HD48" t="e">
        <f>#REF!*"vlM!$WR"</f>
        <v>#REF!</v>
      </c>
      <c r="HE48" t="e">
        <f>#REF!*"vlM!$WS"</f>
        <v>#REF!</v>
      </c>
      <c r="HF48" t="e">
        <f>#REF!*"vlM!$WT"</f>
        <v>#REF!</v>
      </c>
      <c r="HG48" t="e">
        <f>#REF!*"vlM!$WU"</f>
        <v>#REF!</v>
      </c>
      <c r="HH48" t="e">
        <f>#REF!*"vlM!$WV"</f>
        <v>#REF!</v>
      </c>
      <c r="HI48" t="e">
        <f>#REF!*"vlM!$WW"</f>
        <v>#REF!</v>
      </c>
      <c r="HJ48" t="e">
        <f>#REF!*"vlM!$WX"</f>
        <v>#REF!</v>
      </c>
      <c r="HK48" t="e">
        <f>#REF!*"vlM!$WY"</f>
        <v>#REF!</v>
      </c>
      <c r="HL48" t="e">
        <f>#REF!*"vlM!$WZ"</f>
        <v>#REF!</v>
      </c>
      <c r="HM48" t="e">
        <f>#REF!*"vlM!$W["</f>
        <v>#REF!</v>
      </c>
      <c r="HN48" t="e">
        <f>#REF!*"vlM!$W\"</f>
        <v>#REF!</v>
      </c>
      <c r="HO48" t="e">
        <f>#REF!*"vlM!$W]"</f>
        <v>#REF!</v>
      </c>
      <c r="HP48" t="e">
        <f>#REF!*"vlM!$W^"</f>
        <v>#REF!</v>
      </c>
      <c r="HQ48" t="e">
        <f>#REF!*"vlM!$W_"</f>
        <v>#REF!</v>
      </c>
      <c r="HR48" t="e">
        <f>#REF!*"vlM!$W`"</f>
        <v>#REF!</v>
      </c>
      <c r="HS48" t="e">
        <f>#REF!*"vlM!$Wa"</f>
        <v>#REF!</v>
      </c>
      <c r="HT48" t="e">
        <f>#REF!*"vlM!$Wb"</f>
        <v>#REF!</v>
      </c>
      <c r="HU48" t="e">
        <f>#REF!*"vlM!$Wc"</f>
        <v>#REF!</v>
      </c>
      <c r="HV48" t="e">
        <f>#REF!*"vlM!$Wd"</f>
        <v>#REF!</v>
      </c>
      <c r="HW48" t="e">
        <f>#REF!-"vlM!$We"</f>
        <v>#REF!</v>
      </c>
      <c r="HX48" t="e">
        <f>#REF!-"vlM!$Wf"</f>
        <v>#REF!</v>
      </c>
      <c r="HY48" t="e">
        <f>#REF!-"vlM!$Wg"</f>
        <v>#REF!</v>
      </c>
      <c r="HZ48" t="e">
        <f>#REF!-"vlM!$Wh"</f>
        <v>#REF!</v>
      </c>
      <c r="IA48" t="e">
        <f>#REF!-"vlM!$Wi"</f>
        <v>#REF!</v>
      </c>
      <c r="IB48" t="e">
        <f>#REF!-"vlM!$Wj"</f>
        <v>#REF!</v>
      </c>
      <c r="IC48" t="e">
        <f>#REF!-"vlM!$Wk"</f>
        <v>#REF!</v>
      </c>
      <c r="ID48" t="e">
        <f>#REF!-"vlM!$Wl"</f>
        <v>#REF!</v>
      </c>
      <c r="IE48" t="e">
        <f>#REF!-"vlM!$Wm"</f>
        <v>#REF!</v>
      </c>
      <c r="IF48" t="e">
        <f>#REF!-"vlM!$Wn"</f>
        <v>#REF!</v>
      </c>
      <c r="IG48" t="e">
        <f>#REF!-"vlM!$Wo"</f>
        <v>#REF!</v>
      </c>
      <c r="IH48" t="e">
        <f>#REF!-"vlM!$Wp"</f>
        <v>#REF!</v>
      </c>
      <c r="II48" t="e">
        <f>#REF!-"vlM!$Wq"</f>
        <v>#REF!</v>
      </c>
      <c r="IJ48" t="e">
        <f>#REF!-"vlM!$Wr"</f>
        <v>#REF!</v>
      </c>
      <c r="IK48" t="e">
        <f>#REF!-"vlM!$Ws"</f>
        <v>#REF!</v>
      </c>
      <c r="IL48" t="e">
        <f>#REF!-"vlM!$Wt"</f>
        <v>#REF!</v>
      </c>
      <c r="IM48" t="e">
        <f>#REF!-"vlM!$Wu"</f>
        <v>#REF!</v>
      </c>
      <c r="IN48" t="e">
        <f>#REF!-"vlM!$Wv"</f>
        <v>#REF!</v>
      </c>
      <c r="IO48" t="e">
        <f>#REF!-"vlM!$Ww"</f>
        <v>#REF!</v>
      </c>
      <c r="IP48" t="e">
        <f>#REF!-"vlM!$Wx"</f>
        <v>#REF!</v>
      </c>
      <c r="IQ48" t="e">
        <f>#REF!-"vlM!$Wy"</f>
        <v>#REF!</v>
      </c>
      <c r="IR48" t="e">
        <f>#REF!-"vlM!$Wz"</f>
        <v>#REF!</v>
      </c>
      <c r="IS48" t="e">
        <f>#REF!-"vlM!$W{"</f>
        <v>#REF!</v>
      </c>
      <c r="IT48" t="e">
        <f>#REF!-"vlM!$W|"</f>
        <v>#REF!</v>
      </c>
      <c r="IU48" t="e">
        <f>#REF!-"vlM!$W}"</f>
        <v>#REF!</v>
      </c>
      <c r="IV48" t="e">
        <f>#REF!-"vlM!$W~"</f>
        <v>#REF!</v>
      </c>
    </row>
    <row r="49" spans="6:256" x14ac:dyDescent="0.25">
      <c r="F49" t="e">
        <f>#REF!-"vlM!$X#"</f>
        <v>#REF!</v>
      </c>
      <c r="G49" t="e">
        <f>#REF!-"vlM!$X$"</f>
        <v>#REF!</v>
      </c>
      <c r="H49" t="e">
        <f>#REF!-"vlM!$X%"</f>
        <v>#REF!</v>
      </c>
      <c r="I49" t="e">
        <f>#REF!-"vlM!$X&amp;"</f>
        <v>#REF!</v>
      </c>
      <c r="J49" t="e">
        <f>#REF!-"vlM!$X'"</f>
        <v>#REF!</v>
      </c>
      <c r="K49" t="e">
        <f>#REF!-"vlM!$X("</f>
        <v>#REF!</v>
      </c>
      <c r="L49" t="e">
        <f>#REF!-"vlM!$X)"</f>
        <v>#REF!</v>
      </c>
      <c r="M49" t="e">
        <f>#REF!-"vlM!$X."</f>
        <v>#REF!</v>
      </c>
      <c r="N49" t="e">
        <f>#REF!-"vlM!$X/"</f>
        <v>#REF!</v>
      </c>
      <c r="O49" t="e">
        <f>#REF!-"vlM!$X0"</f>
        <v>#REF!</v>
      </c>
      <c r="P49" t="e">
        <f>#REF!-"vlM!$X1"</f>
        <v>#REF!</v>
      </c>
      <c r="Q49" t="e">
        <f>#REF!-"vlM!$X2"</f>
        <v>#REF!</v>
      </c>
      <c r="R49" t="e">
        <f>#REF!-"vlM!$X3"</f>
        <v>#REF!</v>
      </c>
      <c r="S49" t="e">
        <f>#REF!-"vlM!$X4"</f>
        <v>#REF!</v>
      </c>
      <c r="T49" t="e">
        <f>#REF!-"vlM!$X5"</f>
        <v>#REF!</v>
      </c>
      <c r="U49" t="e">
        <f>#REF!-"vlM!$X6"</f>
        <v>#REF!</v>
      </c>
      <c r="V49" t="e">
        <f>#REF!-"vlM!$X7"</f>
        <v>#REF!</v>
      </c>
      <c r="W49" t="e">
        <f>#REF!-"vlM!$X8"</f>
        <v>#REF!</v>
      </c>
      <c r="X49" t="e">
        <f>#REF!-"vlM!$X9"</f>
        <v>#REF!</v>
      </c>
      <c r="Y49" t="e">
        <f>#REF!-"vlM!$X:"</f>
        <v>#REF!</v>
      </c>
      <c r="Z49" t="e">
        <f>#REF!-"vlM!$X;"</f>
        <v>#REF!</v>
      </c>
      <c r="AA49" t="e">
        <f>#REF!-"vlM!$X&lt;"</f>
        <v>#REF!</v>
      </c>
      <c r="AB49" t="e">
        <f>#REF!-"vlM!$X="</f>
        <v>#REF!</v>
      </c>
      <c r="AC49" t="e">
        <f>#REF!-"vlM!$X&gt;"</f>
        <v>#REF!</v>
      </c>
      <c r="AD49" t="e">
        <f>#REF!-"vlM!$X?"</f>
        <v>#REF!</v>
      </c>
      <c r="AE49" t="e">
        <f>#REF!-"vlM!$X@"</f>
        <v>#REF!</v>
      </c>
      <c r="AF49" t="e">
        <f>#REF!-"vlM!$XA"</f>
        <v>#REF!</v>
      </c>
      <c r="AG49" t="e">
        <f>#REF!-"vlM!$XB"</f>
        <v>#REF!</v>
      </c>
      <c r="AH49" t="e">
        <f>#REF!-"vlM!$XC"</f>
        <v>#REF!</v>
      </c>
      <c r="AI49" t="e">
        <f>#REF!-"vlM!$XD"</f>
        <v>#REF!</v>
      </c>
      <c r="AJ49" t="e">
        <f>#REF!-"vlM!$XE"</f>
        <v>#REF!</v>
      </c>
      <c r="AK49" t="e">
        <f>#REF!-"vlM!$XF"</f>
        <v>#REF!</v>
      </c>
      <c r="AL49" t="e">
        <f>#REF!-"vlM!$XG"</f>
        <v>#REF!</v>
      </c>
      <c r="AM49" t="e">
        <f>#REF!-"vlM!$XH"</f>
        <v>#REF!</v>
      </c>
      <c r="AN49" t="e">
        <f>#REF!-"vlM!$XI"</f>
        <v>#REF!</v>
      </c>
      <c r="AO49" t="e">
        <f>#REF!-"vlM!$XJ"</f>
        <v>#REF!</v>
      </c>
      <c r="AP49" t="e">
        <f>#REF!-"vlM!$XK"</f>
        <v>#REF!</v>
      </c>
      <c r="AQ49" t="e">
        <f>#REF!-"vlM!$XL"</f>
        <v>#REF!</v>
      </c>
      <c r="AR49" t="e">
        <f>#REF!-"vlM!$XM"</f>
        <v>#REF!</v>
      </c>
      <c r="AS49" t="e">
        <f>#REF!-"vlM!$XN"</f>
        <v>#REF!</v>
      </c>
      <c r="AT49" t="e">
        <f>#REF!-"vlM!$XO"</f>
        <v>#REF!</v>
      </c>
      <c r="AU49" t="e">
        <f>#REF!-"vlM!$XP"</f>
        <v>#REF!</v>
      </c>
      <c r="AV49" t="e">
        <f>#REF!-"vlM!$XQ"</f>
        <v>#REF!</v>
      </c>
      <c r="AW49" t="e">
        <f>#REF!-"vlM!$XR"</f>
        <v>#REF!</v>
      </c>
      <c r="AX49" t="e">
        <f>#REF!-"vlM!$XS"</f>
        <v>#REF!</v>
      </c>
      <c r="AY49" t="e">
        <f>#REF!-"vlM!$XT"</f>
        <v>#REF!</v>
      </c>
      <c r="AZ49" t="e">
        <f>#REF!-"vlM!$XU"</f>
        <v>#REF!</v>
      </c>
      <c r="BA49" t="e">
        <f>#REF!-"vlM!$XV"</f>
        <v>#REF!</v>
      </c>
      <c r="BB49" t="e">
        <f>#REF!-"vlM!$XW"</f>
        <v>#REF!</v>
      </c>
      <c r="BC49" t="e">
        <f>#REF!-"vlM!$XX"</f>
        <v>#REF!</v>
      </c>
      <c r="BD49" t="e">
        <f>#REF!-"vlM!$XY"</f>
        <v>#REF!</v>
      </c>
      <c r="BE49" t="e">
        <f>#REF!-"vlM!$XZ"</f>
        <v>#REF!</v>
      </c>
      <c r="BF49" t="e">
        <f>#REF!-"vlM!$X["</f>
        <v>#REF!</v>
      </c>
      <c r="BG49" t="e">
        <f>#REF!-"vlM!$X\"</f>
        <v>#REF!</v>
      </c>
      <c r="BH49" t="e">
        <f>#REF!-"vlM!$X]"</f>
        <v>#REF!</v>
      </c>
      <c r="BI49" t="e">
        <f>#REF!-"vlM!$X^"</f>
        <v>#REF!</v>
      </c>
      <c r="BJ49" t="e">
        <f>#REF!-"vlM!$X_"</f>
        <v>#REF!</v>
      </c>
      <c r="BK49" t="e">
        <f>#REF!-"vlM!$X`"</f>
        <v>#REF!</v>
      </c>
      <c r="BL49" t="e">
        <f>#REF!-"vlM!$Xa"</f>
        <v>#REF!</v>
      </c>
      <c r="BM49" t="e">
        <f>#REF!-"vlM!$Xb"</f>
        <v>#REF!</v>
      </c>
      <c r="BN49" t="e">
        <f>#REF!-"vlM!$Xc"</f>
        <v>#REF!</v>
      </c>
      <c r="BO49" t="e">
        <f>#REF!-"vlM!$Xd"</f>
        <v>#REF!</v>
      </c>
      <c r="BP49" t="e">
        <f>#REF!-"vlM!$Xe"</f>
        <v>#REF!</v>
      </c>
      <c r="BQ49" t="e">
        <f>#REF!-"vlM!$Xf"</f>
        <v>#REF!</v>
      </c>
      <c r="BR49" t="e">
        <f>#REF!-"vlM!$Xg"</f>
        <v>#REF!</v>
      </c>
      <c r="BS49" t="e">
        <f>#REF!-"vlM!$Xh"</f>
        <v>#REF!</v>
      </c>
      <c r="BT49" t="e">
        <f>#REF!-"vlM!$Xi"</f>
        <v>#REF!</v>
      </c>
      <c r="BU49" t="e">
        <f>#REF!-"vlM!$Xj"</f>
        <v>#REF!</v>
      </c>
      <c r="BV49" t="e">
        <f>#REF!-"vlM!$Xk"</f>
        <v>#REF!</v>
      </c>
      <c r="BW49" t="e">
        <f>#REF!-"vlM!$Xl"</f>
        <v>#REF!</v>
      </c>
      <c r="BX49" t="e">
        <f>#REF!-"vlM!$Xm"</f>
        <v>#REF!</v>
      </c>
      <c r="BY49" t="e">
        <f>#REF!-"vlM!$Xn"</f>
        <v>#REF!</v>
      </c>
      <c r="BZ49" t="e">
        <f>#REF!-"vlM!$Xo"</f>
        <v>#REF!</v>
      </c>
      <c r="CA49" t="e">
        <f>#REF!-"vlM!$Xp"</f>
        <v>#REF!</v>
      </c>
      <c r="CB49" t="e">
        <f>#REF!-"vlM!$Xq"</f>
        <v>#REF!</v>
      </c>
      <c r="CC49" t="e">
        <f>#REF!-"vlM!$Xr"</f>
        <v>#REF!</v>
      </c>
      <c r="CD49" t="e">
        <f>#REF!-"vlM!$Xs"</f>
        <v>#REF!</v>
      </c>
      <c r="CE49" t="e">
        <f>#REF!-"vlM!$Xt"</f>
        <v>#REF!</v>
      </c>
      <c r="CF49" t="e">
        <f>#REF!-"vlM!$Xu"</f>
        <v>#REF!</v>
      </c>
      <c r="CG49" t="e">
        <f>#REF!-"vlM!$Xv"</f>
        <v>#REF!</v>
      </c>
      <c r="CH49" t="e">
        <f>#REF!-"vlM!$Xw"</f>
        <v>#REF!</v>
      </c>
      <c r="CI49" t="e">
        <f>#REF!-"vlM!$Xx"</f>
        <v>#REF!</v>
      </c>
      <c r="CJ49" t="e">
        <f>#REF!-"vlM!$Xy"</f>
        <v>#REF!</v>
      </c>
      <c r="CK49" t="e">
        <f>#REF!-"vlM!$Xz"</f>
        <v>#REF!</v>
      </c>
      <c r="CL49" t="e">
        <f>#REF!-"vlM!$X{"</f>
        <v>#REF!</v>
      </c>
      <c r="CM49" t="e">
        <f>#REF!-"vlM!$X|"</f>
        <v>#REF!</v>
      </c>
      <c r="CN49" t="e">
        <f>#REF!-"vlM!$X}"</f>
        <v>#REF!</v>
      </c>
      <c r="CO49" t="e">
        <f>#REF!-"vlM!$X~"</f>
        <v>#REF!</v>
      </c>
      <c r="CP49" t="e">
        <f>#REF!-"vlM!$Y#"</f>
        <v>#REF!</v>
      </c>
      <c r="CQ49" t="e">
        <f>#REF!-"vlM!$Y$"</f>
        <v>#REF!</v>
      </c>
      <c r="CR49" t="e">
        <f>#REF!-"vlM!$Y%"</f>
        <v>#REF!</v>
      </c>
      <c r="CS49" t="e">
        <f>#REF!-"vlM!$Y&amp;"</f>
        <v>#REF!</v>
      </c>
      <c r="CT49" t="e">
        <f>#REF!-"vlM!$Y'"</f>
        <v>#REF!</v>
      </c>
      <c r="CU49" t="e">
        <f>#REF!-"vlM!$Y("</f>
        <v>#REF!</v>
      </c>
      <c r="CV49" t="e">
        <f>#REF!-"vlM!$Y)"</f>
        <v>#REF!</v>
      </c>
      <c r="CW49" t="e">
        <f>#REF!-"vlM!$Y."</f>
        <v>#REF!</v>
      </c>
      <c r="CX49" t="e">
        <f>#REF!-"vlM!$Y/"</f>
        <v>#REF!</v>
      </c>
      <c r="CY49" t="e">
        <f>#REF!-"vlM!$Y0"</f>
        <v>#REF!</v>
      </c>
      <c r="CZ49" t="e">
        <f>#REF!-"vlM!$Y1"</f>
        <v>#REF!</v>
      </c>
      <c r="DA49" t="e">
        <f>#REF!-"vlM!$Y2"</f>
        <v>#REF!</v>
      </c>
      <c r="DB49" t="e">
        <f>#REF!-"vlM!$Y3"</f>
        <v>#REF!</v>
      </c>
      <c r="DC49" t="e">
        <f>#REF!-"vlM!$Y4"</f>
        <v>#REF!</v>
      </c>
      <c r="DD49" t="e">
        <f>#REF!-"vlM!$Y5"</f>
        <v>#REF!</v>
      </c>
      <c r="DE49" t="e">
        <f>#REF!-"vlM!$Y6"</f>
        <v>#REF!</v>
      </c>
      <c r="DF49" t="e">
        <f>#REF!-"vlM!$Y7"</f>
        <v>#REF!</v>
      </c>
      <c r="DG49" t="e">
        <f>#REF!-"vlM!$Y8"</f>
        <v>#REF!</v>
      </c>
      <c r="DH49" t="e">
        <f>#REF!-"vlM!$Y9"</f>
        <v>#REF!</v>
      </c>
      <c r="DI49" t="e">
        <f>#REF!-"vlM!$Y:"</f>
        <v>#REF!</v>
      </c>
      <c r="DJ49" t="e">
        <f>#REF!-"vlM!$Y;"</f>
        <v>#REF!</v>
      </c>
      <c r="DK49" t="e">
        <f>#REF!-"vlM!$Y&lt;"</f>
        <v>#REF!</v>
      </c>
      <c r="DL49" t="e">
        <f>#REF!-"vlM!$Y="</f>
        <v>#REF!</v>
      </c>
      <c r="DM49" t="e">
        <f>#REF!-"vlM!$Y&gt;"</f>
        <v>#REF!</v>
      </c>
      <c r="DN49" t="e">
        <f>#REF!-"vlM!$Y?"</f>
        <v>#REF!</v>
      </c>
      <c r="DO49" t="e">
        <f>#REF!-"vlM!$Y@"</f>
        <v>#REF!</v>
      </c>
      <c r="DP49" t="e">
        <f>#REF!-"vlM!$YA"</f>
        <v>#REF!</v>
      </c>
      <c r="DQ49" t="e">
        <f>#REF!-"vlM!$YB"</f>
        <v>#REF!</v>
      </c>
      <c r="DR49" t="e">
        <f>#REF!-"vlM!$YC"</f>
        <v>#REF!</v>
      </c>
      <c r="DS49" t="e">
        <f>#REF!-"vlM!$YD"</f>
        <v>#REF!</v>
      </c>
      <c r="DT49" t="e">
        <f>#REF!-"vlM!$YE"</f>
        <v>#REF!</v>
      </c>
      <c r="DU49" t="e">
        <f>#REF!-"vlM!$YF"</f>
        <v>#REF!</v>
      </c>
      <c r="DV49" t="e">
        <f>#REF!-"vlM!$YG"</f>
        <v>#REF!</v>
      </c>
      <c r="DW49" t="e">
        <f>#REF!-"vlM!$YH"</f>
        <v>#REF!</v>
      </c>
      <c r="DX49" t="e">
        <f>#REF!-"vlM!$YI"</f>
        <v>#REF!</v>
      </c>
      <c r="DY49" t="e">
        <f>#REF!-"vlM!$YJ"</f>
        <v>#REF!</v>
      </c>
      <c r="DZ49" t="e">
        <f>#REF!-"vlM!$YK"</f>
        <v>#REF!</v>
      </c>
      <c r="EA49" t="e">
        <f>#REF!-"vlM!$YL"</f>
        <v>#REF!</v>
      </c>
      <c r="EB49" t="e">
        <f>#REF!-"vlM!$YM"</f>
        <v>#REF!</v>
      </c>
      <c r="EC49" t="e">
        <f>#REF!-"vlM!$YN"</f>
        <v>#REF!</v>
      </c>
      <c r="ED49" t="e">
        <f>#REF!-"vlM!$YO"</f>
        <v>#REF!</v>
      </c>
      <c r="EE49" t="e">
        <f>#REF!-"vlM!$YP"</f>
        <v>#REF!</v>
      </c>
      <c r="EF49" t="e">
        <f>#REF!-"vlM!$YQ"</f>
        <v>#REF!</v>
      </c>
      <c r="EG49" t="e">
        <f>#REF!-"vlM!$YR"</f>
        <v>#REF!</v>
      </c>
      <c r="EH49" t="e">
        <f>#REF!-"vlM!$YS"</f>
        <v>#REF!</v>
      </c>
      <c r="EI49" t="e">
        <f>#REF!-"vlM!$YT"</f>
        <v>#REF!</v>
      </c>
      <c r="EJ49" t="e">
        <f>#REF!-"vlM!$YU"</f>
        <v>#REF!</v>
      </c>
      <c r="EK49" t="e">
        <f>#REF!-"vlM!$YV"</f>
        <v>#REF!</v>
      </c>
      <c r="EL49" t="e">
        <f>#REF!-"vlM!$YW"</f>
        <v>#REF!</v>
      </c>
      <c r="EM49" t="e">
        <f>#REF!-"vlM!$YX"</f>
        <v>#REF!</v>
      </c>
      <c r="EN49" t="e">
        <f>#REF!-"vlM!$YY"</f>
        <v>#REF!</v>
      </c>
      <c r="EO49" t="e">
        <f>#REF!-"vlM!$YZ"</f>
        <v>#REF!</v>
      </c>
      <c r="EP49" t="e">
        <f>#REF!-"vlM!$Y["</f>
        <v>#REF!</v>
      </c>
      <c r="EQ49" t="e">
        <f>#REF!-"vlM!$Y\"</f>
        <v>#REF!</v>
      </c>
      <c r="ER49" t="e">
        <f>#REF!-"vlM!$Y]"</f>
        <v>#REF!</v>
      </c>
      <c r="ES49" t="e">
        <f>#REF!-"vlM!$Y^"</f>
        <v>#REF!</v>
      </c>
      <c r="ET49" t="e">
        <f>#REF!-"vlM!$Y_"</f>
        <v>#REF!</v>
      </c>
      <c r="EU49" t="e">
        <f>#REF!-"vlM!$Y`"</f>
        <v>#REF!</v>
      </c>
      <c r="EV49" t="e">
        <f>#REF!-"vlM!$Ya"</f>
        <v>#REF!</v>
      </c>
      <c r="EW49" t="e">
        <f>#REF!-"vlM!$Yb"</f>
        <v>#REF!</v>
      </c>
      <c r="EX49" t="e">
        <f>#REF!-"vlM!$Yc"</f>
        <v>#REF!</v>
      </c>
      <c r="EY49" t="e">
        <f>#REF!-"vlM!$Yd"</f>
        <v>#REF!</v>
      </c>
      <c r="EZ49" t="e">
        <f>#REF!-"vlM!$Ye"</f>
        <v>#REF!</v>
      </c>
      <c r="FA49" t="e">
        <f>#REF!-"vlM!$Yf"</f>
        <v>#REF!</v>
      </c>
      <c r="FB49" t="e">
        <f>#REF!-"vlM!$Yg"</f>
        <v>#REF!</v>
      </c>
      <c r="FC49" t="e">
        <f>#REF!-"vlM!$Yh"</f>
        <v>#REF!</v>
      </c>
      <c r="FD49" t="e">
        <f>#REF!-"vlM!$Yi"</f>
        <v>#REF!</v>
      </c>
      <c r="FE49" t="e">
        <f>#REF!-"vlM!$Yj"</f>
        <v>#REF!</v>
      </c>
      <c r="FF49" t="e">
        <f>#REF!-"vlM!$Yk"</f>
        <v>#REF!</v>
      </c>
      <c r="FG49" t="e">
        <f>#REF!-"vlM!$Yl"</f>
        <v>#REF!</v>
      </c>
      <c r="FH49" t="e">
        <f>#REF!-"vlM!$Ym"</f>
        <v>#REF!</v>
      </c>
      <c r="FI49" t="e">
        <f>#REF!-"vlM!$Yn"</f>
        <v>#REF!</v>
      </c>
      <c r="FJ49" t="e">
        <f>#REF!-"vlM!$Yo"</f>
        <v>#REF!</v>
      </c>
      <c r="FK49" t="e">
        <f>#REF!-"vlM!$Yp"</f>
        <v>#REF!</v>
      </c>
      <c r="FL49" t="e">
        <f>#REF!-"vlM!$Yq"</f>
        <v>#REF!</v>
      </c>
      <c r="FM49" t="e">
        <f>#REF!-"vlM!$Yr"</f>
        <v>#REF!</v>
      </c>
      <c r="FN49" t="e">
        <f>#REF!-"vlM!$Ys"</f>
        <v>#REF!</v>
      </c>
      <c r="FO49" t="e">
        <f>#REF!-"vlM!$Yt"</f>
        <v>#REF!</v>
      </c>
      <c r="FP49" t="e">
        <f>#REF!-"vlM!$Yu"</f>
        <v>#REF!</v>
      </c>
      <c r="FQ49" t="e">
        <f>#REF!-"vlM!$Yv"</f>
        <v>#REF!</v>
      </c>
      <c r="FR49" t="e">
        <f>#REF!-"vlM!$Yw"</f>
        <v>#REF!</v>
      </c>
      <c r="FS49" t="e">
        <f>#REF!-"vlM!$Yx"</f>
        <v>#REF!</v>
      </c>
      <c r="FT49" t="e">
        <f>#REF!-"vlM!$Yy"</f>
        <v>#REF!</v>
      </c>
      <c r="FU49" t="e">
        <f>#REF!-"vlM!$Yz"</f>
        <v>#REF!</v>
      </c>
      <c r="FV49" t="e">
        <f>#REF!-"vlM!$Y{"</f>
        <v>#REF!</v>
      </c>
      <c r="FW49" t="e">
        <f>#REF!-"vlM!$Y|"</f>
        <v>#REF!</v>
      </c>
      <c r="FX49" t="e">
        <f>#REF!-"vlM!$Y}"</f>
        <v>#REF!</v>
      </c>
      <c r="FY49" t="e">
        <f>#REF!-"vlM!$Y~"</f>
        <v>#REF!</v>
      </c>
      <c r="FZ49" t="e">
        <f>#REF!-"vlM!$Z#"</f>
        <v>#REF!</v>
      </c>
      <c r="GA49" t="e">
        <f>#REF!-"vlM!$Z$"</f>
        <v>#REF!</v>
      </c>
      <c r="GB49" t="e">
        <f>#REF!-"vlM!$Z%"</f>
        <v>#REF!</v>
      </c>
      <c r="GC49" t="e">
        <f>#REF!-"vlM!$Z&amp;"</f>
        <v>#REF!</v>
      </c>
      <c r="GD49" t="e">
        <f>#REF!-"vlM!$Z'"</f>
        <v>#REF!</v>
      </c>
      <c r="GE49" t="e">
        <f>#REF!-"vlM!$Z("</f>
        <v>#REF!</v>
      </c>
      <c r="GF49" t="e">
        <f>#REF!-"vlM!$Z)"</f>
        <v>#REF!</v>
      </c>
      <c r="GG49" t="e">
        <f>#REF!-"vlM!$Z."</f>
        <v>#REF!</v>
      </c>
      <c r="GH49" t="e">
        <f>#REF!-"vlM!$Z/"</f>
        <v>#REF!</v>
      </c>
      <c r="GI49" t="e">
        <f>#REF!-"vlM!$Z0"</f>
        <v>#REF!</v>
      </c>
      <c r="GJ49" t="e">
        <f>#REF!-"vlM!$Z1"</f>
        <v>#REF!</v>
      </c>
      <c r="GK49" t="e">
        <f>#REF!-"vlM!$Z2"</f>
        <v>#REF!</v>
      </c>
      <c r="GL49" t="e">
        <f>#REF!-"vlM!$Z3"</f>
        <v>#REF!</v>
      </c>
      <c r="GM49" t="e">
        <f>#REF!-"vlM!$Z4"</f>
        <v>#REF!</v>
      </c>
      <c r="GN49" t="e">
        <f>#REF!-"vlM!$Z5"</f>
        <v>#REF!</v>
      </c>
      <c r="GO49" t="e">
        <f>#REF!-"vlM!$Z6"</f>
        <v>#REF!</v>
      </c>
      <c r="GP49" t="e">
        <f>#REF!-"vlM!$Z7"</f>
        <v>#REF!</v>
      </c>
      <c r="GQ49" t="e">
        <f>#REF!-"vlM!$Z8"</f>
        <v>#REF!</v>
      </c>
      <c r="GR49" t="e">
        <f>#REF!-"vlM!$Z9"</f>
        <v>#REF!</v>
      </c>
      <c r="GS49" t="e">
        <f>#REF!-"vlM!$Z:"</f>
        <v>#REF!</v>
      </c>
      <c r="GT49" t="e">
        <f>#REF!-"vlM!$Z;"</f>
        <v>#REF!</v>
      </c>
      <c r="GU49" t="e">
        <f>#REF!-"vlM!$Z&lt;"</f>
        <v>#REF!</v>
      </c>
      <c r="GV49" t="e">
        <f>#REF!-"vlM!$Z="</f>
        <v>#REF!</v>
      </c>
      <c r="GW49" t="e">
        <f>#REF!-"vlM!$Z&gt;"</f>
        <v>#REF!</v>
      </c>
      <c r="GX49" t="e">
        <f>#REF!-"vlM!$Z?"</f>
        <v>#REF!</v>
      </c>
      <c r="GY49" t="e">
        <f>#REF!-"vlM!$Z@"</f>
        <v>#REF!</v>
      </c>
      <c r="GZ49" t="e">
        <f>#REF!-"vlM!$ZA"</f>
        <v>#REF!</v>
      </c>
      <c r="HA49" t="e">
        <f>#REF!-"vlM!$ZB"</f>
        <v>#REF!</v>
      </c>
      <c r="HB49" t="e">
        <f>#REF!-"vlM!$ZC"</f>
        <v>#REF!</v>
      </c>
      <c r="HC49" t="e">
        <f>#REF!-"vlM!$ZD"</f>
        <v>#REF!</v>
      </c>
      <c r="HD49" t="e">
        <f>#REF!-"vlM!$ZE"</f>
        <v>#REF!</v>
      </c>
      <c r="HE49" t="e">
        <f>#REF!-"vlM!$ZF"</f>
        <v>#REF!</v>
      </c>
      <c r="HF49" t="e">
        <f>#REF!-"vlM!$ZG"</f>
        <v>#REF!</v>
      </c>
      <c r="HG49" t="e">
        <f>#REF!-"vlM!$ZH"</f>
        <v>#REF!</v>
      </c>
      <c r="HH49" t="e">
        <f>#REF!-"vlM!$ZI"</f>
        <v>#REF!</v>
      </c>
      <c r="HI49" t="e">
        <f>#REF!-"vlM!$ZJ"</f>
        <v>#REF!</v>
      </c>
      <c r="HJ49" t="e">
        <f>#REF!-"vlM!$ZK"</f>
        <v>#REF!</v>
      </c>
      <c r="HK49" t="e">
        <f>#REF!-"vlM!$ZL"</f>
        <v>#REF!</v>
      </c>
      <c r="HL49" t="e">
        <f>#REF!-"vlM!$ZM"</f>
        <v>#REF!</v>
      </c>
      <c r="HM49" t="e">
        <f>#REF!-"vlM!$ZN"</f>
        <v>#REF!</v>
      </c>
      <c r="HN49" t="e">
        <f>#REF!-"vlM!$ZO"</f>
        <v>#REF!</v>
      </c>
      <c r="HO49" t="e">
        <f>#REF!-"vlM!$ZP"</f>
        <v>#REF!</v>
      </c>
      <c r="HP49" t="e">
        <f>#REF!-"vlM!$ZQ"</f>
        <v>#REF!</v>
      </c>
      <c r="HQ49" t="e">
        <f>#REF!-"vlM!$ZR"</f>
        <v>#REF!</v>
      </c>
      <c r="HR49" t="e">
        <f>#REF!-"vlM!$ZS"</f>
        <v>#REF!</v>
      </c>
      <c r="HS49" t="e">
        <f>#REF!-"vlM!$ZT"</f>
        <v>#REF!</v>
      </c>
      <c r="HT49" t="e">
        <f>#REF!-"vlM!$ZU"</f>
        <v>#REF!</v>
      </c>
      <c r="HU49" t="e">
        <f>#REF!-"vlM!$ZV"</f>
        <v>#REF!</v>
      </c>
      <c r="HV49" t="e">
        <f>#REF!-"vlM!$ZW"</f>
        <v>#REF!</v>
      </c>
      <c r="HW49" t="e">
        <f>#REF!-"vlM!$ZX"</f>
        <v>#REF!</v>
      </c>
      <c r="HX49" t="e">
        <f>#REF!-"vlM!$ZY"</f>
        <v>#REF!</v>
      </c>
      <c r="HY49" t="e">
        <f>#REF!-"vlM!$ZZ"</f>
        <v>#REF!</v>
      </c>
      <c r="HZ49" t="e">
        <f>#REF!-"vlM!$Z["</f>
        <v>#REF!</v>
      </c>
      <c r="IA49" t="e">
        <f>#REF!-"vlM!$Z\"</f>
        <v>#REF!</v>
      </c>
      <c r="IB49" t="e">
        <f>#REF!-"vlM!$Z]"</f>
        <v>#REF!</v>
      </c>
      <c r="IC49" t="e">
        <f>#REF!-"vlM!$Z^"</f>
        <v>#REF!</v>
      </c>
      <c r="ID49" t="e">
        <f>#REF!-"vlM!$Z_"</f>
        <v>#REF!</v>
      </c>
      <c r="IE49" t="e">
        <f>#REF!-"vlM!$Z`"</f>
        <v>#REF!</v>
      </c>
      <c r="IF49" t="e">
        <f>#REF!-"vlM!$Za"</f>
        <v>#REF!</v>
      </c>
      <c r="IG49" t="e">
        <f>#REF!-"vlM!$Zb"</f>
        <v>#REF!</v>
      </c>
      <c r="IH49" t="e">
        <f>#REF!-"vlM!$Zc"</f>
        <v>#REF!</v>
      </c>
      <c r="II49" t="e">
        <f>#REF!-"vlM!$Zd"</f>
        <v>#REF!</v>
      </c>
      <c r="IJ49" t="e">
        <f>#REF!-"vlM!$Ze"</f>
        <v>#REF!</v>
      </c>
      <c r="IK49" t="e">
        <f>#REF!-"vlM!$Zf"</f>
        <v>#REF!</v>
      </c>
      <c r="IL49" t="e">
        <f>#REF!-"vlM!$Zg"</f>
        <v>#REF!</v>
      </c>
      <c r="IM49" t="e">
        <f>#REF!-"vlM!$Zh"</f>
        <v>#REF!</v>
      </c>
      <c r="IN49" t="e">
        <f>#REF!-"vlM!$Zi"</f>
        <v>#REF!</v>
      </c>
      <c r="IO49" t="e">
        <f>#REF!-"vlM!$Zj"</f>
        <v>#REF!</v>
      </c>
      <c r="IP49" t="e">
        <f>#REF!-"vlM!$Zk"</f>
        <v>#REF!</v>
      </c>
      <c r="IQ49" t="e">
        <f>#REF!-"vlM!$Zl"</f>
        <v>#REF!</v>
      </c>
      <c r="IR49" t="e">
        <f>#REF!-"vlM!$Zm"</f>
        <v>#REF!</v>
      </c>
      <c r="IS49" t="e">
        <f>#REF!-"vlM!$Zn"</f>
        <v>#REF!</v>
      </c>
      <c r="IT49" t="e">
        <f>#REF!-"vlM!$Zo"</f>
        <v>#REF!</v>
      </c>
      <c r="IU49" t="e">
        <f>#REF!-"vlM!$Zp"</f>
        <v>#REF!</v>
      </c>
      <c r="IV49" t="e">
        <f>#REF!-"vlM!$Zq"</f>
        <v>#REF!</v>
      </c>
    </row>
    <row r="50" spans="6:256" x14ac:dyDescent="0.25">
      <c r="F50" t="e">
        <f>#REF!-"vlM!$Zr"</f>
        <v>#REF!</v>
      </c>
      <c r="G50" t="e">
        <f>#REF!-"vlM!$Zs"</f>
        <v>#REF!</v>
      </c>
      <c r="H50" t="e">
        <f>#REF!-"vlM!$Zt"</f>
        <v>#REF!</v>
      </c>
      <c r="I50" t="e">
        <f>#REF!-"vlM!$Zu"</f>
        <v>#REF!</v>
      </c>
      <c r="J50" t="e">
        <f>#REF!-"vlM!$Zv"</f>
        <v>#REF!</v>
      </c>
      <c r="K50" t="e">
        <f>#REF!-"vlM!$Zw"</f>
        <v>#REF!</v>
      </c>
      <c r="L50" t="e">
        <f>#REF!-"vlM!$Zx"</f>
        <v>#REF!</v>
      </c>
      <c r="M50" t="e">
        <f>#REF!-"vlM!$Zy"</f>
        <v>#REF!</v>
      </c>
      <c r="N50" t="e">
        <f>#REF!-"vlM!$Zz"</f>
        <v>#REF!</v>
      </c>
      <c r="O50" t="e">
        <f>#REF!-"vlM!$Z{"</f>
        <v>#REF!</v>
      </c>
      <c r="P50" t="e">
        <f>#REF!-"vlM!$Z|"</f>
        <v>#REF!</v>
      </c>
      <c r="Q50" t="e">
        <f>#REF!-"vlM!$Z}"</f>
        <v>#REF!</v>
      </c>
      <c r="R50" t="e">
        <f>#REF!-"vlM!$Z~"</f>
        <v>#REF!</v>
      </c>
      <c r="S50" t="e">
        <f>#REF!-"vlM!$[#"</f>
        <v>#REF!</v>
      </c>
      <c r="T50" t="e">
        <f>#REF!-"vlM!$[$"</f>
        <v>#REF!</v>
      </c>
      <c r="U50" t="e">
        <f>#REF!-"vlM!$[%"</f>
        <v>#REF!</v>
      </c>
      <c r="V50" t="e">
        <f>#REF!-"vlM!$[&amp;"</f>
        <v>#REF!</v>
      </c>
      <c r="W50" t="e">
        <f>#REF!-"vlM!$['"</f>
        <v>#REF!</v>
      </c>
      <c r="X50" t="e">
        <f>#REF!-"vlM!$[("</f>
        <v>#REF!</v>
      </c>
      <c r="Y50" t="e">
        <f>#REF!-"vlM!$[)"</f>
        <v>#REF!</v>
      </c>
      <c r="Z50" t="e">
        <f>#REF!-"vlM!$[."</f>
        <v>#REF!</v>
      </c>
      <c r="AA50" t="e">
        <f>#REF!-"vlM!$[/"</f>
        <v>#REF!</v>
      </c>
      <c r="AB50" t="e">
        <f>#REF!-"vlM!$[0"</f>
        <v>#REF!</v>
      </c>
      <c r="AC50" t="e">
        <f>#REF!-"vlM!$[1"</f>
        <v>#REF!</v>
      </c>
      <c r="AD50" t="e">
        <f>#REF!-"vlM!$[2"</f>
        <v>#REF!</v>
      </c>
      <c r="AE50" t="e">
        <f>#REF!-"vlM!$[3"</f>
        <v>#REF!</v>
      </c>
      <c r="AF50" t="e">
        <f>#REF!-"vlM!$[4"</f>
        <v>#REF!</v>
      </c>
      <c r="AG50" t="e">
        <f>#REF!-"vlM!$[5"</f>
        <v>#REF!</v>
      </c>
      <c r="AH50" t="e">
        <f>#REF!-"vlM!$[6"</f>
        <v>#REF!</v>
      </c>
      <c r="AI50" t="e">
        <f>#REF!-"vlM!$[7"</f>
        <v>#REF!</v>
      </c>
      <c r="AJ50" t="e">
        <f>#REF!-"vlM!$[8"</f>
        <v>#REF!</v>
      </c>
      <c r="AK50" t="e">
        <f>#REF!-"vlM!$[9"</f>
        <v>#REF!</v>
      </c>
      <c r="AL50" t="e">
        <f>#REF!-"vlM!$[:"</f>
        <v>#REF!</v>
      </c>
      <c r="AM50" t="e">
        <f>#REF!-"vlM!$[;"</f>
        <v>#REF!</v>
      </c>
      <c r="AN50" t="e">
        <f>#REF!-"vlM!$[&lt;"</f>
        <v>#REF!</v>
      </c>
      <c r="AO50" t="e">
        <f>#REF!-"vlM!$[="</f>
        <v>#REF!</v>
      </c>
      <c r="AP50" t="e">
        <f>#REF!-"vlM!$[&gt;"</f>
        <v>#REF!</v>
      </c>
      <c r="AQ50" t="e">
        <f>#REF!-"vlM!$[?"</f>
        <v>#REF!</v>
      </c>
      <c r="AR50" t="e">
        <f>#REF!-"vlM!$[@"</f>
        <v>#REF!</v>
      </c>
      <c r="AS50" t="e">
        <f>#REF!-"vlM!$[A"</f>
        <v>#REF!</v>
      </c>
      <c r="AT50" t="e">
        <f>#REF!-"vlM!$[B"</f>
        <v>#REF!</v>
      </c>
      <c r="AU50" t="e">
        <f>#REF!-"vlM!$[C"</f>
        <v>#REF!</v>
      </c>
      <c r="AV50" t="e">
        <f>#REF!-"vlM!$[D"</f>
        <v>#REF!</v>
      </c>
      <c r="AW50" t="e">
        <f>#REF!-"vlM!$[E"</f>
        <v>#REF!</v>
      </c>
      <c r="AX50" t="e">
        <f>#REF!-"vlM!$[F"</f>
        <v>#REF!</v>
      </c>
      <c r="AY50" t="e">
        <f>#REF!-"vlM!$[G"</f>
        <v>#REF!</v>
      </c>
      <c r="AZ50" t="e">
        <f>#REF!-"vlM!$[H"</f>
        <v>#REF!</v>
      </c>
      <c r="BA50" t="e">
        <f>#REF!-"vlM!$[I"</f>
        <v>#REF!</v>
      </c>
      <c r="BB50" t="e">
        <f>#REF!-"vlM!$[J"</f>
        <v>#REF!</v>
      </c>
      <c r="BC50" t="e">
        <f>#REF!-"vlM!$[K"</f>
        <v>#REF!</v>
      </c>
      <c r="BD50" t="e">
        <f>#REF!-"vlM!$[L"</f>
        <v>#REF!</v>
      </c>
      <c r="BE50" t="e">
        <f>#REF!-"vlM!$[M"</f>
        <v>#REF!</v>
      </c>
      <c r="BF50" t="e">
        <f>#REF!-"vlM!$[N"</f>
        <v>#REF!</v>
      </c>
      <c r="BG50" t="e">
        <f>#REF!-"vlM!$[O"</f>
        <v>#REF!</v>
      </c>
      <c r="BH50" t="e">
        <f>#REF!-"vlM!$[P"</f>
        <v>#REF!</v>
      </c>
      <c r="BI50" t="e">
        <f>#REF!-"vlM!$[Q"</f>
        <v>#REF!</v>
      </c>
      <c r="BJ50" t="e">
        <f>#REF!-"vlM!$[R"</f>
        <v>#REF!</v>
      </c>
      <c r="BK50" t="e">
        <f>#REF!-"vlM!$[S"</f>
        <v>#REF!</v>
      </c>
      <c r="BL50" t="e">
        <f>#REF!-"vlM!$[T"</f>
        <v>#REF!</v>
      </c>
      <c r="BM50" t="e">
        <f>#REF!-"vlM!$[U"</f>
        <v>#REF!</v>
      </c>
      <c r="BN50" t="e">
        <f>#REF!-"vlM!$[V"</f>
        <v>#REF!</v>
      </c>
      <c r="BO50" t="e">
        <f>#REF!-"vlM!$[W"</f>
        <v>#REF!</v>
      </c>
      <c r="BP50" t="e">
        <f>#REF!-"vlM!$[X"</f>
        <v>#REF!</v>
      </c>
      <c r="BQ50" t="e">
        <f>#REF!-"vlM!$[Y"</f>
        <v>#REF!</v>
      </c>
      <c r="BR50" t="e">
        <f>#REF!-"vlM!$[Z"</f>
        <v>#REF!</v>
      </c>
      <c r="BS50" t="e">
        <f>#REF!-"vlM!$[["</f>
        <v>#REF!</v>
      </c>
      <c r="BT50" t="e">
        <f>#REF!+"vlM!$[\"</f>
        <v>#REF!</v>
      </c>
      <c r="BU50" s="4" t="e">
        <f>#REF!+"vlM!$[]"</f>
        <v>#REF!</v>
      </c>
      <c r="BV50" s="4" t="e">
        <f>#REF!+"vlM!$[^"</f>
        <v>#REF!</v>
      </c>
      <c r="BW50" t="e">
        <f>#REF!+"vlM!$[_"</f>
        <v>#REF!</v>
      </c>
      <c r="BX50" s="4" t="e">
        <f>#REF!+"vlM!$[`"</f>
        <v>#REF!</v>
      </c>
      <c r="BY50" s="4" t="e">
        <f>#REF!+"vlM!$[a"</f>
        <v>#REF!</v>
      </c>
      <c r="BZ50" s="2" t="e">
        <f>#REF!+"vlM!$[b"</f>
        <v>#REF!</v>
      </c>
      <c r="CA50" t="e">
        <f>#REF!+"vlM!$[c"</f>
        <v>#REF!</v>
      </c>
      <c r="CB50" t="e">
        <f>#REF!+"vlM!$[d"</f>
        <v>#REF!</v>
      </c>
      <c r="CC50" t="e">
        <f>#REF!+"vlM!$[e"</f>
        <v>#REF!</v>
      </c>
      <c r="CD50" s="4" t="e">
        <f>#REF!+"vlM!$[f"</f>
        <v>#REF!</v>
      </c>
      <c r="CE50" s="4" t="e">
        <f>#REF!+"vlM!$[g"</f>
        <v>#REF!</v>
      </c>
      <c r="CF50" t="e">
        <f>#REF!+"vlM!$[h"</f>
        <v>#REF!</v>
      </c>
      <c r="CG50" t="e">
        <f>#REF!+"vlM!$[i"</f>
        <v>#REF!</v>
      </c>
      <c r="CH50" t="e">
        <f>#REF!+"vlM!$[j"</f>
        <v>#REF!</v>
      </c>
      <c r="CI50" s="4" t="e">
        <f>#REF!+"vlM!$[k"</f>
        <v>#REF!</v>
      </c>
      <c r="CJ50" s="4" t="e">
        <f>#REF!+"vlM!$[l"</f>
        <v>#REF!</v>
      </c>
      <c r="CK50" t="e">
        <f>#REF!+"vlM!$[m"</f>
        <v>#REF!</v>
      </c>
      <c r="CL50" s="4" t="e">
        <f>#REF!+"vlM!$[n"</f>
        <v>#REF!</v>
      </c>
      <c r="CM50" s="4" t="e">
        <f>#REF!+"vlM!$[o"</f>
        <v>#REF!</v>
      </c>
      <c r="CN50" t="e">
        <f>#REF!+"vlM!$[p"</f>
        <v>#REF!</v>
      </c>
      <c r="CO50" s="4" t="e">
        <f>#REF!+"vlM!$[q"</f>
        <v>#REF!</v>
      </c>
      <c r="CP50" s="4" t="e">
        <f>#REF!+"vlM!$[r"</f>
        <v>#REF!</v>
      </c>
      <c r="CQ50" t="e">
        <f>#REF!+"vlM!$[s"</f>
        <v>#REF!</v>
      </c>
      <c r="CR50" t="e">
        <f>#REF!+"vlM!$[t"</f>
        <v>#REF!</v>
      </c>
      <c r="CS50" s="4" t="e">
        <f>#REF!+"vlM!$[u"</f>
        <v>#REF!</v>
      </c>
      <c r="CT50" s="4" t="e">
        <f>#REF!+"vlM!$[v"</f>
        <v>#REF!</v>
      </c>
      <c r="CU50" t="e">
        <f>#REF!+"vlM!$[w"</f>
        <v>#REF!</v>
      </c>
      <c r="CV50" s="4" t="e">
        <f>#REF!+"vlM!$[x"</f>
        <v>#REF!</v>
      </c>
      <c r="CW50" s="4" t="e">
        <f>#REF!+"vlM!$[y"</f>
        <v>#REF!</v>
      </c>
      <c r="CX50" t="e">
        <f>#REF!+"vlM!$[z"</f>
        <v>#REF!</v>
      </c>
      <c r="CY50" s="4" t="e">
        <f>#REF!+"vlM!$[{"</f>
        <v>#REF!</v>
      </c>
      <c r="CZ50" s="4" t="e">
        <f>#REF!+"vlM!$[|"</f>
        <v>#REF!</v>
      </c>
      <c r="DA50" t="e">
        <f>#REF!+"vlM!$[}"</f>
        <v>#REF!</v>
      </c>
      <c r="DB50" s="4" t="e">
        <f>#REF!+"vlM!$[~"</f>
        <v>#REF!</v>
      </c>
      <c r="DC50" s="4" t="e">
        <f>#REF!+"vlM!$\#"</f>
        <v>#REF!</v>
      </c>
      <c r="DD50" t="e">
        <f>#REF!+"vlM!$\$"</f>
        <v>#REF!</v>
      </c>
      <c r="DE50" s="4" t="e">
        <f>#REF!+"vlM!$\%"</f>
        <v>#REF!</v>
      </c>
      <c r="DF50" s="4" t="e">
        <f>#REF!+"vlM!$\&amp;"</f>
        <v>#REF!</v>
      </c>
      <c r="DG50" t="e">
        <f>#REF!+"vlM!$\'"</f>
        <v>#REF!</v>
      </c>
      <c r="DH50" s="4" t="e">
        <f>#REF!+"vlM!$\("</f>
        <v>#REF!</v>
      </c>
      <c r="DI50" s="4" t="e">
        <f>#REF!+"vlM!$\)"</f>
        <v>#REF!</v>
      </c>
      <c r="DJ50" t="e">
        <f>#REF!+"vlM!$\."</f>
        <v>#REF!</v>
      </c>
      <c r="DK50" s="4" t="e">
        <f>#REF!+"vlM!$\/"</f>
        <v>#REF!</v>
      </c>
      <c r="DL50" s="4" t="e">
        <f>#REF!+"vlM!$\0"</f>
        <v>#REF!</v>
      </c>
      <c r="DM50" t="e">
        <f>#REF!+"vlM!$\1"</f>
        <v>#REF!</v>
      </c>
      <c r="DN50" s="4" t="e">
        <f>#REF!+"vlM!$\2"</f>
        <v>#REF!</v>
      </c>
      <c r="DO50" s="4" t="e">
        <f>#REF!+"vlM!$\3"</f>
        <v>#REF!</v>
      </c>
      <c r="DP50" t="e">
        <f>#REF!+"vlM!$\4"</f>
        <v>#REF!</v>
      </c>
      <c r="DQ50" s="4" t="e">
        <f>#REF!+"vlM!$\5"</f>
        <v>#REF!</v>
      </c>
      <c r="DR50" s="4" t="e">
        <f>#REF!+"vlM!$\6"</f>
        <v>#REF!</v>
      </c>
      <c r="DS50" t="e">
        <f>#REF!+"vlM!$\7"</f>
        <v>#REF!</v>
      </c>
      <c r="DT50" s="4" t="e">
        <f>#REF!+"vlM!$\8"</f>
        <v>#REF!</v>
      </c>
      <c r="DU50" s="4" t="e">
        <f>#REF!+"vlM!$\9"</f>
        <v>#REF!</v>
      </c>
      <c r="DV50" t="e">
        <f>#REF!+"vlM!$\:"</f>
        <v>#REF!</v>
      </c>
      <c r="DW50" s="4" t="e">
        <f>#REF!+"vlM!$\;"</f>
        <v>#REF!</v>
      </c>
      <c r="DX50" s="4" t="e">
        <f>#REF!+"vlM!$\&lt;"</f>
        <v>#REF!</v>
      </c>
      <c r="DY50" t="e">
        <f>#REF!+"vlM!$\="</f>
        <v>#REF!</v>
      </c>
      <c r="DZ50" s="4" t="e">
        <f>#REF!+"vlM!$\&gt;"</f>
        <v>#REF!</v>
      </c>
      <c r="EA50" s="4" t="e">
        <f>#REF!+"vlM!$\?"</f>
        <v>#REF!</v>
      </c>
      <c r="EB50" t="e">
        <f>#REF!+"vlM!$\@"</f>
        <v>#REF!</v>
      </c>
      <c r="EC50" s="4" t="e">
        <f>#REF!+"vlM!$\A"</f>
        <v>#REF!</v>
      </c>
      <c r="ED50" s="4" t="e">
        <f>#REF!+"vlM!$\B"</f>
        <v>#REF!</v>
      </c>
      <c r="EE50" t="e">
        <f>#REF!+"vlM!$\C"</f>
        <v>#REF!</v>
      </c>
      <c r="EF50" s="4" t="e">
        <f>#REF!+"vlM!$\D"</f>
        <v>#REF!</v>
      </c>
      <c r="EG50" s="4" t="e">
        <f>#REF!+"vlM!$\E"</f>
        <v>#REF!</v>
      </c>
      <c r="EH50" t="e">
        <f>#REF!+"vlM!$\F"</f>
        <v>#REF!</v>
      </c>
      <c r="EI50" s="4" t="e">
        <f>#REF!+"vlM!$\G"</f>
        <v>#REF!</v>
      </c>
      <c r="EJ50" s="4" t="e">
        <f>#REF!+"vlM!$\H"</f>
        <v>#REF!</v>
      </c>
      <c r="EK50" t="e">
        <f>#REF!+"vlM!$\I"</f>
        <v>#REF!</v>
      </c>
      <c r="EL50" s="4" t="e">
        <f>#REF!+"vlM!$\J"</f>
        <v>#REF!</v>
      </c>
      <c r="EM50" s="4" t="e">
        <f>#REF!+"vlM!$\K"</f>
        <v>#REF!</v>
      </c>
      <c r="EN50" t="e">
        <f>#REF!+"vlM!$\L"</f>
        <v>#REF!</v>
      </c>
      <c r="EO50" s="4" t="e">
        <f>#REF!+"vlM!$\M"</f>
        <v>#REF!</v>
      </c>
      <c r="EP50" s="4" t="e">
        <f>#REF!+"vlM!$\N"</f>
        <v>#REF!</v>
      </c>
      <c r="EQ50" t="e">
        <f>#REF!+"vlM!$\O"</f>
        <v>#REF!</v>
      </c>
      <c r="ER50" s="4" t="e">
        <f>#REF!+"vlM!$\P"</f>
        <v>#REF!</v>
      </c>
      <c r="ES50" s="4" t="e">
        <f>#REF!+"vlM!$\Q"</f>
        <v>#REF!</v>
      </c>
      <c r="ET50" t="e">
        <f>#REF!+"vlM!$\R"</f>
        <v>#REF!</v>
      </c>
      <c r="EU50" s="4" t="e">
        <f>#REF!+"vlM!$\S"</f>
        <v>#REF!</v>
      </c>
      <c r="EV50" s="4" t="e">
        <f>#REF!+"vlM!$\T"</f>
        <v>#REF!</v>
      </c>
      <c r="EW50" t="e">
        <f>#REF!+"vlM!$\U"</f>
        <v>#REF!</v>
      </c>
      <c r="EX50" s="4" t="e">
        <f>#REF!+"vlM!$\V"</f>
        <v>#REF!</v>
      </c>
      <c r="EY50" s="4" t="e">
        <f>#REF!+"vlM!$\W"</f>
        <v>#REF!</v>
      </c>
      <c r="EZ50" t="e">
        <f>#REF!+"vlM!$\X"</f>
        <v>#REF!</v>
      </c>
      <c r="FA50" s="4" t="e">
        <f>#REF!+"vlM!$\Y"</f>
        <v>#REF!</v>
      </c>
      <c r="FB50" s="4" t="e">
        <f>#REF!+"vlM!$\Z"</f>
        <v>#REF!</v>
      </c>
      <c r="FC50" t="e">
        <f>#REF!+"vlM!$\["</f>
        <v>#REF!</v>
      </c>
      <c r="FD50" s="4" t="e">
        <f>#REF!+"vlM!$\\"</f>
        <v>#REF!</v>
      </c>
      <c r="FE50" s="4" t="e">
        <f>#REF!+"vlM!$\]"</f>
        <v>#REF!</v>
      </c>
      <c r="FF50" t="e">
        <f>#REF!+"vlM!$\^"</f>
        <v>#REF!</v>
      </c>
      <c r="FG50" s="4" t="e">
        <f>#REF!+"vlM!$\_"</f>
        <v>#REF!</v>
      </c>
      <c r="FH50" s="4" t="e">
        <f>#REF!+"vlM!$\`"</f>
        <v>#REF!</v>
      </c>
      <c r="FI50" t="e">
        <f>#REF!+"vlM!$\a"</f>
        <v>#REF!</v>
      </c>
      <c r="FJ50" s="4" t="e">
        <f>#REF!+"vlM!$\b"</f>
        <v>#REF!</v>
      </c>
      <c r="FK50" s="4" t="e">
        <f>#REF!+"vlM!$\c"</f>
        <v>#REF!</v>
      </c>
      <c r="FL50" t="e">
        <f>#REF!+"vlM!$\d"</f>
        <v>#REF!</v>
      </c>
      <c r="FM50" s="4" t="e">
        <f>#REF!+"vlM!$\e"</f>
        <v>#REF!</v>
      </c>
      <c r="FN50" s="4" t="e">
        <f>#REF!+"vlM!$\f"</f>
        <v>#REF!</v>
      </c>
      <c r="FO50" t="e">
        <f>#REF!+"vlM!$\g"</f>
        <v>#REF!</v>
      </c>
      <c r="FP50" s="4" t="e">
        <f>#REF!+"vlM!$\h"</f>
        <v>#REF!</v>
      </c>
      <c r="FQ50" s="4" t="e">
        <f>#REF!+"vlM!$\i"</f>
        <v>#REF!</v>
      </c>
      <c r="FR50" t="e">
        <f>#REF!+"vlM!$\j"</f>
        <v>#REF!</v>
      </c>
      <c r="FS50" s="4" t="e">
        <f>#REF!+"vlM!$\k"</f>
        <v>#REF!</v>
      </c>
      <c r="FT50" s="4" t="e">
        <f>#REF!+"vlM!$\l"</f>
        <v>#REF!</v>
      </c>
      <c r="FU50" t="e">
        <f>#REF!+"vlM!$\m"</f>
        <v>#REF!</v>
      </c>
      <c r="FV50" s="4" t="e">
        <f>#REF!+"vlM!$\n"</f>
        <v>#REF!</v>
      </c>
      <c r="FW50" s="4" t="e">
        <f>#REF!+"vlM!$\o"</f>
        <v>#REF!</v>
      </c>
      <c r="FX50" t="e">
        <f>#REF!+"vlM!$\p"</f>
        <v>#REF!</v>
      </c>
      <c r="FY50" s="4" t="e">
        <f>#REF!+"vlM!$\q"</f>
        <v>#REF!</v>
      </c>
      <c r="FZ50" s="4" t="e">
        <f>#REF!+"vlM!$\r"</f>
        <v>#REF!</v>
      </c>
      <c r="GA50" t="e">
        <f>#REF!+"vlM!$\s"</f>
        <v>#REF!</v>
      </c>
      <c r="GB50" s="4" t="e">
        <f>#REF!+"vlM!$\t"</f>
        <v>#REF!</v>
      </c>
      <c r="GC50" s="4" t="e">
        <f>#REF!+"vlM!$\u"</f>
        <v>#REF!</v>
      </c>
      <c r="GD50" t="e">
        <f>#REF!+"vlM!$\v"</f>
        <v>#REF!</v>
      </c>
      <c r="GE50" s="4" t="e">
        <f>#REF!+"vlM!$\w"</f>
        <v>#REF!</v>
      </c>
      <c r="GF50" s="4" t="e">
        <f>#REF!+"vlM!$\x"</f>
        <v>#REF!</v>
      </c>
      <c r="GG50" t="e">
        <f>#REF!+"vlM!$\y"</f>
        <v>#REF!</v>
      </c>
      <c r="GH50" s="4" t="e">
        <f>#REF!+"vlM!$\z"</f>
        <v>#REF!</v>
      </c>
      <c r="GI50" s="4" t="e">
        <f>#REF!+"vlM!$\{"</f>
        <v>#REF!</v>
      </c>
      <c r="GJ50" t="e">
        <f>#REF!+"vlM!$\|"</f>
        <v>#REF!</v>
      </c>
      <c r="GK50" s="4" t="e">
        <f>#REF!+"vlM!$\}"</f>
        <v>#REF!</v>
      </c>
      <c r="GL50" s="4" t="e">
        <f>#REF!+"vlM!$\~"</f>
        <v>#REF!</v>
      </c>
      <c r="GM50" t="e">
        <f>#REF!+"vlM!$]#"</f>
        <v>#REF!</v>
      </c>
      <c r="GN50" s="4" t="e">
        <f>#REF!+"vlM!$]$"</f>
        <v>#REF!</v>
      </c>
      <c r="GO50" s="4" t="e">
        <f>#REF!+"vlM!$]%"</f>
        <v>#REF!</v>
      </c>
      <c r="GP50" t="e">
        <f>#REF!+"vlM!$]&amp;"</f>
        <v>#REF!</v>
      </c>
      <c r="GQ50" s="4" t="e">
        <f>#REF!+"vlM!$]'"</f>
        <v>#REF!</v>
      </c>
      <c r="GR50" s="4" t="e">
        <f>#REF!+"vlM!$]("</f>
        <v>#REF!</v>
      </c>
      <c r="GS50" t="e">
        <f>#REF!+"vlM!$])"</f>
        <v>#REF!</v>
      </c>
      <c r="GT50" s="4" t="e">
        <f>#REF!+"vlM!$]."</f>
        <v>#REF!</v>
      </c>
      <c r="GU50" s="4" t="e">
        <f>#REF!+"vlM!$]/"</f>
        <v>#REF!</v>
      </c>
      <c r="GV50" t="e">
        <f>#REF!+"vlM!$]0"</f>
        <v>#REF!</v>
      </c>
      <c r="GW50" s="4" t="e">
        <f>#REF!+"vlM!$]1"</f>
        <v>#REF!</v>
      </c>
      <c r="GX50" s="4" t="e">
        <f>#REF!+"vlM!$]2"</f>
        <v>#REF!</v>
      </c>
      <c r="GY50" t="e">
        <f>#REF!+"vlM!$]3"</f>
        <v>#REF!</v>
      </c>
      <c r="GZ50" s="4" t="e">
        <f>#REF!+"vlM!$]4"</f>
        <v>#REF!</v>
      </c>
      <c r="HA50" s="4" t="e">
        <f>#REF!+"vlM!$]5"</f>
        <v>#REF!</v>
      </c>
      <c r="HB50" t="e">
        <f>#REF!+"vlM!$]6"</f>
        <v>#REF!</v>
      </c>
      <c r="HC50" s="4" t="e">
        <f>#REF!+"vlM!$]7"</f>
        <v>#REF!</v>
      </c>
      <c r="HD50" s="4" t="e">
        <f>#REF!+"vlM!$]8"</f>
        <v>#REF!</v>
      </c>
      <c r="HE50" t="e">
        <f>#REF!+"vlM!$]9"</f>
        <v>#REF!</v>
      </c>
      <c r="HF50" s="4" t="e">
        <f>#REF!+"vlM!$]:"</f>
        <v>#REF!</v>
      </c>
      <c r="HG50" s="4" t="e">
        <f>#REF!+"vlM!$];"</f>
        <v>#REF!</v>
      </c>
      <c r="HH50" t="e">
        <f>#REF!+"vlM!$]&lt;"</f>
        <v>#REF!</v>
      </c>
      <c r="HI50" s="4" t="e">
        <f>#REF!+"vlM!$]="</f>
        <v>#REF!</v>
      </c>
      <c r="HJ50" s="4" t="e">
        <f>#REF!+"vlM!$]&gt;"</f>
        <v>#REF!</v>
      </c>
      <c r="HK50" t="e">
        <f>#REF!+"vlM!$]?"</f>
        <v>#REF!</v>
      </c>
      <c r="HL50" s="4" t="e">
        <f>#REF!+"vlM!$]@"</f>
        <v>#REF!</v>
      </c>
      <c r="HM50" s="4" t="e">
        <f>#REF!+"vlM!$]A"</f>
        <v>#REF!</v>
      </c>
      <c r="HN50" t="e">
        <f>#REF!+"vlM!$]B"</f>
        <v>#REF!</v>
      </c>
      <c r="HO50" s="4" t="e">
        <f>#REF!+"vlM!$]C"</f>
        <v>#REF!</v>
      </c>
      <c r="HP50" s="4" t="e">
        <f>#REF!+"vlM!$]D"</f>
        <v>#REF!</v>
      </c>
      <c r="HQ50" t="e">
        <f>#REF!+"vlM!$]E"</f>
        <v>#REF!</v>
      </c>
      <c r="HR50" s="4" t="e">
        <f>#REF!+"vlM!$]F"</f>
        <v>#REF!</v>
      </c>
      <c r="HS50" s="4" t="e">
        <f>#REF!+"vlM!$]G"</f>
        <v>#REF!</v>
      </c>
      <c r="HT50" t="e">
        <f>#REF!+"vlM!$]H"</f>
        <v>#REF!</v>
      </c>
      <c r="HU50" s="4" t="e">
        <f>#REF!+"vlM!$]I"</f>
        <v>#REF!</v>
      </c>
      <c r="HV50" s="4" t="e">
        <f>#REF!+"vlM!$]J"</f>
        <v>#REF!</v>
      </c>
      <c r="HW50" t="e">
        <f>#REF!+"vlM!$]K"</f>
        <v>#REF!</v>
      </c>
      <c r="HX50" s="4" t="e">
        <f>#REF!+"vlM!$]L"</f>
        <v>#REF!</v>
      </c>
      <c r="HY50" s="4" t="e">
        <f>#REF!+"vlM!$]M"</f>
        <v>#REF!</v>
      </c>
      <c r="HZ50" t="e">
        <f>#REF!+"vlM!$]N"</f>
        <v>#REF!</v>
      </c>
      <c r="IA50" s="4" t="e">
        <f>#REF!+"vlM!$]O"</f>
        <v>#REF!</v>
      </c>
      <c r="IB50" s="4" t="e">
        <f>#REF!+"vlM!$]P"</f>
        <v>#REF!</v>
      </c>
      <c r="IC50" t="e">
        <f>#REF!+"vlM!$]Q"</f>
        <v>#REF!</v>
      </c>
      <c r="ID50" s="4" t="e">
        <f>#REF!+"vlM!$]R"</f>
        <v>#REF!</v>
      </c>
      <c r="IE50" s="4" t="e">
        <f>#REF!+"vlM!$]S"</f>
        <v>#REF!</v>
      </c>
      <c r="IF50" t="e">
        <f>#REF!+"vlM!$]T"</f>
        <v>#REF!</v>
      </c>
      <c r="IG50" s="4" t="e">
        <f>#REF!+"vlM!$]U"</f>
        <v>#REF!</v>
      </c>
      <c r="IH50" s="4" t="e">
        <f>#REF!+"vlM!$]V"</f>
        <v>#REF!</v>
      </c>
      <c r="II50" t="e">
        <f>#REF!+"vlM!$]W"</f>
        <v>#REF!</v>
      </c>
      <c r="IJ50" s="4" t="e">
        <f>#REF!+"vlM!$]X"</f>
        <v>#REF!</v>
      </c>
      <c r="IK50" s="4" t="e">
        <f>#REF!+"vlM!$]Y"</f>
        <v>#REF!</v>
      </c>
      <c r="IL50" t="e">
        <f>#REF!+"vlM!$]Z"</f>
        <v>#REF!</v>
      </c>
      <c r="IM50" s="4" t="e">
        <f>#REF!+"vlM!$]["</f>
        <v>#REF!</v>
      </c>
      <c r="IN50" s="4" t="e">
        <f>#REF!+"vlM!$]\"</f>
        <v>#REF!</v>
      </c>
      <c r="IO50" t="e">
        <f>#REF!+"vlM!$]]"</f>
        <v>#REF!</v>
      </c>
      <c r="IP50" s="4" t="e">
        <f>#REF!+"vlM!$]^"</f>
        <v>#REF!</v>
      </c>
      <c r="IQ50" s="4" t="e">
        <f>#REF!+"vlM!$]_"</f>
        <v>#REF!</v>
      </c>
      <c r="IR50" t="e">
        <f>#REF!+"vlM!$]`"</f>
        <v>#REF!</v>
      </c>
      <c r="IS50" s="4" t="e">
        <f>#REF!+"vlM!$]a"</f>
        <v>#REF!</v>
      </c>
      <c r="IT50" s="4" t="e">
        <f>#REF!+"vlM!$]b"</f>
        <v>#REF!</v>
      </c>
      <c r="IU50" t="e">
        <f>#REF!+"vlM!$]c"</f>
        <v>#REF!</v>
      </c>
      <c r="IV50" s="4" t="e">
        <f>#REF!+"vlM!$]d"</f>
        <v>#REF!</v>
      </c>
    </row>
    <row r="51" spans="6:256" x14ac:dyDescent="0.25">
      <c r="F51" s="4" t="e">
        <f>#REF!+"vlM!$]e"</f>
        <v>#REF!</v>
      </c>
      <c r="G51" t="e">
        <f>#REF!+"vlM!$]f"</f>
        <v>#REF!</v>
      </c>
      <c r="H51" s="4" t="e">
        <f>#REF!+"vlM!$]g"</f>
        <v>#REF!</v>
      </c>
      <c r="I51" s="4" t="e">
        <f>#REF!+"vlM!$]h"</f>
        <v>#REF!</v>
      </c>
      <c r="J51" t="e">
        <f>#REF!+"vlM!$]i"</f>
        <v>#REF!</v>
      </c>
      <c r="K51" s="4" t="e">
        <f>#REF!+"vlM!$]j"</f>
        <v>#REF!</v>
      </c>
      <c r="L51" s="4" t="e">
        <f>#REF!+"vlM!$]k"</f>
        <v>#REF!</v>
      </c>
      <c r="M51" t="e">
        <f>#REF!+"vlM!$]l"</f>
        <v>#REF!</v>
      </c>
      <c r="N51" s="4" t="e">
        <f>#REF!+"vlM!$]m"</f>
        <v>#REF!</v>
      </c>
      <c r="O51" s="4" t="e">
        <f>#REF!+"vlM!$]n"</f>
        <v>#REF!</v>
      </c>
      <c r="P51" t="e">
        <f>#REF!+"vlM!$]o"</f>
        <v>#REF!</v>
      </c>
      <c r="Q51" s="4" t="e">
        <f>#REF!+"vlM!$]p"</f>
        <v>#REF!</v>
      </c>
      <c r="R51" s="4" t="e">
        <f>#REF!+"vlM!$]q"</f>
        <v>#REF!</v>
      </c>
      <c r="S51" t="e">
        <f>#REF!+"vlM!$]r"</f>
        <v>#REF!</v>
      </c>
      <c r="T51" s="4" t="e">
        <f>#REF!+"vlM!$]s"</f>
        <v>#REF!</v>
      </c>
      <c r="U51" s="4" t="e">
        <f>#REF!+"vlM!$]t"</f>
        <v>#REF!</v>
      </c>
      <c r="V51" t="e">
        <f>#REF!+"vlM!$]u"</f>
        <v>#REF!</v>
      </c>
      <c r="W51" s="4" t="e">
        <f>#REF!+"vlM!$]v"</f>
        <v>#REF!</v>
      </c>
      <c r="X51" s="4" t="e">
        <f>#REF!+"vlM!$]w"</f>
        <v>#REF!</v>
      </c>
      <c r="Y51" t="e">
        <f>#REF!+"vlM!$]x"</f>
        <v>#REF!</v>
      </c>
      <c r="Z51" s="4" t="e">
        <f>#REF!+"vlM!$]y"</f>
        <v>#REF!</v>
      </c>
      <c r="AA51" s="4" t="e">
        <f>#REF!+"vlM!$]z"</f>
        <v>#REF!</v>
      </c>
      <c r="AB51" t="e">
        <f>#REF!+"vlM!$]{"</f>
        <v>#REF!</v>
      </c>
      <c r="AC51" s="4" t="e">
        <f>#REF!+"vlM!$]|"</f>
        <v>#REF!</v>
      </c>
      <c r="AD51" s="4" t="e">
        <f>#REF!+"vlM!$]}"</f>
        <v>#REF!</v>
      </c>
      <c r="AE51" t="e">
        <f>#REF!+"vlM!$]~"</f>
        <v>#REF!</v>
      </c>
      <c r="AF51" s="4" t="e">
        <f>#REF!+"vlM!$^#"</f>
        <v>#REF!</v>
      </c>
      <c r="AG51" s="4" t="e">
        <f>#REF!+"vlM!$^$"</f>
        <v>#REF!</v>
      </c>
      <c r="AH51" t="e">
        <f>#REF!+"vlM!$^%"</f>
        <v>#REF!</v>
      </c>
      <c r="AI51" s="4" t="e">
        <f>#REF!+"vlM!$^&amp;"</f>
        <v>#REF!</v>
      </c>
      <c r="AJ51" s="4" t="e">
        <f>#REF!+"vlM!$^'"</f>
        <v>#REF!</v>
      </c>
      <c r="AK51" t="e">
        <f>#REF!+"vlM!$^("</f>
        <v>#REF!</v>
      </c>
      <c r="AL51" s="4" t="e">
        <f>#REF!+"vlM!$^)"</f>
        <v>#REF!</v>
      </c>
      <c r="AM51" s="4" t="e">
        <f>#REF!+"vlM!$^."</f>
        <v>#REF!</v>
      </c>
      <c r="AN51" t="e">
        <f>#REF!+"vlM!$^/"</f>
        <v>#REF!</v>
      </c>
      <c r="AO51" s="4" t="e">
        <f>#REF!+"vlM!$^0"</f>
        <v>#REF!</v>
      </c>
      <c r="AP51" s="4" t="e">
        <f>#REF!+"vlM!$^1"</f>
        <v>#REF!</v>
      </c>
      <c r="AQ51" t="e">
        <f>#REF!+"vlM!$^2"</f>
        <v>#REF!</v>
      </c>
      <c r="AR51" s="4" t="e">
        <f>#REF!+"vlM!$^3"</f>
        <v>#REF!</v>
      </c>
      <c r="AS51" s="4" t="e">
        <f>#REF!+"vlM!$^4"</f>
        <v>#REF!</v>
      </c>
      <c r="AT51" t="e">
        <f>#REF!+"vlM!$^5"</f>
        <v>#REF!</v>
      </c>
      <c r="AU51" s="4" t="e">
        <f>#REF!+"vlM!$^6"</f>
        <v>#REF!</v>
      </c>
      <c r="AV51" s="4" t="e">
        <f>#REF!+"vlM!$^7"</f>
        <v>#REF!</v>
      </c>
      <c r="AW51" t="e">
        <f>#REF!+"vlM!$^8"</f>
        <v>#REF!</v>
      </c>
      <c r="AX51" s="4" t="e">
        <f>#REF!+"vlM!$^9"</f>
        <v>#REF!</v>
      </c>
      <c r="AY51" s="4" t="e">
        <f>#REF!+"vlM!$^:"</f>
        <v>#REF!</v>
      </c>
      <c r="AZ51" t="e">
        <f>#REF!+"vlM!$^;"</f>
        <v>#REF!</v>
      </c>
      <c r="BA51" s="4" t="e">
        <f>#REF!+"vlM!$^&lt;"</f>
        <v>#REF!</v>
      </c>
      <c r="BB51" s="4" t="e">
        <f>#REF!+"vlM!$^="</f>
        <v>#REF!</v>
      </c>
      <c r="BC51" t="e">
        <f>#REF!+"vlM!$^&gt;"</f>
        <v>#REF!</v>
      </c>
      <c r="BD51" s="4" t="e">
        <f>#REF!+"vlM!$^?"</f>
        <v>#REF!</v>
      </c>
      <c r="BE51" s="4" t="e">
        <f>#REF!+"vlM!$^@"</f>
        <v>#REF!</v>
      </c>
      <c r="BF51" t="e">
        <f>#REF!+"vlM!$^A"</f>
        <v>#REF!</v>
      </c>
      <c r="BG51" s="4" t="e">
        <f>#REF!+"vlM!$^B"</f>
        <v>#REF!</v>
      </c>
      <c r="BH51" s="4" t="e">
        <f>#REF!+"vlM!$^C"</f>
        <v>#REF!</v>
      </c>
      <c r="BI51" t="e">
        <f>#REF!+"vlM!$^D"</f>
        <v>#REF!</v>
      </c>
      <c r="BJ51" s="4" t="e">
        <f>#REF!+"vlM!$^E"</f>
        <v>#REF!</v>
      </c>
      <c r="BK51" s="4" t="e">
        <f>#REF!+"vlM!$^F"</f>
        <v>#REF!</v>
      </c>
      <c r="BL51" t="e">
        <f>#REF!+"vlM!$^G"</f>
        <v>#REF!</v>
      </c>
      <c r="BM51" s="4" t="e">
        <f>#REF!+"vlM!$^H"</f>
        <v>#REF!</v>
      </c>
      <c r="BN51" s="4" t="e">
        <f>#REF!+"vlM!$^I"</f>
        <v>#REF!</v>
      </c>
      <c r="BO51" t="e">
        <f>#REF!+"vlM!$^J"</f>
        <v>#REF!</v>
      </c>
      <c r="BP51" s="4" t="e">
        <f>#REF!+"vlM!$^K"</f>
        <v>#REF!</v>
      </c>
      <c r="BQ51" s="4" t="e">
        <f>#REF!+"vlM!$^L"</f>
        <v>#REF!</v>
      </c>
      <c r="BR51" t="e">
        <f>#REF!+"vlM!$^M"</f>
        <v>#REF!</v>
      </c>
      <c r="BS51" s="4" t="e">
        <f>#REF!+"vlM!$^N"</f>
        <v>#REF!</v>
      </c>
      <c r="BT51" s="4" t="e">
        <f>#REF!+"vlM!$^O"</f>
        <v>#REF!</v>
      </c>
      <c r="BU51" t="e">
        <f>#REF!+"vlM!$^P"</f>
        <v>#REF!</v>
      </c>
      <c r="BV51" s="4" t="e">
        <f>#REF!+"vlM!$^Q"</f>
        <v>#REF!</v>
      </c>
      <c r="BW51" s="4" t="e">
        <f>#REF!+"vlM!$^R"</f>
        <v>#REF!</v>
      </c>
      <c r="BX51" t="e">
        <f>#REF!+"vlM!$^S"</f>
        <v>#REF!</v>
      </c>
      <c r="BY51" s="4" t="e">
        <f>#REF!+"vlM!$^T"</f>
        <v>#REF!</v>
      </c>
      <c r="BZ51" s="4" t="e">
        <f>#REF!+"vlM!$^U"</f>
        <v>#REF!</v>
      </c>
      <c r="CA51" t="e">
        <f>#REF!+"vlM!$^V"</f>
        <v>#REF!</v>
      </c>
      <c r="CB51" s="4" t="e">
        <f>#REF!+"vlM!$^W"</f>
        <v>#REF!</v>
      </c>
      <c r="CC51" s="4" t="e">
        <f>#REF!+"vlM!$^X"</f>
        <v>#REF!</v>
      </c>
      <c r="CD51" t="e">
        <f>#REF!+"vlM!$^Y"</f>
        <v>#REF!</v>
      </c>
      <c r="CE51" s="4" t="e">
        <f>#REF!+"vlM!$^Z"</f>
        <v>#REF!</v>
      </c>
      <c r="CF51" s="4" t="e">
        <f>#REF!+"vlM!$^["</f>
        <v>#REF!</v>
      </c>
      <c r="CG51" t="e">
        <f>#REF!+"vlM!$^\"</f>
        <v>#REF!</v>
      </c>
      <c r="CH51" s="4" t="e">
        <f>#REF!+"vlM!$^]"</f>
        <v>#REF!</v>
      </c>
      <c r="CI51" s="4" t="e">
        <f>#REF!+"vlM!$^^"</f>
        <v>#REF!</v>
      </c>
      <c r="CJ51" t="e">
        <f>#REF!+"vlM!$^_"</f>
        <v>#REF!</v>
      </c>
      <c r="CK51" s="4" t="e">
        <f>#REF!+"vlM!$^`"</f>
        <v>#REF!</v>
      </c>
      <c r="CL51" s="4" t="e">
        <f>#REF!+"vlM!$^a"</f>
        <v>#REF!</v>
      </c>
      <c r="CM51" t="e">
        <f>#REF!+"vlM!$^b"</f>
        <v>#REF!</v>
      </c>
      <c r="CN51" s="4" t="e">
        <f>#REF!+"vlM!$^c"</f>
        <v>#REF!</v>
      </c>
      <c r="CO51" s="4" t="e">
        <f>#REF!+"vlM!$^d"</f>
        <v>#REF!</v>
      </c>
      <c r="CP51" t="e">
        <f>#REF!+"vlM!$^e"</f>
        <v>#REF!</v>
      </c>
      <c r="CQ51" s="4" t="e">
        <f>#REF!+"vlM!$^f"</f>
        <v>#REF!</v>
      </c>
      <c r="CR51" s="4" t="e">
        <f>#REF!+"vlM!$^g"</f>
        <v>#REF!</v>
      </c>
      <c r="CS51" t="e">
        <f>#REF!+"vlM!$^h"</f>
        <v>#REF!</v>
      </c>
      <c r="CT51" s="4" t="e">
        <f>#REF!+"vlM!$^i"</f>
        <v>#REF!</v>
      </c>
      <c r="CU51" s="4" t="e">
        <f>#REF!+"vlM!$^j"</f>
        <v>#REF!</v>
      </c>
      <c r="CV51" t="e">
        <f>#REF!+"vlM!$^k"</f>
        <v>#REF!</v>
      </c>
      <c r="CW51" s="4" t="e">
        <f>#REF!+"vlM!$^l"</f>
        <v>#REF!</v>
      </c>
      <c r="CX51" s="4" t="e">
        <f>#REF!+"vlM!$^m"</f>
        <v>#REF!</v>
      </c>
      <c r="CY51" t="e">
        <f>#REF!+"vlM!$^n"</f>
        <v>#REF!</v>
      </c>
      <c r="CZ51" s="4" t="e">
        <f>#REF!+"vlM!$^o"</f>
        <v>#REF!</v>
      </c>
      <c r="DA51" s="4" t="e">
        <f>#REF!+"vlM!$^p"</f>
        <v>#REF!</v>
      </c>
      <c r="DB51" t="e">
        <f>#REF!+"vlM!$^q"</f>
        <v>#REF!</v>
      </c>
      <c r="DC51" s="4" t="e">
        <f>#REF!+"vlM!$^r"</f>
        <v>#REF!</v>
      </c>
      <c r="DD51" s="4" t="e">
        <f>#REF!+"vlM!$^s"</f>
        <v>#REF!</v>
      </c>
      <c r="DE51" t="e">
        <f>#REF!+"vlM!$^t"</f>
        <v>#REF!</v>
      </c>
      <c r="DF51" s="4" t="e">
        <f>#REF!+"vlM!$^u"</f>
        <v>#REF!</v>
      </c>
      <c r="DG51" s="4" t="e">
        <f>#REF!+"vlM!$^v"</f>
        <v>#REF!</v>
      </c>
      <c r="DH51" t="e">
        <f>#REF!+"vlM!$^w"</f>
        <v>#REF!</v>
      </c>
      <c r="DI51" s="4" t="e">
        <f>#REF!+"vlM!$^x"</f>
        <v>#REF!</v>
      </c>
      <c r="DJ51" s="4" t="e">
        <f>#REF!+"vlM!$^y"</f>
        <v>#REF!</v>
      </c>
      <c r="DK51" t="e">
        <f>#REF!+"vlM!$^z"</f>
        <v>#REF!</v>
      </c>
      <c r="DL51" s="4" t="e">
        <f>#REF!+"vlM!$^{"</f>
        <v>#REF!</v>
      </c>
      <c r="DM51" s="4" t="e">
        <f>#REF!+"vlM!$^|"</f>
        <v>#REF!</v>
      </c>
      <c r="DN51" t="e">
        <f>#REF!+"vlM!$^}"</f>
        <v>#REF!</v>
      </c>
      <c r="DO51" s="4" t="e">
        <f>#REF!+"vlM!$^~"</f>
        <v>#REF!</v>
      </c>
      <c r="DP51" s="4" t="e">
        <f>#REF!+"vlM!$_#"</f>
        <v>#REF!</v>
      </c>
      <c r="DQ51" t="e">
        <f>#REF!+"vlM!$_$"</f>
        <v>#REF!</v>
      </c>
      <c r="DR51" s="4" t="e">
        <f>#REF!+"vlM!$_%"</f>
        <v>#REF!</v>
      </c>
      <c r="DS51" s="4" t="e">
        <f>#REF!+"vlM!$_&amp;"</f>
        <v>#REF!</v>
      </c>
      <c r="DT51" t="e">
        <f>#REF!+"vlM!$_'"</f>
        <v>#REF!</v>
      </c>
      <c r="DU51" s="4" t="e">
        <f>#REF!+"vlM!$_("</f>
        <v>#REF!</v>
      </c>
      <c r="DV51" s="4" t="e">
        <f>#REF!+"vlM!$_)"</f>
        <v>#REF!</v>
      </c>
      <c r="DW51" t="e">
        <f>#REF!+"vlM!$_."</f>
        <v>#REF!</v>
      </c>
      <c r="DX51" s="4" t="e">
        <f>#REF!+"vlM!$_/"</f>
        <v>#REF!</v>
      </c>
      <c r="DY51" s="4" t="e">
        <f>#REF!+"vlM!$_0"</f>
        <v>#REF!</v>
      </c>
      <c r="DZ51" t="e">
        <f>#REF!+"vlM!$_1"</f>
        <v>#REF!</v>
      </c>
      <c r="EA51" s="4" t="e">
        <f>#REF!+"vlM!$_2"</f>
        <v>#REF!</v>
      </c>
      <c r="EB51" s="4" t="e">
        <f>#REF!+"vlM!$_3"</f>
        <v>#REF!</v>
      </c>
      <c r="EC51" t="e">
        <f>#REF!+"vlM!$_4"</f>
        <v>#REF!</v>
      </c>
      <c r="ED51" s="4" t="e">
        <f>#REF!+"vlM!$_5"</f>
        <v>#REF!</v>
      </c>
      <c r="EE51" s="4" t="e">
        <f>#REF!+"vlM!$_6"</f>
        <v>#REF!</v>
      </c>
      <c r="EF51" t="e">
        <f>#REF!+"vlM!$_7"</f>
        <v>#REF!</v>
      </c>
      <c r="EG51" s="4" t="e">
        <f>#REF!+"vlM!$_8"</f>
        <v>#REF!</v>
      </c>
      <c r="EH51" s="4" t="e">
        <f>#REF!+"vlM!$_9"</f>
        <v>#REF!</v>
      </c>
      <c r="EI51" t="e">
        <f>#REF!+"vlM!$_:"</f>
        <v>#REF!</v>
      </c>
      <c r="EJ51" s="4" t="e">
        <f>#REF!+"vlM!$_;"</f>
        <v>#REF!</v>
      </c>
      <c r="EK51" s="4" t="e">
        <f>#REF!+"vlM!$_&lt;"</f>
        <v>#REF!</v>
      </c>
      <c r="EL51" t="e">
        <f>#REF!+"vlM!$_="</f>
        <v>#REF!</v>
      </c>
      <c r="EM51" s="4" t="e">
        <f>#REF!+"vlM!$_&gt;"</f>
        <v>#REF!</v>
      </c>
      <c r="EN51" s="4" t="e">
        <f>#REF!+"vlM!$_?"</f>
        <v>#REF!</v>
      </c>
      <c r="EO51" t="e">
        <f>#REF!+"vlM!$_@"</f>
        <v>#REF!</v>
      </c>
      <c r="EP51" s="4" t="e">
        <f>#REF!+"vlM!$_A"</f>
        <v>#REF!</v>
      </c>
      <c r="EQ51" s="4" t="e">
        <f>#REF!+"vlM!$_B"</f>
        <v>#REF!</v>
      </c>
      <c r="ER51" t="e">
        <f>#REF!+"vlM!$_C"</f>
        <v>#REF!</v>
      </c>
      <c r="ES51" s="4" t="e">
        <f>#REF!+"vlM!$_D"</f>
        <v>#REF!</v>
      </c>
      <c r="ET51" s="4" t="e">
        <f>#REF!+"vlM!$_E"</f>
        <v>#REF!</v>
      </c>
      <c r="EU51" t="e">
        <f>#REF!+"vlM!$_F"</f>
        <v>#REF!</v>
      </c>
      <c r="EV51" s="4" t="e">
        <f>#REF!+"vlM!$_G"</f>
        <v>#REF!</v>
      </c>
      <c r="EW51" s="4" t="e">
        <f>#REF!+"vlM!$_H"</f>
        <v>#REF!</v>
      </c>
      <c r="EX51" t="e">
        <f>#REF!+"vlM!$_I"</f>
        <v>#REF!</v>
      </c>
      <c r="EY51" s="4" t="e">
        <f>#REF!+"vlM!$_J"</f>
        <v>#REF!</v>
      </c>
      <c r="EZ51" s="4" t="e">
        <f>#REF!+"vlM!$_K"</f>
        <v>#REF!</v>
      </c>
      <c r="FA51" t="e">
        <f>#REF!+"vlM!$_L"</f>
        <v>#REF!</v>
      </c>
      <c r="FB51" s="4" t="e">
        <f>#REF!+"vlM!$_M"</f>
        <v>#REF!</v>
      </c>
      <c r="FC51" s="4" t="e">
        <f>#REF!+"vlM!$_N"</f>
        <v>#REF!</v>
      </c>
      <c r="FD51" t="e">
        <f>#REF!+"vlM!$_O"</f>
        <v>#REF!</v>
      </c>
      <c r="FE51" s="4" t="e">
        <f>#REF!+"vlM!$_P"</f>
        <v>#REF!</v>
      </c>
      <c r="FF51" s="4" t="e">
        <f>#REF!+"vlM!$_Q"</f>
        <v>#REF!</v>
      </c>
      <c r="FG51" t="e">
        <f>#REF!+"vlM!$_R"</f>
        <v>#REF!</v>
      </c>
      <c r="FH51" s="4" t="e">
        <f>#REF!+"vlM!$_S"</f>
        <v>#REF!</v>
      </c>
      <c r="FI51" s="4" t="e">
        <f>#REF!+"vlM!$_T"</f>
        <v>#REF!</v>
      </c>
      <c r="FJ51" t="e">
        <f>#REF!+"vlM!$_U"</f>
        <v>#REF!</v>
      </c>
      <c r="FK51" s="4" t="e">
        <f>#REF!+"vlM!$_V"</f>
        <v>#REF!</v>
      </c>
      <c r="FL51" s="4" t="e">
        <f>#REF!+"vlM!$_W"</f>
        <v>#REF!</v>
      </c>
      <c r="FM51" t="e">
        <f>#REF!+"vlM!$_X"</f>
        <v>#REF!</v>
      </c>
      <c r="FN51" s="4" t="e">
        <f>#REF!+"vlM!$_Y"</f>
        <v>#REF!</v>
      </c>
      <c r="FO51" s="4" t="e">
        <f>#REF!+"vlM!$_Z"</f>
        <v>#REF!</v>
      </c>
      <c r="FP51" t="e">
        <f>#REF!+"vlM!$_["</f>
        <v>#REF!</v>
      </c>
      <c r="FQ51" s="4" t="e">
        <f>#REF!+"vlM!$_\"</f>
        <v>#REF!</v>
      </c>
      <c r="FR51" s="4" t="e">
        <f>#REF!+"vlM!$_]"</f>
        <v>#REF!</v>
      </c>
      <c r="FS51" t="e">
        <f>#REF!+"vlM!$_^"</f>
        <v>#REF!</v>
      </c>
      <c r="FT51" s="4" t="e">
        <f>#REF!+"vlM!$__"</f>
        <v>#REF!</v>
      </c>
      <c r="FU51" s="4" t="e">
        <f>#REF!+"vlM!$_`"</f>
        <v>#REF!</v>
      </c>
      <c r="FV51" t="e">
        <f>#REF!+"vlM!$_a"</f>
        <v>#REF!</v>
      </c>
      <c r="FW51" s="4" t="e">
        <f>#REF!+"vlM!$_b"</f>
        <v>#REF!</v>
      </c>
      <c r="FX51" s="4" t="e">
        <f>#REF!+"vlM!$_c"</f>
        <v>#REF!</v>
      </c>
      <c r="FY51" t="e">
        <f>#REF!+"vlM!$_d"</f>
        <v>#REF!</v>
      </c>
      <c r="FZ51" s="4" t="e">
        <f>#REF!+"vlM!$_e"</f>
        <v>#REF!</v>
      </c>
      <c r="GA51" s="4" t="e">
        <f>#REF!+"vlM!$_f"</f>
        <v>#REF!</v>
      </c>
      <c r="GB51" t="e">
        <f>#REF!+"vlM!$_g"</f>
        <v>#REF!</v>
      </c>
      <c r="GC51" s="4" t="e">
        <f>#REF!+"vlM!$_h"</f>
        <v>#REF!</v>
      </c>
      <c r="GD51" s="4" t="e">
        <f>#REF!+"vlM!$_i"</f>
        <v>#REF!</v>
      </c>
      <c r="GE51" t="e">
        <f>#REF!+"vlM!$_j"</f>
        <v>#REF!</v>
      </c>
      <c r="GF51" s="4" t="e">
        <f>#REF!+"vlM!$_k"</f>
        <v>#REF!</v>
      </c>
      <c r="GG51" s="4" t="e">
        <f>#REF!+"vlM!$_l"</f>
        <v>#REF!</v>
      </c>
      <c r="GH51" t="e">
        <f>#REF!+"vlM!$_m"</f>
        <v>#REF!</v>
      </c>
      <c r="GI51" s="4" t="e">
        <f>#REF!+"vlM!$_n"</f>
        <v>#REF!</v>
      </c>
      <c r="GJ51" s="4" t="e">
        <f>#REF!+"vlM!$_o"</f>
        <v>#REF!</v>
      </c>
      <c r="GK51" t="e">
        <f>#REF!+"vlM!$_p"</f>
        <v>#REF!</v>
      </c>
      <c r="GL51" s="4" t="e">
        <f>#REF!+"vlM!$_q"</f>
        <v>#REF!</v>
      </c>
      <c r="GM51" s="4" t="e">
        <f>#REF!+"vlM!$_r"</f>
        <v>#REF!</v>
      </c>
      <c r="GN51" t="e">
        <f>#REF!+"vlM!$_s"</f>
        <v>#REF!</v>
      </c>
      <c r="GO51" s="4" t="e">
        <f>#REF!+"vlM!$_t"</f>
        <v>#REF!</v>
      </c>
      <c r="GP51" s="4" t="e">
        <f>#REF!+"vlM!$_u"</f>
        <v>#REF!</v>
      </c>
      <c r="GQ51" t="e">
        <f>#REF!+"vlM!$_v"</f>
        <v>#REF!</v>
      </c>
      <c r="GR51" s="4" t="e">
        <f>#REF!+"vlM!$_w"</f>
        <v>#REF!</v>
      </c>
      <c r="GS51" s="4" t="e">
        <f>#REF!+"vlM!$_x"</f>
        <v>#REF!</v>
      </c>
      <c r="GT51" t="e">
        <f>#REF!+"vlM!$_y"</f>
        <v>#REF!</v>
      </c>
      <c r="GU51" s="4" t="e">
        <f>#REF!+"vlM!$_z"</f>
        <v>#REF!</v>
      </c>
      <c r="GV51" s="4" t="e">
        <f>#REF!+"vlM!$_{"</f>
        <v>#REF!</v>
      </c>
      <c r="GW51" t="e">
        <f>#REF!+"vlM!$_|"</f>
        <v>#REF!</v>
      </c>
      <c r="GX51" s="4" t="e">
        <f>#REF!+"vlM!$_}"</f>
        <v>#REF!</v>
      </c>
      <c r="GY51" s="4" t="e">
        <f>#REF!+"vlM!$_~"</f>
        <v>#REF!</v>
      </c>
      <c r="GZ51" t="e">
        <f>#REF!+"vlM!$`#"</f>
        <v>#REF!</v>
      </c>
      <c r="HA51" s="4" t="e">
        <f>#REF!+"vlM!$`$"</f>
        <v>#REF!</v>
      </c>
      <c r="HB51" s="4" t="e">
        <f>#REF!+"vlM!$`%"</f>
        <v>#REF!</v>
      </c>
      <c r="HC51" t="e">
        <f>#REF!+"vlM!$`&amp;"</f>
        <v>#REF!</v>
      </c>
      <c r="HD51" s="4" t="e">
        <f>#REF!+"vlM!$`'"</f>
        <v>#REF!</v>
      </c>
      <c r="HE51" s="4" t="e">
        <f>#REF!+"vlM!$`("</f>
        <v>#REF!</v>
      </c>
      <c r="HF51" t="e">
        <f>#REF!+"vlM!$`)"</f>
        <v>#REF!</v>
      </c>
      <c r="HG51" s="4" t="e">
        <f>#REF!+"vlM!$`."</f>
        <v>#REF!</v>
      </c>
      <c r="HH51" s="4" t="e">
        <f>#REF!+"vlM!$`/"</f>
        <v>#REF!</v>
      </c>
      <c r="HI51" t="e">
        <f>#REF!+"vlM!$`0"</f>
        <v>#REF!</v>
      </c>
      <c r="HJ51" s="4" t="e">
        <f>#REF!+"vlM!$`1"</f>
        <v>#REF!</v>
      </c>
      <c r="HK51" s="4" t="e">
        <f>#REF!+"vlM!$`2"</f>
        <v>#REF!</v>
      </c>
      <c r="HL51" t="e">
        <f>#REF!+"vlM!$`3"</f>
        <v>#REF!</v>
      </c>
      <c r="HM51" s="4" t="e">
        <f>#REF!+"vlM!$`4"</f>
        <v>#REF!</v>
      </c>
      <c r="HN51" s="4" t="e">
        <f>#REF!+"vlM!$`5"</f>
        <v>#REF!</v>
      </c>
      <c r="HO51" t="e">
        <f>#REF!+"vlM!$`6"</f>
        <v>#REF!</v>
      </c>
      <c r="HP51" s="4" t="e">
        <f>#REF!+"vlM!$`7"</f>
        <v>#REF!</v>
      </c>
      <c r="HQ51" s="4" t="e">
        <f>#REF!+"vlM!$`8"</f>
        <v>#REF!</v>
      </c>
      <c r="HR51" t="e">
        <f>#REF!+"vlM!$`9"</f>
        <v>#REF!</v>
      </c>
      <c r="HS51" s="4" t="e">
        <f>#REF!+"vlM!$`:"</f>
        <v>#REF!</v>
      </c>
      <c r="HT51" s="4" t="e">
        <f>#REF!+"vlM!$`;"</f>
        <v>#REF!</v>
      </c>
      <c r="HU51" t="e">
        <f>#REF!+"vlM!$`&lt;"</f>
        <v>#REF!</v>
      </c>
      <c r="HV51" s="4" t="e">
        <f>#REF!+"vlM!$`="</f>
        <v>#REF!</v>
      </c>
      <c r="HW51" s="4" t="e">
        <f>#REF!+"vlM!$`&gt;"</f>
        <v>#REF!</v>
      </c>
      <c r="HX51" t="e">
        <f>#REF!+"vlM!$`?"</f>
        <v>#REF!</v>
      </c>
      <c r="HY51" s="4" t="e">
        <f>#REF!+"vlM!$`@"</f>
        <v>#REF!</v>
      </c>
      <c r="HZ51" s="4" t="e">
        <f>#REF!+"vlM!$`A"</f>
        <v>#REF!</v>
      </c>
      <c r="IA51" t="e">
        <f>#REF!+"vlM!$`B"</f>
        <v>#REF!</v>
      </c>
      <c r="IB51" s="4" t="e">
        <f>#REF!+"vlM!$`C"</f>
        <v>#REF!</v>
      </c>
      <c r="IC51" s="4" t="e">
        <f>#REF!+"vlM!$`D"</f>
        <v>#REF!</v>
      </c>
      <c r="ID51" t="e">
        <f>#REF!+"vlM!$`E"</f>
        <v>#REF!</v>
      </c>
      <c r="IE51" s="4" t="e">
        <f>#REF!+"vlM!$`F"</f>
        <v>#REF!</v>
      </c>
      <c r="IF51" s="4" t="e">
        <f>#REF!+"vlM!$`G"</f>
        <v>#REF!</v>
      </c>
      <c r="IG51" t="e">
        <f>#REF!+"vlM!$`H"</f>
        <v>#REF!</v>
      </c>
      <c r="IH51" s="4" t="e">
        <f>#REF!+"vlM!$`I"</f>
        <v>#REF!</v>
      </c>
      <c r="II51" s="4" t="e">
        <f>#REF!+"vlM!$`J"</f>
        <v>#REF!</v>
      </c>
      <c r="IJ51" t="e">
        <f>#REF!+"vlM!$`K"</f>
        <v>#REF!</v>
      </c>
      <c r="IK51" s="4" t="e">
        <f>#REF!+"vlM!$`L"</f>
        <v>#REF!</v>
      </c>
      <c r="IL51" s="4" t="e">
        <f>#REF!+"vlM!$`M"</f>
        <v>#REF!</v>
      </c>
      <c r="IM51" t="e">
        <f>#REF!+"vlM!$`N"</f>
        <v>#REF!</v>
      </c>
      <c r="IN51" s="4" t="e">
        <f>#REF!+"vlM!$`O"</f>
        <v>#REF!</v>
      </c>
      <c r="IO51" s="4" t="e">
        <f>#REF!+"vlM!$`P"</f>
        <v>#REF!</v>
      </c>
      <c r="IP51" t="e">
        <f>#REF!+"vlM!$`Q"</f>
        <v>#REF!</v>
      </c>
      <c r="IQ51" s="4" t="e">
        <f>#REF!+"vlM!$`R"</f>
        <v>#REF!</v>
      </c>
      <c r="IR51" s="4" t="e">
        <f>#REF!+"vlM!$`S"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C801-DE84-4A01-BE57-E5BA24680C87}">
  <sheetPr filterMode="1"/>
  <dimension ref="A1:E865"/>
  <sheetViews>
    <sheetView workbookViewId="0">
      <selection activeCell="E4" sqref="E4"/>
    </sheetView>
  </sheetViews>
  <sheetFormatPr defaultRowHeight="15.75" x14ac:dyDescent="0.25"/>
  <cols>
    <col min="1" max="1" width="13.125" bestFit="1" customWidth="1"/>
    <col min="2" max="2" width="68.25" customWidth="1"/>
    <col min="5" max="5" width="19.125" customWidth="1"/>
  </cols>
  <sheetData>
    <row r="1" spans="1:5" x14ac:dyDescent="0.25">
      <c r="A1" t="s">
        <v>51</v>
      </c>
      <c r="B1" t="s">
        <v>3</v>
      </c>
      <c r="C1" t="s">
        <v>0</v>
      </c>
      <c r="D1" t="s">
        <v>53</v>
      </c>
      <c r="E1" t="s">
        <v>1962</v>
      </c>
    </row>
    <row r="2" spans="1:5" hidden="1" x14ac:dyDescent="0.25">
      <c r="A2" s="68">
        <v>14116.4</v>
      </c>
      <c r="B2" t="s">
        <v>1963</v>
      </c>
      <c r="C2" t="s">
        <v>203</v>
      </c>
      <c r="D2" t="s">
        <v>58</v>
      </c>
      <c r="E2">
        <v>7.6</v>
      </c>
    </row>
    <row r="3" spans="1:5" hidden="1" x14ac:dyDescent="0.25">
      <c r="A3" s="68">
        <v>15170.1</v>
      </c>
      <c r="B3" t="s">
        <v>1964</v>
      </c>
      <c r="C3" t="s">
        <v>203</v>
      </c>
      <c r="D3" t="s">
        <v>58</v>
      </c>
      <c r="E3">
        <v>33</v>
      </c>
    </row>
    <row r="4" spans="1:5" hidden="1" x14ac:dyDescent="0.25">
      <c r="A4" s="68">
        <v>15419.5</v>
      </c>
      <c r="B4" t="s">
        <v>959</v>
      </c>
      <c r="C4" t="s">
        <v>203</v>
      </c>
      <c r="D4" t="s">
        <v>58</v>
      </c>
      <c r="E4">
        <v>70</v>
      </c>
    </row>
    <row r="5" spans="1:5" hidden="1" x14ac:dyDescent="0.25">
      <c r="A5" s="68">
        <v>15419.7</v>
      </c>
      <c r="B5" t="s">
        <v>962</v>
      </c>
      <c r="C5" t="s">
        <v>203</v>
      </c>
      <c r="D5" t="s">
        <v>58</v>
      </c>
      <c r="E5">
        <v>74</v>
      </c>
    </row>
    <row r="6" spans="1:5" hidden="1" x14ac:dyDescent="0.25">
      <c r="A6" s="68">
        <v>15419.8</v>
      </c>
      <c r="B6" t="s">
        <v>965</v>
      </c>
      <c r="C6" t="s">
        <v>203</v>
      </c>
      <c r="D6" t="s">
        <v>58</v>
      </c>
      <c r="E6">
        <v>73</v>
      </c>
    </row>
    <row r="7" spans="1:5" hidden="1" x14ac:dyDescent="0.25">
      <c r="A7" s="68">
        <v>15420.4</v>
      </c>
      <c r="B7" t="s">
        <v>968</v>
      </c>
      <c r="C7" t="s">
        <v>203</v>
      </c>
      <c r="D7" t="s">
        <v>58</v>
      </c>
      <c r="E7">
        <v>63</v>
      </c>
    </row>
    <row r="8" spans="1:5" hidden="1" x14ac:dyDescent="0.25">
      <c r="A8" s="68">
        <v>15420.5</v>
      </c>
      <c r="B8" t="s">
        <v>971</v>
      </c>
      <c r="C8" t="s">
        <v>203</v>
      </c>
      <c r="D8" t="s">
        <v>58</v>
      </c>
      <c r="E8">
        <v>70</v>
      </c>
    </row>
    <row r="9" spans="1:5" hidden="1" x14ac:dyDescent="0.25">
      <c r="A9" s="68">
        <v>15753.5</v>
      </c>
      <c r="B9" t="s">
        <v>1965</v>
      </c>
      <c r="C9" t="s">
        <v>63</v>
      </c>
      <c r="D9" t="s">
        <v>58</v>
      </c>
      <c r="E9">
        <v>4</v>
      </c>
    </row>
    <row r="10" spans="1:5" hidden="1" x14ac:dyDescent="0.25">
      <c r="A10" s="68">
        <v>19497.7</v>
      </c>
      <c r="B10" t="s">
        <v>1966</v>
      </c>
      <c r="C10" t="s">
        <v>203</v>
      </c>
      <c r="D10" t="s">
        <v>58</v>
      </c>
      <c r="E10">
        <v>15</v>
      </c>
    </row>
    <row r="11" spans="1:5" hidden="1" x14ac:dyDescent="0.25">
      <c r="A11" t="s">
        <v>60</v>
      </c>
      <c r="B11" t="s">
        <v>62</v>
      </c>
      <c r="C11" t="s">
        <v>63</v>
      </c>
      <c r="D11" t="s">
        <v>58</v>
      </c>
      <c r="E11">
        <v>53</v>
      </c>
    </row>
    <row r="12" spans="1:5" hidden="1" x14ac:dyDescent="0.25">
      <c r="A12" t="s">
        <v>64</v>
      </c>
      <c r="B12" t="s">
        <v>66</v>
      </c>
      <c r="C12" t="s">
        <v>67</v>
      </c>
      <c r="D12" t="s">
        <v>58</v>
      </c>
      <c r="E12">
        <v>25</v>
      </c>
    </row>
    <row r="13" spans="1:5" hidden="1" x14ac:dyDescent="0.25">
      <c r="A13" t="s">
        <v>68</v>
      </c>
      <c r="B13" t="s">
        <v>70</v>
      </c>
      <c r="C13" t="s">
        <v>67</v>
      </c>
      <c r="D13" t="s">
        <v>58</v>
      </c>
      <c r="E13">
        <v>5</v>
      </c>
    </row>
    <row r="14" spans="1:5" hidden="1" x14ac:dyDescent="0.25">
      <c r="A14" t="s">
        <v>1967</v>
      </c>
      <c r="B14" t="s">
        <v>70</v>
      </c>
      <c r="C14" t="s">
        <v>67</v>
      </c>
      <c r="D14" t="s">
        <v>58</v>
      </c>
      <c r="E14">
        <v>20</v>
      </c>
    </row>
    <row r="15" spans="1:5" hidden="1" x14ac:dyDescent="0.25">
      <c r="A15" t="s">
        <v>74</v>
      </c>
      <c r="B15" t="s">
        <v>76</v>
      </c>
      <c r="C15" t="s">
        <v>63</v>
      </c>
      <c r="D15" t="s">
        <v>58</v>
      </c>
      <c r="E15">
        <v>10</v>
      </c>
    </row>
    <row r="16" spans="1:5" hidden="1" x14ac:dyDescent="0.25">
      <c r="A16" t="s">
        <v>77</v>
      </c>
      <c r="B16" t="s">
        <v>79</v>
      </c>
      <c r="C16" t="s">
        <v>63</v>
      </c>
      <c r="D16" t="s">
        <v>58</v>
      </c>
      <c r="E16">
        <v>16</v>
      </c>
    </row>
    <row r="17" spans="1:5" hidden="1" x14ac:dyDescent="0.25">
      <c r="A17" t="s">
        <v>1968</v>
      </c>
      <c r="B17" t="s">
        <v>1969</v>
      </c>
      <c r="C17" t="s">
        <v>124</v>
      </c>
      <c r="D17" t="s">
        <v>58</v>
      </c>
      <c r="E17">
        <v>1</v>
      </c>
    </row>
    <row r="18" spans="1:5" hidden="1" x14ac:dyDescent="0.25">
      <c r="A18" t="s">
        <v>1970</v>
      </c>
      <c r="B18" t="s">
        <v>1971</v>
      </c>
      <c r="C18" t="s">
        <v>124</v>
      </c>
      <c r="D18" t="s">
        <v>58</v>
      </c>
      <c r="E18">
        <v>1</v>
      </c>
    </row>
    <row r="19" spans="1:5" hidden="1" x14ac:dyDescent="0.25">
      <c r="A19" t="s">
        <v>1972</v>
      </c>
      <c r="B19" t="s">
        <v>1973</v>
      </c>
      <c r="C19" t="s">
        <v>124</v>
      </c>
      <c r="D19" t="s">
        <v>58</v>
      </c>
      <c r="E19">
        <v>1</v>
      </c>
    </row>
    <row r="20" spans="1:5" hidden="1" x14ac:dyDescent="0.25">
      <c r="A20" t="s">
        <v>1974</v>
      </c>
      <c r="B20" t="s">
        <v>1975</v>
      </c>
      <c r="C20" t="s">
        <v>59</v>
      </c>
      <c r="D20" t="s">
        <v>58</v>
      </c>
      <c r="E20">
        <v>42</v>
      </c>
    </row>
    <row r="21" spans="1:5" hidden="1" x14ac:dyDescent="0.25">
      <c r="A21" t="s">
        <v>1976</v>
      </c>
      <c r="B21" t="s">
        <v>1977</v>
      </c>
      <c r="C21" t="s">
        <v>59</v>
      </c>
      <c r="D21" t="s">
        <v>58</v>
      </c>
      <c r="E21">
        <v>90</v>
      </c>
    </row>
    <row r="22" spans="1:5" hidden="1" x14ac:dyDescent="0.25">
      <c r="A22" t="s">
        <v>1978</v>
      </c>
      <c r="B22" t="s">
        <v>1979</v>
      </c>
      <c r="C22" t="s">
        <v>59</v>
      </c>
      <c r="D22" t="s">
        <v>58</v>
      </c>
      <c r="E22">
        <v>110</v>
      </c>
    </row>
    <row r="23" spans="1:5" hidden="1" x14ac:dyDescent="0.25">
      <c r="A23" t="s">
        <v>5</v>
      </c>
      <c r="B23" t="s">
        <v>6</v>
      </c>
      <c r="C23" t="s">
        <v>1</v>
      </c>
      <c r="D23" t="s">
        <v>58</v>
      </c>
      <c r="E23">
        <v>35.950000000000003</v>
      </c>
    </row>
    <row r="24" spans="1:5" hidden="1" x14ac:dyDescent="0.25">
      <c r="A24" t="s">
        <v>11</v>
      </c>
      <c r="B24" t="s">
        <v>6</v>
      </c>
      <c r="C24" t="s">
        <v>1</v>
      </c>
      <c r="D24" t="s">
        <v>58</v>
      </c>
      <c r="E24">
        <v>1</v>
      </c>
    </row>
    <row r="25" spans="1:5" hidden="1" x14ac:dyDescent="0.25">
      <c r="A25" t="s">
        <v>1980</v>
      </c>
      <c r="B25" t="s">
        <v>8</v>
      </c>
      <c r="C25" t="s">
        <v>1</v>
      </c>
      <c r="D25" t="s">
        <v>58</v>
      </c>
      <c r="E25">
        <v>15</v>
      </c>
    </row>
    <row r="26" spans="1:5" hidden="1" x14ac:dyDescent="0.25">
      <c r="A26" t="s">
        <v>1981</v>
      </c>
      <c r="B26" t="s">
        <v>10</v>
      </c>
      <c r="C26" t="s">
        <v>1</v>
      </c>
      <c r="D26" t="s">
        <v>58</v>
      </c>
      <c r="E26">
        <v>12.75</v>
      </c>
    </row>
    <row r="27" spans="1:5" hidden="1" x14ac:dyDescent="0.25">
      <c r="A27" t="s">
        <v>12</v>
      </c>
      <c r="B27" t="s">
        <v>13</v>
      </c>
      <c r="C27" t="s">
        <v>1</v>
      </c>
      <c r="D27" t="s">
        <v>58</v>
      </c>
      <c r="E27">
        <v>14</v>
      </c>
    </row>
    <row r="28" spans="1:5" hidden="1" x14ac:dyDescent="0.25">
      <c r="A28" t="s">
        <v>1982</v>
      </c>
      <c r="B28" t="s">
        <v>1983</v>
      </c>
      <c r="C28" t="s">
        <v>67</v>
      </c>
      <c r="D28" t="s">
        <v>58</v>
      </c>
      <c r="E28">
        <v>25</v>
      </c>
    </row>
    <row r="29" spans="1:5" hidden="1" x14ac:dyDescent="0.25">
      <c r="A29" t="s">
        <v>1984</v>
      </c>
      <c r="B29" t="s">
        <v>1985</v>
      </c>
      <c r="C29" t="s">
        <v>67</v>
      </c>
      <c r="D29" t="s">
        <v>58</v>
      </c>
      <c r="E29">
        <v>8</v>
      </c>
    </row>
    <row r="30" spans="1:5" hidden="1" x14ac:dyDescent="0.25">
      <c r="A30" t="s">
        <v>1986</v>
      </c>
      <c r="B30" t="s">
        <v>1987</v>
      </c>
      <c r="C30" t="s">
        <v>124</v>
      </c>
      <c r="D30" t="s">
        <v>58</v>
      </c>
      <c r="E30">
        <v>1</v>
      </c>
    </row>
    <row r="31" spans="1:5" hidden="1" x14ac:dyDescent="0.25">
      <c r="A31" t="s">
        <v>1988</v>
      </c>
      <c r="B31" t="s">
        <v>1989</v>
      </c>
      <c r="C31" t="s">
        <v>124</v>
      </c>
      <c r="D31" t="s">
        <v>58</v>
      </c>
      <c r="E31">
        <v>1</v>
      </c>
    </row>
    <row r="32" spans="1:5" hidden="1" x14ac:dyDescent="0.25">
      <c r="A32" t="s">
        <v>1990</v>
      </c>
      <c r="B32" t="s">
        <v>1991</v>
      </c>
      <c r="C32" t="s">
        <v>124</v>
      </c>
      <c r="D32" t="s">
        <v>58</v>
      </c>
      <c r="E32">
        <v>1</v>
      </c>
    </row>
    <row r="33" spans="1:5" hidden="1" x14ac:dyDescent="0.25">
      <c r="A33" t="s">
        <v>1992</v>
      </c>
      <c r="B33" t="s">
        <v>1993</v>
      </c>
      <c r="C33" t="s">
        <v>124</v>
      </c>
      <c r="D33" t="s">
        <v>58</v>
      </c>
      <c r="E33">
        <v>1</v>
      </c>
    </row>
    <row r="34" spans="1:5" hidden="1" x14ac:dyDescent="0.25">
      <c r="A34" t="s">
        <v>84</v>
      </c>
      <c r="B34" t="s">
        <v>86</v>
      </c>
      <c r="C34" t="s">
        <v>67</v>
      </c>
      <c r="D34" t="s">
        <v>58</v>
      </c>
      <c r="E34">
        <v>2</v>
      </c>
    </row>
    <row r="35" spans="1:5" hidden="1" x14ac:dyDescent="0.25">
      <c r="A35" t="s">
        <v>1994</v>
      </c>
      <c r="B35" t="s">
        <v>86</v>
      </c>
      <c r="C35" t="s">
        <v>67</v>
      </c>
      <c r="D35" t="s">
        <v>58</v>
      </c>
      <c r="E35">
        <v>20</v>
      </c>
    </row>
    <row r="36" spans="1:5" hidden="1" x14ac:dyDescent="0.25">
      <c r="A36" t="s">
        <v>87</v>
      </c>
      <c r="B36" t="s">
        <v>89</v>
      </c>
      <c r="C36" t="s">
        <v>67</v>
      </c>
      <c r="D36" t="s">
        <v>58</v>
      </c>
      <c r="E36">
        <v>25</v>
      </c>
    </row>
    <row r="37" spans="1:5" hidden="1" x14ac:dyDescent="0.25">
      <c r="A37" t="s">
        <v>1995</v>
      </c>
      <c r="B37" t="s">
        <v>1996</v>
      </c>
      <c r="C37" t="s">
        <v>59</v>
      </c>
      <c r="D37" t="s">
        <v>58</v>
      </c>
      <c r="E37">
        <v>55</v>
      </c>
    </row>
    <row r="38" spans="1:5" hidden="1" x14ac:dyDescent="0.25">
      <c r="A38" t="s">
        <v>1997</v>
      </c>
      <c r="B38" t="s">
        <v>1998</v>
      </c>
      <c r="C38" t="s">
        <v>124</v>
      </c>
      <c r="D38" t="s">
        <v>58</v>
      </c>
      <c r="E38">
        <v>1</v>
      </c>
    </row>
    <row r="39" spans="1:5" hidden="1" x14ac:dyDescent="0.25">
      <c r="A39" t="s">
        <v>1999</v>
      </c>
      <c r="B39" t="s">
        <v>2000</v>
      </c>
      <c r="C39" t="s">
        <v>1</v>
      </c>
      <c r="D39" t="s">
        <v>58</v>
      </c>
      <c r="E39">
        <v>1</v>
      </c>
    </row>
    <row r="40" spans="1:5" hidden="1" x14ac:dyDescent="0.25">
      <c r="A40" t="s">
        <v>2001</v>
      </c>
      <c r="B40" t="s">
        <v>2002</v>
      </c>
      <c r="C40" t="s">
        <v>1</v>
      </c>
      <c r="D40" t="s">
        <v>58</v>
      </c>
      <c r="E40">
        <v>1</v>
      </c>
    </row>
    <row r="41" spans="1:5" hidden="1" x14ac:dyDescent="0.25">
      <c r="A41" t="s">
        <v>2003</v>
      </c>
      <c r="B41" t="s">
        <v>2004</v>
      </c>
      <c r="C41" t="s">
        <v>1</v>
      </c>
      <c r="D41" t="s">
        <v>58</v>
      </c>
      <c r="E41">
        <v>1</v>
      </c>
    </row>
    <row r="42" spans="1:5" hidden="1" x14ac:dyDescent="0.25">
      <c r="A42" t="s">
        <v>2005</v>
      </c>
      <c r="B42" t="s">
        <v>2006</v>
      </c>
      <c r="C42" t="s">
        <v>2007</v>
      </c>
      <c r="D42" t="s">
        <v>58</v>
      </c>
      <c r="E42">
        <v>1</v>
      </c>
    </row>
    <row r="43" spans="1:5" hidden="1" x14ac:dyDescent="0.25">
      <c r="A43" t="s">
        <v>2008</v>
      </c>
      <c r="B43" t="s">
        <v>2009</v>
      </c>
      <c r="C43" t="s">
        <v>124</v>
      </c>
      <c r="D43" t="s">
        <v>58</v>
      </c>
      <c r="E43">
        <v>1</v>
      </c>
    </row>
    <row r="44" spans="1:5" hidden="1" x14ac:dyDescent="0.25">
      <c r="A44" t="s">
        <v>2010</v>
      </c>
      <c r="B44" t="s">
        <v>2011</v>
      </c>
      <c r="C44" t="s">
        <v>124</v>
      </c>
      <c r="D44" t="s">
        <v>58</v>
      </c>
      <c r="E44">
        <v>1</v>
      </c>
    </row>
    <row r="45" spans="1:5" hidden="1" x14ac:dyDescent="0.25">
      <c r="A45" t="s">
        <v>2012</v>
      </c>
      <c r="B45" t="s">
        <v>2013</v>
      </c>
      <c r="C45" t="s">
        <v>124</v>
      </c>
      <c r="D45" t="s">
        <v>58</v>
      </c>
      <c r="E45">
        <v>1</v>
      </c>
    </row>
    <row r="46" spans="1:5" hidden="1" x14ac:dyDescent="0.25">
      <c r="A46" t="s">
        <v>2014</v>
      </c>
      <c r="B46" t="s">
        <v>2015</v>
      </c>
      <c r="C46" t="s">
        <v>216</v>
      </c>
      <c r="D46" t="s">
        <v>58</v>
      </c>
      <c r="E46">
        <v>5</v>
      </c>
    </row>
    <row r="47" spans="1:5" hidden="1" x14ac:dyDescent="0.25">
      <c r="A47" t="s">
        <v>2016</v>
      </c>
      <c r="B47" t="s">
        <v>2017</v>
      </c>
      <c r="C47" t="s">
        <v>124</v>
      </c>
      <c r="D47" t="s">
        <v>58</v>
      </c>
      <c r="E47">
        <v>1</v>
      </c>
    </row>
    <row r="48" spans="1:5" hidden="1" x14ac:dyDescent="0.25">
      <c r="A48" t="s">
        <v>2018</v>
      </c>
      <c r="B48" t="s">
        <v>2019</v>
      </c>
      <c r="C48" t="s">
        <v>124</v>
      </c>
      <c r="D48" t="s">
        <v>58</v>
      </c>
      <c r="E48">
        <v>1</v>
      </c>
    </row>
    <row r="49" spans="1:5" hidden="1" x14ac:dyDescent="0.25">
      <c r="A49" t="s">
        <v>2020</v>
      </c>
      <c r="B49" t="s">
        <v>2021</v>
      </c>
      <c r="C49" t="s">
        <v>124</v>
      </c>
      <c r="D49" t="s">
        <v>58</v>
      </c>
      <c r="E49">
        <v>1</v>
      </c>
    </row>
    <row r="50" spans="1:5" hidden="1" x14ac:dyDescent="0.25">
      <c r="A50" t="s">
        <v>2022</v>
      </c>
      <c r="B50" t="s">
        <v>2023</v>
      </c>
      <c r="C50" t="s">
        <v>124</v>
      </c>
      <c r="D50" t="s">
        <v>58</v>
      </c>
      <c r="E50">
        <v>1</v>
      </c>
    </row>
    <row r="51" spans="1:5" hidden="1" x14ac:dyDescent="0.25">
      <c r="A51" t="s">
        <v>2024</v>
      </c>
      <c r="B51" t="s">
        <v>2025</v>
      </c>
      <c r="C51" t="s">
        <v>124</v>
      </c>
      <c r="D51" t="s">
        <v>58</v>
      </c>
      <c r="E51">
        <v>1</v>
      </c>
    </row>
    <row r="52" spans="1:5" hidden="1" x14ac:dyDescent="0.25">
      <c r="A52" t="s">
        <v>2026</v>
      </c>
      <c r="B52" t="s">
        <v>2027</v>
      </c>
      <c r="C52" t="s">
        <v>124</v>
      </c>
      <c r="D52" t="s">
        <v>58</v>
      </c>
      <c r="E52">
        <v>1</v>
      </c>
    </row>
    <row r="53" spans="1:5" hidden="1" x14ac:dyDescent="0.25">
      <c r="A53" t="s">
        <v>96</v>
      </c>
      <c r="B53" t="s">
        <v>98</v>
      </c>
      <c r="C53" t="s">
        <v>63</v>
      </c>
      <c r="D53" t="s">
        <v>58</v>
      </c>
      <c r="E53">
        <v>72</v>
      </c>
    </row>
    <row r="54" spans="1:5" hidden="1" x14ac:dyDescent="0.25">
      <c r="A54" t="s">
        <v>2028</v>
      </c>
      <c r="B54" t="s">
        <v>2029</v>
      </c>
      <c r="C54" t="s">
        <v>124</v>
      </c>
      <c r="D54" t="s">
        <v>58</v>
      </c>
      <c r="E54">
        <v>7</v>
      </c>
    </row>
    <row r="55" spans="1:5" hidden="1" x14ac:dyDescent="0.25">
      <c r="A55" t="s">
        <v>2030</v>
      </c>
      <c r="B55" t="s">
        <v>2031</v>
      </c>
      <c r="C55" t="s">
        <v>124</v>
      </c>
      <c r="D55" t="s">
        <v>58</v>
      </c>
      <c r="E55">
        <v>7</v>
      </c>
    </row>
    <row r="56" spans="1:5" hidden="1" x14ac:dyDescent="0.25">
      <c r="A56" t="s">
        <v>2032</v>
      </c>
      <c r="B56" t="s">
        <v>2033</v>
      </c>
      <c r="C56" t="s">
        <v>124</v>
      </c>
      <c r="D56" t="s">
        <v>58</v>
      </c>
      <c r="E56">
        <v>7</v>
      </c>
    </row>
    <row r="57" spans="1:5" hidden="1" x14ac:dyDescent="0.25">
      <c r="A57" t="s">
        <v>2034</v>
      </c>
      <c r="B57" t="s">
        <v>2035</v>
      </c>
      <c r="C57" t="s">
        <v>1</v>
      </c>
      <c r="D57" t="s">
        <v>58</v>
      </c>
      <c r="E57">
        <v>1</v>
      </c>
    </row>
    <row r="58" spans="1:5" hidden="1" x14ac:dyDescent="0.25">
      <c r="A58" t="s">
        <v>2036</v>
      </c>
      <c r="B58" t="s">
        <v>2037</v>
      </c>
      <c r="C58" t="s">
        <v>124</v>
      </c>
      <c r="D58" t="s">
        <v>58</v>
      </c>
      <c r="E58">
        <v>1</v>
      </c>
    </row>
    <row r="59" spans="1:5" hidden="1" x14ac:dyDescent="0.25">
      <c r="A59" t="s">
        <v>2038</v>
      </c>
      <c r="B59" t="s">
        <v>2039</v>
      </c>
      <c r="C59" t="s">
        <v>124</v>
      </c>
      <c r="D59" t="s">
        <v>58</v>
      </c>
      <c r="E59">
        <v>3</v>
      </c>
    </row>
    <row r="60" spans="1:5" hidden="1" x14ac:dyDescent="0.25">
      <c r="A60" t="s">
        <v>111</v>
      </c>
      <c r="B60" t="s">
        <v>113</v>
      </c>
      <c r="C60" t="s">
        <v>63</v>
      </c>
      <c r="D60" t="s">
        <v>58</v>
      </c>
      <c r="E60">
        <v>1</v>
      </c>
    </row>
    <row r="61" spans="1:5" hidden="1" x14ac:dyDescent="0.25">
      <c r="A61" t="s">
        <v>2040</v>
      </c>
      <c r="B61" t="s">
        <v>2041</v>
      </c>
      <c r="C61" t="s">
        <v>124</v>
      </c>
      <c r="D61" t="s">
        <v>58</v>
      </c>
      <c r="E61">
        <v>1</v>
      </c>
    </row>
    <row r="62" spans="1:5" hidden="1" x14ac:dyDescent="0.25">
      <c r="A62" t="s">
        <v>114</v>
      </c>
      <c r="B62" t="s">
        <v>116</v>
      </c>
      <c r="C62" t="s">
        <v>117</v>
      </c>
      <c r="D62" t="s">
        <v>58</v>
      </c>
      <c r="E62">
        <v>31</v>
      </c>
    </row>
    <row r="63" spans="1:5" hidden="1" x14ac:dyDescent="0.25">
      <c r="A63" t="s">
        <v>118</v>
      </c>
      <c r="B63" t="s">
        <v>120</v>
      </c>
      <c r="C63" t="s">
        <v>117</v>
      </c>
      <c r="D63" t="s">
        <v>58</v>
      </c>
      <c r="E63">
        <v>40.5</v>
      </c>
    </row>
    <row r="64" spans="1:5" hidden="1" x14ac:dyDescent="0.25">
      <c r="A64" t="s">
        <v>2042</v>
      </c>
      <c r="B64" t="s">
        <v>2043</v>
      </c>
      <c r="C64" t="s">
        <v>63</v>
      </c>
      <c r="D64" t="s">
        <v>58</v>
      </c>
      <c r="E64">
        <v>10</v>
      </c>
    </row>
    <row r="65" spans="1:5" hidden="1" x14ac:dyDescent="0.25">
      <c r="A65" t="s">
        <v>2044</v>
      </c>
      <c r="B65" t="s">
        <v>2045</v>
      </c>
      <c r="C65" t="s">
        <v>131</v>
      </c>
      <c r="D65" t="s">
        <v>58</v>
      </c>
      <c r="E65">
        <v>9</v>
      </c>
    </row>
    <row r="66" spans="1:5" hidden="1" x14ac:dyDescent="0.25">
      <c r="A66" t="s">
        <v>2046</v>
      </c>
      <c r="B66" t="s">
        <v>2045</v>
      </c>
      <c r="C66" t="s">
        <v>131</v>
      </c>
      <c r="D66" t="s">
        <v>58</v>
      </c>
      <c r="E66">
        <v>3</v>
      </c>
    </row>
    <row r="67" spans="1:5" hidden="1" x14ac:dyDescent="0.25">
      <c r="A67" t="s">
        <v>2047</v>
      </c>
      <c r="B67" t="s">
        <v>2048</v>
      </c>
      <c r="C67" t="s">
        <v>131</v>
      </c>
      <c r="D67" t="s">
        <v>58</v>
      </c>
      <c r="E67">
        <v>2</v>
      </c>
    </row>
    <row r="68" spans="1:5" hidden="1" x14ac:dyDescent="0.25">
      <c r="A68" t="s">
        <v>125</v>
      </c>
      <c r="B68" t="s">
        <v>127</v>
      </c>
      <c r="C68" t="s">
        <v>131</v>
      </c>
      <c r="D68" t="s">
        <v>58</v>
      </c>
      <c r="E68">
        <v>2</v>
      </c>
    </row>
    <row r="69" spans="1:5" hidden="1" x14ac:dyDescent="0.25">
      <c r="A69" t="s">
        <v>128</v>
      </c>
      <c r="B69" t="s">
        <v>130</v>
      </c>
      <c r="C69" t="s">
        <v>131</v>
      </c>
      <c r="D69" t="s">
        <v>58</v>
      </c>
      <c r="E69">
        <v>9</v>
      </c>
    </row>
    <row r="70" spans="1:5" hidden="1" x14ac:dyDescent="0.25">
      <c r="A70" t="s">
        <v>2049</v>
      </c>
      <c r="B70" t="s">
        <v>2050</v>
      </c>
      <c r="C70" t="s">
        <v>131</v>
      </c>
      <c r="D70" t="s">
        <v>58</v>
      </c>
      <c r="E70">
        <v>5</v>
      </c>
    </row>
    <row r="71" spans="1:5" hidden="1" x14ac:dyDescent="0.25">
      <c r="A71" t="s">
        <v>2051</v>
      </c>
      <c r="B71" t="s">
        <v>2052</v>
      </c>
      <c r="C71" t="s">
        <v>124</v>
      </c>
      <c r="D71" t="s">
        <v>58</v>
      </c>
      <c r="E71">
        <v>1</v>
      </c>
    </row>
    <row r="72" spans="1:5" hidden="1" x14ac:dyDescent="0.25">
      <c r="A72" t="s">
        <v>2053</v>
      </c>
      <c r="B72" t="s">
        <v>2054</v>
      </c>
      <c r="C72" t="s">
        <v>124</v>
      </c>
      <c r="D72" t="s">
        <v>58</v>
      </c>
      <c r="E72">
        <v>1</v>
      </c>
    </row>
    <row r="73" spans="1:5" hidden="1" x14ac:dyDescent="0.25">
      <c r="A73" t="s">
        <v>2055</v>
      </c>
      <c r="B73" t="s">
        <v>2056</v>
      </c>
      <c r="C73" t="s">
        <v>124</v>
      </c>
      <c r="D73" t="s">
        <v>58</v>
      </c>
      <c r="E73">
        <v>1</v>
      </c>
    </row>
    <row r="74" spans="1:5" hidden="1" x14ac:dyDescent="0.25">
      <c r="A74" t="s">
        <v>2057</v>
      </c>
      <c r="B74" t="s">
        <v>2058</v>
      </c>
      <c r="C74" t="s">
        <v>124</v>
      </c>
      <c r="D74" t="s">
        <v>58</v>
      </c>
      <c r="E74">
        <v>1</v>
      </c>
    </row>
    <row r="75" spans="1:5" hidden="1" x14ac:dyDescent="0.25">
      <c r="A75" t="s">
        <v>2059</v>
      </c>
      <c r="B75" t="s">
        <v>2060</v>
      </c>
      <c r="C75" t="s">
        <v>1</v>
      </c>
      <c r="D75" t="s">
        <v>58</v>
      </c>
      <c r="E75">
        <v>2</v>
      </c>
    </row>
    <row r="76" spans="1:5" hidden="1" x14ac:dyDescent="0.25">
      <c r="A76" t="s">
        <v>2061</v>
      </c>
      <c r="B76" t="s">
        <v>2062</v>
      </c>
      <c r="C76" t="s">
        <v>124</v>
      </c>
      <c r="D76" t="s">
        <v>58</v>
      </c>
      <c r="E76">
        <v>1</v>
      </c>
    </row>
    <row r="77" spans="1:5" hidden="1" x14ac:dyDescent="0.25">
      <c r="A77" t="s">
        <v>2063</v>
      </c>
      <c r="B77" t="s">
        <v>2064</v>
      </c>
      <c r="C77" t="s">
        <v>59</v>
      </c>
      <c r="D77" t="s">
        <v>58</v>
      </c>
      <c r="E77">
        <v>130</v>
      </c>
    </row>
    <row r="78" spans="1:5" hidden="1" x14ac:dyDescent="0.25">
      <c r="A78" t="s">
        <v>2065</v>
      </c>
      <c r="B78" t="s">
        <v>2066</v>
      </c>
      <c r="C78" t="s">
        <v>124</v>
      </c>
      <c r="D78" t="s">
        <v>58</v>
      </c>
      <c r="E78">
        <v>1</v>
      </c>
    </row>
    <row r="79" spans="1:5" hidden="1" x14ac:dyDescent="0.25">
      <c r="A79" t="s">
        <v>2067</v>
      </c>
      <c r="B79" t="s">
        <v>2068</v>
      </c>
      <c r="C79" t="s">
        <v>124</v>
      </c>
      <c r="D79" t="s">
        <v>58</v>
      </c>
      <c r="E79">
        <v>1</v>
      </c>
    </row>
    <row r="80" spans="1:5" hidden="1" x14ac:dyDescent="0.25">
      <c r="A80" t="s">
        <v>2069</v>
      </c>
      <c r="B80" t="s">
        <v>2070</v>
      </c>
      <c r="C80" t="s">
        <v>124</v>
      </c>
      <c r="D80" t="s">
        <v>58</v>
      </c>
      <c r="E80">
        <v>1</v>
      </c>
    </row>
    <row r="81" spans="1:5" hidden="1" x14ac:dyDescent="0.25">
      <c r="A81" t="s">
        <v>2071</v>
      </c>
      <c r="B81" t="s">
        <v>2072</v>
      </c>
      <c r="C81" t="s">
        <v>124</v>
      </c>
      <c r="D81" t="s">
        <v>58</v>
      </c>
      <c r="E81">
        <v>1</v>
      </c>
    </row>
    <row r="82" spans="1:5" hidden="1" x14ac:dyDescent="0.25">
      <c r="A82" t="s">
        <v>2073</v>
      </c>
      <c r="B82" t="s">
        <v>2074</v>
      </c>
      <c r="C82" t="s">
        <v>124</v>
      </c>
      <c r="D82" t="s">
        <v>58</v>
      </c>
      <c r="E82">
        <v>1</v>
      </c>
    </row>
    <row r="83" spans="1:5" hidden="1" x14ac:dyDescent="0.25">
      <c r="A83" t="s">
        <v>2075</v>
      </c>
      <c r="B83" t="s">
        <v>2076</v>
      </c>
      <c r="C83" t="s">
        <v>124</v>
      </c>
      <c r="D83" t="s">
        <v>58</v>
      </c>
      <c r="E83">
        <v>1</v>
      </c>
    </row>
    <row r="84" spans="1:5" hidden="1" x14ac:dyDescent="0.25">
      <c r="A84" t="s">
        <v>2077</v>
      </c>
      <c r="B84" t="s">
        <v>2078</v>
      </c>
      <c r="C84" t="s">
        <v>124</v>
      </c>
      <c r="D84" t="s">
        <v>58</v>
      </c>
      <c r="E84">
        <v>1</v>
      </c>
    </row>
    <row r="85" spans="1:5" hidden="1" x14ac:dyDescent="0.25">
      <c r="A85" t="s">
        <v>2079</v>
      </c>
      <c r="B85" t="s">
        <v>2080</v>
      </c>
      <c r="C85" t="s">
        <v>124</v>
      </c>
      <c r="D85" t="s">
        <v>58</v>
      </c>
      <c r="E85">
        <v>1</v>
      </c>
    </row>
    <row r="86" spans="1:5" hidden="1" x14ac:dyDescent="0.25">
      <c r="A86" t="s">
        <v>2081</v>
      </c>
      <c r="B86" t="s">
        <v>2082</v>
      </c>
      <c r="C86" t="s">
        <v>124</v>
      </c>
      <c r="D86" t="s">
        <v>58</v>
      </c>
      <c r="E86">
        <v>1</v>
      </c>
    </row>
    <row r="87" spans="1:5" hidden="1" x14ac:dyDescent="0.25">
      <c r="A87" t="s">
        <v>138</v>
      </c>
      <c r="B87" t="s">
        <v>140</v>
      </c>
      <c r="C87" t="s">
        <v>59</v>
      </c>
      <c r="D87" t="s">
        <v>58</v>
      </c>
      <c r="E87">
        <v>1030</v>
      </c>
    </row>
    <row r="88" spans="1:5" hidden="1" x14ac:dyDescent="0.25">
      <c r="A88" t="s">
        <v>2083</v>
      </c>
      <c r="B88" t="s">
        <v>2084</v>
      </c>
      <c r="C88" t="s">
        <v>1</v>
      </c>
      <c r="D88" t="s">
        <v>58</v>
      </c>
      <c r="E88">
        <v>2</v>
      </c>
    </row>
    <row r="89" spans="1:5" hidden="1" x14ac:dyDescent="0.25">
      <c r="A89" t="s">
        <v>2085</v>
      </c>
      <c r="B89" t="s">
        <v>2086</v>
      </c>
      <c r="C89" t="s">
        <v>1</v>
      </c>
      <c r="D89" t="s">
        <v>58</v>
      </c>
      <c r="E89">
        <v>2</v>
      </c>
    </row>
    <row r="90" spans="1:5" hidden="1" x14ac:dyDescent="0.25">
      <c r="A90" t="s">
        <v>2087</v>
      </c>
      <c r="B90" t="s">
        <v>2088</v>
      </c>
      <c r="C90" t="s">
        <v>124</v>
      </c>
      <c r="D90" t="s">
        <v>58</v>
      </c>
      <c r="E90">
        <v>1</v>
      </c>
    </row>
    <row r="91" spans="1:5" hidden="1" x14ac:dyDescent="0.25">
      <c r="A91" t="s">
        <v>2089</v>
      </c>
      <c r="B91" t="s">
        <v>2090</v>
      </c>
      <c r="C91" t="s">
        <v>124</v>
      </c>
      <c r="D91" t="s">
        <v>58</v>
      </c>
      <c r="E91">
        <v>1</v>
      </c>
    </row>
    <row r="92" spans="1:5" hidden="1" x14ac:dyDescent="0.25">
      <c r="A92" t="s">
        <v>2091</v>
      </c>
      <c r="B92" t="s">
        <v>2092</v>
      </c>
      <c r="C92" t="s">
        <v>124</v>
      </c>
      <c r="D92" t="s">
        <v>58</v>
      </c>
      <c r="E92">
        <v>1</v>
      </c>
    </row>
    <row r="93" spans="1:5" hidden="1" x14ac:dyDescent="0.25">
      <c r="A93" t="s">
        <v>2093</v>
      </c>
      <c r="B93" t="s">
        <v>2094</v>
      </c>
      <c r="C93" t="s">
        <v>124</v>
      </c>
      <c r="D93" t="s">
        <v>58</v>
      </c>
      <c r="E93">
        <v>1</v>
      </c>
    </row>
    <row r="94" spans="1:5" hidden="1" x14ac:dyDescent="0.25">
      <c r="A94" t="s">
        <v>2095</v>
      </c>
      <c r="B94" t="s">
        <v>2096</v>
      </c>
      <c r="C94" t="s">
        <v>131</v>
      </c>
      <c r="D94" t="s">
        <v>58</v>
      </c>
      <c r="E94">
        <v>7</v>
      </c>
    </row>
    <row r="95" spans="1:5" hidden="1" x14ac:dyDescent="0.25">
      <c r="A95" t="s">
        <v>2097</v>
      </c>
      <c r="B95" t="s">
        <v>2096</v>
      </c>
      <c r="C95" t="s">
        <v>131</v>
      </c>
      <c r="D95" t="s">
        <v>58</v>
      </c>
      <c r="E95">
        <v>3</v>
      </c>
    </row>
    <row r="96" spans="1:5" hidden="1" x14ac:dyDescent="0.25">
      <c r="A96" t="s">
        <v>2098</v>
      </c>
      <c r="B96" t="s">
        <v>2099</v>
      </c>
      <c r="C96" t="s">
        <v>124</v>
      </c>
      <c r="D96" t="s">
        <v>58</v>
      </c>
      <c r="E96">
        <v>1</v>
      </c>
    </row>
    <row r="97" spans="1:5" hidden="1" x14ac:dyDescent="0.25">
      <c r="A97" t="s">
        <v>2100</v>
      </c>
      <c r="B97" t="s">
        <v>2101</v>
      </c>
      <c r="C97" t="s">
        <v>216</v>
      </c>
      <c r="D97" t="s">
        <v>58</v>
      </c>
      <c r="E97">
        <v>4</v>
      </c>
    </row>
    <row r="98" spans="1:5" hidden="1" x14ac:dyDescent="0.25">
      <c r="A98" t="s">
        <v>2102</v>
      </c>
      <c r="B98" t="s">
        <v>2103</v>
      </c>
      <c r="C98" t="s">
        <v>124</v>
      </c>
      <c r="D98" t="s">
        <v>58</v>
      </c>
      <c r="E98">
        <v>1</v>
      </c>
    </row>
    <row r="99" spans="1:5" hidden="1" x14ac:dyDescent="0.25">
      <c r="A99" t="s">
        <v>2104</v>
      </c>
      <c r="B99" t="s">
        <v>2105</v>
      </c>
      <c r="C99" t="s">
        <v>131</v>
      </c>
      <c r="D99" t="s">
        <v>58</v>
      </c>
      <c r="E99">
        <v>1</v>
      </c>
    </row>
    <row r="100" spans="1:5" hidden="1" x14ac:dyDescent="0.25">
      <c r="A100" t="s">
        <v>2106</v>
      </c>
      <c r="B100" t="s">
        <v>2107</v>
      </c>
      <c r="C100" t="s">
        <v>131</v>
      </c>
      <c r="D100" t="s">
        <v>58</v>
      </c>
      <c r="E100">
        <v>1</v>
      </c>
    </row>
    <row r="101" spans="1:5" hidden="1" x14ac:dyDescent="0.25">
      <c r="A101" t="s">
        <v>2108</v>
      </c>
      <c r="B101" t="s">
        <v>2109</v>
      </c>
      <c r="C101" t="s">
        <v>131</v>
      </c>
      <c r="D101" t="s">
        <v>58</v>
      </c>
      <c r="E101">
        <v>1</v>
      </c>
    </row>
    <row r="102" spans="1:5" hidden="1" x14ac:dyDescent="0.25">
      <c r="A102" t="s">
        <v>2110</v>
      </c>
      <c r="B102" t="s">
        <v>146</v>
      </c>
      <c r="C102" t="s">
        <v>124</v>
      </c>
      <c r="D102" t="s">
        <v>58</v>
      </c>
      <c r="E102">
        <v>10</v>
      </c>
    </row>
    <row r="103" spans="1:5" hidden="1" x14ac:dyDescent="0.25">
      <c r="A103" t="s">
        <v>2111</v>
      </c>
      <c r="B103" t="s">
        <v>2112</v>
      </c>
      <c r="C103" t="s">
        <v>124</v>
      </c>
      <c r="D103" t="s">
        <v>58</v>
      </c>
      <c r="E103">
        <v>9</v>
      </c>
    </row>
    <row r="104" spans="1:5" hidden="1" x14ac:dyDescent="0.25">
      <c r="A104" t="s">
        <v>2113</v>
      </c>
      <c r="B104" t="s">
        <v>2114</v>
      </c>
      <c r="C104" t="s">
        <v>124</v>
      </c>
      <c r="D104" t="s">
        <v>58</v>
      </c>
      <c r="E104">
        <v>9</v>
      </c>
    </row>
    <row r="105" spans="1:5" hidden="1" x14ac:dyDescent="0.25">
      <c r="A105" t="s">
        <v>2115</v>
      </c>
      <c r="B105" t="s">
        <v>2116</v>
      </c>
      <c r="C105" t="s">
        <v>124</v>
      </c>
      <c r="D105" t="s">
        <v>58</v>
      </c>
      <c r="E105">
        <v>9</v>
      </c>
    </row>
    <row r="106" spans="1:5" hidden="1" x14ac:dyDescent="0.25">
      <c r="A106" t="s">
        <v>2117</v>
      </c>
      <c r="B106" t="s">
        <v>2118</v>
      </c>
      <c r="C106" t="s">
        <v>124</v>
      </c>
      <c r="D106" t="s">
        <v>58</v>
      </c>
      <c r="E106">
        <v>9</v>
      </c>
    </row>
    <row r="107" spans="1:5" hidden="1" x14ac:dyDescent="0.25">
      <c r="A107" t="s">
        <v>2119</v>
      </c>
      <c r="B107" t="s">
        <v>2120</v>
      </c>
      <c r="C107" t="s">
        <v>124</v>
      </c>
      <c r="D107" t="s">
        <v>58</v>
      </c>
      <c r="E107">
        <v>9</v>
      </c>
    </row>
    <row r="108" spans="1:5" hidden="1" x14ac:dyDescent="0.25">
      <c r="A108" t="s">
        <v>2121</v>
      </c>
      <c r="B108" t="s">
        <v>2122</v>
      </c>
      <c r="C108" t="s">
        <v>2007</v>
      </c>
      <c r="D108" t="s">
        <v>58</v>
      </c>
      <c r="E108">
        <v>1</v>
      </c>
    </row>
    <row r="109" spans="1:5" hidden="1" x14ac:dyDescent="0.25">
      <c r="A109" t="s">
        <v>2123</v>
      </c>
      <c r="B109" t="s">
        <v>2124</v>
      </c>
      <c r="C109" t="s">
        <v>124</v>
      </c>
      <c r="D109" t="s">
        <v>58</v>
      </c>
      <c r="E109">
        <v>2</v>
      </c>
    </row>
    <row r="110" spans="1:5" hidden="1" x14ac:dyDescent="0.25">
      <c r="A110" t="s">
        <v>2125</v>
      </c>
      <c r="B110" t="s">
        <v>2126</v>
      </c>
      <c r="C110" t="s">
        <v>124</v>
      </c>
      <c r="D110" t="s">
        <v>58</v>
      </c>
      <c r="E110">
        <v>2</v>
      </c>
    </row>
    <row r="111" spans="1:5" hidden="1" x14ac:dyDescent="0.25">
      <c r="A111" t="s">
        <v>2127</v>
      </c>
      <c r="B111" t="s">
        <v>2128</v>
      </c>
      <c r="C111" t="s">
        <v>124</v>
      </c>
      <c r="D111" t="s">
        <v>58</v>
      </c>
      <c r="E111">
        <v>2</v>
      </c>
    </row>
    <row r="112" spans="1:5" hidden="1" x14ac:dyDescent="0.25">
      <c r="A112" t="s">
        <v>2129</v>
      </c>
      <c r="B112" t="s">
        <v>2130</v>
      </c>
      <c r="C112" t="s">
        <v>124</v>
      </c>
      <c r="D112" t="s">
        <v>58</v>
      </c>
      <c r="E112">
        <v>1</v>
      </c>
    </row>
    <row r="113" spans="1:5" hidden="1" x14ac:dyDescent="0.25">
      <c r="A113" t="s">
        <v>2131</v>
      </c>
      <c r="B113" t="s">
        <v>2132</v>
      </c>
      <c r="C113" t="s">
        <v>124</v>
      </c>
      <c r="D113" t="s">
        <v>58</v>
      </c>
      <c r="E113">
        <v>1</v>
      </c>
    </row>
    <row r="114" spans="1:5" hidden="1" x14ac:dyDescent="0.25">
      <c r="A114" t="s">
        <v>2133</v>
      </c>
      <c r="B114" t="s">
        <v>2134</v>
      </c>
      <c r="C114" t="s">
        <v>124</v>
      </c>
      <c r="D114" t="s">
        <v>58</v>
      </c>
      <c r="E114">
        <v>4</v>
      </c>
    </row>
    <row r="115" spans="1:5" hidden="1" x14ac:dyDescent="0.25">
      <c r="A115" t="s">
        <v>2135</v>
      </c>
      <c r="B115" t="s">
        <v>2136</v>
      </c>
      <c r="C115" t="s">
        <v>124</v>
      </c>
      <c r="D115" t="s">
        <v>58</v>
      </c>
      <c r="E115">
        <v>4</v>
      </c>
    </row>
    <row r="116" spans="1:5" hidden="1" x14ac:dyDescent="0.25">
      <c r="A116" t="s">
        <v>2137</v>
      </c>
      <c r="B116" t="s">
        <v>2138</v>
      </c>
      <c r="C116" t="s">
        <v>124</v>
      </c>
      <c r="D116" t="s">
        <v>58</v>
      </c>
      <c r="E116">
        <v>4</v>
      </c>
    </row>
    <row r="117" spans="1:5" hidden="1" x14ac:dyDescent="0.25">
      <c r="A117" t="s">
        <v>2139</v>
      </c>
      <c r="B117" t="s">
        <v>2140</v>
      </c>
      <c r="C117" t="s">
        <v>124</v>
      </c>
      <c r="D117" t="s">
        <v>58</v>
      </c>
      <c r="E117">
        <v>4</v>
      </c>
    </row>
    <row r="118" spans="1:5" hidden="1" x14ac:dyDescent="0.25">
      <c r="A118" t="s">
        <v>2141</v>
      </c>
      <c r="B118" t="s">
        <v>2142</v>
      </c>
      <c r="C118" t="s">
        <v>131</v>
      </c>
      <c r="D118" t="s">
        <v>58</v>
      </c>
      <c r="E118">
        <v>3</v>
      </c>
    </row>
    <row r="119" spans="1:5" hidden="1" x14ac:dyDescent="0.25">
      <c r="A119" t="s">
        <v>2143</v>
      </c>
      <c r="B119" t="s">
        <v>2144</v>
      </c>
      <c r="C119" t="s">
        <v>131</v>
      </c>
      <c r="D119" t="s">
        <v>58</v>
      </c>
      <c r="E119">
        <v>3</v>
      </c>
    </row>
    <row r="120" spans="1:5" hidden="1" x14ac:dyDescent="0.25">
      <c r="A120" t="s">
        <v>2145</v>
      </c>
      <c r="B120" t="s">
        <v>2146</v>
      </c>
      <c r="C120" t="s">
        <v>124</v>
      </c>
      <c r="D120" t="s">
        <v>58</v>
      </c>
      <c r="E120">
        <v>1</v>
      </c>
    </row>
    <row r="121" spans="1:5" hidden="1" x14ac:dyDescent="0.25">
      <c r="A121" t="s">
        <v>2147</v>
      </c>
      <c r="B121" t="s">
        <v>2148</v>
      </c>
      <c r="C121" t="s">
        <v>124</v>
      </c>
      <c r="D121" t="s">
        <v>58</v>
      </c>
      <c r="E121">
        <v>1</v>
      </c>
    </row>
    <row r="122" spans="1:5" hidden="1" x14ac:dyDescent="0.25">
      <c r="A122" t="s">
        <v>2149</v>
      </c>
      <c r="B122" t="s">
        <v>2150</v>
      </c>
      <c r="C122" t="s">
        <v>124</v>
      </c>
      <c r="D122" t="s">
        <v>58</v>
      </c>
      <c r="E122">
        <v>1</v>
      </c>
    </row>
    <row r="123" spans="1:5" hidden="1" x14ac:dyDescent="0.25">
      <c r="A123" t="s">
        <v>2151</v>
      </c>
      <c r="B123" t="s">
        <v>2152</v>
      </c>
      <c r="C123" t="s">
        <v>131</v>
      </c>
      <c r="D123" t="s">
        <v>58</v>
      </c>
      <c r="E123">
        <v>1</v>
      </c>
    </row>
    <row r="124" spans="1:5" hidden="1" x14ac:dyDescent="0.25">
      <c r="A124" t="s">
        <v>2153</v>
      </c>
      <c r="B124" t="s">
        <v>2154</v>
      </c>
      <c r="C124" t="s">
        <v>124</v>
      </c>
      <c r="D124" t="s">
        <v>58</v>
      </c>
      <c r="E124">
        <v>1</v>
      </c>
    </row>
    <row r="125" spans="1:5" hidden="1" x14ac:dyDescent="0.25">
      <c r="A125" t="s">
        <v>2155</v>
      </c>
      <c r="B125" t="s">
        <v>2156</v>
      </c>
      <c r="C125" t="s">
        <v>124</v>
      </c>
      <c r="D125" t="s">
        <v>58</v>
      </c>
      <c r="E125">
        <v>1</v>
      </c>
    </row>
    <row r="126" spans="1:5" hidden="1" x14ac:dyDescent="0.25">
      <c r="A126" t="s">
        <v>2157</v>
      </c>
      <c r="B126" t="s">
        <v>2158</v>
      </c>
      <c r="C126" t="s">
        <v>124</v>
      </c>
      <c r="D126" t="s">
        <v>58</v>
      </c>
      <c r="E126">
        <v>1</v>
      </c>
    </row>
    <row r="127" spans="1:5" hidden="1" x14ac:dyDescent="0.25">
      <c r="A127" t="s">
        <v>2159</v>
      </c>
      <c r="B127" t="s">
        <v>2160</v>
      </c>
      <c r="C127" t="s">
        <v>124</v>
      </c>
      <c r="D127" t="s">
        <v>58</v>
      </c>
      <c r="E127">
        <v>1</v>
      </c>
    </row>
    <row r="128" spans="1:5" hidden="1" x14ac:dyDescent="0.25">
      <c r="A128" t="s">
        <v>2161</v>
      </c>
      <c r="B128" t="s">
        <v>2162</v>
      </c>
      <c r="C128" t="s">
        <v>124</v>
      </c>
      <c r="D128" t="s">
        <v>58</v>
      </c>
      <c r="E128">
        <v>1</v>
      </c>
    </row>
    <row r="129" spans="1:5" hidden="1" x14ac:dyDescent="0.25">
      <c r="A129" t="s">
        <v>2163</v>
      </c>
      <c r="B129" t="s">
        <v>2164</v>
      </c>
      <c r="C129" t="s">
        <v>124</v>
      </c>
      <c r="D129" t="s">
        <v>58</v>
      </c>
      <c r="E129">
        <v>1</v>
      </c>
    </row>
    <row r="130" spans="1:5" hidden="1" x14ac:dyDescent="0.25">
      <c r="A130" t="s">
        <v>2165</v>
      </c>
      <c r="B130" t="s">
        <v>2166</v>
      </c>
      <c r="C130" t="s">
        <v>124</v>
      </c>
      <c r="D130" t="s">
        <v>58</v>
      </c>
      <c r="E130">
        <v>1</v>
      </c>
    </row>
    <row r="131" spans="1:5" hidden="1" x14ac:dyDescent="0.25">
      <c r="A131" t="s">
        <v>2167</v>
      </c>
      <c r="B131" t="s">
        <v>2168</v>
      </c>
      <c r="C131" t="s">
        <v>124</v>
      </c>
      <c r="D131" t="s">
        <v>58</v>
      </c>
      <c r="E131">
        <v>1</v>
      </c>
    </row>
    <row r="132" spans="1:5" hidden="1" x14ac:dyDescent="0.25">
      <c r="A132" t="s">
        <v>2169</v>
      </c>
      <c r="B132" t="s">
        <v>2170</v>
      </c>
      <c r="C132" t="s">
        <v>124</v>
      </c>
      <c r="D132" t="s">
        <v>58</v>
      </c>
      <c r="E132">
        <v>1</v>
      </c>
    </row>
    <row r="133" spans="1:5" hidden="1" x14ac:dyDescent="0.25">
      <c r="A133" t="s">
        <v>2171</v>
      </c>
      <c r="B133" t="s">
        <v>2172</v>
      </c>
      <c r="C133" t="s">
        <v>124</v>
      </c>
      <c r="D133" t="s">
        <v>58</v>
      </c>
      <c r="E133">
        <v>1</v>
      </c>
    </row>
    <row r="134" spans="1:5" hidden="1" x14ac:dyDescent="0.25">
      <c r="A134" t="s">
        <v>2173</v>
      </c>
      <c r="B134" t="s">
        <v>2174</v>
      </c>
      <c r="C134" t="s">
        <v>124</v>
      </c>
      <c r="D134" t="s">
        <v>58</v>
      </c>
      <c r="E134">
        <v>1</v>
      </c>
    </row>
    <row r="135" spans="1:5" hidden="1" x14ac:dyDescent="0.25">
      <c r="A135" t="s">
        <v>147</v>
      </c>
      <c r="B135" t="s">
        <v>149</v>
      </c>
      <c r="C135" t="s">
        <v>150</v>
      </c>
      <c r="D135" t="s">
        <v>58</v>
      </c>
      <c r="E135">
        <v>36</v>
      </c>
    </row>
    <row r="136" spans="1:5" hidden="1" x14ac:dyDescent="0.25">
      <c r="A136" t="s">
        <v>151</v>
      </c>
      <c r="B136" t="s">
        <v>153</v>
      </c>
      <c r="C136" t="s">
        <v>150</v>
      </c>
      <c r="D136" t="s">
        <v>58</v>
      </c>
      <c r="E136">
        <v>96</v>
      </c>
    </row>
    <row r="137" spans="1:5" hidden="1" x14ac:dyDescent="0.25">
      <c r="A137" t="s">
        <v>154</v>
      </c>
      <c r="B137" t="s">
        <v>156</v>
      </c>
      <c r="C137" t="s">
        <v>59</v>
      </c>
      <c r="D137" t="s">
        <v>58</v>
      </c>
      <c r="E137">
        <v>174</v>
      </c>
    </row>
    <row r="138" spans="1:5" hidden="1" x14ac:dyDescent="0.25">
      <c r="A138" t="s">
        <v>2175</v>
      </c>
      <c r="B138" t="s">
        <v>2176</v>
      </c>
      <c r="C138" t="s">
        <v>59</v>
      </c>
      <c r="D138" t="s">
        <v>58</v>
      </c>
      <c r="E138">
        <v>14</v>
      </c>
    </row>
    <row r="139" spans="1:5" hidden="1" x14ac:dyDescent="0.25">
      <c r="A139" t="s">
        <v>157</v>
      </c>
      <c r="B139" t="s">
        <v>159</v>
      </c>
      <c r="C139" t="s">
        <v>160</v>
      </c>
      <c r="D139" t="s">
        <v>58</v>
      </c>
      <c r="E139">
        <v>49</v>
      </c>
    </row>
    <row r="140" spans="1:5" hidden="1" x14ac:dyDescent="0.25">
      <c r="A140" t="s">
        <v>161</v>
      </c>
      <c r="B140" t="s">
        <v>163</v>
      </c>
      <c r="C140" t="s">
        <v>59</v>
      </c>
      <c r="D140" t="s">
        <v>58</v>
      </c>
      <c r="E140">
        <v>766</v>
      </c>
    </row>
    <row r="141" spans="1:5" x14ac:dyDescent="0.25">
      <c r="A141" t="s">
        <v>164</v>
      </c>
      <c r="B141" t="s">
        <v>166</v>
      </c>
      <c r="C141" t="s">
        <v>167</v>
      </c>
      <c r="D141" t="s">
        <v>58</v>
      </c>
      <c r="E141">
        <v>59</v>
      </c>
    </row>
    <row r="142" spans="1:5" hidden="1" x14ac:dyDescent="0.25">
      <c r="A142" t="s">
        <v>168</v>
      </c>
      <c r="B142" t="s">
        <v>170</v>
      </c>
      <c r="C142" t="s">
        <v>150</v>
      </c>
      <c r="D142" t="s">
        <v>58</v>
      </c>
      <c r="E142">
        <v>37</v>
      </c>
    </row>
    <row r="143" spans="1:5" hidden="1" x14ac:dyDescent="0.25">
      <c r="A143" t="s">
        <v>171</v>
      </c>
      <c r="B143" t="s">
        <v>173</v>
      </c>
      <c r="C143" t="s">
        <v>59</v>
      </c>
      <c r="D143" t="s">
        <v>58</v>
      </c>
      <c r="E143">
        <v>83</v>
      </c>
    </row>
    <row r="144" spans="1:5" x14ac:dyDescent="0.25">
      <c r="A144" t="s">
        <v>2177</v>
      </c>
      <c r="B144" t="s">
        <v>176</v>
      </c>
      <c r="C144" t="s">
        <v>167</v>
      </c>
      <c r="D144" t="s">
        <v>58</v>
      </c>
      <c r="E144">
        <v>339</v>
      </c>
    </row>
    <row r="145" spans="1:5" hidden="1" x14ac:dyDescent="0.25">
      <c r="A145" t="s">
        <v>177</v>
      </c>
      <c r="B145" t="s">
        <v>179</v>
      </c>
      <c r="C145" t="s">
        <v>59</v>
      </c>
      <c r="D145" t="s">
        <v>58</v>
      </c>
      <c r="E145">
        <v>36</v>
      </c>
    </row>
    <row r="146" spans="1:5" hidden="1" x14ac:dyDescent="0.25">
      <c r="A146" t="s">
        <v>180</v>
      </c>
      <c r="B146" t="s">
        <v>182</v>
      </c>
      <c r="C146" t="s">
        <v>183</v>
      </c>
      <c r="D146" t="s">
        <v>58</v>
      </c>
      <c r="E146">
        <v>64</v>
      </c>
    </row>
    <row r="147" spans="1:5" hidden="1" x14ac:dyDescent="0.25">
      <c r="A147" t="s">
        <v>184</v>
      </c>
      <c r="B147" t="s">
        <v>186</v>
      </c>
      <c r="C147" t="s">
        <v>187</v>
      </c>
      <c r="D147" t="s">
        <v>58</v>
      </c>
      <c r="E147">
        <v>146.80000000000001</v>
      </c>
    </row>
    <row r="148" spans="1:5" hidden="1" x14ac:dyDescent="0.25">
      <c r="A148" t="s">
        <v>188</v>
      </c>
      <c r="B148" t="s">
        <v>190</v>
      </c>
      <c r="C148" t="s">
        <v>150</v>
      </c>
      <c r="D148" t="s">
        <v>58</v>
      </c>
      <c r="E148">
        <v>99</v>
      </c>
    </row>
    <row r="149" spans="1:5" hidden="1" x14ac:dyDescent="0.25">
      <c r="A149" t="s">
        <v>191</v>
      </c>
      <c r="B149" t="s">
        <v>193</v>
      </c>
      <c r="C149" t="s">
        <v>150</v>
      </c>
      <c r="D149" t="s">
        <v>58</v>
      </c>
      <c r="E149">
        <v>9</v>
      </c>
    </row>
    <row r="150" spans="1:5" hidden="1" x14ac:dyDescent="0.25">
      <c r="A150" t="s">
        <v>194</v>
      </c>
      <c r="B150" t="s">
        <v>196</v>
      </c>
      <c r="C150" t="s">
        <v>150</v>
      </c>
      <c r="D150" t="s">
        <v>58</v>
      </c>
      <c r="E150">
        <v>25</v>
      </c>
    </row>
    <row r="151" spans="1:5" hidden="1" x14ac:dyDescent="0.25">
      <c r="A151" t="s">
        <v>2178</v>
      </c>
      <c r="B151" t="s">
        <v>2179</v>
      </c>
      <c r="C151" t="s">
        <v>203</v>
      </c>
      <c r="D151" t="s">
        <v>58</v>
      </c>
      <c r="E151">
        <v>93.35</v>
      </c>
    </row>
    <row r="152" spans="1:5" hidden="1" x14ac:dyDescent="0.25">
      <c r="A152" t="s">
        <v>2180</v>
      </c>
      <c r="B152" t="s">
        <v>2181</v>
      </c>
      <c r="C152" t="s">
        <v>203</v>
      </c>
      <c r="D152" t="s">
        <v>58</v>
      </c>
      <c r="E152">
        <v>52.85</v>
      </c>
    </row>
    <row r="153" spans="1:5" hidden="1" x14ac:dyDescent="0.25">
      <c r="A153" t="s">
        <v>200</v>
      </c>
      <c r="B153" t="s">
        <v>202</v>
      </c>
      <c r="C153" t="s">
        <v>203</v>
      </c>
      <c r="D153" t="s">
        <v>58</v>
      </c>
      <c r="E153">
        <v>12.9</v>
      </c>
    </row>
    <row r="154" spans="1:5" hidden="1" x14ac:dyDescent="0.25">
      <c r="A154" t="s">
        <v>204</v>
      </c>
      <c r="B154" t="s">
        <v>206</v>
      </c>
      <c r="C154" t="s">
        <v>203</v>
      </c>
      <c r="D154" t="s">
        <v>58</v>
      </c>
      <c r="E154">
        <v>12.9</v>
      </c>
    </row>
    <row r="155" spans="1:5" hidden="1" x14ac:dyDescent="0.25">
      <c r="A155" t="s">
        <v>207</v>
      </c>
      <c r="B155" t="s">
        <v>209</v>
      </c>
      <c r="C155" t="s">
        <v>187</v>
      </c>
      <c r="D155" t="s">
        <v>58</v>
      </c>
      <c r="E155">
        <v>12</v>
      </c>
    </row>
    <row r="156" spans="1:5" hidden="1" x14ac:dyDescent="0.25">
      <c r="A156" t="s">
        <v>210</v>
      </c>
      <c r="B156" t="s">
        <v>212</v>
      </c>
      <c r="C156" t="s">
        <v>150</v>
      </c>
      <c r="D156" t="s">
        <v>58</v>
      </c>
      <c r="E156">
        <v>197</v>
      </c>
    </row>
    <row r="157" spans="1:5" hidden="1" x14ac:dyDescent="0.25">
      <c r="A157" t="s">
        <v>217</v>
      </c>
      <c r="B157" t="s">
        <v>218</v>
      </c>
      <c r="C157" t="s">
        <v>216</v>
      </c>
      <c r="D157" t="s">
        <v>58</v>
      </c>
      <c r="E157">
        <v>4</v>
      </c>
    </row>
    <row r="158" spans="1:5" hidden="1" x14ac:dyDescent="0.25">
      <c r="A158" t="s">
        <v>219</v>
      </c>
      <c r="B158" t="s">
        <v>221</v>
      </c>
      <c r="C158" t="s">
        <v>150</v>
      </c>
      <c r="D158" t="s">
        <v>58</v>
      </c>
      <c r="E158">
        <v>21</v>
      </c>
    </row>
    <row r="159" spans="1:5" hidden="1" x14ac:dyDescent="0.25">
      <c r="A159" t="s">
        <v>2182</v>
      </c>
      <c r="B159" t="s">
        <v>2183</v>
      </c>
      <c r="C159" t="s">
        <v>150</v>
      </c>
      <c r="D159" t="s">
        <v>58</v>
      </c>
      <c r="E159">
        <v>19</v>
      </c>
    </row>
    <row r="160" spans="1:5" hidden="1" x14ac:dyDescent="0.25">
      <c r="A160" t="s">
        <v>241</v>
      </c>
      <c r="B160" t="s">
        <v>242</v>
      </c>
      <c r="C160" t="s">
        <v>216</v>
      </c>
      <c r="D160" t="s">
        <v>58</v>
      </c>
      <c r="E160">
        <v>11</v>
      </c>
    </row>
    <row r="161" spans="1:5" hidden="1" x14ac:dyDescent="0.25">
      <c r="A161" t="s">
        <v>2184</v>
      </c>
      <c r="B161" t="s">
        <v>2185</v>
      </c>
      <c r="C161" t="s">
        <v>304</v>
      </c>
      <c r="D161" t="s">
        <v>58</v>
      </c>
      <c r="E161">
        <v>10</v>
      </c>
    </row>
    <row r="162" spans="1:5" hidden="1" x14ac:dyDescent="0.25">
      <c r="A162" t="s">
        <v>243</v>
      </c>
      <c r="B162" t="s">
        <v>245</v>
      </c>
      <c r="C162" t="s">
        <v>183</v>
      </c>
      <c r="D162" t="s">
        <v>58</v>
      </c>
      <c r="E162">
        <v>89</v>
      </c>
    </row>
    <row r="163" spans="1:5" hidden="1" x14ac:dyDescent="0.25">
      <c r="A163" t="s">
        <v>246</v>
      </c>
      <c r="B163" t="s">
        <v>248</v>
      </c>
      <c r="C163" t="s">
        <v>59</v>
      </c>
      <c r="D163" t="s">
        <v>58</v>
      </c>
      <c r="E163">
        <v>191</v>
      </c>
    </row>
    <row r="164" spans="1:5" hidden="1" x14ac:dyDescent="0.25">
      <c r="A164" t="s">
        <v>2186</v>
      </c>
      <c r="B164" t="s">
        <v>2187</v>
      </c>
      <c r="C164" t="s">
        <v>160</v>
      </c>
      <c r="D164" t="s">
        <v>58</v>
      </c>
      <c r="E164">
        <v>2</v>
      </c>
    </row>
    <row r="165" spans="1:5" hidden="1" x14ac:dyDescent="0.25">
      <c r="A165" t="s">
        <v>2188</v>
      </c>
      <c r="B165" t="s">
        <v>2189</v>
      </c>
      <c r="C165" t="s">
        <v>160</v>
      </c>
      <c r="D165" t="s">
        <v>58</v>
      </c>
      <c r="E165">
        <v>1</v>
      </c>
    </row>
    <row r="166" spans="1:5" hidden="1" x14ac:dyDescent="0.25">
      <c r="A166" t="s">
        <v>259</v>
      </c>
      <c r="B166" t="s">
        <v>261</v>
      </c>
      <c r="C166" t="s">
        <v>67</v>
      </c>
      <c r="D166" t="s">
        <v>58</v>
      </c>
      <c r="E166">
        <v>33</v>
      </c>
    </row>
    <row r="167" spans="1:5" hidden="1" x14ac:dyDescent="0.25">
      <c r="A167" t="s">
        <v>262</v>
      </c>
      <c r="B167" t="s">
        <v>264</v>
      </c>
      <c r="C167" t="s">
        <v>67</v>
      </c>
      <c r="D167" t="s">
        <v>58</v>
      </c>
      <c r="E167">
        <v>33</v>
      </c>
    </row>
    <row r="168" spans="1:5" x14ac:dyDescent="0.25">
      <c r="A168" t="s">
        <v>265</v>
      </c>
      <c r="B168" t="s">
        <v>267</v>
      </c>
      <c r="C168" t="s">
        <v>167</v>
      </c>
      <c r="D168" t="s">
        <v>58</v>
      </c>
      <c r="E168">
        <v>268</v>
      </c>
    </row>
    <row r="169" spans="1:5" x14ac:dyDescent="0.25">
      <c r="A169" t="s">
        <v>268</v>
      </c>
      <c r="B169" t="s">
        <v>270</v>
      </c>
      <c r="C169" t="s">
        <v>167</v>
      </c>
      <c r="D169" t="s">
        <v>58</v>
      </c>
      <c r="E169">
        <v>48</v>
      </c>
    </row>
    <row r="170" spans="1:5" x14ac:dyDescent="0.25">
      <c r="A170" t="s">
        <v>271</v>
      </c>
      <c r="B170" t="s">
        <v>273</v>
      </c>
      <c r="C170" t="s">
        <v>167</v>
      </c>
      <c r="D170" t="s">
        <v>58</v>
      </c>
      <c r="E170">
        <v>239</v>
      </c>
    </row>
    <row r="171" spans="1:5" x14ac:dyDescent="0.25">
      <c r="A171" t="s">
        <v>274</v>
      </c>
      <c r="B171" t="s">
        <v>276</v>
      </c>
      <c r="C171" t="s">
        <v>167</v>
      </c>
      <c r="D171" t="s">
        <v>58</v>
      </c>
      <c r="E171">
        <v>20</v>
      </c>
    </row>
    <row r="172" spans="1:5" hidden="1" x14ac:dyDescent="0.25">
      <c r="A172" t="s">
        <v>2190</v>
      </c>
      <c r="B172" t="s">
        <v>2191</v>
      </c>
      <c r="C172" t="s">
        <v>160</v>
      </c>
      <c r="D172" t="s">
        <v>58</v>
      </c>
      <c r="E172">
        <v>4</v>
      </c>
    </row>
    <row r="173" spans="1:5" x14ac:dyDescent="0.25">
      <c r="A173" t="s">
        <v>277</v>
      </c>
      <c r="B173" t="s">
        <v>279</v>
      </c>
      <c r="C173" t="s">
        <v>167</v>
      </c>
      <c r="D173" t="s">
        <v>58</v>
      </c>
      <c r="E173">
        <v>57</v>
      </c>
    </row>
    <row r="174" spans="1:5" x14ac:dyDescent="0.25">
      <c r="A174" t="s">
        <v>280</v>
      </c>
      <c r="B174" t="s">
        <v>282</v>
      </c>
      <c r="C174" t="s">
        <v>167</v>
      </c>
      <c r="D174" t="s">
        <v>58</v>
      </c>
      <c r="E174">
        <v>25</v>
      </c>
    </row>
    <row r="175" spans="1:5" x14ac:dyDescent="0.25">
      <c r="A175" t="s">
        <v>283</v>
      </c>
      <c r="B175" t="s">
        <v>285</v>
      </c>
      <c r="C175" t="s">
        <v>167</v>
      </c>
      <c r="D175" t="s">
        <v>58</v>
      </c>
      <c r="E175">
        <v>126</v>
      </c>
    </row>
    <row r="176" spans="1:5" x14ac:dyDescent="0.25">
      <c r="A176" t="s">
        <v>286</v>
      </c>
      <c r="B176" t="s">
        <v>288</v>
      </c>
      <c r="C176" t="s">
        <v>167</v>
      </c>
      <c r="D176" t="s">
        <v>58</v>
      </c>
      <c r="E176">
        <v>34</v>
      </c>
    </row>
    <row r="177" spans="1:5" hidden="1" x14ac:dyDescent="0.25">
      <c r="A177" t="s">
        <v>2192</v>
      </c>
      <c r="B177" t="s">
        <v>2193</v>
      </c>
      <c r="C177" t="s">
        <v>160</v>
      </c>
      <c r="D177" t="s">
        <v>58</v>
      </c>
      <c r="E177">
        <v>1</v>
      </c>
    </row>
    <row r="178" spans="1:5" hidden="1" x14ac:dyDescent="0.25">
      <c r="A178" t="s">
        <v>2194</v>
      </c>
      <c r="B178" t="s">
        <v>291</v>
      </c>
      <c r="C178" t="s">
        <v>160</v>
      </c>
      <c r="D178" t="s">
        <v>58</v>
      </c>
      <c r="E178">
        <v>24</v>
      </c>
    </row>
    <row r="179" spans="1:5" hidden="1" x14ac:dyDescent="0.25">
      <c r="A179" t="s">
        <v>2195</v>
      </c>
      <c r="B179" t="s">
        <v>2196</v>
      </c>
      <c r="C179" t="s">
        <v>160</v>
      </c>
      <c r="D179" t="s">
        <v>58</v>
      </c>
      <c r="E179">
        <v>2</v>
      </c>
    </row>
    <row r="180" spans="1:5" x14ac:dyDescent="0.25">
      <c r="A180" t="s">
        <v>292</v>
      </c>
      <c r="B180" t="s">
        <v>294</v>
      </c>
      <c r="C180" t="s">
        <v>167</v>
      </c>
      <c r="D180" t="s">
        <v>58</v>
      </c>
      <c r="E180">
        <v>106</v>
      </c>
    </row>
    <row r="181" spans="1:5" x14ac:dyDescent="0.25">
      <c r="A181" t="s">
        <v>295</v>
      </c>
      <c r="B181" t="s">
        <v>297</v>
      </c>
      <c r="C181" t="s">
        <v>167</v>
      </c>
      <c r="D181" t="s">
        <v>58</v>
      </c>
      <c r="E181">
        <v>105</v>
      </c>
    </row>
    <row r="182" spans="1:5" x14ac:dyDescent="0.25">
      <c r="A182" t="s">
        <v>298</v>
      </c>
      <c r="B182" t="s">
        <v>300</v>
      </c>
      <c r="C182" t="s">
        <v>167</v>
      </c>
      <c r="D182" t="s">
        <v>58</v>
      </c>
      <c r="E182">
        <v>39</v>
      </c>
    </row>
    <row r="183" spans="1:5" hidden="1" x14ac:dyDescent="0.25">
      <c r="A183" t="s">
        <v>301</v>
      </c>
      <c r="B183" t="s">
        <v>303</v>
      </c>
      <c r="C183" t="s">
        <v>304</v>
      </c>
      <c r="D183" t="s">
        <v>58</v>
      </c>
      <c r="E183">
        <v>12</v>
      </c>
    </row>
    <row r="184" spans="1:5" hidden="1" x14ac:dyDescent="0.25">
      <c r="A184" t="s">
        <v>308</v>
      </c>
      <c r="B184" t="s">
        <v>310</v>
      </c>
      <c r="C184" t="s">
        <v>187</v>
      </c>
      <c r="D184" t="s">
        <v>58</v>
      </c>
      <c r="E184">
        <v>34</v>
      </c>
    </row>
    <row r="185" spans="1:5" hidden="1" x14ac:dyDescent="0.25">
      <c r="A185" t="s">
        <v>313</v>
      </c>
      <c r="B185" t="s">
        <v>315</v>
      </c>
      <c r="C185" t="s">
        <v>187</v>
      </c>
      <c r="D185" t="s">
        <v>58</v>
      </c>
      <c r="E185">
        <v>6</v>
      </c>
    </row>
    <row r="186" spans="1:5" hidden="1" x14ac:dyDescent="0.25">
      <c r="A186" t="s">
        <v>316</v>
      </c>
      <c r="B186" t="s">
        <v>318</v>
      </c>
      <c r="C186" t="s">
        <v>187</v>
      </c>
      <c r="D186" t="s">
        <v>58</v>
      </c>
      <c r="E186">
        <v>148</v>
      </c>
    </row>
    <row r="187" spans="1:5" hidden="1" x14ac:dyDescent="0.25">
      <c r="A187" t="s">
        <v>319</v>
      </c>
      <c r="B187" t="s">
        <v>318</v>
      </c>
      <c r="C187" t="s">
        <v>187</v>
      </c>
      <c r="D187" t="s">
        <v>58</v>
      </c>
      <c r="E187">
        <v>17</v>
      </c>
    </row>
    <row r="188" spans="1:5" x14ac:dyDescent="0.25">
      <c r="A188" t="s">
        <v>322</v>
      </c>
      <c r="B188" t="s">
        <v>324</v>
      </c>
      <c r="C188" t="s">
        <v>167</v>
      </c>
      <c r="D188" t="s">
        <v>58</v>
      </c>
      <c r="E188">
        <v>239</v>
      </c>
    </row>
    <row r="189" spans="1:5" hidden="1" x14ac:dyDescent="0.25">
      <c r="A189" t="s">
        <v>325</v>
      </c>
      <c r="B189" t="s">
        <v>327</v>
      </c>
      <c r="C189" t="s">
        <v>67</v>
      </c>
      <c r="D189" t="s">
        <v>58</v>
      </c>
      <c r="E189">
        <v>58</v>
      </c>
    </row>
    <row r="190" spans="1:5" hidden="1" x14ac:dyDescent="0.25">
      <c r="A190" t="s">
        <v>328</v>
      </c>
      <c r="B190" t="s">
        <v>330</v>
      </c>
      <c r="C190" t="s">
        <v>67</v>
      </c>
      <c r="D190" t="s">
        <v>58</v>
      </c>
      <c r="E190">
        <v>15</v>
      </c>
    </row>
    <row r="191" spans="1:5" hidden="1" x14ac:dyDescent="0.25">
      <c r="A191" t="s">
        <v>335</v>
      </c>
      <c r="B191" t="s">
        <v>337</v>
      </c>
      <c r="C191" t="s">
        <v>160</v>
      </c>
      <c r="D191" t="s">
        <v>58</v>
      </c>
      <c r="E191">
        <v>2</v>
      </c>
    </row>
    <row r="192" spans="1:5" hidden="1" x14ac:dyDescent="0.25">
      <c r="A192" t="s">
        <v>344</v>
      </c>
      <c r="B192" t="s">
        <v>346</v>
      </c>
      <c r="C192" t="s">
        <v>150</v>
      </c>
      <c r="D192" t="s">
        <v>58</v>
      </c>
      <c r="E192">
        <v>13</v>
      </c>
    </row>
    <row r="193" spans="1:5" hidden="1" x14ac:dyDescent="0.25">
      <c r="A193" t="s">
        <v>347</v>
      </c>
      <c r="B193" t="s">
        <v>349</v>
      </c>
      <c r="C193" t="s">
        <v>150</v>
      </c>
      <c r="D193" t="s">
        <v>58</v>
      </c>
      <c r="E193">
        <v>75</v>
      </c>
    </row>
    <row r="194" spans="1:5" hidden="1" x14ac:dyDescent="0.25">
      <c r="A194" t="s">
        <v>350</v>
      </c>
      <c r="B194" t="s">
        <v>352</v>
      </c>
      <c r="C194" t="s">
        <v>150</v>
      </c>
      <c r="D194" t="s">
        <v>58</v>
      </c>
      <c r="E194">
        <v>29</v>
      </c>
    </row>
    <row r="195" spans="1:5" hidden="1" x14ac:dyDescent="0.25">
      <c r="A195" t="s">
        <v>353</v>
      </c>
      <c r="B195" t="s">
        <v>355</v>
      </c>
      <c r="C195" t="s">
        <v>334</v>
      </c>
      <c r="D195" t="s">
        <v>58</v>
      </c>
      <c r="E195">
        <v>4</v>
      </c>
    </row>
    <row r="196" spans="1:5" hidden="1" x14ac:dyDescent="0.25">
      <c r="A196" t="s">
        <v>356</v>
      </c>
      <c r="B196" t="s">
        <v>358</v>
      </c>
      <c r="C196" t="s">
        <v>67</v>
      </c>
      <c r="D196" t="s">
        <v>58</v>
      </c>
      <c r="E196">
        <v>34</v>
      </c>
    </row>
    <row r="197" spans="1:5" hidden="1" x14ac:dyDescent="0.25">
      <c r="A197" t="s">
        <v>359</v>
      </c>
      <c r="B197" t="s">
        <v>361</v>
      </c>
      <c r="C197" t="s">
        <v>67</v>
      </c>
      <c r="D197" t="s">
        <v>58</v>
      </c>
      <c r="E197">
        <v>14</v>
      </c>
    </row>
    <row r="198" spans="1:5" hidden="1" x14ac:dyDescent="0.25">
      <c r="A198" t="s">
        <v>362</v>
      </c>
      <c r="B198" t="s">
        <v>364</v>
      </c>
      <c r="C198" t="s">
        <v>67</v>
      </c>
      <c r="D198" t="s">
        <v>58</v>
      </c>
      <c r="E198">
        <v>22</v>
      </c>
    </row>
    <row r="199" spans="1:5" hidden="1" x14ac:dyDescent="0.25">
      <c r="A199" t="s">
        <v>16</v>
      </c>
      <c r="B199" t="s">
        <v>17</v>
      </c>
      <c r="C199" t="s">
        <v>1</v>
      </c>
      <c r="D199" t="s">
        <v>58</v>
      </c>
      <c r="E199">
        <v>71.45</v>
      </c>
    </row>
    <row r="200" spans="1:5" hidden="1" x14ac:dyDescent="0.25">
      <c r="A200" t="s">
        <v>18</v>
      </c>
      <c r="B200" t="s">
        <v>19</v>
      </c>
      <c r="C200" t="s">
        <v>1</v>
      </c>
      <c r="D200" t="s">
        <v>58</v>
      </c>
      <c r="E200">
        <v>71.5</v>
      </c>
    </row>
    <row r="201" spans="1:5" hidden="1" x14ac:dyDescent="0.25">
      <c r="A201" t="s">
        <v>20</v>
      </c>
      <c r="B201" t="s">
        <v>21</v>
      </c>
      <c r="C201" t="s">
        <v>1</v>
      </c>
      <c r="D201" t="s">
        <v>58</v>
      </c>
      <c r="E201">
        <v>58.3</v>
      </c>
    </row>
    <row r="202" spans="1:5" hidden="1" x14ac:dyDescent="0.25">
      <c r="A202" t="s">
        <v>372</v>
      </c>
      <c r="B202" t="s">
        <v>374</v>
      </c>
      <c r="C202" t="s">
        <v>375</v>
      </c>
      <c r="D202" t="s">
        <v>58</v>
      </c>
      <c r="E202">
        <v>410</v>
      </c>
    </row>
    <row r="203" spans="1:5" hidden="1" x14ac:dyDescent="0.25">
      <c r="A203" t="s">
        <v>382</v>
      </c>
      <c r="B203" t="s">
        <v>384</v>
      </c>
      <c r="C203" t="s">
        <v>67</v>
      </c>
      <c r="D203" t="s">
        <v>58</v>
      </c>
      <c r="E203">
        <v>33</v>
      </c>
    </row>
    <row r="204" spans="1:5" hidden="1" x14ac:dyDescent="0.25">
      <c r="A204" t="s">
        <v>385</v>
      </c>
      <c r="B204" t="s">
        <v>387</v>
      </c>
      <c r="C204" t="s">
        <v>67</v>
      </c>
      <c r="D204" t="s">
        <v>58</v>
      </c>
      <c r="E204">
        <v>35</v>
      </c>
    </row>
    <row r="205" spans="1:5" hidden="1" x14ac:dyDescent="0.25">
      <c r="A205" t="s">
        <v>388</v>
      </c>
      <c r="B205" t="s">
        <v>390</v>
      </c>
      <c r="C205" t="s">
        <v>150</v>
      </c>
      <c r="D205" t="s">
        <v>58</v>
      </c>
      <c r="E205">
        <v>9</v>
      </c>
    </row>
    <row r="206" spans="1:5" hidden="1" x14ac:dyDescent="0.25">
      <c r="A206" t="s">
        <v>391</v>
      </c>
      <c r="B206" t="s">
        <v>393</v>
      </c>
      <c r="C206" t="s">
        <v>59</v>
      </c>
      <c r="D206" t="s">
        <v>58</v>
      </c>
      <c r="E206">
        <v>172</v>
      </c>
    </row>
    <row r="207" spans="1:5" hidden="1" x14ac:dyDescent="0.25">
      <c r="A207" t="s">
        <v>394</v>
      </c>
      <c r="B207" t="s">
        <v>396</v>
      </c>
      <c r="C207" t="s">
        <v>59</v>
      </c>
      <c r="D207" t="s">
        <v>58</v>
      </c>
      <c r="E207">
        <v>47</v>
      </c>
    </row>
    <row r="208" spans="1:5" hidden="1" x14ac:dyDescent="0.25">
      <c r="A208" t="s">
        <v>397</v>
      </c>
      <c r="B208" t="s">
        <v>399</v>
      </c>
      <c r="C208" t="s">
        <v>150</v>
      </c>
      <c r="D208" t="s">
        <v>58</v>
      </c>
      <c r="E208">
        <v>40</v>
      </c>
    </row>
    <row r="209" spans="1:5" hidden="1" x14ac:dyDescent="0.25">
      <c r="A209" t="s">
        <v>2197</v>
      </c>
      <c r="B209" t="s">
        <v>2198</v>
      </c>
      <c r="C209" t="s">
        <v>160</v>
      </c>
      <c r="D209" t="s">
        <v>58</v>
      </c>
      <c r="E209">
        <v>50</v>
      </c>
    </row>
    <row r="210" spans="1:5" hidden="1" x14ac:dyDescent="0.25">
      <c r="A210" t="s">
        <v>414</v>
      </c>
      <c r="B210" t="s">
        <v>416</v>
      </c>
      <c r="C210" t="s">
        <v>160</v>
      </c>
      <c r="D210" t="s">
        <v>58</v>
      </c>
      <c r="E210">
        <v>5</v>
      </c>
    </row>
    <row r="211" spans="1:5" hidden="1" x14ac:dyDescent="0.25">
      <c r="A211" t="s">
        <v>417</v>
      </c>
      <c r="B211" t="s">
        <v>419</v>
      </c>
      <c r="C211" t="s">
        <v>160</v>
      </c>
      <c r="D211" t="s">
        <v>58</v>
      </c>
      <c r="E211">
        <v>5</v>
      </c>
    </row>
    <row r="212" spans="1:5" hidden="1" x14ac:dyDescent="0.25">
      <c r="A212" t="s">
        <v>420</v>
      </c>
      <c r="B212" t="s">
        <v>422</v>
      </c>
      <c r="C212" t="s">
        <v>160</v>
      </c>
      <c r="D212" t="s">
        <v>58</v>
      </c>
      <c r="E212">
        <v>3</v>
      </c>
    </row>
    <row r="213" spans="1:5" x14ac:dyDescent="0.25">
      <c r="A213" t="s">
        <v>423</v>
      </c>
      <c r="B213" t="s">
        <v>425</v>
      </c>
      <c r="C213" t="s">
        <v>167</v>
      </c>
      <c r="D213" t="s">
        <v>58</v>
      </c>
      <c r="E213">
        <v>40</v>
      </c>
    </row>
    <row r="214" spans="1:5" hidden="1" x14ac:dyDescent="0.25">
      <c r="A214" t="s">
        <v>426</v>
      </c>
      <c r="B214" t="s">
        <v>428</v>
      </c>
      <c r="C214" t="s">
        <v>67</v>
      </c>
      <c r="D214" t="s">
        <v>58</v>
      </c>
      <c r="E214">
        <v>65</v>
      </c>
    </row>
    <row r="215" spans="1:5" hidden="1" x14ac:dyDescent="0.25">
      <c r="A215" t="s">
        <v>24</v>
      </c>
      <c r="B215" t="s">
        <v>25</v>
      </c>
      <c r="C215" t="s">
        <v>1</v>
      </c>
      <c r="D215" t="s">
        <v>58</v>
      </c>
      <c r="E215">
        <v>75</v>
      </c>
    </row>
    <row r="216" spans="1:5" hidden="1" x14ac:dyDescent="0.25">
      <c r="A216" t="s">
        <v>2199</v>
      </c>
      <c r="B216" t="s">
        <v>2200</v>
      </c>
      <c r="C216" t="s">
        <v>1</v>
      </c>
      <c r="D216" t="s">
        <v>58</v>
      </c>
      <c r="E216">
        <v>7</v>
      </c>
    </row>
    <row r="217" spans="1:5" hidden="1" x14ac:dyDescent="0.25">
      <c r="A217" t="s">
        <v>26</v>
      </c>
      <c r="B217" t="s">
        <v>27</v>
      </c>
      <c r="C217" t="s">
        <v>1</v>
      </c>
      <c r="D217" t="s">
        <v>58</v>
      </c>
      <c r="E217">
        <v>25</v>
      </c>
    </row>
    <row r="218" spans="1:5" hidden="1" x14ac:dyDescent="0.25">
      <c r="A218" t="s">
        <v>2201</v>
      </c>
      <c r="B218" t="s">
        <v>2202</v>
      </c>
      <c r="C218" t="s">
        <v>124</v>
      </c>
      <c r="D218" t="s">
        <v>58</v>
      </c>
      <c r="E218">
        <v>6</v>
      </c>
    </row>
    <row r="219" spans="1:5" hidden="1" x14ac:dyDescent="0.25">
      <c r="A219" t="s">
        <v>435</v>
      </c>
      <c r="B219" t="s">
        <v>437</v>
      </c>
      <c r="C219" t="s">
        <v>63</v>
      </c>
      <c r="D219" t="s">
        <v>58</v>
      </c>
      <c r="E219">
        <v>3</v>
      </c>
    </row>
    <row r="220" spans="1:5" hidden="1" x14ac:dyDescent="0.25">
      <c r="A220" t="s">
        <v>438</v>
      </c>
      <c r="B220" t="s">
        <v>437</v>
      </c>
      <c r="C220" t="s">
        <v>63</v>
      </c>
      <c r="D220" t="s">
        <v>58</v>
      </c>
      <c r="E220">
        <v>14</v>
      </c>
    </row>
    <row r="221" spans="1:5" hidden="1" x14ac:dyDescent="0.25">
      <c r="A221" t="s">
        <v>2203</v>
      </c>
      <c r="B221" t="s">
        <v>2204</v>
      </c>
      <c r="C221" t="s">
        <v>124</v>
      </c>
      <c r="D221" t="s">
        <v>58</v>
      </c>
      <c r="E221">
        <v>5</v>
      </c>
    </row>
    <row r="222" spans="1:5" hidden="1" x14ac:dyDescent="0.25">
      <c r="A222" t="s">
        <v>2205</v>
      </c>
      <c r="B222" t="s">
        <v>2206</v>
      </c>
      <c r="C222" t="s">
        <v>131</v>
      </c>
      <c r="D222" t="s">
        <v>58</v>
      </c>
      <c r="E222">
        <v>12</v>
      </c>
    </row>
    <row r="223" spans="1:5" hidden="1" x14ac:dyDescent="0.25">
      <c r="A223" t="s">
        <v>451</v>
      </c>
      <c r="B223" t="s">
        <v>453</v>
      </c>
      <c r="C223" t="s">
        <v>375</v>
      </c>
      <c r="D223" t="s">
        <v>58</v>
      </c>
      <c r="E223">
        <v>425</v>
      </c>
    </row>
    <row r="224" spans="1:5" hidden="1" x14ac:dyDescent="0.25">
      <c r="A224" t="s">
        <v>454</v>
      </c>
      <c r="B224" t="s">
        <v>456</v>
      </c>
      <c r="C224" t="s">
        <v>150</v>
      </c>
      <c r="D224" t="s">
        <v>58</v>
      </c>
      <c r="E224">
        <v>119</v>
      </c>
    </row>
    <row r="225" spans="1:5" hidden="1" x14ac:dyDescent="0.25">
      <c r="A225" t="s">
        <v>457</v>
      </c>
      <c r="B225" t="s">
        <v>459</v>
      </c>
      <c r="C225" t="s">
        <v>67</v>
      </c>
      <c r="D225" t="s">
        <v>58</v>
      </c>
      <c r="E225">
        <v>13</v>
      </c>
    </row>
    <row r="226" spans="1:5" hidden="1" x14ac:dyDescent="0.25">
      <c r="A226" t="s">
        <v>460</v>
      </c>
      <c r="B226" t="s">
        <v>462</v>
      </c>
      <c r="C226" t="s">
        <v>63</v>
      </c>
      <c r="D226" t="s">
        <v>58</v>
      </c>
      <c r="E226">
        <v>1</v>
      </c>
    </row>
    <row r="227" spans="1:5" hidden="1" x14ac:dyDescent="0.25">
      <c r="A227" t="s">
        <v>463</v>
      </c>
      <c r="B227" t="s">
        <v>465</v>
      </c>
      <c r="C227" t="s">
        <v>63</v>
      </c>
      <c r="D227" t="s">
        <v>58</v>
      </c>
      <c r="E227">
        <v>3</v>
      </c>
    </row>
    <row r="228" spans="1:5" hidden="1" x14ac:dyDescent="0.25">
      <c r="A228" t="s">
        <v>466</v>
      </c>
      <c r="B228" t="s">
        <v>468</v>
      </c>
      <c r="C228" t="s">
        <v>150</v>
      </c>
      <c r="D228" t="s">
        <v>58</v>
      </c>
      <c r="E228">
        <v>50</v>
      </c>
    </row>
    <row r="229" spans="1:5" hidden="1" x14ac:dyDescent="0.25">
      <c r="A229" t="s">
        <v>469</v>
      </c>
      <c r="B229" t="s">
        <v>471</v>
      </c>
      <c r="C229" t="s">
        <v>150</v>
      </c>
      <c r="D229" t="s">
        <v>58</v>
      </c>
      <c r="E229">
        <v>25</v>
      </c>
    </row>
    <row r="230" spans="1:5" hidden="1" x14ac:dyDescent="0.25">
      <c r="A230" t="s">
        <v>472</v>
      </c>
      <c r="B230" t="s">
        <v>474</v>
      </c>
      <c r="C230" t="s">
        <v>150</v>
      </c>
      <c r="D230" t="s">
        <v>58</v>
      </c>
      <c r="E230">
        <v>120</v>
      </c>
    </row>
    <row r="231" spans="1:5" hidden="1" x14ac:dyDescent="0.25">
      <c r="A231" t="s">
        <v>475</v>
      </c>
      <c r="B231" t="s">
        <v>477</v>
      </c>
      <c r="C231" t="s">
        <v>150</v>
      </c>
      <c r="D231" t="s">
        <v>58</v>
      </c>
      <c r="E231">
        <v>132</v>
      </c>
    </row>
    <row r="232" spans="1:5" hidden="1" x14ac:dyDescent="0.25">
      <c r="A232" t="s">
        <v>478</v>
      </c>
      <c r="B232" t="s">
        <v>480</v>
      </c>
      <c r="C232" t="s">
        <v>150</v>
      </c>
      <c r="D232" t="s">
        <v>58</v>
      </c>
      <c r="E232">
        <v>253</v>
      </c>
    </row>
    <row r="233" spans="1:5" hidden="1" x14ac:dyDescent="0.25">
      <c r="A233" t="s">
        <v>481</v>
      </c>
      <c r="B233" t="s">
        <v>483</v>
      </c>
      <c r="C233" t="s">
        <v>150</v>
      </c>
      <c r="D233" t="s">
        <v>58</v>
      </c>
      <c r="E233">
        <v>24</v>
      </c>
    </row>
    <row r="234" spans="1:5" hidden="1" x14ac:dyDescent="0.25">
      <c r="A234" t="s">
        <v>490</v>
      </c>
      <c r="B234" t="s">
        <v>492</v>
      </c>
      <c r="C234" t="s">
        <v>150</v>
      </c>
      <c r="D234" t="s">
        <v>58</v>
      </c>
      <c r="E234">
        <v>95</v>
      </c>
    </row>
    <row r="235" spans="1:5" hidden="1" x14ac:dyDescent="0.25">
      <c r="A235" t="s">
        <v>496</v>
      </c>
      <c r="B235" t="s">
        <v>495</v>
      </c>
      <c r="C235" t="s">
        <v>63</v>
      </c>
      <c r="D235" t="s">
        <v>58</v>
      </c>
      <c r="E235">
        <v>1</v>
      </c>
    </row>
    <row r="236" spans="1:5" hidden="1" x14ac:dyDescent="0.25">
      <c r="A236" t="s">
        <v>2207</v>
      </c>
      <c r="B236" t="s">
        <v>2208</v>
      </c>
      <c r="C236" t="s">
        <v>63</v>
      </c>
      <c r="D236" t="s">
        <v>58</v>
      </c>
      <c r="E236">
        <v>3</v>
      </c>
    </row>
    <row r="237" spans="1:5" x14ac:dyDescent="0.25">
      <c r="A237" t="s">
        <v>497</v>
      </c>
      <c r="B237" t="s">
        <v>499</v>
      </c>
      <c r="C237" t="s">
        <v>167</v>
      </c>
      <c r="D237" t="s">
        <v>58</v>
      </c>
      <c r="E237">
        <v>68</v>
      </c>
    </row>
    <row r="238" spans="1:5" hidden="1" x14ac:dyDescent="0.25">
      <c r="A238" t="s">
        <v>500</v>
      </c>
      <c r="B238" t="s">
        <v>502</v>
      </c>
      <c r="C238" t="s">
        <v>150</v>
      </c>
      <c r="D238" t="s">
        <v>58</v>
      </c>
      <c r="E238">
        <v>64</v>
      </c>
    </row>
    <row r="239" spans="1:5" hidden="1" x14ac:dyDescent="0.25">
      <c r="A239" t="s">
        <v>2209</v>
      </c>
      <c r="B239" t="s">
        <v>2210</v>
      </c>
      <c r="C239" t="s">
        <v>63</v>
      </c>
      <c r="D239" t="s">
        <v>58</v>
      </c>
      <c r="E239">
        <v>22</v>
      </c>
    </row>
    <row r="240" spans="1:5" hidden="1" x14ac:dyDescent="0.25">
      <c r="A240" t="s">
        <v>503</v>
      </c>
      <c r="B240" t="s">
        <v>505</v>
      </c>
      <c r="C240" t="s">
        <v>63</v>
      </c>
      <c r="D240" t="s">
        <v>58</v>
      </c>
      <c r="E240">
        <v>6</v>
      </c>
    </row>
    <row r="241" spans="1:5" hidden="1" x14ac:dyDescent="0.25">
      <c r="A241" t="s">
        <v>506</v>
      </c>
      <c r="B241" t="s">
        <v>508</v>
      </c>
      <c r="C241" t="s">
        <v>63</v>
      </c>
      <c r="D241" t="s">
        <v>58</v>
      </c>
      <c r="E241">
        <v>4</v>
      </c>
    </row>
    <row r="242" spans="1:5" hidden="1" x14ac:dyDescent="0.25">
      <c r="A242" t="s">
        <v>512</v>
      </c>
      <c r="B242" t="s">
        <v>514</v>
      </c>
      <c r="C242" t="s">
        <v>63</v>
      </c>
      <c r="D242" t="s">
        <v>58</v>
      </c>
      <c r="E242">
        <v>4</v>
      </c>
    </row>
    <row r="243" spans="1:5" hidden="1" x14ac:dyDescent="0.25">
      <c r="A243" t="s">
        <v>515</v>
      </c>
      <c r="B243" t="s">
        <v>517</v>
      </c>
      <c r="C243" t="s">
        <v>63</v>
      </c>
      <c r="D243" t="s">
        <v>58</v>
      </c>
      <c r="E243">
        <v>13</v>
      </c>
    </row>
    <row r="244" spans="1:5" hidden="1" x14ac:dyDescent="0.25">
      <c r="A244" t="s">
        <v>527</v>
      </c>
      <c r="B244" t="s">
        <v>529</v>
      </c>
      <c r="C244" t="s">
        <v>63</v>
      </c>
      <c r="D244" t="s">
        <v>58</v>
      </c>
      <c r="E244">
        <v>30</v>
      </c>
    </row>
    <row r="245" spans="1:5" hidden="1" x14ac:dyDescent="0.25">
      <c r="A245" t="s">
        <v>530</v>
      </c>
      <c r="B245" t="s">
        <v>532</v>
      </c>
      <c r="C245" t="s">
        <v>63</v>
      </c>
      <c r="D245" t="s">
        <v>58</v>
      </c>
      <c r="E245">
        <v>56</v>
      </c>
    </row>
    <row r="246" spans="1:5" hidden="1" x14ac:dyDescent="0.25">
      <c r="A246" t="s">
        <v>533</v>
      </c>
      <c r="B246" t="s">
        <v>535</v>
      </c>
      <c r="C246" t="s">
        <v>63</v>
      </c>
      <c r="D246" t="s">
        <v>58</v>
      </c>
      <c r="E246">
        <v>10</v>
      </c>
    </row>
    <row r="247" spans="1:5" hidden="1" x14ac:dyDescent="0.25">
      <c r="A247" t="s">
        <v>542</v>
      </c>
      <c r="B247" t="s">
        <v>544</v>
      </c>
      <c r="C247" t="s">
        <v>150</v>
      </c>
      <c r="D247" t="s">
        <v>58</v>
      </c>
      <c r="E247">
        <v>25</v>
      </c>
    </row>
    <row r="248" spans="1:5" hidden="1" x14ac:dyDescent="0.25">
      <c r="A248" t="s">
        <v>545</v>
      </c>
      <c r="B248" t="s">
        <v>547</v>
      </c>
      <c r="C248" t="s">
        <v>150</v>
      </c>
      <c r="D248" t="s">
        <v>58</v>
      </c>
      <c r="E248">
        <v>7</v>
      </c>
    </row>
    <row r="249" spans="1:5" hidden="1" x14ac:dyDescent="0.25">
      <c r="A249" t="s">
        <v>2211</v>
      </c>
      <c r="B249" t="s">
        <v>544</v>
      </c>
      <c r="C249" t="s">
        <v>150</v>
      </c>
      <c r="D249" t="s">
        <v>58</v>
      </c>
      <c r="E249">
        <v>11</v>
      </c>
    </row>
    <row r="250" spans="1:5" hidden="1" x14ac:dyDescent="0.25">
      <c r="A250" t="s">
        <v>2212</v>
      </c>
      <c r="B250" t="s">
        <v>547</v>
      </c>
      <c r="C250" t="s">
        <v>150</v>
      </c>
      <c r="D250" t="s">
        <v>58</v>
      </c>
      <c r="E250">
        <v>6</v>
      </c>
    </row>
    <row r="251" spans="1:5" hidden="1" x14ac:dyDescent="0.25">
      <c r="A251" t="s">
        <v>548</v>
      </c>
      <c r="B251" t="s">
        <v>550</v>
      </c>
      <c r="C251" t="s">
        <v>67</v>
      </c>
      <c r="D251" t="s">
        <v>58</v>
      </c>
      <c r="E251">
        <v>33</v>
      </c>
    </row>
    <row r="252" spans="1:5" hidden="1" x14ac:dyDescent="0.25">
      <c r="A252" t="s">
        <v>2213</v>
      </c>
      <c r="B252" t="s">
        <v>2214</v>
      </c>
      <c r="C252" t="s">
        <v>59</v>
      </c>
      <c r="D252" t="s">
        <v>58</v>
      </c>
      <c r="E252">
        <v>207</v>
      </c>
    </row>
    <row r="253" spans="1:5" hidden="1" x14ac:dyDescent="0.25">
      <c r="A253" t="s">
        <v>551</v>
      </c>
      <c r="B253" t="s">
        <v>553</v>
      </c>
      <c r="C253" t="s">
        <v>67</v>
      </c>
      <c r="D253" t="s">
        <v>58</v>
      </c>
      <c r="E253">
        <v>33</v>
      </c>
    </row>
    <row r="254" spans="1:5" x14ac:dyDescent="0.25">
      <c r="A254" t="s">
        <v>2215</v>
      </c>
      <c r="B254" t="s">
        <v>2216</v>
      </c>
      <c r="C254" t="s">
        <v>167</v>
      </c>
      <c r="D254" t="s">
        <v>58</v>
      </c>
      <c r="E254">
        <v>284</v>
      </c>
    </row>
    <row r="255" spans="1:5" x14ac:dyDescent="0.25">
      <c r="A255" t="s">
        <v>2217</v>
      </c>
      <c r="B255" t="s">
        <v>2218</v>
      </c>
      <c r="C255" t="s">
        <v>167</v>
      </c>
      <c r="D255" t="s">
        <v>58</v>
      </c>
      <c r="E255">
        <v>284</v>
      </c>
    </row>
    <row r="256" spans="1:5" x14ac:dyDescent="0.25">
      <c r="A256" t="s">
        <v>2219</v>
      </c>
      <c r="B256" t="s">
        <v>2220</v>
      </c>
      <c r="C256" t="s">
        <v>167</v>
      </c>
      <c r="D256" t="s">
        <v>58</v>
      </c>
      <c r="E256">
        <v>284</v>
      </c>
    </row>
    <row r="257" spans="1:5" hidden="1" x14ac:dyDescent="0.25">
      <c r="A257" t="s">
        <v>2221</v>
      </c>
      <c r="B257" t="s">
        <v>2222</v>
      </c>
      <c r="C257" t="s">
        <v>117</v>
      </c>
      <c r="D257" t="s">
        <v>58</v>
      </c>
      <c r="E257">
        <v>43</v>
      </c>
    </row>
    <row r="258" spans="1:5" hidden="1" x14ac:dyDescent="0.25">
      <c r="A258" t="s">
        <v>2223</v>
      </c>
      <c r="B258" t="s">
        <v>2224</v>
      </c>
      <c r="C258" t="s">
        <v>59</v>
      </c>
      <c r="D258" t="s">
        <v>58</v>
      </c>
      <c r="E258">
        <v>29</v>
      </c>
    </row>
    <row r="259" spans="1:5" hidden="1" x14ac:dyDescent="0.25">
      <c r="A259" t="s">
        <v>2225</v>
      </c>
      <c r="B259" t="s">
        <v>2226</v>
      </c>
      <c r="C259" t="s">
        <v>59</v>
      </c>
      <c r="D259" t="s">
        <v>58</v>
      </c>
      <c r="E259">
        <v>30</v>
      </c>
    </row>
    <row r="260" spans="1:5" hidden="1" x14ac:dyDescent="0.25">
      <c r="A260" t="s">
        <v>2227</v>
      </c>
      <c r="B260" t="s">
        <v>2228</v>
      </c>
      <c r="C260" t="s">
        <v>124</v>
      </c>
      <c r="D260" t="s">
        <v>58</v>
      </c>
      <c r="E260">
        <v>1</v>
      </c>
    </row>
    <row r="261" spans="1:5" hidden="1" x14ac:dyDescent="0.25">
      <c r="A261" t="s">
        <v>2229</v>
      </c>
      <c r="B261" t="s">
        <v>2230</v>
      </c>
      <c r="C261" t="s">
        <v>124</v>
      </c>
      <c r="D261" t="s">
        <v>58</v>
      </c>
      <c r="E261">
        <v>1</v>
      </c>
    </row>
    <row r="262" spans="1:5" hidden="1" x14ac:dyDescent="0.25">
      <c r="A262" t="s">
        <v>2231</v>
      </c>
      <c r="B262" t="s">
        <v>2232</v>
      </c>
      <c r="C262" t="s">
        <v>124</v>
      </c>
      <c r="D262" t="s">
        <v>58</v>
      </c>
      <c r="E262">
        <v>1</v>
      </c>
    </row>
    <row r="263" spans="1:5" hidden="1" x14ac:dyDescent="0.25">
      <c r="A263" t="s">
        <v>2233</v>
      </c>
      <c r="B263" t="s">
        <v>2234</v>
      </c>
      <c r="C263" t="s">
        <v>124</v>
      </c>
      <c r="D263" t="s">
        <v>58</v>
      </c>
      <c r="E263">
        <v>1</v>
      </c>
    </row>
    <row r="264" spans="1:5" hidden="1" x14ac:dyDescent="0.25">
      <c r="A264" t="s">
        <v>557</v>
      </c>
      <c r="B264" t="s">
        <v>559</v>
      </c>
      <c r="C264" t="s">
        <v>63</v>
      </c>
      <c r="D264" t="s">
        <v>58</v>
      </c>
      <c r="E264">
        <v>31</v>
      </c>
    </row>
    <row r="265" spans="1:5" hidden="1" x14ac:dyDescent="0.25">
      <c r="A265" t="s">
        <v>563</v>
      </c>
      <c r="B265" t="s">
        <v>565</v>
      </c>
      <c r="C265" t="s">
        <v>150</v>
      </c>
      <c r="D265" t="s">
        <v>58</v>
      </c>
      <c r="E265">
        <v>35</v>
      </c>
    </row>
    <row r="266" spans="1:5" hidden="1" x14ac:dyDescent="0.25">
      <c r="A266" t="s">
        <v>566</v>
      </c>
      <c r="B266" t="s">
        <v>568</v>
      </c>
      <c r="C266" t="s">
        <v>150</v>
      </c>
      <c r="D266" t="s">
        <v>58</v>
      </c>
      <c r="E266">
        <v>6</v>
      </c>
    </row>
    <row r="267" spans="1:5" hidden="1" x14ac:dyDescent="0.25">
      <c r="A267" t="s">
        <v>569</v>
      </c>
      <c r="B267" t="s">
        <v>571</v>
      </c>
      <c r="C267" t="s">
        <v>150</v>
      </c>
      <c r="D267" t="s">
        <v>58</v>
      </c>
      <c r="E267">
        <v>20</v>
      </c>
    </row>
    <row r="268" spans="1:5" hidden="1" x14ac:dyDescent="0.25">
      <c r="A268" t="s">
        <v>572</v>
      </c>
      <c r="B268" t="s">
        <v>574</v>
      </c>
      <c r="C268" t="s">
        <v>150</v>
      </c>
      <c r="D268" t="s">
        <v>58</v>
      </c>
      <c r="E268">
        <v>10</v>
      </c>
    </row>
    <row r="269" spans="1:5" hidden="1" x14ac:dyDescent="0.25">
      <c r="A269" t="s">
        <v>2235</v>
      </c>
      <c r="B269" t="s">
        <v>2236</v>
      </c>
      <c r="C269" t="s">
        <v>59</v>
      </c>
      <c r="D269" t="s">
        <v>58</v>
      </c>
      <c r="E269">
        <v>81</v>
      </c>
    </row>
    <row r="270" spans="1:5" hidden="1" x14ac:dyDescent="0.25">
      <c r="A270" t="s">
        <v>2237</v>
      </c>
      <c r="B270" t="s">
        <v>2238</v>
      </c>
      <c r="C270" t="s">
        <v>63</v>
      </c>
      <c r="D270" t="s">
        <v>58</v>
      </c>
      <c r="E270">
        <v>12</v>
      </c>
    </row>
    <row r="271" spans="1:5" hidden="1" x14ac:dyDescent="0.25">
      <c r="A271" t="s">
        <v>2239</v>
      </c>
      <c r="B271" t="s">
        <v>2240</v>
      </c>
      <c r="C271" t="s">
        <v>63</v>
      </c>
      <c r="D271" t="s">
        <v>58</v>
      </c>
      <c r="E271">
        <v>44</v>
      </c>
    </row>
    <row r="272" spans="1:5" hidden="1" x14ac:dyDescent="0.25">
      <c r="A272" t="s">
        <v>581</v>
      </c>
      <c r="B272" t="s">
        <v>583</v>
      </c>
      <c r="C272" t="s">
        <v>59</v>
      </c>
      <c r="D272" t="s">
        <v>58</v>
      </c>
      <c r="E272">
        <v>4</v>
      </c>
    </row>
    <row r="273" spans="1:5" hidden="1" x14ac:dyDescent="0.25">
      <c r="A273" t="s">
        <v>2241</v>
      </c>
      <c r="B273" t="s">
        <v>2242</v>
      </c>
      <c r="C273" t="s">
        <v>150</v>
      </c>
      <c r="D273" t="s">
        <v>58</v>
      </c>
      <c r="E273">
        <v>17</v>
      </c>
    </row>
    <row r="274" spans="1:5" hidden="1" x14ac:dyDescent="0.25">
      <c r="A274" t="s">
        <v>584</v>
      </c>
      <c r="B274" t="s">
        <v>586</v>
      </c>
      <c r="C274" t="s">
        <v>63</v>
      </c>
      <c r="D274" t="s">
        <v>58</v>
      </c>
      <c r="E274">
        <v>15</v>
      </c>
    </row>
    <row r="275" spans="1:5" hidden="1" x14ac:dyDescent="0.25">
      <c r="A275" t="s">
        <v>587</v>
      </c>
      <c r="B275" t="s">
        <v>589</v>
      </c>
      <c r="C275" t="s">
        <v>63</v>
      </c>
      <c r="D275" t="s">
        <v>58</v>
      </c>
      <c r="E275">
        <v>12</v>
      </c>
    </row>
    <row r="276" spans="1:5" hidden="1" x14ac:dyDescent="0.25">
      <c r="A276" t="s">
        <v>2243</v>
      </c>
      <c r="B276" t="s">
        <v>2244</v>
      </c>
      <c r="C276" t="s">
        <v>63</v>
      </c>
      <c r="D276" t="s">
        <v>58</v>
      </c>
      <c r="E276">
        <v>6</v>
      </c>
    </row>
    <row r="277" spans="1:5" hidden="1" x14ac:dyDescent="0.25">
      <c r="A277" t="s">
        <v>590</v>
      </c>
      <c r="B277" t="s">
        <v>592</v>
      </c>
      <c r="C277" t="s">
        <v>63</v>
      </c>
      <c r="D277" t="s">
        <v>58</v>
      </c>
      <c r="E277">
        <v>18</v>
      </c>
    </row>
    <row r="278" spans="1:5" hidden="1" x14ac:dyDescent="0.25">
      <c r="A278" t="s">
        <v>593</v>
      </c>
      <c r="B278" t="s">
        <v>595</v>
      </c>
      <c r="C278" t="s">
        <v>150</v>
      </c>
      <c r="D278" t="s">
        <v>58</v>
      </c>
      <c r="E278">
        <v>48</v>
      </c>
    </row>
    <row r="279" spans="1:5" hidden="1" x14ac:dyDescent="0.25">
      <c r="A279" t="s">
        <v>599</v>
      </c>
      <c r="B279" t="s">
        <v>601</v>
      </c>
      <c r="C279" t="s">
        <v>375</v>
      </c>
      <c r="D279" t="s">
        <v>58</v>
      </c>
      <c r="E279">
        <v>60</v>
      </c>
    </row>
    <row r="280" spans="1:5" hidden="1" x14ac:dyDescent="0.25">
      <c r="A280" t="s">
        <v>602</v>
      </c>
      <c r="B280" t="s">
        <v>604</v>
      </c>
      <c r="C280" t="s">
        <v>375</v>
      </c>
      <c r="D280" t="s">
        <v>58</v>
      </c>
      <c r="E280">
        <v>21</v>
      </c>
    </row>
    <row r="281" spans="1:5" hidden="1" x14ac:dyDescent="0.25">
      <c r="A281" t="s">
        <v>605</v>
      </c>
      <c r="B281" t="s">
        <v>607</v>
      </c>
      <c r="C281" t="s">
        <v>375</v>
      </c>
      <c r="D281" t="s">
        <v>58</v>
      </c>
      <c r="E281">
        <v>329</v>
      </c>
    </row>
    <row r="282" spans="1:5" hidden="1" x14ac:dyDescent="0.25">
      <c r="A282" t="s">
        <v>608</v>
      </c>
      <c r="B282" t="s">
        <v>610</v>
      </c>
      <c r="C282" t="s">
        <v>375</v>
      </c>
      <c r="D282" t="s">
        <v>58</v>
      </c>
      <c r="E282">
        <v>28</v>
      </c>
    </row>
    <row r="283" spans="1:5" hidden="1" x14ac:dyDescent="0.25">
      <c r="A283" t="s">
        <v>617</v>
      </c>
      <c r="B283" t="s">
        <v>619</v>
      </c>
      <c r="C283" t="s">
        <v>63</v>
      </c>
      <c r="D283" t="s">
        <v>58</v>
      </c>
      <c r="E283">
        <v>9</v>
      </c>
    </row>
    <row r="284" spans="1:5" hidden="1" x14ac:dyDescent="0.25">
      <c r="A284" t="s">
        <v>620</v>
      </c>
      <c r="B284" t="s">
        <v>622</v>
      </c>
      <c r="C284" t="s">
        <v>117</v>
      </c>
      <c r="D284" t="s">
        <v>58</v>
      </c>
      <c r="E284">
        <v>15.35</v>
      </c>
    </row>
    <row r="285" spans="1:5" hidden="1" x14ac:dyDescent="0.25">
      <c r="A285" t="s">
        <v>2245</v>
      </c>
      <c r="B285" t="s">
        <v>2246</v>
      </c>
      <c r="C285" t="s">
        <v>63</v>
      </c>
      <c r="D285" t="s">
        <v>58</v>
      </c>
      <c r="E285">
        <v>5</v>
      </c>
    </row>
    <row r="286" spans="1:5" hidden="1" x14ac:dyDescent="0.25">
      <c r="A286" t="s">
        <v>2247</v>
      </c>
      <c r="B286" t="s">
        <v>2248</v>
      </c>
      <c r="C286" t="s">
        <v>216</v>
      </c>
      <c r="D286" t="s">
        <v>58</v>
      </c>
      <c r="E286">
        <v>3</v>
      </c>
    </row>
    <row r="287" spans="1:5" hidden="1" x14ac:dyDescent="0.25">
      <c r="A287" t="s">
        <v>623</v>
      </c>
      <c r="B287" t="s">
        <v>625</v>
      </c>
      <c r="C287" t="s">
        <v>63</v>
      </c>
      <c r="D287" t="s">
        <v>58</v>
      </c>
      <c r="E287">
        <v>32</v>
      </c>
    </row>
    <row r="288" spans="1:5" hidden="1" x14ac:dyDescent="0.25">
      <c r="A288" t="s">
        <v>626</v>
      </c>
      <c r="B288" t="s">
        <v>628</v>
      </c>
      <c r="C288" t="s">
        <v>63</v>
      </c>
      <c r="D288" t="s">
        <v>58</v>
      </c>
      <c r="E288">
        <v>18</v>
      </c>
    </row>
    <row r="289" spans="1:5" hidden="1" x14ac:dyDescent="0.25">
      <c r="A289" t="s">
        <v>635</v>
      </c>
      <c r="B289" t="s">
        <v>637</v>
      </c>
      <c r="C289" t="s">
        <v>63</v>
      </c>
      <c r="D289" t="s">
        <v>58</v>
      </c>
      <c r="E289">
        <v>4</v>
      </c>
    </row>
    <row r="290" spans="1:5" hidden="1" x14ac:dyDescent="0.25">
      <c r="A290" t="s">
        <v>638</v>
      </c>
      <c r="B290" t="s">
        <v>640</v>
      </c>
      <c r="C290" t="s">
        <v>63</v>
      </c>
      <c r="D290" t="s">
        <v>58</v>
      </c>
      <c r="E290">
        <v>1</v>
      </c>
    </row>
    <row r="291" spans="1:5" hidden="1" x14ac:dyDescent="0.25">
      <c r="A291" t="s">
        <v>641</v>
      </c>
      <c r="B291" t="s">
        <v>643</v>
      </c>
      <c r="C291" t="s">
        <v>63</v>
      </c>
      <c r="D291" t="s">
        <v>58</v>
      </c>
      <c r="E291">
        <v>1</v>
      </c>
    </row>
    <row r="292" spans="1:5" hidden="1" x14ac:dyDescent="0.25">
      <c r="A292" t="s">
        <v>2249</v>
      </c>
      <c r="B292" t="s">
        <v>2250</v>
      </c>
      <c r="C292" t="s">
        <v>63</v>
      </c>
      <c r="D292" t="s">
        <v>58</v>
      </c>
      <c r="E292">
        <v>3</v>
      </c>
    </row>
    <row r="293" spans="1:5" hidden="1" x14ac:dyDescent="0.25">
      <c r="A293" t="s">
        <v>644</v>
      </c>
      <c r="B293" t="s">
        <v>646</v>
      </c>
      <c r="C293" t="s">
        <v>117</v>
      </c>
      <c r="D293" t="s">
        <v>58</v>
      </c>
      <c r="E293">
        <v>30.7</v>
      </c>
    </row>
    <row r="294" spans="1:5" hidden="1" x14ac:dyDescent="0.25">
      <c r="A294" t="s">
        <v>647</v>
      </c>
      <c r="B294" t="s">
        <v>649</v>
      </c>
      <c r="C294" t="s">
        <v>117</v>
      </c>
      <c r="D294" t="s">
        <v>58</v>
      </c>
      <c r="E294">
        <v>11</v>
      </c>
    </row>
    <row r="295" spans="1:5" hidden="1" x14ac:dyDescent="0.25">
      <c r="A295" t="s">
        <v>650</v>
      </c>
      <c r="B295" t="s">
        <v>652</v>
      </c>
      <c r="C295" t="s">
        <v>63</v>
      </c>
      <c r="D295" t="s">
        <v>58</v>
      </c>
      <c r="E295">
        <v>70</v>
      </c>
    </row>
    <row r="296" spans="1:5" hidden="1" x14ac:dyDescent="0.25">
      <c r="A296" t="s">
        <v>653</v>
      </c>
      <c r="B296" t="s">
        <v>655</v>
      </c>
      <c r="C296" t="s">
        <v>63</v>
      </c>
      <c r="D296" t="s">
        <v>58</v>
      </c>
      <c r="E296">
        <v>16</v>
      </c>
    </row>
    <row r="297" spans="1:5" hidden="1" x14ac:dyDescent="0.25">
      <c r="A297" t="s">
        <v>656</v>
      </c>
      <c r="B297" t="s">
        <v>658</v>
      </c>
      <c r="C297" t="s">
        <v>63</v>
      </c>
      <c r="D297" t="s">
        <v>58</v>
      </c>
      <c r="E297">
        <v>9</v>
      </c>
    </row>
    <row r="298" spans="1:5" hidden="1" x14ac:dyDescent="0.25">
      <c r="A298" t="s">
        <v>659</v>
      </c>
      <c r="B298" t="s">
        <v>661</v>
      </c>
      <c r="C298" t="s">
        <v>63</v>
      </c>
      <c r="D298" t="s">
        <v>58</v>
      </c>
      <c r="E298">
        <v>9</v>
      </c>
    </row>
    <row r="299" spans="1:5" hidden="1" x14ac:dyDescent="0.25">
      <c r="A299" t="s">
        <v>662</v>
      </c>
      <c r="B299" t="s">
        <v>664</v>
      </c>
      <c r="C299" t="s">
        <v>63</v>
      </c>
      <c r="D299" t="s">
        <v>58</v>
      </c>
      <c r="E299">
        <v>11</v>
      </c>
    </row>
    <row r="300" spans="1:5" hidden="1" x14ac:dyDescent="0.25">
      <c r="A300" t="s">
        <v>665</v>
      </c>
      <c r="B300" t="s">
        <v>667</v>
      </c>
      <c r="C300" t="s">
        <v>63</v>
      </c>
      <c r="D300" t="s">
        <v>58</v>
      </c>
      <c r="E300">
        <v>4</v>
      </c>
    </row>
    <row r="301" spans="1:5" hidden="1" x14ac:dyDescent="0.25">
      <c r="A301" t="s">
        <v>668</v>
      </c>
      <c r="B301" t="s">
        <v>670</v>
      </c>
      <c r="C301" t="s">
        <v>63</v>
      </c>
      <c r="D301" t="s">
        <v>58</v>
      </c>
      <c r="E301">
        <v>7</v>
      </c>
    </row>
    <row r="302" spans="1:5" hidden="1" x14ac:dyDescent="0.25">
      <c r="A302" t="s">
        <v>671</v>
      </c>
      <c r="B302" t="s">
        <v>673</v>
      </c>
      <c r="C302" t="s">
        <v>187</v>
      </c>
      <c r="D302" t="s">
        <v>58</v>
      </c>
      <c r="E302">
        <v>75.55</v>
      </c>
    </row>
    <row r="303" spans="1:5" hidden="1" x14ac:dyDescent="0.25">
      <c r="A303" t="s">
        <v>674</v>
      </c>
      <c r="B303" t="s">
        <v>676</v>
      </c>
      <c r="C303" t="s">
        <v>187</v>
      </c>
      <c r="D303" t="s">
        <v>58</v>
      </c>
      <c r="E303">
        <v>188</v>
      </c>
    </row>
    <row r="304" spans="1:5" hidden="1" x14ac:dyDescent="0.25">
      <c r="A304" t="s">
        <v>2251</v>
      </c>
      <c r="B304" t="s">
        <v>2252</v>
      </c>
      <c r="C304" t="s">
        <v>63</v>
      </c>
      <c r="D304" t="s">
        <v>58</v>
      </c>
      <c r="E304">
        <v>98</v>
      </c>
    </row>
    <row r="305" spans="1:5" hidden="1" x14ac:dyDescent="0.25">
      <c r="A305" t="s">
        <v>677</v>
      </c>
      <c r="B305" t="s">
        <v>679</v>
      </c>
      <c r="C305" t="s">
        <v>63</v>
      </c>
      <c r="D305" t="s">
        <v>58</v>
      </c>
      <c r="E305">
        <v>22</v>
      </c>
    </row>
    <row r="306" spans="1:5" hidden="1" x14ac:dyDescent="0.25">
      <c r="A306" t="s">
        <v>681</v>
      </c>
      <c r="B306" t="s">
        <v>29</v>
      </c>
      <c r="C306" t="s">
        <v>1</v>
      </c>
      <c r="D306" t="s">
        <v>58</v>
      </c>
      <c r="E306">
        <v>208</v>
      </c>
    </row>
    <row r="307" spans="1:5" hidden="1" x14ac:dyDescent="0.25">
      <c r="A307" t="s">
        <v>30</v>
      </c>
      <c r="B307" t="s">
        <v>31</v>
      </c>
      <c r="C307" t="s">
        <v>1</v>
      </c>
      <c r="D307" t="s">
        <v>58</v>
      </c>
      <c r="E307">
        <v>119</v>
      </c>
    </row>
    <row r="308" spans="1:5" hidden="1" x14ac:dyDescent="0.25">
      <c r="A308" t="s">
        <v>2253</v>
      </c>
      <c r="B308" t="s">
        <v>2254</v>
      </c>
      <c r="C308" t="s">
        <v>2007</v>
      </c>
      <c r="D308" t="s">
        <v>58</v>
      </c>
      <c r="E308">
        <v>5</v>
      </c>
    </row>
    <row r="309" spans="1:5" hidden="1" x14ac:dyDescent="0.25">
      <c r="A309" t="s">
        <v>32</v>
      </c>
      <c r="B309" t="s">
        <v>33</v>
      </c>
      <c r="C309" t="s">
        <v>1</v>
      </c>
      <c r="D309" t="s">
        <v>58</v>
      </c>
      <c r="E309">
        <v>67</v>
      </c>
    </row>
    <row r="310" spans="1:5" hidden="1" x14ac:dyDescent="0.25">
      <c r="A310" t="s">
        <v>34</v>
      </c>
      <c r="B310" t="s">
        <v>35</v>
      </c>
      <c r="C310" t="s">
        <v>1</v>
      </c>
      <c r="D310" t="s">
        <v>58</v>
      </c>
      <c r="E310">
        <v>13</v>
      </c>
    </row>
    <row r="311" spans="1:5" hidden="1" x14ac:dyDescent="0.25">
      <c r="A311" t="s">
        <v>2255</v>
      </c>
      <c r="B311" t="s">
        <v>2256</v>
      </c>
      <c r="C311" t="s">
        <v>1</v>
      </c>
      <c r="D311" t="s">
        <v>58</v>
      </c>
      <c r="E311">
        <v>1</v>
      </c>
    </row>
    <row r="312" spans="1:5" hidden="1" x14ac:dyDescent="0.25">
      <c r="A312" t="s">
        <v>36</v>
      </c>
      <c r="B312" t="s">
        <v>37</v>
      </c>
      <c r="C312" t="s">
        <v>1</v>
      </c>
      <c r="D312" t="s">
        <v>58</v>
      </c>
      <c r="E312">
        <v>14</v>
      </c>
    </row>
    <row r="313" spans="1:5" hidden="1" x14ac:dyDescent="0.25">
      <c r="A313" t="s">
        <v>38</v>
      </c>
      <c r="B313" t="s">
        <v>39</v>
      </c>
      <c r="C313" t="s">
        <v>1</v>
      </c>
      <c r="D313" t="s">
        <v>58</v>
      </c>
      <c r="E313">
        <v>7</v>
      </c>
    </row>
    <row r="314" spans="1:5" hidden="1" x14ac:dyDescent="0.25">
      <c r="A314" t="s">
        <v>2257</v>
      </c>
      <c r="B314" t="s">
        <v>2258</v>
      </c>
      <c r="C314" t="s">
        <v>1</v>
      </c>
      <c r="D314" t="s">
        <v>58</v>
      </c>
      <c r="E314">
        <v>6</v>
      </c>
    </row>
    <row r="315" spans="1:5" hidden="1" x14ac:dyDescent="0.25">
      <c r="A315" t="s">
        <v>40</v>
      </c>
      <c r="B315" t="s">
        <v>41</v>
      </c>
      <c r="C315" t="s">
        <v>1</v>
      </c>
      <c r="D315" t="s">
        <v>58</v>
      </c>
      <c r="E315">
        <v>6</v>
      </c>
    </row>
    <row r="316" spans="1:5" hidden="1" x14ac:dyDescent="0.25">
      <c r="A316" t="s">
        <v>2259</v>
      </c>
      <c r="B316" t="s">
        <v>2260</v>
      </c>
      <c r="C316" t="s">
        <v>1</v>
      </c>
      <c r="D316" t="s">
        <v>58</v>
      </c>
      <c r="E316">
        <v>4</v>
      </c>
    </row>
    <row r="317" spans="1:5" hidden="1" x14ac:dyDescent="0.25">
      <c r="A317" t="s">
        <v>42</v>
      </c>
      <c r="B317" t="s">
        <v>43</v>
      </c>
      <c r="C317" t="s">
        <v>1</v>
      </c>
      <c r="D317" t="s">
        <v>58</v>
      </c>
      <c r="E317">
        <v>31</v>
      </c>
    </row>
    <row r="318" spans="1:5" hidden="1" x14ac:dyDescent="0.25">
      <c r="A318" t="s">
        <v>2261</v>
      </c>
      <c r="B318" t="s">
        <v>2262</v>
      </c>
      <c r="C318" t="s">
        <v>124</v>
      </c>
      <c r="D318" t="s">
        <v>58</v>
      </c>
      <c r="E318">
        <v>1</v>
      </c>
    </row>
    <row r="319" spans="1:5" hidden="1" x14ac:dyDescent="0.25">
      <c r="A319" t="s">
        <v>2263</v>
      </c>
      <c r="B319" t="s">
        <v>2264</v>
      </c>
      <c r="C319" t="s">
        <v>124</v>
      </c>
      <c r="D319" t="s">
        <v>58</v>
      </c>
      <c r="E319">
        <v>1</v>
      </c>
    </row>
    <row r="320" spans="1:5" hidden="1" x14ac:dyDescent="0.25">
      <c r="A320" t="s">
        <v>2265</v>
      </c>
      <c r="B320" t="s">
        <v>2266</v>
      </c>
      <c r="C320" t="s">
        <v>124</v>
      </c>
      <c r="D320" t="s">
        <v>58</v>
      </c>
      <c r="E320">
        <v>1</v>
      </c>
    </row>
    <row r="321" spans="1:5" hidden="1" x14ac:dyDescent="0.25">
      <c r="A321" t="s">
        <v>2267</v>
      </c>
      <c r="B321" t="s">
        <v>2268</v>
      </c>
      <c r="C321" t="s">
        <v>124</v>
      </c>
      <c r="D321" t="s">
        <v>58</v>
      </c>
      <c r="E321">
        <v>1</v>
      </c>
    </row>
    <row r="322" spans="1:5" hidden="1" x14ac:dyDescent="0.25">
      <c r="A322" t="s">
        <v>689</v>
      </c>
      <c r="B322" t="s">
        <v>691</v>
      </c>
      <c r="C322" t="s">
        <v>150</v>
      </c>
      <c r="D322" t="s">
        <v>58</v>
      </c>
      <c r="E322">
        <v>27</v>
      </c>
    </row>
    <row r="323" spans="1:5" hidden="1" x14ac:dyDescent="0.25">
      <c r="A323" t="s">
        <v>692</v>
      </c>
      <c r="B323" t="s">
        <v>694</v>
      </c>
      <c r="C323" t="s">
        <v>150</v>
      </c>
      <c r="D323" t="s">
        <v>58</v>
      </c>
      <c r="E323">
        <v>9</v>
      </c>
    </row>
    <row r="324" spans="1:5" hidden="1" x14ac:dyDescent="0.25">
      <c r="A324" t="s">
        <v>2269</v>
      </c>
      <c r="B324" t="s">
        <v>691</v>
      </c>
      <c r="C324" t="s">
        <v>150</v>
      </c>
      <c r="D324" t="s">
        <v>58</v>
      </c>
      <c r="E324">
        <v>8</v>
      </c>
    </row>
    <row r="325" spans="1:5" hidden="1" x14ac:dyDescent="0.25">
      <c r="A325" t="s">
        <v>2270</v>
      </c>
      <c r="B325" t="s">
        <v>694</v>
      </c>
      <c r="C325" t="s">
        <v>150</v>
      </c>
      <c r="D325" t="s">
        <v>58</v>
      </c>
      <c r="E325">
        <v>8</v>
      </c>
    </row>
    <row r="326" spans="1:5" hidden="1" x14ac:dyDescent="0.25">
      <c r="A326" t="s">
        <v>2271</v>
      </c>
      <c r="B326" t="s">
        <v>2272</v>
      </c>
      <c r="C326" t="s">
        <v>63</v>
      </c>
      <c r="D326" t="s">
        <v>58</v>
      </c>
      <c r="E326">
        <v>11</v>
      </c>
    </row>
    <row r="327" spans="1:5" hidden="1" x14ac:dyDescent="0.25">
      <c r="A327" t="s">
        <v>696</v>
      </c>
      <c r="B327" t="s">
        <v>45</v>
      </c>
      <c r="C327" t="s">
        <v>1</v>
      </c>
      <c r="D327" t="s">
        <v>58</v>
      </c>
      <c r="E327">
        <v>137</v>
      </c>
    </row>
    <row r="328" spans="1:5" hidden="1" x14ac:dyDescent="0.25">
      <c r="A328" t="s">
        <v>698</v>
      </c>
      <c r="B328" t="s">
        <v>700</v>
      </c>
      <c r="C328" t="s">
        <v>63</v>
      </c>
      <c r="D328" t="s">
        <v>58</v>
      </c>
      <c r="E328">
        <v>21</v>
      </c>
    </row>
    <row r="329" spans="1:5" hidden="1" x14ac:dyDescent="0.25">
      <c r="A329" t="s">
        <v>701</v>
      </c>
      <c r="B329" t="s">
        <v>703</v>
      </c>
      <c r="C329" t="s">
        <v>63</v>
      </c>
      <c r="D329" t="s">
        <v>58</v>
      </c>
      <c r="E329">
        <v>5</v>
      </c>
    </row>
    <row r="330" spans="1:5" hidden="1" x14ac:dyDescent="0.25">
      <c r="A330" t="s">
        <v>704</v>
      </c>
      <c r="B330" t="s">
        <v>706</v>
      </c>
      <c r="C330" t="s">
        <v>63</v>
      </c>
      <c r="D330" t="s">
        <v>58</v>
      </c>
      <c r="E330">
        <v>5</v>
      </c>
    </row>
    <row r="331" spans="1:5" hidden="1" x14ac:dyDescent="0.25">
      <c r="A331" t="s">
        <v>707</v>
      </c>
      <c r="B331" t="s">
        <v>709</v>
      </c>
      <c r="C331" t="s">
        <v>160</v>
      </c>
      <c r="D331" t="s">
        <v>58</v>
      </c>
      <c r="E331">
        <v>1</v>
      </c>
    </row>
    <row r="332" spans="1:5" x14ac:dyDescent="0.25">
      <c r="A332" t="s">
        <v>2273</v>
      </c>
      <c r="B332" t="s">
        <v>2274</v>
      </c>
      <c r="C332" t="s">
        <v>167</v>
      </c>
      <c r="D332" t="s">
        <v>58</v>
      </c>
      <c r="E332">
        <v>314</v>
      </c>
    </row>
    <row r="333" spans="1:5" hidden="1" x14ac:dyDescent="0.25">
      <c r="A333" t="s">
        <v>2275</v>
      </c>
      <c r="B333" t="s">
        <v>2276</v>
      </c>
      <c r="C333" t="s">
        <v>67</v>
      </c>
      <c r="D333" t="s">
        <v>58</v>
      </c>
      <c r="E333">
        <v>7</v>
      </c>
    </row>
    <row r="334" spans="1:5" hidden="1" x14ac:dyDescent="0.25">
      <c r="A334" t="s">
        <v>2277</v>
      </c>
      <c r="B334" t="s">
        <v>2278</v>
      </c>
      <c r="C334" t="s">
        <v>150</v>
      </c>
      <c r="D334" t="s">
        <v>58</v>
      </c>
      <c r="E334">
        <v>3</v>
      </c>
    </row>
    <row r="335" spans="1:5" hidden="1" x14ac:dyDescent="0.25">
      <c r="A335" t="s">
        <v>2279</v>
      </c>
      <c r="B335" t="s">
        <v>2280</v>
      </c>
      <c r="C335" t="s">
        <v>150</v>
      </c>
      <c r="D335" t="s">
        <v>58</v>
      </c>
      <c r="E335">
        <v>8</v>
      </c>
    </row>
    <row r="336" spans="1:5" hidden="1" x14ac:dyDescent="0.25">
      <c r="A336" t="s">
        <v>2281</v>
      </c>
      <c r="B336" t="s">
        <v>2278</v>
      </c>
      <c r="C336" t="s">
        <v>150</v>
      </c>
      <c r="D336" t="s">
        <v>58</v>
      </c>
      <c r="E336">
        <v>8</v>
      </c>
    </row>
    <row r="337" spans="1:5" hidden="1" x14ac:dyDescent="0.25">
      <c r="A337" t="s">
        <v>713</v>
      </c>
      <c r="B337" t="s">
        <v>715</v>
      </c>
      <c r="C337" t="s">
        <v>187</v>
      </c>
      <c r="D337" t="s">
        <v>58</v>
      </c>
      <c r="E337">
        <v>10</v>
      </c>
    </row>
    <row r="338" spans="1:5" hidden="1" x14ac:dyDescent="0.25">
      <c r="A338" t="s">
        <v>716</v>
      </c>
      <c r="B338" t="s">
        <v>718</v>
      </c>
      <c r="C338" t="s">
        <v>63</v>
      </c>
      <c r="D338" t="s">
        <v>58</v>
      </c>
      <c r="E338">
        <v>63</v>
      </c>
    </row>
    <row r="339" spans="1:5" hidden="1" x14ac:dyDescent="0.25">
      <c r="A339" t="s">
        <v>719</v>
      </c>
      <c r="B339" t="s">
        <v>721</v>
      </c>
      <c r="C339" t="s">
        <v>63</v>
      </c>
      <c r="D339" t="s">
        <v>58</v>
      </c>
      <c r="E339">
        <v>68</v>
      </c>
    </row>
    <row r="340" spans="1:5" hidden="1" x14ac:dyDescent="0.25">
      <c r="A340" t="s">
        <v>2282</v>
      </c>
      <c r="B340" t="s">
        <v>2283</v>
      </c>
      <c r="C340" t="s">
        <v>63</v>
      </c>
      <c r="D340" t="s">
        <v>58</v>
      </c>
      <c r="E340">
        <v>1</v>
      </c>
    </row>
    <row r="341" spans="1:5" hidden="1" x14ac:dyDescent="0.25">
      <c r="A341" t="s">
        <v>722</v>
      </c>
      <c r="B341" t="s">
        <v>724</v>
      </c>
      <c r="C341" t="s">
        <v>63</v>
      </c>
      <c r="D341" t="s">
        <v>58</v>
      </c>
      <c r="E341">
        <v>54</v>
      </c>
    </row>
    <row r="342" spans="1:5" hidden="1" x14ac:dyDescent="0.25">
      <c r="A342" t="s">
        <v>2284</v>
      </c>
      <c r="B342" t="s">
        <v>724</v>
      </c>
      <c r="C342" t="s">
        <v>2285</v>
      </c>
      <c r="D342" t="s">
        <v>58</v>
      </c>
      <c r="E342">
        <v>20</v>
      </c>
    </row>
    <row r="343" spans="1:5" hidden="1" x14ac:dyDescent="0.25">
      <c r="A343" t="s">
        <v>725</v>
      </c>
      <c r="B343" t="s">
        <v>727</v>
      </c>
      <c r="C343" t="s">
        <v>63</v>
      </c>
      <c r="D343" t="s">
        <v>58</v>
      </c>
      <c r="E343">
        <v>55</v>
      </c>
    </row>
    <row r="344" spans="1:5" hidden="1" x14ac:dyDescent="0.25">
      <c r="A344" t="s">
        <v>2286</v>
      </c>
      <c r="B344" t="s">
        <v>727</v>
      </c>
      <c r="C344" t="s">
        <v>2285</v>
      </c>
      <c r="D344" t="s">
        <v>58</v>
      </c>
      <c r="E344">
        <v>20</v>
      </c>
    </row>
    <row r="345" spans="1:5" hidden="1" x14ac:dyDescent="0.25">
      <c r="A345" t="s">
        <v>2287</v>
      </c>
      <c r="B345" t="s">
        <v>2288</v>
      </c>
      <c r="C345" t="s">
        <v>63</v>
      </c>
      <c r="D345" t="s">
        <v>58</v>
      </c>
      <c r="E345">
        <v>27</v>
      </c>
    </row>
    <row r="346" spans="1:5" hidden="1" x14ac:dyDescent="0.25">
      <c r="A346" t="s">
        <v>728</v>
      </c>
      <c r="B346" t="s">
        <v>730</v>
      </c>
      <c r="C346" t="s">
        <v>375</v>
      </c>
      <c r="D346" t="s">
        <v>58</v>
      </c>
      <c r="E346">
        <v>84</v>
      </c>
    </row>
    <row r="347" spans="1:5" hidden="1" x14ac:dyDescent="0.25">
      <c r="A347" t="s">
        <v>2289</v>
      </c>
      <c r="B347" t="s">
        <v>2290</v>
      </c>
      <c r="C347" t="s">
        <v>59</v>
      </c>
      <c r="D347" t="s">
        <v>58</v>
      </c>
      <c r="E347">
        <v>105</v>
      </c>
    </row>
    <row r="348" spans="1:5" hidden="1" x14ac:dyDescent="0.25">
      <c r="A348" t="s">
        <v>2291</v>
      </c>
      <c r="B348" t="s">
        <v>2292</v>
      </c>
      <c r="C348" t="s">
        <v>59</v>
      </c>
      <c r="D348" t="s">
        <v>58</v>
      </c>
      <c r="E348">
        <v>147</v>
      </c>
    </row>
    <row r="349" spans="1:5" hidden="1" x14ac:dyDescent="0.25">
      <c r="A349" t="s">
        <v>731</v>
      </c>
      <c r="B349" t="s">
        <v>733</v>
      </c>
      <c r="C349" t="s">
        <v>63</v>
      </c>
      <c r="D349" t="s">
        <v>58</v>
      </c>
      <c r="E349">
        <v>53</v>
      </c>
    </row>
    <row r="350" spans="1:5" hidden="1" x14ac:dyDescent="0.25">
      <c r="A350" t="s">
        <v>734</v>
      </c>
      <c r="B350" t="s">
        <v>736</v>
      </c>
      <c r="C350" t="s">
        <v>63</v>
      </c>
      <c r="D350" t="s">
        <v>58</v>
      </c>
      <c r="E350">
        <v>23</v>
      </c>
    </row>
    <row r="351" spans="1:5" hidden="1" x14ac:dyDescent="0.25">
      <c r="A351" t="s">
        <v>737</v>
      </c>
      <c r="B351" t="s">
        <v>739</v>
      </c>
      <c r="C351" t="s">
        <v>63</v>
      </c>
      <c r="D351" t="s">
        <v>58</v>
      </c>
      <c r="E351">
        <v>50</v>
      </c>
    </row>
    <row r="352" spans="1:5" hidden="1" x14ac:dyDescent="0.25">
      <c r="A352" t="s">
        <v>46</v>
      </c>
      <c r="B352" t="s">
        <v>47</v>
      </c>
      <c r="C352" t="s">
        <v>1</v>
      </c>
      <c r="D352" t="s">
        <v>58</v>
      </c>
      <c r="E352">
        <v>45.2</v>
      </c>
    </row>
    <row r="353" spans="1:5" hidden="1" x14ac:dyDescent="0.25">
      <c r="A353" t="s">
        <v>48</v>
      </c>
      <c r="B353" t="s">
        <v>49</v>
      </c>
      <c r="C353" t="s">
        <v>1</v>
      </c>
      <c r="D353" t="s">
        <v>58</v>
      </c>
      <c r="E353">
        <v>43.2</v>
      </c>
    </row>
    <row r="354" spans="1:5" hidden="1" x14ac:dyDescent="0.25">
      <c r="A354" t="s">
        <v>742</v>
      </c>
      <c r="B354" t="s">
        <v>744</v>
      </c>
      <c r="C354" t="s">
        <v>63</v>
      </c>
      <c r="D354" t="s">
        <v>58</v>
      </c>
      <c r="E354">
        <v>37</v>
      </c>
    </row>
    <row r="355" spans="1:5" hidden="1" x14ac:dyDescent="0.25">
      <c r="A355" t="s">
        <v>745</v>
      </c>
      <c r="B355" t="s">
        <v>747</v>
      </c>
      <c r="C355" t="s">
        <v>63</v>
      </c>
      <c r="D355" t="s">
        <v>58</v>
      </c>
      <c r="E355">
        <v>30</v>
      </c>
    </row>
    <row r="356" spans="1:5" hidden="1" x14ac:dyDescent="0.25">
      <c r="A356" t="s">
        <v>2293</v>
      </c>
      <c r="B356" t="s">
        <v>2294</v>
      </c>
      <c r="C356" t="s">
        <v>59</v>
      </c>
      <c r="D356" t="s">
        <v>58</v>
      </c>
      <c r="E356">
        <v>128</v>
      </c>
    </row>
    <row r="357" spans="1:5" x14ac:dyDescent="0.25">
      <c r="A357" t="s">
        <v>748</v>
      </c>
      <c r="B357" t="s">
        <v>750</v>
      </c>
      <c r="C357" t="s">
        <v>167</v>
      </c>
      <c r="D357" t="s">
        <v>58</v>
      </c>
      <c r="E357">
        <v>17</v>
      </c>
    </row>
    <row r="358" spans="1:5" x14ac:dyDescent="0.25">
      <c r="A358" t="s">
        <v>751</v>
      </c>
      <c r="B358" t="s">
        <v>753</v>
      </c>
      <c r="C358" t="s">
        <v>167</v>
      </c>
      <c r="D358" t="s">
        <v>58</v>
      </c>
      <c r="E358">
        <v>23</v>
      </c>
    </row>
    <row r="359" spans="1:5" x14ac:dyDescent="0.25">
      <c r="A359" t="s">
        <v>757</v>
      </c>
      <c r="B359" t="s">
        <v>759</v>
      </c>
      <c r="C359" t="s">
        <v>167</v>
      </c>
      <c r="D359" t="s">
        <v>58</v>
      </c>
      <c r="E359">
        <v>110</v>
      </c>
    </row>
    <row r="360" spans="1:5" hidden="1" x14ac:dyDescent="0.25">
      <c r="A360" t="s">
        <v>760</v>
      </c>
      <c r="B360" t="s">
        <v>762</v>
      </c>
      <c r="C360" t="s">
        <v>59</v>
      </c>
      <c r="D360" t="s">
        <v>58</v>
      </c>
      <c r="E360">
        <v>22</v>
      </c>
    </row>
    <row r="361" spans="1:5" hidden="1" x14ac:dyDescent="0.25">
      <c r="A361" t="s">
        <v>2295</v>
      </c>
      <c r="B361" t="s">
        <v>2296</v>
      </c>
      <c r="C361" t="s">
        <v>203</v>
      </c>
      <c r="D361" t="s">
        <v>58</v>
      </c>
      <c r="E361">
        <v>36</v>
      </c>
    </row>
    <row r="362" spans="1:5" hidden="1" x14ac:dyDescent="0.25">
      <c r="A362" t="s">
        <v>763</v>
      </c>
      <c r="B362" t="s">
        <v>765</v>
      </c>
      <c r="C362" t="s">
        <v>203</v>
      </c>
      <c r="D362" t="s">
        <v>58</v>
      </c>
      <c r="E362">
        <v>72</v>
      </c>
    </row>
    <row r="363" spans="1:5" hidden="1" x14ac:dyDescent="0.25">
      <c r="A363" t="s">
        <v>2297</v>
      </c>
      <c r="B363" t="s">
        <v>2298</v>
      </c>
      <c r="C363" t="s">
        <v>59</v>
      </c>
      <c r="D363" t="s">
        <v>58</v>
      </c>
      <c r="E363">
        <v>287</v>
      </c>
    </row>
    <row r="364" spans="1:5" hidden="1" x14ac:dyDescent="0.25">
      <c r="A364" t="s">
        <v>766</v>
      </c>
      <c r="B364" t="s">
        <v>768</v>
      </c>
      <c r="C364" t="s">
        <v>59</v>
      </c>
      <c r="D364" t="s">
        <v>58</v>
      </c>
      <c r="E364">
        <v>348</v>
      </c>
    </row>
    <row r="365" spans="1:5" hidden="1" x14ac:dyDescent="0.25">
      <c r="A365" t="s">
        <v>2299</v>
      </c>
      <c r="B365" t="s">
        <v>2300</v>
      </c>
      <c r="C365" t="s">
        <v>59</v>
      </c>
      <c r="D365" t="s">
        <v>58</v>
      </c>
      <c r="E365">
        <v>387</v>
      </c>
    </row>
    <row r="366" spans="1:5" hidden="1" x14ac:dyDescent="0.25">
      <c r="A366" t="s">
        <v>770</v>
      </c>
      <c r="B366" t="s">
        <v>772</v>
      </c>
      <c r="C366" t="s">
        <v>203</v>
      </c>
      <c r="D366" t="s">
        <v>58</v>
      </c>
      <c r="E366">
        <v>89</v>
      </c>
    </row>
    <row r="367" spans="1:5" hidden="1" x14ac:dyDescent="0.25">
      <c r="A367" t="s">
        <v>776</v>
      </c>
      <c r="B367" t="s">
        <v>778</v>
      </c>
      <c r="C367" t="s">
        <v>187</v>
      </c>
      <c r="D367" t="s">
        <v>58</v>
      </c>
      <c r="E367">
        <v>20</v>
      </c>
    </row>
    <row r="368" spans="1:5" hidden="1" x14ac:dyDescent="0.25">
      <c r="A368" t="s">
        <v>779</v>
      </c>
      <c r="B368" t="s">
        <v>778</v>
      </c>
      <c r="C368" t="s">
        <v>187</v>
      </c>
      <c r="D368" t="s">
        <v>58</v>
      </c>
      <c r="E368">
        <v>123</v>
      </c>
    </row>
    <row r="369" spans="1:5" hidden="1" x14ac:dyDescent="0.25">
      <c r="A369" t="s">
        <v>780</v>
      </c>
      <c r="B369" t="s">
        <v>778</v>
      </c>
      <c r="C369" t="s">
        <v>187</v>
      </c>
      <c r="D369" t="s">
        <v>58</v>
      </c>
      <c r="E369">
        <v>17</v>
      </c>
    </row>
    <row r="370" spans="1:5" hidden="1" x14ac:dyDescent="0.25">
      <c r="A370" t="s">
        <v>784</v>
      </c>
      <c r="B370" t="s">
        <v>786</v>
      </c>
      <c r="C370" t="s">
        <v>187</v>
      </c>
      <c r="D370" t="s">
        <v>58</v>
      </c>
      <c r="E370">
        <v>34</v>
      </c>
    </row>
    <row r="371" spans="1:5" hidden="1" x14ac:dyDescent="0.25">
      <c r="A371" t="s">
        <v>787</v>
      </c>
      <c r="B371" t="s">
        <v>789</v>
      </c>
      <c r="C371" t="s">
        <v>187</v>
      </c>
      <c r="D371" t="s">
        <v>58</v>
      </c>
      <c r="E371">
        <v>129</v>
      </c>
    </row>
    <row r="372" spans="1:5" hidden="1" x14ac:dyDescent="0.25">
      <c r="A372" t="s">
        <v>790</v>
      </c>
      <c r="B372" t="s">
        <v>789</v>
      </c>
      <c r="C372" t="s">
        <v>187</v>
      </c>
      <c r="D372" t="s">
        <v>58</v>
      </c>
      <c r="E372">
        <v>17</v>
      </c>
    </row>
    <row r="373" spans="1:5" x14ac:dyDescent="0.25">
      <c r="A373" t="s">
        <v>2301</v>
      </c>
      <c r="B373" t="s">
        <v>2302</v>
      </c>
      <c r="C373" t="s">
        <v>167</v>
      </c>
      <c r="D373" t="s">
        <v>58</v>
      </c>
      <c r="E373">
        <v>5</v>
      </c>
    </row>
    <row r="374" spans="1:5" x14ac:dyDescent="0.25">
      <c r="A374" t="s">
        <v>791</v>
      </c>
      <c r="B374" t="s">
        <v>793</v>
      </c>
      <c r="C374" t="s">
        <v>167</v>
      </c>
      <c r="D374" t="s">
        <v>58</v>
      </c>
      <c r="E374">
        <v>72</v>
      </c>
    </row>
    <row r="375" spans="1:5" hidden="1" x14ac:dyDescent="0.25">
      <c r="A375" t="s">
        <v>794</v>
      </c>
      <c r="B375" t="s">
        <v>796</v>
      </c>
      <c r="C375" t="s">
        <v>59</v>
      </c>
      <c r="D375" t="s">
        <v>58</v>
      </c>
      <c r="E375">
        <v>129</v>
      </c>
    </row>
    <row r="376" spans="1:5" hidden="1" x14ac:dyDescent="0.25">
      <c r="A376" t="s">
        <v>803</v>
      </c>
      <c r="B376" t="s">
        <v>805</v>
      </c>
      <c r="C376" t="s">
        <v>59</v>
      </c>
      <c r="D376" t="s">
        <v>58</v>
      </c>
      <c r="E376">
        <v>22</v>
      </c>
    </row>
    <row r="377" spans="1:5" hidden="1" x14ac:dyDescent="0.25">
      <c r="A377" t="s">
        <v>806</v>
      </c>
      <c r="B377" t="s">
        <v>808</v>
      </c>
      <c r="C377" t="s">
        <v>59</v>
      </c>
      <c r="D377" t="s">
        <v>58</v>
      </c>
      <c r="E377">
        <v>131</v>
      </c>
    </row>
    <row r="378" spans="1:5" hidden="1" x14ac:dyDescent="0.25">
      <c r="A378" t="s">
        <v>2303</v>
      </c>
      <c r="B378" t="s">
        <v>811</v>
      </c>
      <c r="C378" t="s">
        <v>59</v>
      </c>
      <c r="D378" t="s">
        <v>58</v>
      </c>
      <c r="E378">
        <v>1081</v>
      </c>
    </row>
    <row r="379" spans="1:5" hidden="1" x14ac:dyDescent="0.25">
      <c r="A379" t="s">
        <v>812</v>
      </c>
      <c r="B379" t="s">
        <v>814</v>
      </c>
      <c r="C379" t="s">
        <v>59</v>
      </c>
      <c r="D379" t="s">
        <v>58</v>
      </c>
      <c r="E379">
        <v>232</v>
      </c>
    </row>
    <row r="380" spans="1:5" hidden="1" x14ac:dyDescent="0.25">
      <c r="A380" t="s">
        <v>815</v>
      </c>
      <c r="B380" t="s">
        <v>817</v>
      </c>
      <c r="C380" t="s">
        <v>187</v>
      </c>
      <c r="D380" t="s">
        <v>58</v>
      </c>
      <c r="E380">
        <v>43</v>
      </c>
    </row>
    <row r="381" spans="1:5" hidden="1" x14ac:dyDescent="0.25">
      <c r="A381" t="s">
        <v>818</v>
      </c>
      <c r="B381" t="s">
        <v>820</v>
      </c>
      <c r="C381" t="s">
        <v>187</v>
      </c>
      <c r="D381" t="s">
        <v>58</v>
      </c>
      <c r="E381">
        <v>43</v>
      </c>
    </row>
    <row r="382" spans="1:5" hidden="1" x14ac:dyDescent="0.25">
      <c r="A382" t="s">
        <v>2304</v>
      </c>
      <c r="B382" t="s">
        <v>2305</v>
      </c>
      <c r="C382" t="s">
        <v>203</v>
      </c>
      <c r="D382" t="s">
        <v>58</v>
      </c>
      <c r="E382">
        <v>13</v>
      </c>
    </row>
    <row r="383" spans="1:5" hidden="1" x14ac:dyDescent="0.25">
      <c r="A383" t="s">
        <v>821</v>
      </c>
      <c r="B383" t="s">
        <v>823</v>
      </c>
      <c r="C383" t="s">
        <v>59</v>
      </c>
      <c r="D383" t="s">
        <v>58</v>
      </c>
      <c r="E383">
        <v>16</v>
      </c>
    </row>
    <row r="384" spans="1:5" hidden="1" x14ac:dyDescent="0.25">
      <c r="A384" t="s">
        <v>824</v>
      </c>
      <c r="B384" t="s">
        <v>826</v>
      </c>
      <c r="C384" t="s">
        <v>187</v>
      </c>
      <c r="D384" t="s">
        <v>58</v>
      </c>
      <c r="E384">
        <v>82</v>
      </c>
    </row>
    <row r="385" spans="1:5" hidden="1" x14ac:dyDescent="0.25">
      <c r="A385" t="s">
        <v>827</v>
      </c>
      <c r="B385" t="s">
        <v>829</v>
      </c>
      <c r="C385" t="s">
        <v>225</v>
      </c>
      <c r="D385" t="s">
        <v>58</v>
      </c>
      <c r="E385">
        <v>12</v>
      </c>
    </row>
    <row r="386" spans="1:5" hidden="1" x14ac:dyDescent="0.25">
      <c r="A386" t="s">
        <v>830</v>
      </c>
      <c r="B386" t="s">
        <v>832</v>
      </c>
      <c r="C386" t="s">
        <v>203</v>
      </c>
      <c r="D386" t="s">
        <v>58</v>
      </c>
      <c r="E386">
        <v>5</v>
      </c>
    </row>
    <row r="387" spans="1:5" hidden="1" x14ac:dyDescent="0.25">
      <c r="A387" t="s">
        <v>2306</v>
      </c>
      <c r="B387" t="s">
        <v>2307</v>
      </c>
      <c r="C387" t="s">
        <v>203</v>
      </c>
      <c r="D387" t="s">
        <v>58</v>
      </c>
      <c r="E387">
        <v>3</v>
      </c>
    </row>
    <row r="388" spans="1:5" hidden="1" x14ac:dyDescent="0.25">
      <c r="A388" t="s">
        <v>833</v>
      </c>
      <c r="B388" t="s">
        <v>835</v>
      </c>
      <c r="C388" t="s">
        <v>203</v>
      </c>
      <c r="D388" t="s">
        <v>58</v>
      </c>
      <c r="E388">
        <v>57</v>
      </c>
    </row>
    <row r="389" spans="1:5" hidden="1" x14ac:dyDescent="0.25">
      <c r="A389" t="s">
        <v>2308</v>
      </c>
      <c r="B389" t="s">
        <v>2309</v>
      </c>
      <c r="C389" t="s">
        <v>203</v>
      </c>
      <c r="D389" t="s">
        <v>58</v>
      </c>
      <c r="E389">
        <v>57</v>
      </c>
    </row>
    <row r="390" spans="1:5" hidden="1" x14ac:dyDescent="0.25">
      <c r="A390" t="s">
        <v>2310</v>
      </c>
      <c r="B390" t="s">
        <v>2311</v>
      </c>
      <c r="C390" t="s">
        <v>203</v>
      </c>
      <c r="D390" t="s">
        <v>58</v>
      </c>
      <c r="E390">
        <v>90</v>
      </c>
    </row>
    <row r="391" spans="1:5" hidden="1" x14ac:dyDescent="0.25">
      <c r="A391" t="s">
        <v>2312</v>
      </c>
      <c r="B391" t="s">
        <v>2313</v>
      </c>
      <c r="C391" t="s">
        <v>203</v>
      </c>
      <c r="D391" t="s">
        <v>58</v>
      </c>
      <c r="E391">
        <v>32</v>
      </c>
    </row>
    <row r="392" spans="1:5" x14ac:dyDescent="0.25">
      <c r="A392" t="s">
        <v>836</v>
      </c>
      <c r="B392" t="s">
        <v>838</v>
      </c>
      <c r="C392" t="s">
        <v>167</v>
      </c>
      <c r="D392" t="s">
        <v>58</v>
      </c>
      <c r="E392">
        <v>431</v>
      </c>
    </row>
    <row r="393" spans="1:5" x14ac:dyDescent="0.25">
      <c r="A393" t="s">
        <v>2314</v>
      </c>
      <c r="B393" t="s">
        <v>2315</v>
      </c>
      <c r="C393" t="s">
        <v>167</v>
      </c>
      <c r="D393" t="s">
        <v>58</v>
      </c>
      <c r="E393">
        <v>1</v>
      </c>
    </row>
    <row r="394" spans="1:5" x14ac:dyDescent="0.25">
      <c r="A394" t="s">
        <v>839</v>
      </c>
      <c r="B394" t="s">
        <v>841</v>
      </c>
      <c r="C394" t="s">
        <v>167</v>
      </c>
      <c r="D394" t="s">
        <v>58</v>
      </c>
      <c r="E394">
        <v>89</v>
      </c>
    </row>
    <row r="395" spans="1:5" hidden="1" x14ac:dyDescent="0.25">
      <c r="A395" t="s">
        <v>842</v>
      </c>
      <c r="B395" t="s">
        <v>844</v>
      </c>
      <c r="C395" t="s">
        <v>160</v>
      </c>
      <c r="D395" t="s">
        <v>58</v>
      </c>
      <c r="E395">
        <v>16</v>
      </c>
    </row>
    <row r="396" spans="1:5" hidden="1" x14ac:dyDescent="0.25">
      <c r="A396" t="s">
        <v>845</v>
      </c>
      <c r="B396" t="s">
        <v>847</v>
      </c>
      <c r="C396" t="s">
        <v>150</v>
      </c>
      <c r="D396" t="s">
        <v>58</v>
      </c>
      <c r="E396">
        <v>320.10840000000002</v>
      </c>
    </row>
    <row r="397" spans="1:5" hidden="1" x14ac:dyDescent="0.25">
      <c r="A397" t="s">
        <v>848</v>
      </c>
      <c r="B397" t="s">
        <v>850</v>
      </c>
      <c r="C397" t="s">
        <v>150</v>
      </c>
      <c r="D397" t="s">
        <v>58</v>
      </c>
      <c r="E397">
        <v>141</v>
      </c>
    </row>
    <row r="398" spans="1:5" x14ac:dyDescent="0.25">
      <c r="A398" t="s">
        <v>851</v>
      </c>
      <c r="B398" t="s">
        <v>853</v>
      </c>
      <c r="C398" t="s">
        <v>167</v>
      </c>
      <c r="D398" t="s">
        <v>58</v>
      </c>
      <c r="E398">
        <v>67</v>
      </c>
    </row>
    <row r="399" spans="1:5" hidden="1" x14ac:dyDescent="0.25">
      <c r="A399" t="s">
        <v>854</v>
      </c>
      <c r="B399" t="s">
        <v>856</v>
      </c>
      <c r="C399" t="s">
        <v>150</v>
      </c>
      <c r="D399" t="s">
        <v>58</v>
      </c>
      <c r="E399">
        <v>124</v>
      </c>
    </row>
    <row r="400" spans="1:5" hidden="1" x14ac:dyDescent="0.25">
      <c r="A400" t="s">
        <v>857</v>
      </c>
      <c r="B400" t="s">
        <v>859</v>
      </c>
      <c r="C400" t="s">
        <v>150</v>
      </c>
      <c r="D400" t="s">
        <v>58</v>
      </c>
      <c r="E400">
        <v>13</v>
      </c>
    </row>
    <row r="401" spans="1:5" hidden="1" x14ac:dyDescent="0.25">
      <c r="A401" t="s">
        <v>860</v>
      </c>
      <c r="B401" t="s">
        <v>862</v>
      </c>
      <c r="C401" t="s">
        <v>150</v>
      </c>
      <c r="D401" t="s">
        <v>58</v>
      </c>
      <c r="E401">
        <v>71</v>
      </c>
    </row>
    <row r="402" spans="1:5" hidden="1" x14ac:dyDescent="0.25">
      <c r="A402" t="s">
        <v>863</v>
      </c>
      <c r="B402" t="s">
        <v>865</v>
      </c>
      <c r="C402" t="s">
        <v>150</v>
      </c>
      <c r="D402" t="s">
        <v>58</v>
      </c>
      <c r="E402">
        <v>10</v>
      </c>
    </row>
    <row r="403" spans="1:5" hidden="1" x14ac:dyDescent="0.25">
      <c r="A403" t="s">
        <v>866</v>
      </c>
      <c r="B403" t="s">
        <v>868</v>
      </c>
      <c r="C403" t="s">
        <v>150</v>
      </c>
      <c r="D403" t="s">
        <v>58</v>
      </c>
      <c r="E403">
        <v>91</v>
      </c>
    </row>
    <row r="404" spans="1:5" hidden="1" x14ac:dyDescent="0.25">
      <c r="A404" t="s">
        <v>869</v>
      </c>
      <c r="B404" t="s">
        <v>871</v>
      </c>
      <c r="C404" t="s">
        <v>59</v>
      </c>
      <c r="D404" t="s">
        <v>58</v>
      </c>
      <c r="E404">
        <v>387</v>
      </c>
    </row>
    <row r="405" spans="1:5" hidden="1" x14ac:dyDescent="0.25">
      <c r="A405" t="s">
        <v>872</v>
      </c>
      <c r="B405" t="s">
        <v>874</v>
      </c>
      <c r="C405" t="s">
        <v>150</v>
      </c>
      <c r="D405" t="s">
        <v>58</v>
      </c>
      <c r="E405">
        <v>74.9756</v>
      </c>
    </row>
    <row r="406" spans="1:5" hidden="1" x14ac:dyDescent="0.25">
      <c r="A406" t="s">
        <v>875</v>
      </c>
      <c r="B406" t="s">
        <v>877</v>
      </c>
      <c r="C406" t="s">
        <v>150</v>
      </c>
      <c r="D406" t="s">
        <v>58</v>
      </c>
      <c r="E406">
        <v>49</v>
      </c>
    </row>
    <row r="407" spans="1:5" hidden="1" x14ac:dyDescent="0.25">
      <c r="A407" t="s">
        <v>878</v>
      </c>
      <c r="B407" t="s">
        <v>880</v>
      </c>
      <c r="C407" t="s">
        <v>150</v>
      </c>
      <c r="D407" t="s">
        <v>58</v>
      </c>
      <c r="E407">
        <v>48</v>
      </c>
    </row>
    <row r="408" spans="1:5" hidden="1" x14ac:dyDescent="0.25">
      <c r="A408" t="s">
        <v>881</v>
      </c>
      <c r="B408" t="s">
        <v>883</v>
      </c>
      <c r="C408" t="s">
        <v>150</v>
      </c>
      <c r="D408" t="s">
        <v>58</v>
      </c>
      <c r="E408">
        <v>40</v>
      </c>
    </row>
    <row r="409" spans="1:5" hidden="1" x14ac:dyDescent="0.25">
      <c r="A409" t="s">
        <v>884</v>
      </c>
      <c r="B409" t="s">
        <v>886</v>
      </c>
      <c r="C409" t="s">
        <v>59</v>
      </c>
      <c r="D409" t="s">
        <v>58</v>
      </c>
      <c r="E409">
        <v>22</v>
      </c>
    </row>
    <row r="410" spans="1:5" x14ac:dyDescent="0.25">
      <c r="A410" t="s">
        <v>887</v>
      </c>
      <c r="B410" t="s">
        <v>889</v>
      </c>
      <c r="C410" t="s">
        <v>167</v>
      </c>
      <c r="D410" t="s">
        <v>58</v>
      </c>
      <c r="E410">
        <v>198</v>
      </c>
    </row>
    <row r="411" spans="1:5" x14ac:dyDescent="0.25">
      <c r="A411" t="s">
        <v>890</v>
      </c>
      <c r="B411" t="s">
        <v>892</v>
      </c>
      <c r="C411" t="s">
        <v>167</v>
      </c>
      <c r="D411" t="s">
        <v>58</v>
      </c>
      <c r="E411">
        <v>556</v>
      </c>
    </row>
    <row r="412" spans="1:5" x14ac:dyDescent="0.25">
      <c r="A412" t="s">
        <v>893</v>
      </c>
      <c r="B412" t="s">
        <v>895</v>
      </c>
      <c r="C412" t="s">
        <v>167</v>
      </c>
      <c r="D412" t="s">
        <v>58</v>
      </c>
      <c r="E412">
        <v>295</v>
      </c>
    </row>
    <row r="413" spans="1:5" hidden="1" x14ac:dyDescent="0.25">
      <c r="A413" t="s">
        <v>896</v>
      </c>
      <c r="B413" t="s">
        <v>898</v>
      </c>
      <c r="C413" t="s">
        <v>160</v>
      </c>
      <c r="D413" t="s">
        <v>58</v>
      </c>
      <c r="E413">
        <v>39</v>
      </c>
    </row>
    <row r="414" spans="1:5" hidden="1" x14ac:dyDescent="0.25">
      <c r="A414" t="s">
        <v>899</v>
      </c>
      <c r="B414" t="s">
        <v>900</v>
      </c>
      <c r="C414" t="s">
        <v>160</v>
      </c>
      <c r="D414" t="s">
        <v>58</v>
      </c>
      <c r="E414">
        <v>6</v>
      </c>
    </row>
    <row r="415" spans="1:5" hidden="1" x14ac:dyDescent="0.25">
      <c r="A415" t="s">
        <v>2316</v>
      </c>
      <c r="B415" t="s">
        <v>900</v>
      </c>
      <c r="C415" t="s">
        <v>160</v>
      </c>
      <c r="D415" t="s">
        <v>58</v>
      </c>
      <c r="E415">
        <v>17</v>
      </c>
    </row>
    <row r="416" spans="1:5" hidden="1" x14ac:dyDescent="0.25">
      <c r="A416" t="s">
        <v>901</v>
      </c>
      <c r="B416" t="s">
        <v>903</v>
      </c>
      <c r="C416" t="s">
        <v>160</v>
      </c>
      <c r="D416" t="s">
        <v>58</v>
      </c>
      <c r="E416">
        <v>50</v>
      </c>
    </row>
    <row r="417" spans="1:5" hidden="1" x14ac:dyDescent="0.25">
      <c r="A417" t="s">
        <v>904</v>
      </c>
      <c r="B417" t="s">
        <v>903</v>
      </c>
      <c r="C417" t="s">
        <v>160</v>
      </c>
      <c r="D417" t="s">
        <v>58</v>
      </c>
      <c r="E417">
        <v>6</v>
      </c>
    </row>
    <row r="418" spans="1:5" hidden="1" x14ac:dyDescent="0.25">
      <c r="A418" t="s">
        <v>905</v>
      </c>
      <c r="B418" t="s">
        <v>907</v>
      </c>
      <c r="C418" t="s">
        <v>160</v>
      </c>
      <c r="D418" t="s">
        <v>58</v>
      </c>
      <c r="E418">
        <v>38</v>
      </c>
    </row>
    <row r="419" spans="1:5" hidden="1" x14ac:dyDescent="0.25">
      <c r="A419" t="s">
        <v>908</v>
      </c>
      <c r="B419" t="s">
        <v>910</v>
      </c>
      <c r="C419" t="s">
        <v>160</v>
      </c>
      <c r="D419" t="s">
        <v>58</v>
      </c>
      <c r="E419">
        <v>52</v>
      </c>
    </row>
    <row r="420" spans="1:5" hidden="1" x14ac:dyDescent="0.25">
      <c r="A420" t="s">
        <v>911</v>
      </c>
      <c r="B420" t="s">
        <v>910</v>
      </c>
      <c r="C420" t="s">
        <v>160</v>
      </c>
      <c r="D420" t="s">
        <v>58</v>
      </c>
      <c r="E420">
        <v>20</v>
      </c>
    </row>
    <row r="421" spans="1:5" hidden="1" x14ac:dyDescent="0.25">
      <c r="A421" t="s">
        <v>2317</v>
      </c>
      <c r="B421" t="s">
        <v>910</v>
      </c>
      <c r="C421" t="s">
        <v>160</v>
      </c>
      <c r="D421" t="s">
        <v>58</v>
      </c>
      <c r="E421">
        <v>15</v>
      </c>
    </row>
    <row r="422" spans="1:5" hidden="1" x14ac:dyDescent="0.25">
      <c r="A422" t="s">
        <v>912</v>
      </c>
      <c r="B422" t="s">
        <v>914</v>
      </c>
      <c r="C422" t="s">
        <v>150</v>
      </c>
      <c r="D422" t="s">
        <v>58</v>
      </c>
      <c r="E422">
        <v>20</v>
      </c>
    </row>
    <row r="423" spans="1:5" hidden="1" x14ac:dyDescent="0.25">
      <c r="A423" t="s">
        <v>915</v>
      </c>
      <c r="B423" t="s">
        <v>917</v>
      </c>
      <c r="C423" t="s">
        <v>150</v>
      </c>
      <c r="D423" t="s">
        <v>58</v>
      </c>
      <c r="E423">
        <v>1</v>
      </c>
    </row>
    <row r="424" spans="1:5" hidden="1" x14ac:dyDescent="0.25">
      <c r="A424" t="s">
        <v>918</v>
      </c>
      <c r="B424" t="s">
        <v>920</v>
      </c>
      <c r="C424" t="s">
        <v>150</v>
      </c>
      <c r="D424" t="s">
        <v>58</v>
      </c>
      <c r="E424">
        <v>244</v>
      </c>
    </row>
    <row r="425" spans="1:5" hidden="1" x14ac:dyDescent="0.25">
      <c r="A425" t="s">
        <v>921</v>
      </c>
      <c r="B425" t="s">
        <v>923</v>
      </c>
      <c r="C425" t="s">
        <v>150</v>
      </c>
      <c r="D425" t="s">
        <v>58</v>
      </c>
      <c r="E425">
        <v>157</v>
      </c>
    </row>
    <row r="426" spans="1:5" hidden="1" x14ac:dyDescent="0.25">
      <c r="A426" t="s">
        <v>924</v>
      </c>
      <c r="B426" t="s">
        <v>926</v>
      </c>
      <c r="C426" t="s">
        <v>150</v>
      </c>
      <c r="D426" t="s">
        <v>58</v>
      </c>
      <c r="E426">
        <v>18</v>
      </c>
    </row>
    <row r="427" spans="1:5" hidden="1" x14ac:dyDescent="0.25">
      <c r="A427" t="s">
        <v>927</v>
      </c>
      <c r="B427" t="s">
        <v>929</v>
      </c>
      <c r="C427" t="s">
        <v>150</v>
      </c>
      <c r="D427" t="s">
        <v>58</v>
      </c>
      <c r="E427">
        <v>64</v>
      </c>
    </row>
    <row r="428" spans="1:5" hidden="1" x14ac:dyDescent="0.25">
      <c r="A428" t="s">
        <v>930</v>
      </c>
      <c r="B428" t="s">
        <v>932</v>
      </c>
      <c r="C428" t="s">
        <v>150</v>
      </c>
      <c r="D428" t="s">
        <v>58</v>
      </c>
      <c r="E428">
        <v>7</v>
      </c>
    </row>
    <row r="429" spans="1:5" hidden="1" x14ac:dyDescent="0.25">
      <c r="A429" t="s">
        <v>933</v>
      </c>
      <c r="B429" t="s">
        <v>935</v>
      </c>
      <c r="C429" t="s">
        <v>59</v>
      </c>
      <c r="D429" t="s">
        <v>58</v>
      </c>
      <c r="E429">
        <v>115</v>
      </c>
    </row>
    <row r="430" spans="1:5" hidden="1" x14ac:dyDescent="0.25">
      <c r="A430" t="s">
        <v>936</v>
      </c>
      <c r="B430" t="s">
        <v>938</v>
      </c>
      <c r="C430" t="s">
        <v>59</v>
      </c>
      <c r="D430" t="s">
        <v>58</v>
      </c>
      <c r="E430">
        <v>181</v>
      </c>
    </row>
    <row r="431" spans="1:5" hidden="1" x14ac:dyDescent="0.25">
      <c r="A431" t="s">
        <v>939</v>
      </c>
      <c r="B431" t="s">
        <v>941</v>
      </c>
      <c r="C431" t="s">
        <v>304</v>
      </c>
      <c r="D431" t="s">
        <v>58</v>
      </c>
      <c r="E431">
        <v>90</v>
      </c>
    </row>
    <row r="432" spans="1:5" x14ac:dyDescent="0.25">
      <c r="A432" t="s">
        <v>942</v>
      </c>
      <c r="B432" t="s">
        <v>944</v>
      </c>
      <c r="C432" t="s">
        <v>167</v>
      </c>
      <c r="D432" t="s">
        <v>58</v>
      </c>
      <c r="E432">
        <v>622</v>
      </c>
    </row>
    <row r="433" spans="1:5" x14ac:dyDescent="0.25">
      <c r="A433" t="s">
        <v>945</v>
      </c>
      <c r="B433" t="s">
        <v>947</v>
      </c>
      <c r="C433" t="s">
        <v>167</v>
      </c>
      <c r="D433" t="s">
        <v>58</v>
      </c>
      <c r="E433">
        <v>318</v>
      </c>
    </row>
    <row r="434" spans="1:5" x14ac:dyDescent="0.25">
      <c r="A434" t="s">
        <v>948</v>
      </c>
      <c r="B434" t="s">
        <v>950</v>
      </c>
      <c r="C434" t="s">
        <v>167</v>
      </c>
      <c r="D434" t="s">
        <v>58</v>
      </c>
      <c r="E434">
        <v>191</v>
      </c>
    </row>
    <row r="435" spans="1:5" hidden="1" x14ac:dyDescent="0.25">
      <c r="A435" t="s">
        <v>954</v>
      </c>
      <c r="B435" t="s">
        <v>956</v>
      </c>
      <c r="C435" t="s">
        <v>160</v>
      </c>
      <c r="D435" t="s">
        <v>58</v>
      </c>
      <c r="E435">
        <v>14</v>
      </c>
    </row>
    <row r="436" spans="1:5" hidden="1" x14ac:dyDescent="0.25">
      <c r="A436" t="s">
        <v>972</v>
      </c>
      <c r="B436" t="s">
        <v>974</v>
      </c>
      <c r="C436" t="s">
        <v>304</v>
      </c>
      <c r="D436" t="s">
        <v>58</v>
      </c>
      <c r="E436">
        <v>112</v>
      </c>
    </row>
    <row r="437" spans="1:5" hidden="1" x14ac:dyDescent="0.25">
      <c r="A437" t="s">
        <v>975</v>
      </c>
      <c r="B437" t="s">
        <v>977</v>
      </c>
      <c r="C437" t="s">
        <v>375</v>
      </c>
      <c r="D437" t="s">
        <v>58</v>
      </c>
      <c r="E437">
        <v>1744</v>
      </c>
    </row>
    <row r="438" spans="1:5" hidden="1" x14ac:dyDescent="0.25">
      <c r="A438" t="s">
        <v>978</v>
      </c>
      <c r="B438" t="s">
        <v>980</v>
      </c>
      <c r="C438" t="s">
        <v>304</v>
      </c>
      <c r="D438" t="s">
        <v>58</v>
      </c>
      <c r="E438">
        <v>117</v>
      </c>
    </row>
    <row r="439" spans="1:5" hidden="1" x14ac:dyDescent="0.25">
      <c r="A439" t="s">
        <v>981</v>
      </c>
      <c r="B439" t="s">
        <v>983</v>
      </c>
      <c r="C439" t="s">
        <v>150</v>
      </c>
      <c r="D439" t="s">
        <v>58</v>
      </c>
      <c r="E439">
        <v>37</v>
      </c>
    </row>
    <row r="440" spans="1:5" hidden="1" x14ac:dyDescent="0.25">
      <c r="A440" t="s">
        <v>984</v>
      </c>
      <c r="B440" t="s">
        <v>986</v>
      </c>
      <c r="C440" t="s">
        <v>150</v>
      </c>
      <c r="D440" t="s">
        <v>58</v>
      </c>
      <c r="E440">
        <v>237</v>
      </c>
    </row>
    <row r="441" spans="1:5" hidden="1" x14ac:dyDescent="0.25">
      <c r="A441" t="s">
        <v>987</v>
      </c>
      <c r="B441" t="s">
        <v>989</v>
      </c>
      <c r="C441" t="s">
        <v>203</v>
      </c>
      <c r="D441" t="s">
        <v>58</v>
      </c>
      <c r="E441">
        <v>157</v>
      </c>
    </row>
    <row r="442" spans="1:5" hidden="1" x14ac:dyDescent="0.25">
      <c r="A442" t="s">
        <v>990</v>
      </c>
      <c r="B442" t="s">
        <v>992</v>
      </c>
      <c r="C442" t="s">
        <v>203</v>
      </c>
      <c r="D442" t="s">
        <v>58</v>
      </c>
      <c r="E442">
        <v>349</v>
      </c>
    </row>
    <row r="443" spans="1:5" hidden="1" x14ac:dyDescent="0.25">
      <c r="A443" t="s">
        <v>993</v>
      </c>
      <c r="B443" t="s">
        <v>995</v>
      </c>
      <c r="C443" t="s">
        <v>203</v>
      </c>
      <c r="D443" t="s">
        <v>58</v>
      </c>
      <c r="E443">
        <v>7</v>
      </c>
    </row>
    <row r="444" spans="1:5" x14ac:dyDescent="0.25">
      <c r="A444" t="s">
        <v>999</v>
      </c>
      <c r="B444" t="s">
        <v>1001</v>
      </c>
      <c r="C444" t="s">
        <v>167</v>
      </c>
      <c r="D444" t="s">
        <v>58</v>
      </c>
      <c r="E444">
        <v>549</v>
      </c>
    </row>
    <row r="445" spans="1:5" hidden="1" x14ac:dyDescent="0.25">
      <c r="A445" t="s">
        <v>2318</v>
      </c>
      <c r="B445" t="s">
        <v>2319</v>
      </c>
      <c r="C445" t="s">
        <v>59</v>
      </c>
      <c r="D445" t="s">
        <v>58</v>
      </c>
      <c r="E445">
        <v>192</v>
      </c>
    </row>
    <row r="446" spans="1:5" hidden="1" x14ac:dyDescent="0.25">
      <c r="A446" t="s">
        <v>1002</v>
      </c>
      <c r="B446" t="s">
        <v>1004</v>
      </c>
      <c r="C446" t="s">
        <v>160</v>
      </c>
      <c r="D446" t="s">
        <v>58</v>
      </c>
      <c r="E446">
        <v>112</v>
      </c>
    </row>
    <row r="447" spans="1:5" hidden="1" x14ac:dyDescent="0.25">
      <c r="A447" t="s">
        <v>1005</v>
      </c>
      <c r="B447" t="s">
        <v>1007</v>
      </c>
      <c r="C447" t="s">
        <v>150</v>
      </c>
      <c r="D447" t="s">
        <v>58</v>
      </c>
      <c r="E447">
        <v>100</v>
      </c>
    </row>
    <row r="448" spans="1:5" hidden="1" x14ac:dyDescent="0.25">
      <c r="A448" t="s">
        <v>1008</v>
      </c>
      <c r="B448" t="s">
        <v>1010</v>
      </c>
      <c r="C448" t="s">
        <v>150</v>
      </c>
      <c r="D448" t="s">
        <v>58</v>
      </c>
      <c r="E448">
        <v>742</v>
      </c>
    </row>
    <row r="449" spans="1:5" x14ac:dyDescent="0.25">
      <c r="A449" t="s">
        <v>2320</v>
      </c>
      <c r="B449" t="s">
        <v>2321</v>
      </c>
      <c r="C449" t="s">
        <v>167</v>
      </c>
      <c r="D449" t="s">
        <v>58</v>
      </c>
      <c r="E449">
        <v>14</v>
      </c>
    </row>
    <row r="450" spans="1:5" x14ac:dyDescent="0.25">
      <c r="A450" t="s">
        <v>1011</v>
      </c>
      <c r="B450" t="s">
        <v>1013</v>
      </c>
      <c r="C450" t="s">
        <v>167</v>
      </c>
      <c r="D450" t="s">
        <v>58</v>
      </c>
      <c r="E450">
        <v>888</v>
      </c>
    </row>
    <row r="451" spans="1:5" hidden="1" x14ac:dyDescent="0.25">
      <c r="A451" t="s">
        <v>1014</v>
      </c>
      <c r="B451" t="s">
        <v>1016</v>
      </c>
      <c r="C451" t="s">
        <v>203</v>
      </c>
      <c r="D451" t="s">
        <v>58</v>
      </c>
      <c r="E451">
        <v>544</v>
      </c>
    </row>
    <row r="452" spans="1:5" hidden="1" x14ac:dyDescent="0.25">
      <c r="A452" t="s">
        <v>1017</v>
      </c>
      <c r="B452" t="s">
        <v>1019</v>
      </c>
      <c r="C452" t="s">
        <v>203</v>
      </c>
      <c r="D452" t="s">
        <v>58</v>
      </c>
      <c r="E452">
        <v>424</v>
      </c>
    </row>
    <row r="453" spans="1:5" hidden="1" x14ac:dyDescent="0.25">
      <c r="A453" t="s">
        <v>1020</v>
      </c>
      <c r="B453" t="s">
        <v>1022</v>
      </c>
      <c r="C453" t="s">
        <v>150</v>
      </c>
      <c r="D453" t="s">
        <v>58</v>
      </c>
      <c r="E453">
        <v>159</v>
      </c>
    </row>
    <row r="454" spans="1:5" x14ac:dyDescent="0.25">
      <c r="A454" t="s">
        <v>1023</v>
      </c>
      <c r="B454" t="s">
        <v>1025</v>
      </c>
      <c r="C454" t="s">
        <v>167</v>
      </c>
      <c r="D454" t="s">
        <v>58</v>
      </c>
      <c r="E454">
        <v>35</v>
      </c>
    </row>
    <row r="455" spans="1:5" x14ac:dyDescent="0.25">
      <c r="A455" t="s">
        <v>1026</v>
      </c>
      <c r="B455" t="s">
        <v>1028</v>
      </c>
      <c r="C455" t="s">
        <v>167</v>
      </c>
      <c r="D455" t="s">
        <v>58</v>
      </c>
      <c r="E455">
        <v>48</v>
      </c>
    </row>
    <row r="456" spans="1:5" x14ac:dyDescent="0.25">
      <c r="A456" t="s">
        <v>1029</v>
      </c>
      <c r="B456" t="s">
        <v>1031</v>
      </c>
      <c r="C456" t="s">
        <v>167</v>
      </c>
      <c r="D456" t="s">
        <v>58</v>
      </c>
      <c r="E456">
        <v>8</v>
      </c>
    </row>
    <row r="457" spans="1:5" x14ac:dyDescent="0.25">
      <c r="A457" t="s">
        <v>1032</v>
      </c>
      <c r="B457" t="s">
        <v>1034</v>
      </c>
      <c r="C457" t="s">
        <v>167</v>
      </c>
      <c r="D457" t="s">
        <v>58</v>
      </c>
      <c r="E457">
        <v>20</v>
      </c>
    </row>
    <row r="458" spans="1:5" hidden="1" x14ac:dyDescent="0.25">
      <c r="A458" t="s">
        <v>1035</v>
      </c>
      <c r="B458" t="s">
        <v>1037</v>
      </c>
      <c r="C458" t="s">
        <v>187</v>
      </c>
      <c r="D458" t="s">
        <v>58</v>
      </c>
      <c r="E458">
        <v>166.45</v>
      </c>
    </row>
    <row r="459" spans="1:5" hidden="1" x14ac:dyDescent="0.25">
      <c r="A459" t="s">
        <v>1038</v>
      </c>
      <c r="B459" t="s">
        <v>1040</v>
      </c>
      <c r="C459" t="s">
        <v>160</v>
      </c>
      <c r="D459" t="s">
        <v>58</v>
      </c>
      <c r="E459">
        <v>71</v>
      </c>
    </row>
    <row r="460" spans="1:5" hidden="1" x14ac:dyDescent="0.25">
      <c r="A460" t="s">
        <v>1044</v>
      </c>
      <c r="B460" t="s">
        <v>1043</v>
      </c>
      <c r="C460" t="s">
        <v>160</v>
      </c>
      <c r="D460" t="s">
        <v>58</v>
      </c>
      <c r="E460">
        <v>83</v>
      </c>
    </row>
    <row r="461" spans="1:5" hidden="1" x14ac:dyDescent="0.25">
      <c r="A461" t="s">
        <v>1045</v>
      </c>
      <c r="B461" t="s">
        <v>1047</v>
      </c>
      <c r="C461" t="s">
        <v>160</v>
      </c>
      <c r="D461" t="s">
        <v>58</v>
      </c>
      <c r="E461">
        <v>9</v>
      </c>
    </row>
    <row r="462" spans="1:5" hidden="1" x14ac:dyDescent="0.25">
      <c r="A462" t="s">
        <v>1048</v>
      </c>
      <c r="B462" t="s">
        <v>1050</v>
      </c>
      <c r="C462" t="s">
        <v>160</v>
      </c>
      <c r="D462" t="s">
        <v>58</v>
      </c>
      <c r="E462">
        <v>2</v>
      </c>
    </row>
    <row r="463" spans="1:5" x14ac:dyDescent="0.25">
      <c r="A463" t="s">
        <v>1051</v>
      </c>
      <c r="B463" t="s">
        <v>1053</v>
      </c>
      <c r="C463" t="s">
        <v>167</v>
      </c>
      <c r="D463" t="s">
        <v>58</v>
      </c>
      <c r="E463">
        <v>3</v>
      </c>
    </row>
    <row r="464" spans="1:5" x14ac:dyDescent="0.25">
      <c r="A464" t="s">
        <v>2322</v>
      </c>
      <c r="B464" t="s">
        <v>2323</v>
      </c>
      <c r="C464" t="s">
        <v>167</v>
      </c>
      <c r="D464" t="s">
        <v>58</v>
      </c>
      <c r="E464">
        <v>4</v>
      </c>
    </row>
    <row r="465" spans="1:5" x14ac:dyDescent="0.25">
      <c r="A465" t="s">
        <v>1054</v>
      </c>
      <c r="B465" t="s">
        <v>1056</v>
      </c>
      <c r="C465" t="s">
        <v>167</v>
      </c>
      <c r="D465" t="s">
        <v>58</v>
      </c>
      <c r="E465">
        <v>91</v>
      </c>
    </row>
    <row r="466" spans="1:5" x14ac:dyDescent="0.25">
      <c r="A466" t="s">
        <v>1057</v>
      </c>
      <c r="B466" t="s">
        <v>1059</v>
      </c>
      <c r="C466" t="s">
        <v>167</v>
      </c>
      <c r="D466" t="s">
        <v>58</v>
      </c>
      <c r="E466">
        <v>90</v>
      </c>
    </row>
    <row r="467" spans="1:5" x14ac:dyDescent="0.25">
      <c r="A467" t="s">
        <v>1060</v>
      </c>
      <c r="B467" t="s">
        <v>1062</v>
      </c>
      <c r="C467" t="s">
        <v>167</v>
      </c>
      <c r="D467" t="s">
        <v>58</v>
      </c>
      <c r="E467">
        <v>128</v>
      </c>
    </row>
    <row r="468" spans="1:5" x14ac:dyDescent="0.25">
      <c r="A468" t="s">
        <v>1063</v>
      </c>
      <c r="B468" t="s">
        <v>1065</v>
      </c>
      <c r="C468" t="s">
        <v>167</v>
      </c>
      <c r="D468" t="s">
        <v>58</v>
      </c>
      <c r="E468">
        <v>7</v>
      </c>
    </row>
    <row r="469" spans="1:5" hidden="1" x14ac:dyDescent="0.25">
      <c r="A469" t="s">
        <v>1066</v>
      </c>
      <c r="B469" t="s">
        <v>1068</v>
      </c>
      <c r="C469" t="s">
        <v>375</v>
      </c>
      <c r="D469" t="s">
        <v>58</v>
      </c>
      <c r="E469">
        <v>1463</v>
      </c>
    </row>
    <row r="470" spans="1:5" hidden="1" x14ac:dyDescent="0.25">
      <c r="A470" t="s">
        <v>1069</v>
      </c>
      <c r="B470" t="s">
        <v>1071</v>
      </c>
      <c r="C470" t="s">
        <v>375</v>
      </c>
      <c r="D470" t="s">
        <v>58</v>
      </c>
      <c r="E470">
        <v>101</v>
      </c>
    </row>
    <row r="471" spans="1:5" hidden="1" x14ac:dyDescent="0.25">
      <c r="A471" t="s">
        <v>1079</v>
      </c>
      <c r="B471" t="s">
        <v>1081</v>
      </c>
      <c r="C471" t="s">
        <v>1075</v>
      </c>
      <c r="D471" t="s">
        <v>58</v>
      </c>
      <c r="E471">
        <v>14</v>
      </c>
    </row>
    <row r="472" spans="1:5" hidden="1" x14ac:dyDescent="0.25">
      <c r="A472" t="s">
        <v>1085</v>
      </c>
      <c r="B472" t="s">
        <v>1087</v>
      </c>
      <c r="C472" t="s">
        <v>375</v>
      </c>
      <c r="D472" t="s">
        <v>58</v>
      </c>
      <c r="E472">
        <v>32</v>
      </c>
    </row>
    <row r="473" spans="1:5" hidden="1" x14ac:dyDescent="0.25">
      <c r="A473" t="s">
        <v>1088</v>
      </c>
      <c r="B473" t="s">
        <v>1090</v>
      </c>
      <c r="C473" t="s">
        <v>1075</v>
      </c>
      <c r="D473" t="s">
        <v>58</v>
      </c>
      <c r="E473">
        <v>2</v>
      </c>
    </row>
    <row r="474" spans="1:5" hidden="1" x14ac:dyDescent="0.25">
      <c r="A474" t="s">
        <v>1091</v>
      </c>
      <c r="B474" t="s">
        <v>1093</v>
      </c>
      <c r="C474" t="s">
        <v>1075</v>
      </c>
      <c r="D474" t="s">
        <v>58</v>
      </c>
      <c r="E474">
        <v>18</v>
      </c>
    </row>
    <row r="475" spans="1:5" hidden="1" x14ac:dyDescent="0.25">
      <c r="A475" t="s">
        <v>1094</v>
      </c>
      <c r="B475" t="s">
        <v>1096</v>
      </c>
      <c r="C475" t="s">
        <v>59</v>
      </c>
      <c r="D475" t="s">
        <v>58</v>
      </c>
      <c r="E475">
        <v>247</v>
      </c>
    </row>
    <row r="476" spans="1:5" hidden="1" x14ac:dyDescent="0.25">
      <c r="A476" t="s">
        <v>1097</v>
      </c>
      <c r="B476" t="s">
        <v>1099</v>
      </c>
      <c r="C476" t="s">
        <v>59</v>
      </c>
      <c r="D476" t="s">
        <v>58</v>
      </c>
      <c r="E476">
        <v>2</v>
      </c>
    </row>
    <row r="477" spans="1:5" hidden="1" x14ac:dyDescent="0.25">
      <c r="A477" t="s">
        <v>1100</v>
      </c>
      <c r="B477" t="s">
        <v>1102</v>
      </c>
      <c r="C477" t="s">
        <v>59</v>
      </c>
      <c r="D477" t="s">
        <v>58</v>
      </c>
      <c r="E477">
        <v>22</v>
      </c>
    </row>
    <row r="478" spans="1:5" hidden="1" x14ac:dyDescent="0.25">
      <c r="A478" t="s">
        <v>1103</v>
      </c>
      <c r="B478" t="s">
        <v>1105</v>
      </c>
      <c r="C478" t="s">
        <v>150</v>
      </c>
      <c r="D478" t="s">
        <v>58</v>
      </c>
      <c r="E478">
        <v>9</v>
      </c>
    </row>
    <row r="479" spans="1:5" hidden="1" x14ac:dyDescent="0.25">
      <c r="A479" t="s">
        <v>2324</v>
      </c>
      <c r="B479" t="s">
        <v>2325</v>
      </c>
      <c r="C479" t="s">
        <v>203</v>
      </c>
      <c r="D479" t="s">
        <v>58</v>
      </c>
      <c r="E479">
        <v>5</v>
      </c>
    </row>
    <row r="480" spans="1:5" hidden="1" x14ac:dyDescent="0.25">
      <c r="A480" t="s">
        <v>1106</v>
      </c>
      <c r="B480" t="s">
        <v>1108</v>
      </c>
      <c r="C480" t="s">
        <v>203</v>
      </c>
      <c r="D480" t="s">
        <v>58</v>
      </c>
      <c r="E480">
        <v>14</v>
      </c>
    </row>
    <row r="481" spans="1:5" hidden="1" x14ac:dyDescent="0.25">
      <c r="A481" t="s">
        <v>2326</v>
      </c>
      <c r="B481" t="s">
        <v>2327</v>
      </c>
      <c r="C481" t="s">
        <v>203</v>
      </c>
      <c r="D481" t="s">
        <v>58</v>
      </c>
      <c r="E481">
        <v>2</v>
      </c>
    </row>
    <row r="482" spans="1:5" hidden="1" x14ac:dyDescent="0.25">
      <c r="A482" t="s">
        <v>1109</v>
      </c>
      <c r="B482" t="s">
        <v>1111</v>
      </c>
      <c r="C482" t="s">
        <v>203</v>
      </c>
      <c r="D482" t="s">
        <v>58</v>
      </c>
      <c r="E482">
        <v>20</v>
      </c>
    </row>
    <row r="483" spans="1:5" hidden="1" x14ac:dyDescent="0.25">
      <c r="A483" t="s">
        <v>1115</v>
      </c>
      <c r="B483" t="s">
        <v>1117</v>
      </c>
      <c r="C483" t="s">
        <v>160</v>
      </c>
      <c r="D483" t="s">
        <v>58</v>
      </c>
      <c r="E483">
        <v>32</v>
      </c>
    </row>
    <row r="484" spans="1:5" hidden="1" x14ac:dyDescent="0.25">
      <c r="A484" t="s">
        <v>2328</v>
      </c>
      <c r="B484" t="s">
        <v>2329</v>
      </c>
      <c r="C484" t="s">
        <v>160</v>
      </c>
      <c r="D484" t="s">
        <v>58</v>
      </c>
      <c r="E484">
        <v>15</v>
      </c>
    </row>
    <row r="485" spans="1:5" hidden="1" x14ac:dyDescent="0.25">
      <c r="A485" t="s">
        <v>2330</v>
      </c>
      <c r="B485" t="s">
        <v>2331</v>
      </c>
      <c r="C485" t="s">
        <v>59</v>
      </c>
      <c r="D485" t="s">
        <v>58</v>
      </c>
      <c r="E485">
        <v>24</v>
      </c>
    </row>
    <row r="486" spans="1:5" hidden="1" x14ac:dyDescent="0.25">
      <c r="A486" t="s">
        <v>1124</v>
      </c>
      <c r="B486" t="s">
        <v>1126</v>
      </c>
      <c r="C486" t="s">
        <v>150</v>
      </c>
      <c r="D486" t="s">
        <v>58</v>
      </c>
      <c r="E486">
        <v>20</v>
      </c>
    </row>
    <row r="487" spans="1:5" hidden="1" x14ac:dyDescent="0.25">
      <c r="A487" t="s">
        <v>1127</v>
      </c>
      <c r="B487" t="s">
        <v>1129</v>
      </c>
      <c r="C487" t="s">
        <v>150</v>
      </c>
      <c r="D487" t="s">
        <v>58</v>
      </c>
      <c r="E487">
        <v>51</v>
      </c>
    </row>
    <row r="488" spans="1:5" hidden="1" x14ac:dyDescent="0.25">
      <c r="A488" t="s">
        <v>1130</v>
      </c>
      <c r="B488" t="s">
        <v>1132</v>
      </c>
      <c r="C488" t="s">
        <v>150</v>
      </c>
      <c r="D488" t="s">
        <v>58</v>
      </c>
      <c r="E488">
        <v>30</v>
      </c>
    </row>
    <row r="489" spans="1:5" hidden="1" x14ac:dyDescent="0.25">
      <c r="A489" t="s">
        <v>2332</v>
      </c>
      <c r="B489" t="s">
        <v>2333</v>
      </c>
      <c r="C489" t="s">
        <v>150</v>
      </c>
      <c r="D489" t="s">
        <v>58</v>
      </c>
      <c r="E489">
        <v>7</v>
      </c>
    </row>
    <row r="490" spans="1:5" hidden="1" x14ac:dyDescent="0.25">
      <c r="A490" t="s">
        <v>1133</v>
      </c>
      <c r="B490" t="s">
        <v>1135</v>
      </c>
      <c r="C490" t="s">
        <v>160</v>
      </c>
      <c r="D490" t="s">
        <v>58</v>
      </c>
      <c r="E490">
        <v>31</v>
      </c>
    </row>
    <row r="491" spans="1:5" hidden="1" x14ac:dyDescent="0.25">
      <c r="A491" t="s">
        <v>1142</v>
      </c>
      <c r="B491" t="s">
        <v>1144</v>
      </c>
      <c r="C491" t="s">
        <v>67</v>
      </c>
      <c r="D491" t="s">
        <v>58</v>
      </c>
      <c r="E491">
        <v>3</v>
      </c>
    </row>
    <row r="492" spans="1:5" hidden="1" x14ac:dyDescent="0.25">
      <c r="A492" t="s">
        <v>1145</v>
      </c>
      <c r="B492" t="s">
        <v>1147</v>
      </c>
      <c r="C492" t="s">
        <v>67</v>
      </c>
      <c r="D492" t="s">
        <v>58</v>
      </c>
      <c r="E492">
        <v>55</v>
      </c>
    </row>
    <row r="493" spans="1:5" hidden="1" x14ac:dyDescent="0.25">
      <c r="A493" t="s">
        <v>1148</v>
      </c>
      <c r="B493" t="s">
        <v>1150</v>
      </c>
      <c r="C493" t="s">
        <v>150</v>
      </c>
      <c r="D493" t="s">
        <v>58</v>
      </c>
      <c r="E493">
        <v>633</v>
      </c>
    </row>
    <row r="494" spans="1:5" hidden="1" x14ac:dyDescent="0.25">
      <c r="A494" t="s">
        <v>1151</v>
      </c>
      <c r="B494" t="s">
        <v>2334</v>
      </c>
      <c r="C494" t="s">
        <v>150</v>
      </c>
      <c r="D494" t="s">
        <v>58</v>
      </c>
      <c r="E494">
        <v>137</v>
      </c>
    </row>
    <row r="495" spans="1:5" hidden="1" x14ac:dyDescent="0.25">
      <c r="A495" t="s">
        <v>1154</v>
      </c>
      <c r="B495" t="s">
        <v>2335</v>
      </c>
      <c r="C495" t="s">
        <v>150</v>
      </c>
      <c r="D495" t="s">
        <v>58</v>
      </c>
      <c r="E495">
        <v>103</v>
      </c>
    </row>
    <row r="496" spans="1:5" hidden="1" x14ac:dyDescent="0.25">
      <c r="A496" t="s">
        <v>1157</v>
      </c>
      <c r="B496" t="s">
        <v>1159</v>
      </c>
      <c r="C496" t="s">
        <v>150</v>
      </c>
      <c r="D496" t="s">
        <v>58</v>
      </c>
      <c r="E496">
        <v>108</v>
      </c>
    </row>
    <row r="497" spans="1:5" hidden="1" x14ac:dyDescent="0.25">
      <c r="A497" t="s">
        <v>1163</v>
      </c>
      <c r="B497" t="s">
        <v>1165</v>
      </c>
      <c r="C497" t="s">
        <v>150</v>
      </c>
      <c r="D497" t="s">
        <v>58</v>
      </c>
      <c r="E497">
        <v>395</v>
      </c>
    </row>
    <row r="498" spans="1:5" hidden="1" x14ac:dyDescent="0.25">
      <c r="A498" t="s">
        <v>1166</v>
      </c>
      <c r="B498" t="s">
        <v>1168</v>
      </c>
      <c r="C498" t="s">
        <v>160</v>
      </c>
      <c r="D498" t="s">
        <v>58</v>
      </c>
      <c r="E498">
        <v>32</v>
      </c>
    </row>
    <row r="499" spans="1:5" hidden="1" x14ac:dyDescent="0.25">
      <c r="A499" t="s">
        <v>1169</v>
      </c>
      <c r="B499" t="s">
        <v>1171</v>
      </c>
      <c r="C499" t="s">
        <v>150</v>
      </c>
      <c r="D499" t="s">
        <v>58</v>
      </c>
      <c r="E499">
        <v>274</v>
      </c>
    </row>
    <row r="500" spans="1:5" hidden="1" x14ac:dyDescent="0.25">
      <c r="A500" t="s">
        <v>1172</v>
      </c>
      <c r="B500" t="s">
        <v>1174</v>
      </c>
      <c r="C500" t="s">
        <v>187</v>
      </c>
      <c r="D500" t="s">
        <v>58</v>
      </c>
      <c r="E500">
        <v>64</v>
      </c>
    </row>
    <row r="501" spans="1:5" hidden="1" x14ac:dyDescent="0.25">
      <c r="A501" t="s">
        <v>1175</v>
      </c>
      <c r="B501" t="s">
        <v>1174</v>
      </c>
      <c r="C501" t="s">
        <v>187</v>
      </c>
      <c r="D501" t="s">
        <v>58</v>
      </c>
      <c r="E501">
        <v>100.55</v>
      </c>
    </row>
    <row r="502" spans="1:5" hidden="1" x14ac:dyDescent="0.25">
      <c r="A502" t="s">
        <v>1176</v>
      </c>
      <c r="B502" t="s">
        <v>1178</v>
      </c>
      <c r="C502" t="s">
        <v>150</v>
      </c>
      <c r="D502" t="s">
        <v>58</v>
      </c>
      <c r="E502">
        <v>34</v>
      </c>
    </row>
    <row r="503" spans="1:5" hidden="1" x14ac:dyDescent="0.25">
      <c r="A503" t="s">
        <v>1179</v>
      </c>
      <c r="B503" t="s">
        <v>1181</v>
      </c>
      <c r="C503" t="s">
        <v>150</v>
      </c>
      <c r="D503" t="s">
        <v>58</v>
      </c>
      <c r="E503">
        <v>86</v>
      </c>
    </row>
    <row r="504" spans="1:5" hidden="1" x14ac:dyDescent="0.25">
      <c r="A504" t="s">
        <v>1185</v>
      </c>
      <c r="B504" t="s">
        <v>1187</v>
      </c>
      <c r="C504" t="s">
        <v>150</v>
      </c>
      <c r="D504" t="s">
        <v>58</v>
      </c>
      <c r="E504">
        <v>1</v>
      </c>
    </row>
    <row r="505" spans="1:5" hidden="1" x14ac:dyDescent="0.25">
      <c r="A505" t="s">
        <v>2336</v>
      </c>
      <c r="B505" t="s">
        <v>2337</v>
      </c>
      <c r="C505" t="s">
        <v>150</v>
      </c>
      <c r="D505" t="s">
        <v>58</v>
      </c>
      <c r="E505">
        <v>1</v>
      </c>
    </row>
    <row r="506" spans="1:5" hidden="1" x14ac:dyDescent="0.25">
      <c r="A506" t="s">
        <v>1188</v>
      </c>
      <c r="B506" t="s">
        <v>1190</v>
      </c>
      <c r="C506" t="s">
        <v>150</v>
      </c>
      <c r="D506" t="s">
        <v>58</v>
      </c>
      <c r="E506">
        <v>6</v>
      </c>
    </row>
    <row r="507" spans="1:5" hidden="1" x14ac:dyDescent="0.25">
      <c r="A507" t="s">
        <v>1194</v>
      </c>
      <c r="B507" t="s">
        <v>1196</v>
      </c>
      <c r="C507" t="s">
        <v>150</v>
      </c>
      <c r="D507" t="s">
        <v>58</v>
      </c>
      <c r="E507">
        <v>6</v>
      </c>
    </row>
    <row r="508" spans="1:5" hidden="1" x14ac:dyDescent="0.25">
      <c r="A508" t="s">
        <v>1197</v>
      </c>
      <c r="B508" t="s">
        <v>1199</v>
      </c>
      <c r="C508" t="s">
        <v>150</v>
      </c>
      <c r="D508" t="s">
        <v>58</v>
      </c>
      <c r="E508">
        <v>6</v>
      </c>
    </row>
    <row r="509" spans="1:5" hidden="1" x14ac:dyDescent="0.25">
      <c r="A509" t="s">
        <v>1200</v>
      </c>
      <c r="B509" t="s">
        <v>1202</v>
      </c>
      <c r="C509" t="s">
        <v>150</v>
      </c>
      <c r="D509" t="s">
        <v>58</v>
      </c>
      <c r="E509">
        <v>6</v>
      </c>
    </row>
    <row r="510" spans="1:5" hidden="1" x14ac:dyDescent="0.25">
      <c r="A510" t="s">
        <v>1203</v>
      </c>
      <c r="B510" t="s">
        <v>1205</v>
      </c>
      <c r="C510" t="s">
        <v>150</v>
      </c>
      <c r="D510" t="s">
        <v>58</v>
      </c>
      <c r="E510">
        <v>18</v>
      </c>
    </row>
    <row r="511" spans="1:5" hidden="1" x14ac:dyDescent="0.25">
      <c r="A511" t="s">
        <v>1206</v>
      </c>
      <c r="B511" t="s">
        <v>1208</v>
      </c>
      <c r="C511" t="s">
        <v>150</v>
      </c>
      <c r="D511" t="s">
        <v>58</v>
      </c>
      <c r="E511">
        <v>342</v>
      </c>
    </row>
    <row r="512" spans="1:5" hidden="1" x14ac:dyDescent="0.25">
      <c r="A512" t="s">
        <v>1209</v>
      </c>
      <c r="B512" t="s">
        <v>1211</v>
      </c>
      <c r="C512" t="s">
        <v>150</v>
      </c>
      <c r="D512" t="s">
        <v>58</v>
      </c>
      <c r="E512">
        <v>116</v>
      </c>
    </row>
    <row r="513" spans="1:5" hidden="1" x14ac:dyDescent="0.25">
      <c r="A513" t="s">
        <v>1212</v>
      </c>
      <c r="B513" t="s">
        <v>1214</v>
      </c>
      <c r="C513" t="s">
        <v>150</v>
      </c>
      <c r="D513" t="s">
        <v>58</v>
      </c>
      <c r="E513">
        <v>23</v>
      </c>
    </row>
    <row r="514" spans="1:5" hidden="1" x14ac:dyDescent="0.25">
      <c r="A514" t="s">
        <v>1215</v>
      </c>
      <c r="B514" t="s">
        <v>1217</v>
      </c>
      <c r="C514" t="s">
        <v>150</v>
      </c>
      <c r="D514" t="s">
        <v>58</v>
      </c>
      <c r="E514">
        <v>22</v>
      </c>
    </row>
    <row r="515" spans="1:5" hidden="1" x14ac:dyDescent="0.25">
      <c r="A515" t="s">
        <v>1218</v>
      </c>
      <c r="B515" t="s">
        <v>1220</v>
      </c>
      <c r="C515" t="s">
        <v>150</v>
      </c>
      <c r="D515" t="s">
        <v>58</v>
      </c>
      <c r="E515">
        <v>200</v>
      </c>
    </row>
    <row r="516" spans="1:5" hidden="1" x14ac:dyDescent="0.25">
      <c r="A516" t="s">
        <v>1221</v>
      </c>
      <c r="B516" t="s">
        <v>1223</v>
      </c>
      <c r="C516" t="s">
        <v>150</v>
      </c>
      <c r="D516" t="s">
        <v>58</v>
      </c>
      <c r="E516">
        <v>91</v>
      </c>
    </row>
    <row r="517" spans="1:5" hidden="1" x14ac:dyDescent="0.25">
      <c r="A517" t="s">
        <v>1224</v>
      </c>
      <c r="B517" t="s">
        <v>1226</v>
      </c>
      <c r="C517" t="s">
        <v>150</v>
      </c>
      <c r="D517" t="s">
        <v>58</v>
      </c>
      <c r="E517">
        <v>93</v>
      </c>
    </row>
    <row r="518" spans="1:5" x14ac:dyDescent="0.25">
      <c r="A518" t="s">
        <v>1227</v>
      </c>
      <c r="B518" t="s">
        <v>1229</v>
      </c>
      <c r="C518" t="s">
        <v>167</v>
      </c>
      <c r="D518" t="s">
        <v>58</v>
      </c>
      <c r="E518">
        <v>161</v>
      </c>
    </row>
    <row r="519" spans="1:5" x14ac:dyDescent="0.25">
      <c r="A519" t="s">
        <v>1230</v>
      </c>
      <c r="B519" t="s">
        <v>1232</v>
      </c>
      <c r="C519" t="s">
        <v>167</v>
      </c>
      <c r="D519" t="s">
        <v>58</v>
      </c>
      <c r="E519">
        <v>36</v>
      </c>
    </row>
    <row r="520" spans="1:5" x14ac:dyDescent="0.25">
      <c r="A520" t="s">
        <v>1233</v>
      </c>
      <c r="B520" t="s">
        <v>1235</v>
      </c>
      <c r="C520" t="s">
        <v>167</v>
      </c>
      <c r="D520" t="s">
        <v>58</v>
      </c>
      <c r="E520">
        <v>43</v>
      </c>
    </row>
    <row r="521" spans="1:5" x14ac:dyDescent="0.25">
      <c r="A521" t="s">
        <v>1236</v>
      </c>
      <c r="B521" t="s">
        <v>1238</v>
      </c>
      <c r="C521" t="s">
        <v>167</v>
      </c>
      <c r="D521" t="s">
        <v>58</v>
      </c>
      <c r="E521">
        <v>42</v>
      </c>
    </row>
    <row r="522" spans="1:5" x14ac:dyDescent="0.25">
      <c r="A522" t="s">
        <v>1239</v>
      </c>
      <c r="B522" t="s">
        <v>1241</v>
      </c>
      <c r="C522" t="s">
        <v>167</v>
      </c>
      <c r="D522" t="s">
        <v>58</v>
      </c>
      <c r="E522">
        <v>108</v>
      </c>
    </row>
    <row r="523" spans="1:5" x14ac:dyDescent="0.25">
      <c r="A523" t="s">
        <v>1242</v>
      </c>
      <c r="B523" t="s">
        <v>1244</v>
      </c>
      <c r="C523" t="s">
        <v>167</v>
      </c>
      <c r="D523" t="s">
        <v>58</v>
      </c>
      <c r="E523">
        <v>247</v>
      </c>
    </row>
    <row r="524" spans="1:5" x14ac:dyDescent="0.25">
      <c r="A524" t="s">
        <v>1245</v>
      </c>
      <c r="B524" t="s">
        <v>1247</v>
      </c>
      <c r="C524" t="s">
        <v>167</v>
      </c>
      <c r="D524" t="s">
        <v>58</v>
      </c>
      <c r="E524">
        <v>82</v>
      </c>
    </row>
    <row r="525" spans="1:5" hidden="1" x14ac:dyDescent="0.25">
      <c r="A525" t="s">
        <v>1248</v>
      </c>
      <c r="B525" t="s">
        <v>1250</v>
      </c>
      <c r="C525" t="s">
        <v>63</v>
      </c>
      <c r="D525" t="s">
        <v>58</v>
      </c>
      <c r="E525">
        <v>13</v>
      </c>
    </row>
    <row r="526" spans="1:5" hidden="1" x14ac:dyDescent="0.25">
      <c r="A526" t="s">
        <v>1251</v>
      </c>
      <c r="B526" t="s">
        <v>1253</v>
      </c>
      <c r="C526" t="s">
        <v>63</v>
      </c>
      <c r="D526" t="s">
        <v>58</v>
      </c>
      <c r="E526">
        <v>43</v>
      </c>
    </row>
    <row r="527" spans="1:5" hidden="1" x14ac:dyDescent="0.25">
      <c r="A527" t="s">
        <v>1254</v>
      </c>
      <c r="B527" t="s">
        <v>1256</v>
      </c>
      <c r="C527" t="s">
        <v>216</v>
      </c>
      <c r="D527" t="s">
        <v>58</v>
      </c>
      <c r="E527">
        <v>2</v>
      </c>
    </row>
    <row r="528" spans="1:5" hidden="1" x14ac:dyDescent="0.25">
      <c r="A528" t="s">
        <v>1257</v>
      </c>
      <c r="B528" t="s">
        <v>1259</v>
      </c>
      <c r="C528" t="s">
        <v>187</v>
      </c>
      <c r="D528" t="s">
        <v>58</v>
      </c>
      <c r="E528">
        <v>98.35</v>
      </c>
    </row>
    <row r="529" spans="1:5" hidden="1" x14ac:dyDescent="0.25">
      <c r="A529" t="s">
        <v>1260</v>
      </c>
      <c r="B529" t="s">
        <v>1259</v>
      </c>
      <c r="C529" t="s">
        <v>187</v>
      </c>
      <c r="D529" t="s">
        <v>58</v>
      </c>
      <c r="E529">
        <v>5</v>
      </c>
    </row>
    <row r="530" spans="1:5" hidden="1" x14ac:dyDescent="0.25">
      <c r="A530" t="s">
        <v>1261</v>
      </c>
      <c r="B530" t="s">
        <v>1263</v>
      </c>
      <c r="C530" t="s">
        <v>150</v>
      </c>
      <c r="D530" t="s">
        <v>58</v>
      </c>
      <c r="E530">
        <v>101</v>
      </c>
    </row>
    <row r="531" spans="1:5" hidden="1" x14ac:dyDescent="0.25">
      <c r="A531" t="s">
        <v>1264</v>
      </c>
      <c r="B531" t="s">
        <v>1266</v>
      </c>
      <c r="C531" t="s">
        <v>150</v>
      </c>
      <c r="D531" t="s">
        <v>58</v>
      </c>
      <c r="E531">
        <v>63</v>
      </c>
    </row>
    <row r="532" spans="1:5" x14ac:dyDescent="0.25">
      <c r="A532" t="s">
        <v>1267</v>
      </c>
      <c r="B532" t="s">
        <v>1269</v>
      </c>
      <c r="C532" t="s">
        <v>167</v>
      </c>
      <c r="D532" t="s">
        <v>58</v>
      </c>
      <c r="E532">
        <v>94</v>
      </c>
    </row>
    <row r="533" spans="1:5" x14ac:dyDescent="0.25">
      <c r="A533" t="s">
        <v>1270</v>
      </c>
      <c r="B533" t="s">
        <v>1272</v>
      </c>
      <c r="C533" t="s">
        <v>167</v>
      </c>
      <c r="D533" t="s">
        <v>58</v>
      </c>
      <c r="E533">
        <v>121</v>
      </c>
    </row>
    <row r="534" spans="1:5" x14ac:dyDescent="0.25">
      <c r="A534" t="s">
        <v>1273</v>
      </c>
      <c r="B534" t="s">
        <v>1275</v>
      </c>
      <c r="C534" t="s">
        <v>167</v>
      </c>
      <c r="D534" t="s">
        <v>58</v>
      </c>
      <c r="E534">
        <v>264</v>
      </c>
    </row>
    <row r="535" spans="1:5" x14ac:dyDescent="0.25">
      <c r="A535" t="s">
        <v>1276</v>
      </c>
      <c r="B535" t="s">
        <v>1278</v>
      </c>
      <c r="C535" t="s">
        <v>167</v>
      </c>
      <c r="D535" t="s">
        <v>58</v>
      </c>
      <c r="E535">
        <v>8</v>
      </c>
    </row>
    <row r="536" spans="1:5" x14ac:dyDescent="0.25">
      <c r="A536" t="s">
        <v>1279</v>
      </c>
      <c r="B536" t="s">
        <v>1281</v>
      </c>
      <c r="C536" t="s">
        <v>167</v>
      </c>
      <c r="D536" t="s">
        <v>58</v>
      </c>
      <c r="E536">
        <v>78</v>
      </c>
    </row>
    <row r="537" spans="1:5" x14ac:dyDescent="0.25">
      <c r="A537" t="s">
        <v>1282</v>
      </c>
      <c r="B537" t="s">
        <v>1284</v>
      </c>
      <c r="C537" t="s">
        <v>167</v>
      </c>
      <c r="D537" t="s">
        <v>58</v>
      </c>
      <c r="E537">
        <v>129</v>
      </c>
    </row>
    <row r="538" spans="1:5" hidden="1" x14ac:dyDescent="0.25">
      <c r="A538" t="s">
        <v>1285</v>
      </c>
      <c r="B538" t="s">
        <v>1287</v>
      </c>
      <c r="C538" t="s">
        <v>67</v>
      </c>
      <c r="D538" t="s">
        <v>58</v>
      </c>
      <c r="E538">
        <v>3</v>
      </c>
    </row>
    <row r="539" spans="1:5" x14ac:dyDescent="0.25">
      <c r="A539" t="s">
        <v>1288</v>
      </c>
      <c r="B539" t="s">
        <v>1290</v>
      </c>
      <c r="C539" t="s">
        <v>167</v>
      </c>
      <c r="D539" t="s">
        <v>58</v>
      </c>
      <c r="E539">
        <v>12</v>
      </c>
    </row>
    <row r="540" spans="1:5" x14ac:dyDescent="0.25">
      <c r="A540" s="68" t="s">
        <v>2338</v>
      </c>
      <c r="B540" t="s">
        <v>2339</v>
      </c>
      <c r="C540" t="s">
        <v>167</v>
      </c>
      <c r="D540" t="s">
        <v>58</v>
      </c>
      <c r="E540">
        <v>6</v>
      </c>
    </row>
    <row r="541" spans="1:5" x14ac:dyDescent="0.25">
      <c r="A541" t="s">
        <v>1291</v>
      </c>
      <c r="B541" t="s">
        <v>1293</v>
      </c>
      <c r="C541" t="s">
        <v>167</v>
      </c>
      <c r="D541" t="s">
        <v>58</v>
      </c>
      <c r="E541">
        <v>26</v>
      </c>
    </row>
    <row r="542" spans="1:5" x14ac:dyDescent="0.25">
      <c r="A542" t="s">
        <v>1294</v>
      </c>
      <c r="B542" t="s">
        <v>1296</v>
      </c>
      <c r="C542" t="s">
        <v>167</v>
      </c>
      <c r="D542" t="s">
        <v>58</v>
      </c>
      <c r="E542">
        <v>48</v>
      </c>
    </row>
    <row r="543" spans="1:5" x14ac:dyDescent="0.25">
      <c r="A543" t="s">
        <v>1297</v>
      </c>
      <c r="B543" t="s">
        <v>1299</v>
      </c>
      <c r="C543" t="s">
        <v>167</v>
      </c>
      <c r="D543" t="s">
        <v>58</v>
      </c>
      <c r="E543">
        <v>38</v>
      </c>
    </row>
    <row r="544" spans="1:5" hidden="1" x14ac:dyDescent="0.25">
      <c r="A544" t="s">
        <v>1300</v>
      </c>
      <c r="B544" t="s">
        <v>1302</v>
      </c>
      <c r="C544" t="s">
        <v>160</v>
      </c>
      <c r="D544" t="s">
        <v>58</v>
      </c>
      <c r="E544">
        <v>8</v>
      </c>
    </row>
    <row r="545" spans="1:5" hidden="1" x14ac:dyDescent="0.25">
      <c r="A545" t="s">
        <v>1303</v>
      </c>
      <c r="B545" t="s">
        <v>1305</v>
      </c>
      <c r="C545" t="s">
        <v>160</v>
      </c>
      <c r="D545" t="s">
        <v>58</v>
      </c>
      <c r="E545">
        <v>4</v>
      </c>
    </row>
    <row r="546" spans="1:5" hidden="1" x14ac:dyDescent="0.25">
      <c r="A546" t="s">
        <v>1306</v>
      </c>
      <c r="B546" t="s">
        <v>1308</v>
      </c>
      <c r="C546" t="s">
        <v>160</v>
      </c>
      <c r="D546" t="s">
        <v>58</v>
      </c>
      <c r="E546">
        <v>58</v>
      </c>
    </row>
    <row r="547" spans="1:5" hidden="1" x14ac:dyDescent="0.25">
      <c r="A547" t="s">
        <v>1309</v>
      </c>
      <c r="B547" t="s">
        <v>1311</v>
      </c>
      <c r="C547" t="s">
        <v>160</v>
      </c>
      <c r="D547" t="s">
        <v>58</v>
      </c>
      <c r="E547">
        <v>7</v>
      </c>
    </row>
    <row r="548" spans="1:5" hidden="1" x14ac:dyDescent="0.25">
      <c r="A548" t="s">
        <v>1312</v>
      </c>
      <c r="B548" t="s">
        <v>1314</v>
      </c>
      <c r="C548" t="s">
        <v>160</v>
      </c>
      <c r="D548" t="s">
        <v>58</v>
      </c>
      <c r="E548">
        <v>32</v>
      </c>
    </row>
    <row r="549" spans="1:5" hidden="1" x14ac:dyDescent="0.25">
      <c r="A549" t="s">
        <v>1315</v>
      </c>
      <c r="B549" t="s">
        <v>1317</v>
      </c>
      <c r="C549" t="s">
        <v>304</v>
      </c>
      <c r="D549" t="s">
        <v>58</v>
      </c>
      <c r="E549">
        <v>12</v>
      </c>
    </row>
    <row r="550" spans="1:5" x14ac:dyDescent="0.25">
      <c r="A550" t="s">
        <v>1318</v>
      </c>
      <c r="B550" t="s">
        <v>1320</v>
      </c>
      <c r="C550" t="s">
        <v>167</v>
      </c>
      <c r="D550" t="s">
        <v>58</v>
      </c>
      <c r="E550">
        <v>262</v>
      </c>
    </row>
    <row r="551" spans="1:5" x14ac:dyDescent="0.25">
      <c r="A551" t="s">
        <v>1321</v>
      </c>
      <c r="B551" t="s">
        <v>1323</v>
      </c>
      <c r="C551" t="s">
        <v>167</v>
      </c>
      <c r="D551" t="s">
        <v>58</v>
      </c>
      <c r="E551">
        <v>22</v>
      </c>
    </row>
    <row r="552" spans="1:5" hidden="1" x14ac:dyDescent="0.25">
      <c r="A552" t="s">
        <v>1324</v>
      </c>
      <c r="B552" t="s">
        <v>1326</v>
      </c>
      <c r="C552" t="s">
        <v>59</v>
      </c>
      <c r="D552" t="s">
        <v>58</v>
      </c>
      <c r="E552">
        <v>22</v>
      </c>
    </row>
    <row r="553" spans="1:5" hidden="1" x14ac:dyDescent="0.25">
      <c r="A553" t="s">
        <v>1327</v>
      </c>
      <c r="B553" t="s">
        <v>1326</v>
      </c>
      <c r="C553" t="s">
        <v>59</v>
      </c>
      <c r="D553" t="s">
        <v>58</v>
      </c>
      <c r="E553">
        <v>376</v>
      </c>
    </row>
    <row r="554" spans="1:5" hidden="1" x14ac:dyDescent="0.25">
      <c r="A554" t="s">
        <v>1328</v>
      </c>
      <c r="B554" t="s">
        <v>1330</v>
      </c>
      <c r="C554" t="s">
        <v>59</v>
      </c>
      <c r="D554" t="s">
        <v>58</v>
      </c>
      <c r="E554">
        <v>144</v>
      </c>
    </row>
    <row r="555" spans="1:5" hidden="1" x14ac:dyDescent="0.25">
      <c r="A555" t="s">
        <v>1331</v>
      </c>
      <c r="B555" t="s">
        <v>1333</v>
      </c>
      <c r="C555" t="s">
        <v>160</v>
      </c>
      <c r="D555" t="s">
        <v>58</v>
      </c>
      <c r="E555">
        <v>3.1667000000000001</v>
      </c>
    </row>
    <row r="556" spans="1:5" hidden="1" x14ac:dyDescent="0.25">
      <c r="A556" t="s">
        <v>1334</v>
      </c>
      <c r="B556" t="s">
        <v>1336</v>
      </c>
      <c r="C556" t="s">
        <v>304</v>
      </c>
      <c r="D556" t="s">
        <v>58</v>
      </c>
      <c r="E556">
        <v>24</v>
      </c>
    </row>
    <row r="557" spans="1:5" hidden="1" x14ac:dyDescent="0.25">
      <c r="A557" t="s">
        <v>1337</v>
      </c>
      <c r="B557" t="s">
        <v>1339</v>
      </c>
      <c r="C557" t="s">
        <v>304</v>
      </c>
      <c r="D557" t="s">
        <v>58</v>
      </c>
      <c r="E557">
        <v>7</v>
      </c>
    </row>
    <row r="558" spans="1:5" hidden="1" x14ac:dyDescent="0.25">
      <c r="A558" t="s">
        <v>1340</v>
      </c>
      <c r="B558" t="s">
        <v>1342</v>
      </c>
      <c r="C558" t="s">
        <v>216</v>
      </c>
      <c r="D558" t="s">
        <v>58</v>
      </c>
      <c r="E558">
        <v>6</v>
      </c>
    </row>
    <row r="559" spans="1:5" hidden="1" x14ac:dyDescent="0.25">
      <c r="A559" t="s">
        <v>1346</v>
      </c>
      <c r="B559" t="s">
        <v>1348</v>
      </c>
      <c r="C559" t="s">
        <v>216</v>
      </c>
      <c r="D559" t="s">
        <v>58</v>
      </c>
      <c r="E559">
        <v>81</v>
      </c>
    </row>
    <row r="560" spans="1:5" x14ac:dyDescent="0.25">
      <c r="A560" t="s">
        <v>1349</v>
      </c>
      <c r="B560" t="s">
        <v>1351</v>
      </c>
      <c r="C560" t="s">
        <v>167</v>
      </c>
      <c r="D560" t="s">
        <v>58</v>
      </c>
      <c r="E560">
        <v>88</v>
      </c>
    </row>
    <row r="561" spans="1:5" hidden="1" x14ac:dyDescent="0.25">
      <c r="A561" t="s">
        <v>1352</v>
      </c>
      <c r="B561" t="s">
        <v>1354</v>
      </c>
      <c r="C561" t="s">
        <v>150</v>
      </c>
      <c r="D561" t="s">
        <v>58</v>
      </c>
      <c r="E561">
        <v>121</v>
      </c>
    </row>
    <row r="562" spans="1:5" hidden="1" x14ac:dyDescent="0.25">
      <c r="A562" t="s">
        <v>1355</v>
      </c>
      <c r="B562" t="s">
        <v>1357</v>
      </c>
      <c r="C562" t="s">
        <v>160</v>
      </c>
      <c r="D562" t="s">
        <v>58</v>
      </c>
      <c r="E562">
        <v>3.1667000000000001</v>
      </c>
    </row>
    <row r="563" spans="1:5" hidden="1" x14ac:dyDescent="0.25">
      <c r="A563" t="s">
        <v>1358</v>
      </c>
      <c r="B563" t="s">
        <v>1360</v>
      </c>
      <c r="C563" t="s">
        <v>160</v>
      </c>
      <c r="D563" t="s">
        <v>58</v>
      </c>
      <c r="E563">
        <v>2.8344999999999998</v>
      </c>
    </row>
    <row r="564" spans="1:5" hidden="1" x14ac:dyDescent="0.25">
      <c r="A564" t="s">
        <v>1361</v>
      </c>
      <c r="B564" t="s">
        <v>1363</v>
      </c>
      <c r="C564" t="s">
        <v>304</v>
      </c>
      <c r="D564" t="s">
        <v>58</v>
      </c>
      <c r="E564">
        <v>13</v>
      </c>
    </row>
    <row r="565" spans="1:5" hidden="1" x14ac:dyDescent="0.25">
      <c r="A565" t="s">
        <v>1364</v>
      </c>
      <c r="B565" t="s">
        <v>1366</v>
      </c>
      <c r="C565" t="s">
        <v>304</v>
      </c>
      <c r="D565" t="s">
        <v>58</v>
      </c>
      <c r="E565">
        <v>23</v>
      </c>
    </row>
    <row r="566" spans="1:5" hidden="1" x14ac:dyDescent="0.25">
      <c r="A566" t="s">
        <v>1367</v>
      </c>
      <c r="B566" t="s">
        <v>1369</v>
      </c>
      <c r="C566" t="s">
        <v>160</v>
      </c>
      <c r="D566" t="s">
        <v>58</v>
      </c>
      <c r="E566">
        <v>30</v>
      </c>
    </row>
    <row r="567" spans="1:5" hidden="1" x14ac:dyDescent="0.25">
      <c r="A567" t="s">
        <v>1370</v>
      </c>
      <c r="B567" t="s">
        <v>1372</v>
      </c>
      <c r="C567" t="s">
        <v>160</v>
      </c>
      <c r="D567" t="s">
        <v>58</v>
      </c>
      <c r="E567">
        <v>8</v>
      </c>
    </row>
    <row r="568" spans="1:5" hidden="1" x14ac:dyDescent="0.25">
      <c r="A568" t="s">
        <v>1373</v>
      </c>
      <c r="B568" t="s">
        <v>1372</v>
      </c>
      <c r="C568" t="s">
        <v>160</v>
      </c>
      <c r="D568" t="s">
        <v>58</v>
      </c>
      <c r="E568">
        <v>8</v>
      </c>
    </row>
    <row r="569" spans="1:5" x14ac:dyDescent="0.25">
      <c r="A569" t="s">
        <v>1374</v>
      </c>
      <c r="B569" t="s">
        <v>1376</v>
      </c>
      <c r="C569" t="s">
        <v>167</v>
      </c>
      <c r="D569" t="s">
        <v>58</v>
      </c>
      <c r="E569">
        <v>4</v>
      </c>
    </row>
    <row r="570" spans="1:5" x14ac:dyDescent="0.25">
      <c r="A570" t="s">
        <v>1377</v>
      </c>
      <c r="B570" t="s">
        <v>1379</v>
      </c>
      <c r="C570" t="s">
        <v>167</v>
      </c>
      <c r="D570" t="s">
        <v>58</v>
      </c>
      <c r="E570">
        <v>3</v>
      </c>
    </row>
    <row r="571" spans="1:5" x14ac:dyDescent="0.25">
      <c r="A571" t="s">
        <v>2340</v>
      </c>
      <c r="B571" t="s">
        <v>2341</v>
      </c>
      <c r="C571" t="s">
        <v>167</v>
      </c>
      <c r="D571" t="s">
        <v>58</v>
      </c>
      <c r="E571">
        <v>5</v>
      </c>
    </row>
    <row r="572" spans="1:5" x14ac:dyDescent="0.25">
      <c r="A572" t="s">
        <v>1380</v>
      </c>
      <c r="B572" t="s">
        <v>1382</v>
      </c>
      <c r="C572" t="s">
        <v>167</v>
      </c>
      <c r="D572" t="s">
        <v>58</v>
      </c>
      <c r="E572">
        <v>30</v>
      </c>
    </row>
    <row r="573" spans="1:5" x14ac:dyDescent="0.25">
      <c r="A573" t="s">
        <v>2342</v>
      </c>
      <c r="B573" t="s">
        <v>2343</v>
      </c>
      <c r="C573" t="s">
        <v>167</v>
      </c>
      <c r="D573" t="s">
        <v>58</v>
      </c>
      <c r="E573">
        <v>2</v>
      </c>
    </row>
    <row r="574" spans="1:5" x14ac:dyDescent="0.25">
      <c r="A574" t="s">
        <v>1386</v>
      </c>
      <c r="B574" t="s">
        <v>1387</v>
      </c>
      <c r="C574" t="s">
        <v>167</v>
      </c>
      <c r="D574" t="s">
        <v>58</v>
      </c>
      <c r="E574">
        <v>25</v>
      </c>
    </row>
    <row r="575" spans="1:5" x14ac:dyDescent="0.25">
      <c r="A575" t="s">
        <v>1391</v>
      </c>
      <c r="B575" t="s">
        <v>1393</v>
      </c>
      <c r="C575" t="s">
        <v>167</v>
      </c>
      <c r="D575" t="s">
        <v>58</v>
      </c>
      <c r="E575">
        <v>24</v>
      </c>
    </row>
    <row r="576" spans="1:5" x14ac:dyDescent="0.25">
      <c r="A576" t="s">
        <v>2344</v>
      </c>
      <c r="B576" t="s">
        <v>2345</v>
      </c>
      <c r="C576" t="s">
        <v>167</v>
      </c>
      <c r="D576" t="s">
        <v>58</v>
      </c>
      <c r="E576">
        <v>8</v>
      </c>
    </row>
    <row r="577" spans="1:5" x14ac:dyDescent="0.25">
      <c r="A577" t="s">
        <v>1394</v>
      </c>
      <c r="B577" t="s">
        <v>1396</v>
      </c>
      <c r="C577" t="s">
        <v>167</v>
      </c>
      <c r="D577" t="s">
        <v>58</v>
      </c>
      <c r="E577">
        <v>14</v>
      </c>
    </row>
    <row r="578" spans="1:5" hidden="1" x14ac:dyDescent="0.25">
      <c r="A578" t="s">
        <v>2346</v>
      </c>
      <c r="B578" t="s">
        <v>2347</v>
      </c>
      <c r="C578" t="s">
        <v>150</v>
      </c>
      <c r="D578" t="s">
        <v>58</v>
      </c>
      <c r="E578">
        <v>12</v>
      </c>
    </row>
    <row r="579" spans="1:5" hidden="1" x14ac:dyDescent="0.25">
      <c r="A579" t="s">
        <v>1397</v>
      </c>
      <c r="B579" t="s">
        <v>1399</v>
      </c>
      <c r="C579" t="s">
        <v>150</v>
      </c>
      <c r="D579" t="s">
        <v>58</v>
      </c>
      <c r="E579">
        <v>153</v>
      </c>
    </row>
    <row r="580" spans="1:5" hidden="1" x14ac:dyDescent="0.25">
      <c r="A580" t="s">
        <v>1400</v>
      </c>
      <c r="B580" t="s">
        <v>1402</v>
      </c>
      <c r="C580" t="s">
        <v>150</v>
      </c>
      <c r="D580" t="s">
        <v>58</v>
      </c>
      <c r="E580">
        <v>1241</v>
      </c>
    </row>
    <row r="581" spans="1:5" hidden="1" x14ac:dyDescent="0.25">
      <c r="A581" t="s">
        <v>1403</v>
      </c>
      <c r="B581" t="s">
        <v>1405</v>
      </c>
      <c r="C581" t="s">
        <v>216</v>
      </c>
      <c r="D581" t="s">
        <v>58</v>
      </c>
      <c r="E581">
        <v>36</v>
      </c>
    </row>
    <row r="582" spans="1:5" hidden="1" x14ac:dyDescent="0.25">
      <c r="A582" t="s">
        <v>1406</v>
      </c>
      <c r="B582" t="s">
        <v>1408</v>
      </c>
      <c r="C582" t="s">
        <v>1075</v>
      </c>
      <c r="D582" t="s">
        <v>58</v>
      </c>
      <c r="E582">
        <v>6</v>
      </c>
    </row>
    <row r="583" spans="1:5" hidden="1" x14ac:dyDescent="0.25">
      <c r="A583" t="s">
        <v>1409</v>
      </c>
      <c r="B583" t="s">
        <v>1411</v>
      </c>
      <c r="C583" t="s">
        <v>1075</v>
      </c>
      <c r="D583" t="s">
        <v>58</v>
      </c>
      <c r="E583">
        <v>10</v>
      </c>
    </row>
    <row r="584" spans="1:5" hidden="1" x14ac:dyDescent="0.25">
      <c r="A584" t="s">
        <v>2348</v>
      </c>
      <c r="B584" t="s">
        <v>2349</v>
      </c>
      <c r="C584" t="s">
        <v>1075</v>
      </c>
      <c r="D584" t="s">
        <v>58</v>
      </c>
      <c r="E584">
        <v>3</v>
      </c>
    </row>
    <row r="585" spans="1:5" hidden="1" x14ac:dyDescent="0.25">
      <c r="A585" t="s">
        <v>2350</v>
      </c>
      <c r="B585" t="s">
        <v>2351</v>
      </c>
      <c r="C585" t="s">
        <v>1075</v>
      </c>
      <c r="D585" t="s">
        <v>58</v>
      </c>
      <c r="E585">
        <v>3</v>
      </c>
    </row>
    <row r="586" spans="1:5" hidden="1" x14ac:dyDescent="0.25">
      <c r="A586" t="s">
        <v>2352</v>
      </c>
      <c r="B586" t="s">
        <v>2353</v>
      </c>
      <c r="C586" t="s">
        <v>1075</v>
      </c>
      <c r="D586" t="s">
        <v>58</v>
      </c>
      <c r="E586">
        <v>17</v>
      </c>
    </row>
    <row r="587" spans="1:5" hidden="1" x14ac:dyDescent="0.25">
      <c r="A587" t="s">
        <v>1412</v>
      </c>
      <c r="B587" t="s">
        <v>1414</v>
      </c>
      <c r="C587" t="s">
        <v>59</v>
      </c>
      <c r="D587" t="s">
        <v>58</v>
      </c>
      <c r="E587">
        <v>357</v>
      </c>
    </row>
    <row r="588" spans="1:5" hidden="1" x14ac:dyDescent="0.25">
      <c r="A588" t="s">
        <v>1415</v>
      </c>
      <c r="B588" t="s">
        <v>1417</v>
      </c>
      <c r="C588" t="s">
        <v>59</v>
      </c>
      <c r="D588" t="s">
        <v>58</v>
      </c>
      <c r="E588">
        <v>53</v>
      </c>
    </row>
    <row r="589" spans="1:5" hidden="1" x14ac:dyDescent="0.25">
      <c r="A589" t="s">
        <v>1418</v>
      </c>
      <c r="B589" t="s">
        <v>1420</v>
      </c>
      <c r="C589" t="s">
        <v>187</v>
      </c>
      <c r="D589" t="s">
        <v>58</v>
      </c>
      <c r="E589">
        <v>73</v>
      </c>
    </row>
    <row r="590" spans="1:5" hidden="1" x14ac:dyDescent="0.25">
      <c r="A590" t="s">
        <v>2354</v>
      </c>
      <c r="B590" t="s">
        <v>1420</v>
      </c>
      <c r="C590" t="s">
        <v>187</v>
      </c>
      <c r="D590" t="s">
        <v>58</v>
      </c>
      <c r="E590">
        <v>4</v>
      </c>
    </row>
    <row r="591" spans="1:5" hidden="1" x14ac:dyDescent="0.25">
      <c r="A591" t="s">
        <v>1421</v>
      </c>
      <c r="B591" t="s">
        <v>1423</v>
      </c>
      <c r="C591" t="s">
        <v>187</v>
      </c>
      <c r="D591" t="s">
        <v>58</v>
      </c>
      <c r="E591">
        <v>166</v>
      </c>
    </row>
    <row r="592" spans="1:5" hidden="1" x14ac:dyDescent="0.25">
      <c r="A592" t="s">
        <v>1427</v>
      </c>
      <c r="B592" t="s">
        <v>1426</v>
      </c>
      <c r="C592" t="s">
        <v>59</v>
      </c>
      <c r="D592" t="s">
        <v>58</v>
      </c>
      <c r="E592">
        <v>316</v>
      </c>
    </row>
    <row r="593" spans="1:5" hidden="1" x14ac:dyDescent="0.25">
      <c r="A593" t="s">
        <v>2355</v>
      </c>
      <c r="B593" t="s">
        <v>2319</v>
      </c>
      <c r="C593" t="s">
        <v>59</v>
      </c>
      <c r="D593" t="s">
        <v>58</v>
      </c>
      <c r="E593">
        <v>151</v>
      </c>
    </row>
    <row r="594" spans="1:5" hidden="1" x14ac:dyDescent="0.25">
      <c r="A594" t="s">
        <v>1428</v>
      </c>
      <c r="B594" t="s">
        <v>1430</v>
      </c>
      <c r="C594" t="s">
        <v>150</v>
      </c>
      <c r="D594" t="s">
        <v>58</v>
      </c>
      <c r="E594">
        <v>401</v>
      </c>
    </row>
    <row r="595" spans="1:5" x14ac:dyDescent="0.25">
      <c r="A595" t="s">
        <v>1431</v>
      </c>
      <c r="B595" t="s">
        <v>1433</v>
      </c>
      <c r="C595" t="s">
        <v>167</v>
      </c>
      <c r="D595" t="s">
        <v>58</v>
      </c>
      <c r="E595">
        <v>158</v>
      </c>
    </row>
    <row r="596" spans="1:5" x14ac:dyDescent="0.25">
      <c r="A596" t="s">
        <v>1434</v>
      </c>
      <c r="B596" t="s">
        <v>1436</v>
      </c>
      <c r="C596" t="s">
        <v>167</v>
      </c>
      <c r="D596" t="s">
        <v>58</v>
      </c>
      <c r="E596">
        <v>200</v>
      </c>
    </row>
    <row r="597" spans="1:5" x14ac:dyDescent="0.25">
      <c r="A597" t="s">
        <v>1437</v>
      </c>
      <c r="B597" t="s">
        <v>1439</v>
      </c>
      <c r="C597" t="s">
        <v>167</v>
      </c>
      <c r="D597" t="s">
        <v>58</v>
      </c>
      <c r="E597">
        <v>188</v>
      </c>
    </row>
    <row r="598" spans="1:5" x14ac:dyDescent="0.25">
      <c r="A598" t="s">
        <v>1440</v>
      </c>
      <c r="B598" t="s">
        <v>1442</v>
      </c>
      <c r="C598" t="s">
        <v>167</v>
      </c>
      <c r="D598" t="s">
        <v>58</v>
      </c>
      <c r="E598">
        <v>56</v>
      </c>
    </row>
    <row r="599" spans="1:5" x14ac:dyDescent="0.25">
      <c r="A599" t="s">
        <v>1443</v>
      </c>
      <c r="B599" t="s">
        <v>1445</v>
      </c>
      <c r="C599" t="s">
        <v>167</v>
      </c>
      <c r="D599" t="s">
        <v>58</v>
      </c>
      <c r="E599">
        <v>28</v>
      </c>
    </row>
    <row r="600" spans="1:5" x14ac:dyDescent="0.25">
      <c r="A600" t="s">
        <v>1446</v>
      </c>
      <c r="B600" t="s">
        <v>1448</v>
      </c>
      <c r="C600" t="s">
        <v>167</v>
      </c>
      <c r="D600" t="s">
        <v>58</v>
      </c>
      <c r="E600">
        <v>42</v>
      </c>
    </row>
    <row r="601" spans="1:5" x14ac:dyDescent="0.25">
      <c r="A601" t="s">
        <v>1449</v>
      </c>
      <c r="B601" t="s">
        <v>1451</v>
      </c>
      <c r="C601" t="s">
        <v>167</v>
      </c>
      <c r="D601" t="s">
        <v>58</v>
      </c>
      <c r="E601">
        <v>30</v>
      </c>
    </row>
    <row r="602" spans="1:5" x14ac:dyDescent="0.25">
      <c r="A602" t="s">
        <v>1452</v>
      </c>
      <c r="B602" t="s">
        <v>1454</v>
      </c>
      <c r="C602" t="s">
        <v>167</v>
      </c>
      <c r="D602" t="s">
        <v>58</v>
      </c>
      <c r="E602">
        <v>4</v>
      </c>
    </row>
    <row r="603" spans="1:5" hidden="1" x14ac:dyDescent="0.25">
      <c r="A603" t="s">
        <v>1455</v>
      </c>
      <c r="B603" t="s">
        <v>1457</v>
      </c>
      <c r="C603" t="s">
        <v>59</v>
      </c>
      <c r="D603" t="s">
        <v>58</v>
      </c>
      <c r="E603">
        <v>66</v>
      </c>
    </row>
    <row r="604" spans="1:5" hidden="1" x14ac:dyDescent="0.25">
      <c r="A604" t="s">
        <v>2356</v>
      </c>
      <c r="B604" t="s">
        <v>1457</v>
      </c>
      <c r="C604" t="s">
        <v>59</v>
      </c>
      <c r="D604" t="s">
        <v>58</v>
      </c>
      <c r="E604">
        <v>156</v>
      </c>
    </row>
    <row r="605" spans="1:5" hidden="1" x14ac:dyDescent="0.25">
      <c r="A605" t="s">
        <v>2357</v>
      </c>
      <c r="B605" t="s">
        <v>2358</v>
      </c>
      <c r="C605" t="s">
        <v>59</v>
      </c>
      <c r="D605" t="s">
        <v>58</v>
      </c>
      <c r="E605">
        <v>17</v>
      </c>
    </row>
    <row r="606" spans="1:5" hidden="1" x14ac:dyDescent="0.25">
      <c r="A606" t="s">
        <v>1458</v>
      </c>
      <c r="B606" t="s">
        <v>1460</v>
      </c>
      <c r="C606" t="s">
        <v>59</v>
      </c>
      <c r="D606" t="s">
        <v>58</v>
      </c>
      <c r="E606">
        <v>8</v>
      </c>
    </row>
    <row r="607" spans="1:5" hidden="1" x14ac:dyDescent="0.25">
      <c r="A607" t="s">
        <v>1461</v>
      </c>
      <c r="B607" t="s">
        <v>1463</v>
      </c>
      <c r="C607" t="s">
        <v>59</v>
      </c>
      <c r="D607" t="s">
        <v>58</v>
      </c>
      <c r="E607">
        <v>162</v>
      </c>
    </row>
    <row r="608" spans="1:5" hidden="1" x14ac:dyDescent="0.25">
      <c r="A608" t="s">
        <v>1464</v>
      </c>
      <c r="B608" t="s">
        <v>1466</v>
      </c>
      <c r="C608" t="s">
        <v>59</v>
      </c>
      <c r="D608" t="s">
        <v>58</v>
      </c>
      <c r="E608">
        <v>215</v>
      </c>
    </row>
    <row r="609" spans="1:5" hidden="1" x14ac:dyDescent="0.25">
      <c r="A609" t="s">
        <v>1467</v>
      </c>
      <c r="B609" t="s">
        <v>1469</v>
      </c>
      <c r="C609" t="s">
        <v>59</v>
      </c>
      <c r="D609" t="s">
        <v>58</v>
      </c>
      <c r="E609">
        <v>453</v>
      </c>
    </row>
    <row r="610" spans="1:5" hidden="1" x14ac:dyDescent="0.25">
      <c r="A610" t="s">
        <v>1470</v>
      </c>
      <c r="B610" t="s">
        <v>1472</v>
      </c>
      <c r="C610" t="s">
        <v>59</v>
      </c>
      <c r="D610" t="s">
        <v>58</v>
      </c>
      <c r="E610">
        <v>380</v>
      </c>
    </row>
    <row r="611" spans="1:5" hidden="1" x14ac:dyDescent="0.25">
      <c r="A611" t="s">
        <v>2359</v>
      </c>
      <c r="B611" t="s">
        <v>2360</v>
      </c>
      <c r="C611" t="s">
        <v>59</v>
      </c>
      <c r="D611" t="s">
        <v>58</v>
      </c>
      <c r="E611">
        <v>11</v>
      </c>
    </row>
    <row r="612" spans="1:5" hidden="1" x14ac:dyDescent="0.25">
      <c r="A612" t="s">
        <v>1473</v>
      </c>
      <c r="B612" t="s">
        <v>1475</v>
      </c>
      <c r="C612" t="s">
        <v>59</v>
      </c>
      <c r="D612" t="s">
        <v>58</v>
      </c>
      <c r="E612">
        <v>67</v>
      </c>
    </row>
    <row r="613" spans="1:5" hidden="1" x14ac:dyDescent="0.25">
      <c r="A613" t="s">
        <v>1476</v>
      </c>
      <c r="B613" t="s">
        <v>1478</v>
      </c>
      <c r="C613" t="s">
        <v>150</v>
      </c>
      <c r="D613" t="s">
        <v>58</v>
      </c>
      <c r="E613">
        <v>213</v>
      </c>
    </row>
    <row r="614" spans="1:5" hidden="1" x14ac:dyDescent="0.25">
      <c r="A614" t="s">
        <v>1479</v>
      </c>
      <c r="B614" t="s">
        <v>1481</v>
      </c>
      <c r="C614" t="s">
        <v>150</v>
      </c>
      <c r="D614" t="s">
        <v>58</v>
      </c>
      <c r="E614">
        <v>440</v>
      </c>
    </row>
    <row r="615" spans="1:5" hidden="1" x14ac:dyDescent="0.25">
      <c r="A615" t="s">
        <v>1482</v>
      </c>
      <c r="B615" t="s">
        <v>1484</v>
      </c>
      <c r="C615" t="s">
        <v>150</v>
      </c>
      <c r="D615" t="s">
        <v>58</v>
      </c>
      <c r="E615">
        <v>375</v>
      </c>
    </row>
    <row r="616" spans="1:5" hidden="1" x14ac:dyDescent="0.25">
      <c r="A616" t="s">
        <v>1485</v>
      </c>
      <c r="B616" t="s">
        <v>1487</v>
      </c>
      <c r="C616" t="s">
        <v>150</v>
      </c>
      <c r="D616" t="s">
        <v>58</v>
      </c>
      <c r="E616">
        <v>131</v>
      </c>
    </row>
    <row r="617" spans="1:5" hidden="1" x14ac:dyDescent="0.25">
      <c r="A617" t="s">
        <v>1488</v>
      </c>
      <c r="B617" t="s">
        <v>1490</v>
      </c>
      <c r="C617" t="s">
        <v>150</v>
      </c>
      <c r="D617" t="s">
        <v>58</v>
      </c>
      <c r="E617">
        <v>6</v>
      </c>
    </row>
    <row r="618" spans="1:5" hidden="1" x14ac:dyDescent="0.25">
      <c r="A618" t="s">
        <v>1491</v>
      </c>
      <c r="B618" t="s">
        <v>1493</v>
      </c>
      <c r="C618" t="s">
        <v>150</v>
      </c>
      <c r="D618" t="s">
        <v>58</v>
      </c>
      <c r="E618">
        <v>37</v>
      </c>
    </row>
    <row r="619" spans="1:5" hidden="1" x14ac:dyDescent="0.25">
      <c r="A619" t="s">
        <v>1495</v>
      </c>
      <c r="B619" t="s">
        <v>1497</v>
      </c>
      <c r="C619" t="s">
        <v>216</v>
      </c>
      <c r="D619" t="s">
        <v>58</v>
      </c>
      <c r="E619">
        <v>12</v>
      </c>
    </row>
    <row r="620" spans="1:5" x14ac:dyDescent="0.25">
      <c r="A620" t="s">
        <v>1498</v>
      </c>
      <c r="B620" t="s">
        <v>1500</v>
      </c>
      <c r="C620" t="s">
        <v>167</v>
      </c>
      <c r="D620" t="s">
        <v>58</v>
      </c>
      <c r="E620">
        <v>27</v>
      </c>
    </row>
    <row r="621" spans="1:5" x14ac:dyDescent="0.25">
      <c r="A621" t="s">
        <v>1501</v>
      </c>
      <c r="B621" t="s">
        <v>1503</v>
      </c>
      <c r="C621" t="s">
        <v>167</v>
      </c>
      <c r="D621" t="s">
        <v>58</v>
      </c>
      <c r="E621">
        <v>213</v>
      </c>
    </row>
    <row r="622" spans="1:5" x14ac:dyDescent="0.25">
      <c r="A622" t="s">
        <v>1504</v>
      </c>
      <c r="B622" t="s">
        <v>1506</v>
      </c>
      <c r="C622" t="s">
        <v>167</v>
      </c>
      <c r="D622" t="s">
        <v>58</v>
      </c>
      <c r="E622">
        <v>26</v>
      </c>
    </row>
    <row r="623" spans="1:5" x14ac:dyDescent="0.25">
      <c r="A623" t="s">
        <v>1507</v>
      </c>
      <c r="B623" t="s">
        <v>1509</v>
      </c>
      <c r="C623" t="s">
        <v>167</v>
      </c>
      <c r="D623" t="s">
        <v>58</v>
      </c>
      <c r="E623">
        <v>26</v>
      </c>
    </row>
    <row r="624" spans="1:5" x14ac:dyDescent="0.25">
      <c r="A624" t="s">
        <v>1510</v>
      </c>
      <c r="B624" t="s">
        <v>1512</v>
      </c>
      <c r="C624" t="s">
        <v>167</v>
      </c>
      <c r="D624" t="s">
        <v>58</v>
      </c>
      <c r="E624">
        <v>82</v>
      </c>
    </row>
    <row r="625" spans="1:5" hidden="1" x14ac:dyDescent="0.25">
      <c r="A625" t="s">
        <v>1513</v>
      </c>
      <c r="B625" t="s">
        <v>1515</v>
      </c>
      <c r="C625" t="s">
        <v>59</v>
      </c>
      <c r="D625" t="s">
        <v>58</v>
      </c>
      <c r="E625">
        <v>22</v>
      </c>
    </row>
    <row r="626" spans="1:5" hidden="1" x14ac:dyDescent="0.25">
      <c r="A626" t="s">
        <v>1516</v>
      </c>
      <c r="B626" t="s">
        <v>1515</v>
      </c>
      <c r="C626" t="s">
        <v>59</v>
      </c>
      <c r="D626" t="s">
        <v>58</v>
      </c>
      <c r="E626">
        <v>432</v>
      </c>
    </row>
    <row r="627" spans="1:5" hidden="1" x14ac:dyDescent="0.25">
      <c r="A627" t="s">
        <v>1517</v>
      </c>
      <c r="B627" t="s">
        <v>1519</v>
      </c>
      <c r="C627" t="s">
        <v>59</v>
      </c>
      <c r="D627" t="s">
        <v>58</v>
      </c>
      <c r="E627">
        <v>148</v>
      </c>
    </row>
    <row r="628" spans="1:5" hidden="1" x14ac:dyDescent="0.25">
      <c r="A628" t="s">
        <v>1520</v>
      </c>
      <c r="B628" t="s">
        <v>1522</v>
      </c>
      <c r="C628" t="s">
        <v>203</v>
      </c>
      <c r="D628" t="s">
        <v>58</v>
      </c>
      <c r="E628">
        <v>205</v>
      </c>
    </row>
    <row r="629" spans="1:5" hidden="1" x14ac:dyDescent="0.25">
      <c r="A629" t="s">
        <v>1523</v>
      </c>
      <c r="B629" t="s">
        <v>1525</v>
      </c>
      <c r="C629" t="s">
        <v>203</v>
      </c>
      <c r="D629" t="s">
        <v>58</v>
      </c>
      <c r="E629">
        <v>230</v>
      </c>
    </row>
    <row r="630" spans="1:5" hidden="1" x14ac:dyDescent="0.25">
      <c r="A630" t="s">
        <v>1526</v>
      </c>
      <c r="B630" t="s">
        <v>1528</v>
      </c>
      <c r="C630" t="s">
        <v>203</v>
      </c>
      <c r="D630" t="s">
        <v>58</v>
      </c>
      <c r="E630">
        <v>204</v>
      </c>
    </row>
    <row r="631" spans="1:5" hidden="1" x14ac:dyDescent="0.25">
      <c r="A631" t="s">
        <v>1529</v>
      </c>
      <c r="B631" t="s">
        <v>1531</v>
      </c>
      <c r="C631" t="s">
        <v>150</v>
      </c>
      <c r="D631" t="s">
        <v>58</v>
      </c>
      <c r="E631">
        <v>432</v>
      </c>
    </row>
    <row r="632" spans="1:5" hidden="1" x14ac:dyDescent="0.25">
      <c r="A632" t="s">
        <v>1532</v>
      </c>
      <c r="B632" t="s">
        <v>1534</v>
      </c>
      <c r="C632" t="s">
        <v>67</v>
      </c>
      <c r="D632" t="s">
        <v>58</v>
      </c>
      <c r="E632">
        <v>25.834499999999998</v>
      </c>
    </row>
    <row r="633" spans="1:5" hidden="1" x14ac:dyDescent="0.25">
      <c r="A633" t="s">
        <v>1535</v>
      </c>
      <c r="B633" t="s">
        <v>1537</v>
      </c>
      <c r="C633" t="s">
        <v>59</v>
      </c>
      <c r="D633" t="s">
        <v>58</v>
      </c>
      <c r="E633">
        <v>160</v>
      </c>
    </row>
    <row r="634" spans="1:5" hidden="1" x14ac:dyDescent="0.25">
      <c r="A634" t="s">
        <v>1539</v>
      </c>
      <c r="B634" t="s">
        <v>1541</v>
      </c>
      <c r="C634" t="s">
        <v>225</v>
      </c>
      <c r="D634" t="s">
        <v>58</v>
      </c>
      <c r="E634">
        <v>13</v>
      </c>
    </row>
    <row r="635" spans="1:5" hidden="1" x14ac:dyDescent="0.25">
      <c r="A635" t="s">
        <v>1542</v>
      </c>
      <c r="B635" t="s">
        <v>1544</v>
      </c>
      <c r="C635" t="s">
        <v>150</v>
      </c>
      <c r="D635" t="s">
        <v>58</v>
      </c>
      <c r="E635">
        <v>19</v>
      </c>
    </row>
    <row r="636" spans="1:5" hidden="1" x14ac:dyDescent="0.25">
      <c r="A636" t="s">
        <v>1545</v>
      </c>
      <c r="B636" t="s">
        <v>1547</v>
      </c>
      <c r="C636" t="s">
        <v>59</v>
      </c>
      <c r="D636" t="s">
        <v>58</v>
      </c>
      <c r="E636">
        <v>3</v>
      </c>
    </row>
    <row r="637" spans="1:5" hidden="1" x14ac:dyDescent="0.25">
      <c r="A637" t="s">
        <v>1548</v>
      </c>
      <c r="B637" t="s">
        <v>1550</v>
      </c>
      <c r="C637" t="s">
        <v>59</v>
      </c>
      <c r="D637" t="s">
        <v>58</v>
      </c>
      <c r="E637">
        <v>6</v>
      </c>
    </row>
    <row r="638" spans="1:5" hidden="1" x14ac:dyDescent="0.25">
      <c r="A638" t="s">
        <v>2361</v>
      </c>
      <c r="B638" t="s">
        <v>2362</v>
      </c>
      <c r="C638" t="s">
        <v>160</v>
      </c>
      <c r="D638" t="s">
        <v>58</v>
      </c>
      <c r="E638">
        <v>11</v>
      </c>
    </row>
    <row r="639" spans="1:5" hidden="1" x14ac:dyDescent="0.25">
      <c r="A639" t="s">
        <v>1555</v>
      </c>
      <c r="B639" t="s">
        <v>1557</v>
      </c>
      <c r="C639" t="s">
        <v>59</v>
      </c>
      <c r="D639" t="s">
        <v>58</v>
      </c>
      <c r="E639">
        <v>0</v>
      </c>
    </row>
    <row r="640" spans="1:5" hidden="1" x14ac:dyDescent="0.25">
      <c r="A640" t="s">
        <v>2363</v>
      </c>
      <c r="B640" t="s">
        <v>2364</v>
      </c>
      <c r="C640" t="s">
        <v>160</v>
      </c>
      <c r="D640" t="s">
        <v>58</v>
      </c>
      <c r="E640">
        <v>2</v>
      </c>
    </row>
    <row r="641" spans="1:5" hidden="1" x14ac:dyDescent="0.25">
      <c r="A641" t="s">
        <v>1558</v>
      </c>
      <c r="B641" t="s">
        <v>1560</v>
      </c>
      <c r="C641" t="s">
        <v>160</v>
      </c>
      <c r="D641" t="s">
        <v>58</v>
      </c>
      <c r="E641">
        <v>13</v>
      </c>
    </row>
    <row r="642" spans="1:5" hidden="1" x14ac:dyDescent="0.25">
      <c r="A642" t="s">
        <v>2365</v>
      </c>
      <c r="B642" t="s">
        <v>2366</v>
      </c>
      <c r="C642" t="s">
        <v>160</v>
      </c>
      <c r="D642" t="s">
        <v>58</v>
      </c>
      <c r="E642">
        <v>15</v>
      </c>
    </row>
    <row r="643" spans="1:5" hidden="1" x14ac:dyDescent="0.25">
      <c r="A643" t="s">
        <v>2367</v>
      </c>
      <c r="B643" t="s">
        <v>2368</v>
      </c>
      <c r="C643" t="s">
        <v>160</v>
      </c>
      <c r="D643" t="s">
        <v>58</v>
      </c>
      <c r="E643">
        <v>4</v>
      </c>
    </row>
    <row r="644" spans="1:5" x14ac:dyDescent="0.25">
      <c r="A644" t="s">
        <v>1561</v>
      </c>
      <c r="B644" t="s">
        <v>1563</v>
      </c>
      <c r="C644" t="s">
        <v>167</v>
      </c>
      <c r="D644" t="s">
        <v>58</v>
      </c>
      <c r="E644">
        <v>43</v>
      </c>
    </row>
    <row r="645" spans="1:5" hidden="1" x14ac:dyDescent="0.25">
      <c r="A645" t="s">
        <v>1564</v>
      </c>
      <c r="B645" t="s">
        <v>1566</v>
      </c>
      <c r="C645" t="s">
        <v>59</v>
      </c>
      <c r="D645" t="s">
        <v>58</v>
      </c>
      <c r="E645">
        <v>98</v>
      </c>
    </row>
    <row r="646" spans="1:5" hidden="1" x14ac:dyDescent="0.25">
      <c r="A646" t="s">
        <v>1567</v>
      </c>
      <c r="B646" t="s">
        <v>1569</v>
      </c>
      <c r="C646" t="s">
        <v>59</v>
      </c>
      <c r="D646" t="s">
        <v>58</v>
      </c>
      <c r="E646">
        <v>56</v>
      </c>
    </row>
    <row r="647" spans="1:5" hidden="1" x14ac:dyDescent="0.25">
      <c r="A647" t="s">
        <v>1570</v>
      </c>
      <c r="B647" t="s">
        <v>1572</v>
      </c>
      <c r="C647" t="s">
        <v>59</v>
      </c>
      <c r="D647" t="s">
        <v>58</v>
      </c>
      <c r="E647">
        <v>56</v>
      </c>
    </row>
    <row r="648" spans="1:5" hidden="1" x14ac:dyDescent="0.25">
      <c r="A648" t="s">
        <v>1573</v>
      </c>
      <c r="B648" t="s">
        <v>1572</v>
      </c>
      <c r="C648" t="s">
        <v>59</v>
      </c>
      <c r="D648" t="s">
        <v>58</v>
      </c>
      <c r="E648">
        <v>10</v>
      </c>
    </row>
    <row r="649" spans="1:5" hidden="1" x14ac:dyDescent="0.25">
      <c r="A649" t="s">
        <v>1575</v>
      </c>
      <c r="B649" t="s">
        <v>1577</v>
      </c>
      <c r="C649" t="s">
        <v>59</v>
      </c>
      <c r="D649" t="s">
        <v>58</v>
      </c>
      <c r="E649">
        <v>30</v>
      </c>
    </row>
    <row r="650" spans="1:5" hidden="1" x14ac:dyDescent="0.25">
      <c r="A650" t="s">
        <v>1578</v>
      </c>
      <c r="B650" t="s">
        <v>1580</v>
      </c>
      <c r="C650" t="s">
        <v>59</v>
      </c>
      <c r="D650" t="s">
        <v>58</v>
      </c>
      <c r="E650">
        <v>66</v>
      </c>
    </row>
    <row r="651" spans="1:5" hidden="1" x14ac:dyDescent="0.25">
      <c r="A651" t="s">
        <v>1581</v>
      </c>
      <c r="B651" t="s">
        <v>1583</v>
      </c>
      <c r="C651" t="s">
        <v>59</v>
      </c>
      <c r="D651" t="s">
        <v>58</v>
      </c>
      <c r="E651">
        <v>158</v>
      </c>
    </row>
    <row r="652" spans="1:5" hidden="1" x14ac:dyDescent="0.25">
      <c r="A652" t="s">
        <v>1584</v>
      </c>
      <c r="B652" t="s">
        <v>1586</v>
      </c>
      <c r="C652" t="s">
        <v>59</v>
      </c>
      <c r="D652" t="s">
        <v>58</v>
      </c>
      <c r="E652">
        <v>127</v>
      </c>
    </row>
    <row r="653" spans="1:5" hidden="1" x14ac:dyDescent="0.25">
      <c r="A653" t="s">
        <v>1587</v>
      </c>
      <c r="B653" t="s">
        <v>1589</v>
      </c>
      <c r="C653" t="s">
        <v>160</v>
      </c>
      <c r="D653" t="s">
        <v>58</v>
      </c>
      <c r="E653">
        <v>9</v>
      </c>
    </row>
    <row r="654" spans="1:5" hidden="1" x14ac:dyDescent="0.25">
      <c r="A654" t="s">
        <v>1590</v>
      </c>
      <c r="B654" t="s">
        <v>1592</v>
      </c>
      <c r="C654" t="s">
        <v>160</v>
      </c>
      <c r="D654" t="s">
        <v>58</v>
      </c>
      <c r="E654">
        <v>16</v>
      </c>
    </row>
    <row r="655" spans="1:5" hidden="1" x14ac:dyDescent="0.25">
      <c r="A655" t="s">
        <v>1593</v>
      </c>
      <c r="B655" t="s">
        <v>1595</v>
      </c>
      <c r="C655" t="s">
        <v>160</v>
      </c>
      <c r="D655" t="s">
        <v>58</v>
      </c>
      <c r="E655">
        <v>11</v>
      </c>
    </row>
    <row r="656" spans="1:5" hidden="1" x14ac:dyDescent="0.25">
      <c r="A656" t="s">
        <v>1596</v>
      </c>
      <c r="B656" t="s">
        <v>1598</v>
      </c>
      <c r="C656" t="s">
        <v>59</v>
      </c>
      <c r="D656" t="s">
        <v>58</v>
      </c>
      <c r="E656">
        <v>158</v>
      </c>
    </row>
    <row r="657" spans="1:5" hidden="1" x14ac:dyDescent="0.25">
      <c r="A657" t="s">
        <v>1599</v>
      </c>
      <c r="B657" t="s">
        <v>1598</v>
      </c>
      <c r="C657" t="s">
        <v>59</v>
      </c>
      <c r="D657" t="s">
        <v>58</v>
      </c>
      <c r="E657">
        <v>28</v>
      </c>
    </row>
    <row r="658" spans="1:5" hidden="1" x14ac:dyDescent="0.25">
      <c r="A658" t="s">
        <v>1601</v>
      </c>
      <c r="B658" t="s">
        <v>1603</v>
      </c>
      <c r="C658" t="s">
        <v>59</v>
      </c>
      <c r="D658" t="s">
        <v>58</v>
      </c>
      <c r="E658">
        <v>102</v>
      </c>
    </row>
    <row r="659" spans="1:5" hidden="1" x14ac:dyDescent="0.25">
      <c r="A659" t="s">
        <v>1604</v>
      </c>
      <c r="B659" t="s">
        <v>1606</v>
      </c>
      <c r="C659" t="s">
        <v>160</v>
      </c>
      <c r="D659" t="s">
        <v>58</v>
      </c>
      <c r="E659">
        <v>22</v>
      </c>
    </row>
    <row r="660" spans="1:5" hidden="1" x14ac:dyDescent="0.25">
      <c r="A660" t="s">
        <v>2369</v>
      </c>
      <c r="B660" t="s">
        <v>2370</v>
      </c>
      <c r="C660" t="s">
        <v>160</v>
      </c>
      <c r="D660" t="s">
        <v>58</v>
      </c>
      <c r="E660">
        <v>8.2789999999999999</v>
      </c>
    </row>
    <row r="661" spans="1:5" hidden="1" x14ac:dyDescent="0.25">
      <c r="A661" t="s">
        <v>1607</v>
      </c>
      <c r="B661" t="s">
        <v>1609</v>
      </c>
      <c r="C661" t="s">
        <v>59</v>
      </c>
      <c r="D661" t="s">
        <v>58</v>
      </c>
      <c r="E661">
        <v>788</v>
      </c>
    </row>
    <row r="662" spans="1:5" x14ac:dyDescent="0.25">
      <c r="A662" t="s">
        <v>1610</v>
      </c>
      <c r="B662" t="s">
        <v>1612</v>
      </c>
      <c r="C662" t="s">
        <v>167</v>
      </c>
      <c r="D662" t="s">
        <v>58</v>
      </c>
      <c r="E662">
        <v>117</v>
      </c>
    </row>
    <row r="663" spans="1:5" hidden="1" x14ac:dyDescent="0.25">
      <c r="A663" t="s">
        <v>2371</v>
      </c>
      <c r="B663" t="s">
        <v>2372</v>
      </c>
      <c r="C663" t="s">
        <v>203</v>
      </c>
      <c r="D663" t="s">
        <v>58</v>
      </c>
      <c r="E663">
        <v>20</v>
      </c>
    </row>
    <row r="664" spans="1:5" hidden="1" x14ac:dyDescent="0.25">
      <c r="A664" t="s">
        <v>1613</v>
      </c>
      <c r="B664" t="s">
        <v>1615</v>
      </c>
      <c r="C664" t="s">
        <v>160</v>
      </c>
      <c r="D664" t="s">
        <v>58</v>
      </c>
      <c r="E664">
        <v>53</v>
      </c>
    </row>
    <row r="665" spans="1:5" hidden="1" x14ac:dyDescent="0.25">
      <c r="A665" t="s">
        <v>2373</v>
      </c>
      <c r="B665" t="s">
        <v>2374</v>
      </c>
      <c r="C665" t="s">
        <v>203</v>
      </c>
      <c r="D665" t="s">
        <v>58</v>
      </c>
      <c r="E665">
        <v>22</v>
      </c>
    </row>
    <row r="666" spans="1:5" hidden="1" x14ac:dyDescent="0.25">
      <c r="A666" t="s">
        <v>1616</v>
      </c>
      <c r="B666" t="s">
        <v>1618</v>
      </c>
      <c r="C666" t="s">
        <v>160</v>
      </c>
      <c r="D666" t="s">
        <v>58</v>
      </c>
      <c r="E666">
        <v>16</v>
      </c>
    </row>
    <row r="667" spans="1:5" hidden="1" x14ac:dyDescent="0.25">
      <c r="A667" t="s">
        <v>1619</v>
      </c>
      <c r="B667" t="s">
        <v>1621</v>
      </c>
      <c r="C667" t="s">
        <v>59</v>
      </c>
      <c r="D667" t="s">
        <v>58</v>
      </c>
      <c r="E667">
        <v>48</v>
      </c>
    </row>
    <row r="668" spans="1:5" hidden="1" x14ac:dyDescent="0.25">
      <c r="A668" t="s">
        <v>1625</v>
      </c>
      <c r="B668" t="s">
        <v>1627</v>
      </c>
      <c r="C668" t="s">
        <v>59</v>
      </c>
      <c r="D668" t="s">
        <v>58</v>
      </c>
      <c r="E668">
        <v>32</v>
      </c>
    </row>
    <row r="669" spans="1:5" hidden="1" x14ac:dyDescent="0.25">
      <c r="A669" t="s">
        <v>1628</v>
      </c>
      <c r="B669" t="s">
        <v>1630</v>
      </c>
      <c r="C669" t="s">
        <v>59</v>
      </c>
      <c r="D669" t="s">
        <v>58</v>
      </c>
      <c r="E669">
        <v>31</v>
      </c>
    </row>
    <row r="670" spans="1:5" hidden="1" x14ac:dyDescent="0.25">
      <c r="A670" t="s">
        <v>1633</v>
      </c>
      <c r="B670" t="s">
        <v>1635</v>
      </c>
      <c r="C670" t="s">
        <v>160</v>
      </c>
      <c r="D670" t="s">
        <v>58</v>
      </c>
      <c r="E670">
        <v>21</v>
      </c>
    </row>
    <row r="671" spans="1:5" hidden="1" x14ac:dyDescent="0.25">
      <c r="A671" t="s">
        <v>1636</v>
      </c>
      <c r="B671" t="s">
        <v>1638</v>
      </c>
      <c r="C671" t="s">
        <v>59</v>
      </c>
      <c r="D671" t="s">
        <v>58</v>
      </c>
      <c r="E671">
        <v>102</v>
      </c>
    </row>
    <row r="672" spans="1:5" hidden="1" x14ac:dyDescent="0.25">
      <c r="A672" t="s">
        <v>1639</v>
      </c>
      <c r="B672" t="s">
        <v>1641</v>
      </c>
      <c r="C672" t="s">
        <v>59</v>
      </c>
      <c r="D672" t="s">
        <v>58</v>
      </c>
      <c r="E672">
        <v>56</v>
      </c>
    </row>
    <row r="673" spans="1:5" hidden="1" x14ac:dyDescent="0.25">
      <c r="A673" t="s">
        <v>1642</v>
      </c>
      <c r="B673" t="s">
        <v>1644</v>
      </c>
      <c r="C673" t="s">
        <v>160</v>
      </c>
      <c r="D673" t="s">
        <v>58</v>
      </c>
      <c r="E673">
        <v>3</v>
      </c>
    </row>
    <row r="674" spans="1:5" hidden="1" x14ac:dyDescent="0.25">
      <c r="A674" t="s">
        <v>1645</v>
      </c>
      <c r="B674" t="s">
        <v>1647</v>
      </c>
      <c r="C674" t="s">
        <v>160</v>
      </c>
      <c r="D674" t="s">
        <v>58</v>
      </c>
      <c r="E674">
        <v>2</v>
      </c>
    </row>
    <row r="675" spans="1:5" hidden="1" x14ac:dyDescent="0.25">
      <c r="A675" t="s">
        <v>1648</v>
      </c>
      <c r="B675" t="s">
        <v>1650</v>
      </c>
      <c r="C675" t="s">
        <v>160</v>
      </c>
      <c r="D675" t="s">
        <v>58</v>
      </c>
      <c r="E675">
        <v>6</v>
      </c>
    </row>
    <row r="676" spans="1:5" hidden="1" x14ac:dyDescent="0.25">
      <c r="A676" t="s">
        <v>1651</v>
      </c>
      <c r="B676" t="s">
        <v>1653</v>
      </c>
      <c r="C676" t="s">
        <v>59</v>
      </c>
      <c r="D676" t="s">
        <v>58</v>
      </c>
      <c r="E676">
        <v>56</v>
      </c>
    </row>
    <row r="677" spans="1:5" hidden="1" x14ac:dyDescent="0.25">
      <c r="A677" t="s">
        <v>1654</v>
      </c>
      <c r="B677" t="s">
        <v>1656</v>
      </c>
      <c r="C677" t="s">
        <v>59</v>
      </c>
      <c r="D677" t="s">
        <v>58</v>
      </c>
      <c r="E677">
        <v>66</v>
      </c>
    </row>
    <row r="678" spans="1:5" hidden="1" x14ac:dyDescent="0.25">
      <c r="A678" t="s">
        <v>2375</v>
      </c>
      <c r="B678" t="s">
        <v>2376</v>
      </c>
      <c r="C678" t="s">
        <v>59</v>
      </c>
      <c r="D678" t="s">
        <v>58</v>
      </c>
      <c r="E678">
        <v>48</v>
      </c>
    </row>
    <row r="679" spans="1:5" hidden="1" x14ac:dyDescent="0.25">
      <c r="A679" t="s">
        <v>2377</v>
      </c>
      <c r="B679" t="s">
        <v>2378</v>
      </c>
      <c r="C679" t="s">
        <v>59</v>
      </c>
      <c r="D679" t="s">
        <v>58</v>
      </c>
      <c r="E679">
        <v>86</v>
      </c>
    </row>
    <row r="680" spans="1:5" hidden="1" x14ac:dyDescent="0.25">
      <c r="A680" t="s">
        <v>2379</v>
      </c>
      <c r="B680" t="s">
        <v>2380</v>
      </c>
      <c r="C680" t="s">
        <v>59</v>
      </c>
      <c r="D680" t="s">
        <v>58</v>
      </c>
      <c r="E680">
        <v>45</v>
      </c>
    </row>
    <row r="681" spans="1:5" hidden="1" x14ac:dyDescent="0.25">
      <c r="A681" t="s">
        <v>2381</v>
      </c>
      <c r="B681" t="s">
        <v>2382</v>
      </c>
      <c r="C681" t="s">
        <v>59</v>
      </c>
      <c r="D681" t="s">
        <v>58</v>
      </c>
      <c r="E681">
        <v>83</v>
      </c>
    </row>
    <row r="682" spans="1:5" hidden="1" x14ac:dyDescent="0.25">
      <c r="A682" t="s">
        <v>1657</v>
      </c>
      <c r="B682" t="s">
        <v>1659</v>
      </c>
      <c r="C682" t="s">
        <v>59</v>
      </c>
      <c r="D682" t="s">
        <v>58</v>
      </c>
      <c r="E682">
        <v>35</v>
      </c>
    </row>
    <row r="683" spans="1:5" hidden="1" x14ac:dyDescent="0.25">
      <c r="A683" t="s">
        <v>1660</v>
      </c>
      <c r="B683" t="s">
        <v>1662</v>
      </c>
      <c r="C683" t="s">
        <v>59</v>
      </c>
      <c r="D683" t="s">
        <v>58</v>
      </c>
      <c r="E683">
        <v>146</v>
      </c>
    </row>
    <row r="684" spans="1:5" x14ac:dyDescent="0.25">
      <c r="A684" t="s">
        <v>2383</v>
      </c>
      <c r="B684" t="s">
        <v>2384</v>
      </c>
      <c r="C684" t="s">
        <v>167</v>
      </c>
      <c r="D684" t="s">
        <v>58</v>
      </c>
      <c r="E684">
        <v>9</v>
      </c>
    </row>
    <row r="685" spans="1:5" x14ac:dyDescent="0.25">
      <c r="A685" t="s">
        <v>2385</v>
      </c>
      <c r="B685" t="s">
        <v>2386</v>
      </c>
      <c r="C685" t="s">
        <v>167</v>
      </c>
      <c r="D685" t="s">
        <v>58</v>
      </c>
      <c r="E685">
        <v>9</v>
      </c>
    </row>
    <row r="686" spans="1:5" hidden="1" x14ac:dyDescent="0.25">
      <c r="A686" t="s">
        <v>1666</v>
      </c>
      <c r="B686" t="s">
        <v>1668</v>
      </c>
      <c r="C686" t="s">
        <v>160</v>
      </c>
      <c r="D686" t="s">
        <v>58</v>
      </c>
      <c r="E686">
        <v>87</v>
      </c>
    </row>
    <row r="687" spans="1:5" hidden="1" x14ac:dyDescent="0.25">
      <c r="A687" t="s">
        <v>1669</v>
      </c>
      <c r="B687" t="s">
        <v>1668</v>
      </c>
      <c r="C687" t="s">
        <v>160</v>
      </c>
      <c r="D687" t="s">
        <v>58</v>
      </c>
      <c r="E687">
        <v>10</v>
      </c>
    </row>
    <row r="688" spans="1:5" hidden="1" x14ac:dyDescent="0.25">
      <c r="A688" t="s">
        <v>2387</v>
      </c>
      <c r="B688" t="s">
        <v>2388</v>
      </c>
      <c r="C688" t="s">
        <v>59</v>
      </c>
      <c r="D688" t="s">
        <v>58</v>
      </c>
      <c r="E688">
        <v>41</v>
      </c>
    </row>
    <row r="689" spans="1:5" hidden="1" x14ac:dyDescent="0.25">
      <c r="A689" t="s">
        <v>1670</v>
      </c>
      <c r="B689" t="s">
        <v>1672</v>
      </c>
      <c r="C689" t="s">
        <v>59</v>
      </c>
      <c r="D689" t="s">
        <v>58</v>
      </c>
      <c r="E689">
        <v>110</v>
      </c>
    </row>
    <row r="690" spans="1:5" hidden="1" x14ac:dyDescent="0.25">
      <c r="A690" t="s">
        <v>1673</v>
      </c>
      <c r="B690" t="s">
        <v>1675</v>
      </c>
      <c r="C690" t="s">
        <v>59</v>
      </c>
      <c r="D690" t="s">
        <v>58</v>
      </c>
      <c r="E690">
        <v>102</v>
      </c>
    </row>
    <row r="691" spans="1:5" hidden="1" x14ac:dyDescent="0.25">
      <c r="A691" t="s">
        <v>1676</v>
      </c>
      <c r="B691" t="s">
        <v>1678</v>
      </c>
      <c r="C691" t="s">
        <v>59</v>
      </c>
      <c r="D691" t="s">
        <v>58</v>
      </c>
      <c r="E691">
        <v>311</v>
      </c>
    </row>
    <row r="692" spans="1:5" hidden="1" x14ac:dyDescent="0.25">
      <c r="A692" t="s">
        <v>1679</v>
      </c>
      <c r="B692" t="s">
        <v>1681</v>
      </c>
      <c r="C692" t="s">
        <v>160</v>
      </c>
      <c r="D692" t="s">
        <v>58</v>
      </c>
      <c r="E692">
        <v>24</v>
      </c>
    </row>
    <row r="693" spans="1:5" hidden="1" x14ac:dyDescent="0.25">
      <c r="A693" t="s">
        <v>2389</v>
      </c>
      <c r="B693" t="s">
        <v>2390</v>
      </c>
      <c r="C693" t="s">
        <v>203</v>
      </c>
      <c r="D693" t="s">
        <v>58</v>
      </c>
      <c r="E693">
        <v>69.114000000000004</v>
      </c>
    </row>
    <row r="694" spans="1:5" hidden="1" x14ac:dyDescent="0.25">
      <c r="A694" t="s">
        <v>1682</v>
      </c>
      <c r="B694" t="s">
        <v>1684</v>
      </c>
      <c r="C694" t="s">
        <v>203</v>
      </c>
      <c r="D694" t="s">
        <v>58</v>
      </c>
      <c r="E694">
        <v>40.076000000000001</v>
      </c>
    </row>
    <row r="695" spans="1:5" hidden="1" x14ac:dyDescent="0.25">
      <c r="A695" t="s">
        <v>2391</v>
      </c>
      <c r="B695" t="s">
        <v>2392</v>
      </c>
      <c r="C695" t="s">
        <v>203</v>
      </c>
      <c r="D695" t="s">
        <v>58</v>
      </c>
      <c r="E695">
        <v>69.114000000000004</v>
      </c>
    </row>
    <row r="696" spans="1:5" x14ac:dyDescent="0.25">
      <c r="A696" t="s">
        <v>1685</v>
      </c>
      <c r="B696" t="s">
        <v>1687</v>
      </c>
      <c r="C696" t="s">
        <v>167</v>
      </c>
      <c r="D696" t="s">
        <v>58</v>
      </c>
      <c r="E696">
        <v>44</v>
      </c>
    </row>
    <row r="697" spans="1:5" hidden="1" x14ac:dyDescent="0.25">
      <c r="A697" t="s">
        <v>1688</v>
      </c>
      <c r="B697" t="s">
        <v>1690</v>
      </c>
      <c r="C697" t="s">
        <v>59</v>
      </c>
      <c r="D697" t="s">
        <v>58</v>
      </c>
      <c r="E697">
        <v>105</v>
      </c>
    </row>
    <row r="698" spans="1:5" hidden="1" x14ac:dyDescent="0.25">
      <c r="A698" t="s">
        <v>1693</v>
      </c>
      <c r="B698" t="s">
        <v>1695</v>
      </c>
      <c r="C698" t="s">
        <v>59</v>
      </c>
      <c r="D698" t="s">
        <v>58</v>
      </c>
      <c r="E698">
        <v>105</v>
      </c>
    </row>
    <row r="699" spans="1:5" hidden="1" x14ac:dyDescent="0.25">
      <c r="A699" t="s">
        <v>1696</v>
      </c>
      <c r="B699" t="s">
        <v>1698</v>
      </c>
      <c r="C699" t="s">
        <v>160</v>
      </c>
      <c r="D699" t="s">
        <v>58</v>
      </c>
      <c r="E699">
        <v>26</v>
      </c>
    </row>
    <row r="700" spans="1:5" x14ac:dyDescent="0.25">
      <c r="A700" t="s">
        <v>1699</v>
      </c>
      <c r="B700" t="s">
        <v>1701</v>
      </c>
      <c r="C700" t="s">
        <v>167</v>
      </c>
      <c r="D700" t="s">
        <v>58</v>
      </c>
      <c r="E700">
        <v>61</v>
      </c>
    </row>
    <row r="701" spans="1:5" x14ac:dyDescent="0.25">
      <c r="A701" t="s">
        <v>1702</v>
      </c>
      <c r="B701" t="s">
        <v>1704</v>
      </c>
      <c r="C701" t="s">
        <v>167</v>
      </c>
      <c r="D701" t="s">
        <v>58</v>
      </c>
      <c r="E701">
        <v>51</v>
      </c>
    </row>
    <row r="702" spans="1:5" hidden="1" x14ac:dyDescent="0.25">
      <c r="A702" t="s">
        <v>1705</v>
      </c>
      <c r="B702" t="s">
        <v>1707</v>
      </c>
      <c r="C702" t="s">
        <v>59</v>
      </c>
      <c r="D702" t="s">
        <v>58</v>
      </c>
      <c r="E702">
        <v>514</v>
      </c>
    </row>
    <row r="703" spans="1:5" hidden="1" x14ac:dyDescent="0.25">
      <c r="A703" t="s">
        <v>1708</v>
      </c>
      <c r="B703" t="s">
        <v>1710</v>
      </c>
      <c r="C703" t="s">
        <v>59</v>
      </c>
      <c r="D703" t="s">
        <v>58</v>
      </c>
      <c r="E703">
        <v>1495</v>
      </c>
    </row>
    <row r="704" spans="1:5" hidden="1" x14ac:dyDescent="0.25">
      <c r="A704" t="s">
        <v>1711</v>
      </c>
      <c r="B704" t="s">
        <v>1713</v>
      </c>
      <c r="C704" t="s">
        <v>59</v>
      </c>
      <c r="D704" t="s">
        <v>58</v>
      </c>
      <c r="E704">
        <v>348</v>
      </c>
    </row>
    <row r="705" spans="1:5" hidden="1" x14ac:dyDescent="0.25">
      <c r="A705" t="s">
        <v>1714</v>
      </c>
      <c r="B705" t="s">
        <v>1716</v>
      </c>
      <c r="C705" t="s">
        <v>59</v>
      </c>
      <c r="D705" t="s">
        <v>58</v>
      </c>
      <c r="E705">
        <v>207</v>
      </c>
    </row>
    <row r="706" spans="1:5" x14ac:dyDescent="0.25">
      <c r="A706" t="s">
        <v>1717</v>
      </c>
      <c r="B706" t="s">
        <v>1719</v>
      </c>
      <c r="C706" t="s">
        <v>167</v>
      </c>
      <c r="D706" t="s">
        <v>58</v>
      </c>
      <c r="E706">
        <v>69</v>
      </c>
    </row>
    <row r="707" spans="1:5" x14ac:dyDescent="0.25">
      <c r="A707" t="s">
        <v>1720</v>
      </c>
      <c r="B707" t="s">
        <v>1722</v>
      </c>
      <c r="C707" t="s">
        <v>167</v>
      </c>
      <c r="D707" t="s">
        <v>58</v>
      </c>
      <c r="E707">
        <v>251</v>
      </c>
    </row>
    <row r="708" spans="1:5" hidden="1" x14ac:dyDescent="0.25">
      <c r="A708" t="s">
        <v>1723</v>
      </c>
      <c r="B708" t="s">
        <v>1725</v>
      </c>
      <c r="C708" t="s">
        <v>59</v>
      </c>
      <c r="D708" t="s">
        <v>58</v>
      </c>
      <c r="E708">
        <v>172</v>
      </c>
    </row>
    <row r="709" spans="1:5" hidden="1" x14ac:dyDescent="0.25">
      <c r="A709" t="s">
        <v>1726</v>
      </c>
      <c r="B709" t="s">
        <v>1728</v>
      </c>
      <c r="C709" t="s">
        <v>59</v>
      </c>
      <c r="D709" t="s">
        <v>58</v>
      </c>
      <c r="E709">
        <v>172</v>
      </c>
    </row>
    <row r="710" spans="1:5" hidden="1" x14ac:dyDescent="0.25">
      <c r="A710" t="s">
        <v>1729</v>
      </c>
      <c r="B710" t="s">
        <v>1728</v>
      </c>
      <c r="C710" t="s">
        <v>59</v>
      </c>
      <c r="D710" t="s">
        <v>58</v>
      </c>
      <c r="E710">
        <v>3</v>
      </c>
    </row>
    <row r="711" spans="1:5" hidden="1" x14ac:dyDescent="0.25">
      <c r="A711" t="s">
        <v>1731</v>
      </c>
      <c r="B711" t="s">
        <v>1733</v>
      </c>
      <c r="C711" t="s">
        <v>59</v>
      </c>
      <c r="D711" t="s">
        <v>58</v>
      </c>
      <c r="E711">
        <v>45</v>
      </c>
    </row>
    <row r="712" spans="1:5" hidden="1" x14ac:dyDescent="0.25">
      <c r="A712" t="s">
        <v>1734</v>
      </c>
      <c r="B712" t="s">
        <v>1736</v>
      </c>
      <c r="C712" t="s">
        <v>59</v>
      </c>
      <c r="D712" t="s">
        <v>58</v>
      </c>
      <c r="E712">
        <v>138</v>
      </c>
    </row>
    <row r="713" spans="1:5" hidden="1" x14ac:dyDescent="0.25">
      <c r="A713" t="s">
        <v>1737</v>
      </c>
      <c r="B713" t="s">
        <v>1739</v>
      </c>
      <c r="C713" t="s">
        <v>59</v>
      </c>
      <c r="D713" t="s">
        <v>58</v>
      </c>
      <c r="E713">
        <v>146</v>
      </c>
    </row>
    <row r="714" spans="1:5" hidden="1" x14ac:dyDescent="0.25">
      <c r="A714" t="s">
        <v>1743</v>
      </c>
      <c r="B714" t="s">
        <v>1745</v>
      </c>
      <c r="C714" t="s">
        <v>59</v>
      </c>
      <c r="D714" t="s">
        <v>58</v>
      </c>
      <c r="E714">
        <v>894</v>
      </c>
    </row>
    <row r="715" spans="1:5" x14ac:dyDescent="0.25">
      <c r="A715" t="s">
        <v>1746</v>
      </c>
      <c r="B715" t="s">
        <v>1748</v>
      </c>
      <c r="C715" t="s">
        <v>167</v>
      </c>
      <c r="D715" t="s">
        <v>58</v>
      </c>
      <c r="E715">
        <v>102</v>
      </c>
    </row>
    <row r="716" spans="1:5" hidden="1" x14ac:dyDescent="0.25">
      <c r="A716" t="s">
        <v>1749</v>
      </c>
      <c r="B716" t="s">
        <v>1751</v>
      </c>
      <c r="C716" t="s">
        <v>375</v>
      </c>
      <c r="D716" t="s">
        <v>58</v>
      </c>
      <c r="E716">
        <v>112</v>
      </c>
    </row>
    <row r="717" spans="1:5" hidden="1" x14ac:dyDescent="0.25">
      <c r="A717" t="s">
        <v>1752</v>
      </c>
      <c r="B717" t="s">
        <v>1754</v>
      </c>
      <c r="C717" t="s">
        <v>187</v>
      </c>
      <c r="D717" t="s">
        <v>58</v>
      </c>
      <c r="E717">
        <v>28</v>
      </c>
    </row>
    <row r="718" spans="1:5" hidden="1" x14ac:dyDescent="0.25">
      <c r="A718" t="s">
        <v>1755</v>
      </c>
      <c r="B718" t="s">
        <v>1757</v>
      </c>
      <c r="C718" t="s">
        <v>187</v>
      </c>
      <c r="D718" t="s">
        <v>58</v>
      </c>
      <c r="E718">
        <v>112</v>
      </c>
    </row>
    <row r="719" spans="1:5" hidden="1" x14ac:dyDescent="0.25">
      <c r="A719" t="s">
        <v>1758</v>
      </c>
      <c r="B719" t="s">
        <v>1760</v>
      </c>
      <c r="C719" t="s">
        <v>375</v>
      </c>
      <c r="D719" t="s">
        <v>58</v>
      </c>
      <c r="E719">
        <v>1662</v>
      </c>
    </row>
    <row r="720" spans="1:5" hidden="1" x14ac:dyDescent="0.25">
      <c r="A720" t="s">
        <v>1764</v>
      </c>
      <c r="B720" t="s">
        <v>1763</v>
      </c>
      <c r="C720" t="s">
        <v>59</v>
      </c>
      <c r="D720" t="s">
        <v>58</v>
      </c>
      <c r="E720">
        <v>203</v>
      </c>
    </row>
    <row r="721" spans="1:5" hidden="1" x14ac:dyDescent="0.25">
      <c r="A721" t="s">
        <v>1769</v>
      </c>
      <c r="B721" t="s">
        <v>1767</v>
      </c>
      <c r="C721" t="s">
        <v>59</v>
      </c>
      <c r="D721" t="s">
        <v>58</v>
      </c>
      <c r="E721">
        <v>358</v>
      </c>
    </row>
    <row r="722" spans="1:5" hidden="1" x14ac:dyDescent="0.25">
      <c r="A722" t="s">
        <v>1770</v>
      </c>
      <c r="B722" t="s">
        <v>1772</v>
      </c>
      <c r="C722" t="s">
        <v>59</v>
      </c>
      <c r="D722" t="s">
        <v>58</v>
      </c>
      <c r="E722">
        <v>478</v>
      </c>
    </row>
    <row r="723" spans="1:5" hidden="1" x14ac:dyDescent="0.25">
      <c r="A723" t="s">
        <v>1773</v>
      </c>
      <c r="B723" t="s">
        <v>1775</v>
      </c>
      <c r="C723" t="s">
        <v>203</v>
      </c>
      <c r="D723" t="s">
        <v>58</v>
      </c>
      <c r="E723">
        <v>57.279000000000003</v>
      </c>
    </row>
    <row r="724" spans="1:5" hidden="1" x14ac:dyDescent="0.25">
      <c r="A724" t="s">
        <v>1776</v>
      </c>
      <c r="B724" t="s">
        <v>1778</v>
      </c>
      <c r="C724" t="s">
        <v>203</v>
      </c>
      <c r="D724" t="s">
        <v>58</v>
      </c>
      <c r="E724">
        <v>31.279</v>
      </c>
    </row>
    <row r="725" spans="1:5" hidden="1" x14ac:dyDescent="0.25">
      <c r="A725" t="s">
        <v>2393</v>
      </c>
      <c r="B725" t="s">
        <v>2394</v>
      </c>
      <c r="C725" t="s">
        <v>59</v>
      </c>
      <c r="D725" t="s">
        <v>58</v>
      </c>
      <c r="E725">
        <v>75</v>
      </c>
    </row>
    <row r="726" spans="1:5" hidden="1" x14ac:dyDescent="0.25">
      <c r="A726" t="s">
        <v>2395</v>
      </c>
      <c r="B726" t="s">
        <v>2396</v>
      </c>
      <c r="C726" t="s">
        <v>59</v>
      </c>
      <c r="D726" t="s">
        <v>58</v>
      </c>
      <c r="E726">
        <v>141</v>
      </c>
    </row>
    <row r="727" spans="1:5" hidden="1" x14ac:dyDescent="0.25">
      <c r="A727" t="s">
        <v>1779</v>
      </c>
      <c r="B727" t="s">
        <v>1781</v>
      </c>
      <c r="C727" t="s">
        <v>160</v>
      </c>
      <c r="D727" t="s">
        <v>58</v>
      </c>
      <c r="E727">
        <v>34</v>
      </c>
    </row>
    <row r="728" spans="1:5" hidden="1" x14ac:dyDescent="0.25">
      <c r="A728" t="s">
        <v>1782</v>
      </c>
      <c r="B728" t="s">
        <v>1784</v>
      </c>
      <c r="C728" t="s">
        <v>59</v>
      </c>
      <c r="D728" t="s">
        <v>58</v>
      </c>
      <c r="E728">
        <v>776</v>
      </c>
    </row>
    <row r="729" spans="1:5" hidden="1" x14ac:dyDescent="0.25">
      <c r="A729" t="s">
        <v>1785</v>
      </c>
      <c r="B729" t="s">
        <v>1787</v>
      </c>
      <c r="C729" t="s">
        <v>375</v>
      </c>
      <c r="D729" t="s">
        <v>58</v>
      </c>
      <c r="E729">
        <v>12</v>
      </c>
    </row>
    <row r="730" spans="1:5" hidden="1" x14ac:dyDescent="0.25">
      <c r="A730" t="s">
        <v>2397</v>
      </c>
      <c r="B730" t="s">
        <v>2398</v>
      </c>
      <c r="C730" t="s">
        <v>160</v>
      </c>
      <c r="D730" t="s">
        <v>58</v>
      </c>
      <c r="E730">
        <v>12</v>
      </c>
    </row>
    <row r="731" spans="1:5" hidden="1" x14ac:dyDescent="0.25">
      <c r="A731" t="s">
        <v>1788</v>
      </c>
      <c r="B731" t="s">
        <v>1790</v>
      </c>
      <c r="C731" t="s">
        <v>160</v>
      </c>
      <c r="D731" t="s">
        <v>58</v>
      </c>
      <c r="E731">
        <v>142.11680000000001</v>
      </c>
    </row>
    <row r="732" spans="1:5" hidden="1" x14ac:dyDescent="0.25">
      <c r="A732" t="s">
        <v>1791</v>
      </c>
      <c r="B732" t="s">
        <v>1790</v>
      </c>
      <c r="C732" t="s">
        <v>160</v>
      </c>
      <c r="D732" t="s">
        <v>58</v>
      </c>
      <c r="E732">
        <v>7.3528000000000002</v>
      </c>
    </row>
    <row r="733" spans="1:5" hidden="1" x14ac:dyDescent="0.25">
      <c r="A733" t="s">
        <v>2399</v>
      </c>
      <c r="B733" t="s">
        <v>2400</v>
      </c>
      <c r="C733" t="s">
        <v>160</v>
      </c>
      <c r="D733" t="s">
        <v>58</v>
      </c>
      <c r="E733">
        <v>25</v>
      </c>
    </row>
    <row r="734" spans="1:5" hidden="1" x14ac:dyDescent="0.25">
      <c r="A734" t="s">
        <v>1793</v>
      </c>
      <c r="B734" t="s">
        <v>1795</v>
      </c>
      <c r="C734" t="s">
        <v>160</v>
      </c>
      <c r="D734" t="s">
        <v>58</v>
      </c>
      <c r="E734">
        <v>12</v>
      </c>
    </row>
    <row r="735" spans="1:5" hidden="1" x14ac:dyDescent="0.25">
      <c r="A735" t="s">
        <v>1796</v>
      </c>
      <c r="B735" t="s">
        <v>1798</v>
      </c>
      <c r="C735" t="s">
        <v>59</v>
      </c>
      <c r="D735" t="s">
        <v>58</v>
      </c>
      <c r="E735">
        <v>35</v>
      </c>
    </row>
    <row r="736" spans="1:5" hidden="1" x14ac:dyDescent="0.25">
      <c r="A736" t="s">
        <v>2401</v>
      </c>
      <c r="B736" t="s">
        <v>2402</v>
      </c>
      <c r="C736" t="s">
        <v>160</v>
      </c>
      <c r="D736" t="s">
        <v>58</v>
      </c>
      <c r="E736">
        <v>17</v>
      </c>
    </row>
    <row r="737" spans="1:5" hidden="1" x14ac:dyDescent="0.25">
      <c r="A737" t="s">
        <v>1799</v>
      </c>
      <c r="B737" t="s">
        <v>1801</v>
      </c>
      <c r="C737" t="s">
        <v>59</v>
      </c>
      <c r="D737" t="s">
        <v>58</v>
      </c>
      <c r="E737">
        <v>345</v>
      </c>
    </row>
    <row r="738" spans="1:5" hidden="1" x14ac:dyDescent="0.25">
      <c r="A738" t="s">
        <v>2403</v>
      </c>
      <c r="B738" t="s">
        <v>2404</v>
      </c>
      <c r="C738" t="s">
        <v>160</v>
      </c>
      <c r="D738" t="s">
        <v>58</v>
      </c>
      <c r="E738">
        <v>4</v>
      </c>
    </row>
    <row r="739" spans="1:5" hidden="1" x14ac:dyDescent="0.25">
      <c r="A739" t="s">
        <v>2405</v>
      </c>
      <c r="B739" t="s">
        <v>1804</v>
      </c>
      <c r="C739" t="s">
        <v>160</v>
      </c>
      <c r="D739" t="s">
        <v>58</v>
      </c>
      <c r="E739">
        <v>6</v>
      </c>
    </row>
    <row r="740" spans="1:5" hidden="1" x14ac:dyDescent="0.25">
      <c r="A740" t="s">
        <v>2406</v>
      </c>
      <c r="B740" t="s">
        <v>1807</v>
      </c>
      <c r="C740" t="s">
        <v>160</v>
      </c>
      <c r="D740" t="s">
        <v>58</v>
      </c>
      <c r="E740">
        <v>89</v>
      </c>
    </row>
    <row r="741" spans="1:5" hidden="1" x14ac:dyDescent="0.25">
      <c r="A741" t="s">
        <v>2407</v>
      </c>
      <c r="B741" t="s">
        <v>1810</v>
      </c>
      <c r="C741" t="s">
        <v>160</v>
      </c>
      <c r="D741" t="s">
        <v>58</v>
      </c>
      <c r="E741">
        <v>10</v>
      </c>
    </row>
    <row r="742" spans="1:5" hidden="1" x14ac:dyDescent="0.25">
      <c r="A742" t="s">
        <v>2408</v>
      </c>
      <c r="B742" t="s">
        <v>1813</v>
      </c>
      <c r="C742" t="s">
        <v>160</v>
      </c>
      <c r="D742" t="s">
        <v>58</v>
      </c>
      <c r="E742">
        <v>4</v>
      </c>
    </row>
    <row r="743" spans="1:5" hidden="1" x14ac:dyDescent="0.25">
      <c r="A743" t="s">
        <v>2409</v>
      </c>
      <c r="B743" t="s">
        <v>1816</v>
      </c>
      <c r="C743" t="s">
        <v>160</v>
      </c>
      <c r="D743" t="s">
        <v>58</v>
      </c>
      <c r="E743">
        <v>3</v>
      </c>
    </row>
    <row r="744" spans="1:5" x14ac:dyDescent="0.25">
      <c r="A744" t="s">
        <v>1817</v>
      </c>
      <c r="B744" t="s">
        <v>1819</v>
      </c>
      <c r="C744" t="s">
        <v>167</v>
      </c>
      <c r="D744" t="s">
        <v>58</v>
      </c>
      <c r="E744">
        <v>23</v>
      </c>
    </row>
    <row r="745" spans="1:5" hidden="1" x14ac:dyDescent="0.25">
      <c r="A745" t="s">
        <v>2410</v>
      </c>
      <c r="B745" t="s">
        <v>2411</v>
      </c>
      <c r="C745" t="s">
        <v>59</v>
      </c>
      <c r="D745" t="s">
        <v>58</v>
      </c>
      <c r="E745">
        <v>125</v>
      </c>
    </row>
    <row r="746" spans="1:5" hidden="1" x14ac:dyDescent="0.25">
      <c r="A746" t="s">
        <v>1820</v>
      </c>
      <c r="B746" t="s">
        <v>1822</v>
      </c>
      <c r="C746" t="s">
        <v>375</v>
      </c>
      <c r="D746" t="s">
        <v>58</v>
      </c>
      <c r="E746">
        <v>78</v>
      </c>
    </row>
    <row r="747" spans="1:5" hidden="1" x14ac:dyDescent="0.25">
      <c r="A747" t="s">
        <v>1823</v>
      </c>
      <c r="B747" t="s">
        <v>1825</v>
      </c>
      <c r="C747" t="s">
        <v>59</v>
      </c>
      <c r="D747" t="s">
        <v>58</v>
      </c>
      <c r="E747">
        <v>323</v>
      </c>
    </row>
    <row r="748" spans="1:5" hidden="1" x14ac:dyDescent="0.25">
      <c r="A748" t="s">
        <v>1826</v>
      </c>
      <c r="B748" t="s">
        <v>1828</v>
      </c>
      <c r="C748" t="s">
        <v>59</v>
      </c>
      <c r="D748" t="s">
        <v>58</v>
      </c>
      <c r="E748">
        <v>323</v>
      </c>
    </row>
    <row r="749" spans="1:5" x14ac:dyDescent="0.25">
      <c r="A749" t="s">
        <v>1837</v>
      </c>
      <c r="B749" t="s">
        <v>1839</v>
      </c>
      <c r="C749" t="s">
        <v>167</v>
      </c>
      <c r="D749" t="s">
        <v>58</v>
      </c>
      <c r="E749">
        <v>1103</v>
      </c>
    </row>
    <row r="750" spans="1:5" hidden="1" x14ac:dyDescent="0.25">
      <c r="A750" t="s">
        <v>1840</v>
      </c>
      <c r="B750" t="s">
        <v>1842</v>
      </c>
      <c r="C750" t="s">
        <v>160</v>
      </c>
      <c r="D750" t="s">
        <v>58</v>
      </c>
      <c r="E750">
        <v>15</v>
      </c>
    </row>
    <row r="751" spans="1:5" hidden="1" x14ac:dyDescent="0.25">
      <c r="A751" t="s">
        <v>1843</v>
      </c>
      <c r="B751" t="s">
        <v>1845</v>
      </c>
      <c r="C751" t="s">
        <v>160</v>
      </c>
      <c r="D751" t="s">
        <v>58</v>
      </c>
      <c r="E751">
        <v>16</v>
      </c>
    </row>
    <row r="752" spans="1:5" hidden="1" x14ac:dyDescent="0.25">
      <c r="A752" t="s">
        <v>2412</v>
      </c>
      <c r="B752" t="s">
        <v>1848</v>
      </c>
      <c r="C752" t="s">
        <v>160</v>
      </c>
      <c r="D752" t="s">
        <v>58</v>
      </c>
      <c r="E752">
        <v>17</v>
      </c>
    </row>
    <row r="753" spans="1:5" hidden="1" x14ac:dyDescent="0.25">
      <c r="A753" t="s">
        <v>1849</v>
      </c>
      <c r="B753" t="s">
        <v>1851</v>
      </c>
      <c r="C753" t="s">
        <v>225</v>
      </c>
      <c r="D753" t="s">
        <v>58</v>
      </c>
      <c r="E753">
        <v>16</v>
      </c>
    </row>
    <row r="754" spans="1:5" hidden="1" x14ac:dyDescent="0.25">
      <c r="A754" t="s">
        <v>2413</v>
      </c>
      <c r="B754" t="s">
        <v>1854</v>
      </c>
      <c r="C754" t="s">
        <v>160</v>
      </c>
      <c r="D754" t="s">
        <v>58</v>
      </c>
      <c r="E754">
        <v>31.748000000000001</v>
      </c>
    </row>
    <row r="755" spans="1:5" hidden="1" x14ac:dyDescent="0.25">
      <c r="A755" t="s">
        <v>1852</v>
      </c>
      <c r="B755" t="s">
        <v>1854</v>
      </c>
      <c r="C755" t="s">
        <v>160</v>
      </c>
      <c r="D755" t="s">
        <v>58</v>
      </c>
      <c r="E755">
        <v>4</v>
      </c>
    </row>
    <row r="756" spans="1:5" hidden="1" x14ac:dyDescent="0.25">
      <c r="A756" t="s">
        <v>1855</v>
      </c>
      <c r="B756" t="s">
        <v>1857</v>
      </c>
      <c r="C756" t="s">
        <v>160</v>
      </c>
      <c r="D756" t="s">
        <v>58</v>
      </c>
      <c r="E756">
        <v>112.38</v>
      </c>
    </row>
    <row r="757" spans="1:5" hidden="1" x14ac:dyDescent="0.25">
      <c r="A757" t="s">
        <v>2414</v>
      </c>
      <c r="B757" t="s">
        <v>1860</v>
      </c>
      <c r="C757" t="s">
        <v>160</v>
      </c>
      <c r="D757" t="s">
        <v>58</v>
      </c>
      <c r="E757">
        <v>69.114000000000004</v>
      </c>
    </row>
    <row r="758" spans="1:5" hidden="1" x14ac:dyDescent="0.25">
      <c r="A758" t="s">
        <v>1858</v>
      </c>
      <c r="B758" t="s">
        <v>1860</v>
      </c>
      <c r="C758" t="s">
        <v>160</v>
      </c>
      <c r="D758" t="s">
        <v>58</v>
      </c>
      <c r="E758">
        <v>4</v>
      </c>
    </row>
    <row r="759" spans="1:5" hidden="1" x14ac:dyDescent="0.25">
      <c r="A759" t="s">
        <v>1861</v>
      </c>
      <c r="B759" t="s">
        <v>1863</v>
      </c>
      <c r="C759" t="s">
        <v>59</v>
      </c>
      <c r="D759" t="s">
        <v>58</v>
      </c>
      <c r="E759">
        <v>198</v>
      </c>
    </row>
    <row r="760" spans="1:5" hidden="1" x14ac:dyDescent="0.25">
      <c r="A760" t="s">
        <v>1864</v>
      </c>
      <c r="B760" t="s">
        <v>1866</v>
      </c>
      <c r="C760" t="s">
        <v>59</v>
      </c>
      <c r="D760" t="s">
        <v>58</v>
      </c>
      <c r="E760">
        <v>6</v>
      </c>
    </row>
    <row r="761" spans="1:5" x14ac:dyDescent="0.25">
      <c r="A761" t="s">
        <v>1867</v>
      </c>
      <c r="B761" t="s">
        <v>1869</v>
      </c>
      <c r="C761" t="s">
        <v>167</v>
      </c>
      <c r="D761" t="s">
        <v>58</v>
      </c>
      <c r="E761">
        <v>53</v>
      </c>
    </row>
    <row r="762" spans="1:5" x14ac:dyDescent="0.25">
      <c r="A762" t="s">
        <v>1870</v>
      </c>
      <c r="B762" t="s">
        <v>1872</v>
      </c>
      <c r="C762" t="s">
        <v>167</v>
      </c>
      <c r="D762" t="s">
        <v>58</v>
      </c>
      <c r="E762">
        <v>11</v>
      </c>
    </row>
    <row r="763" spans="1:5" hidden="1" x14ac:dyDescent="0.25">
      <c r="A763" t="s">
        <v>1873</v>
      </c>
      <c r="B763" t="s">
        <v>1875</v>
      </c>
      <c r="C763" t="s">
        <v>160</v>
      </c>
      <c r="D763" t="s">
        <v>58</v>
      </c>
      <c r="E763">
        <v>16</v>
      </c>
    </row>
    <row r="764" spans="1:5" hidden="1" x14ac:dyDescent="0.25">
      <c r="A764" t="s">
        <v>1876</v>
      </c>
      <c r="B764" t="s">
        <v>1878</v>
      </c>
      <c r="C764" t="s">
        <v>160</v>
      </c>
      <c r="D764" t="s">
        <v>58</v>
      </c>
      <c r="E764">
        <v>8</v>
      </c>
    </row>
    <row r="765" spans="1:5" hidden="1" x14ac:dyDescent="0.25">
      <c r="A765" t="s">
        <v>1879</v>
      </c>
      <c r="B765" t="s">
        <v>1881</v>
      </c>
      <c r="C765" t="s">
        <v>59</v>
      </c>
      <c r="D765" t="s">
        <v>58</v>
      </c>
      <c r="E765">
        <v>18</v>
      </c>
    </row>
    <row r="766" spans="1:5" hidden="1" x14ac:dyDescent="0.25">
      <c r="A766" t="s">
        <v>1882</v>
      </c>
      <c r="B766" t="s">
        <v>1884</v>
      </c>
      <c r="C766" t="s">
        <v>59</v>
      </c>
      <c r="D766" t="s">
        <v>58</v>
      </c>
      <c r="E766">
        <v>320</v>
      </c>
    </row>
    <row r="767" spans="1:5" hidden="1" x14ac:dyDescent="0.25">
      <c r="A767" t="s">
        <v>1885</v>
      </c>
      <c r="B767" t="s">
        <v>1887</v>
      </c>
      <c r="C767" t="s">
        <v>225</v>
      </c>
      <c r="D767" t="s">
        <v>58</v>
      </c>
      <c r="E767">
        <v>8</v>
      </c>
    </row>
    <row r="768" spans="1:5" hidden="1" x14ac:dyDescent="0.25">
      <c r="A768" t="s">
        <v>2415</v>
      </c>
      <c r="B768" t="s">
        <v>2416</v>
      </c>
      <c r="C768" t="s">
        <v>225</v>
      </c>
      <c r="D768" t="s">
        <v>58</v>
      </c>
      <c r="E768">
        <v>1</v>
      </c>
    </row>
    <row r="769" spans="1:5" hidden="1" x14ac:dyDescent="0.25">
      <c r="A769" t="s">
        <v>1888</v>
      </c>
      <c r="B769" t="s">
        <v>1890</v>
      </c>
      <c r="C769" t="s">
        <v>160</v>
      </c>
      <c r="D769" t="s">
        <v>58</v>
      </c>
      <c r="E769">
        <v>10.3528</v>
      </c>
    </row>
    <row r="770" spans="1:5" hidden="1" x14ac:dyDescent="0.25">
      <c r="A770" t="s">
        <v>1891</v>
      </c>
      <c r="B770" t="s">
        <v>1893</v>
      </c>
      <c r="C770" t="s">
        <v>160</v>
      </c>
      <c r="D770" t="s">
        <v>58</v>
      </c>
      <c r="E770">
        <v>10</v>
      </c>
    </row>
    <row r="771" spans="1:5" hidden="1" x14ac:dyDescent="0.25">
      <c r="A771" t="s">
        <v>1894</v>
      </c>
      <c r="B771" t="s">
        <v>1896</v>
      </c>
      <c r="C771" t="s">
        <v>160</v>
      </c>
      <c r="D771" t="s">
        <v>58</v>
      </c>
      <c r="E771">
        <v>44</v>
      </c>
    </row>
    <row r="772" spans="1:5" hidden="1" x14ac:dyDescent="0.25">
      <c r="A772" t="s">
        <v>1898</v>
      </c>
      <c r="B772" t="s">
        <v>1900</v>
      </c>
      <c r="C772" t="s">
        <v>160</v>
      </c>
      <c r="D772" t="s">
        <v>58</v>
      </c>
      <c r="E772">
        <v>27</v>
      </c>
    </row>
    <row r="773" spans="1:5" hidden="1" x14ac:dyDescent="0.25">
      <c r="A773" t="s">
        <v>1904</v>
      </c>
      <c r="B773" t="s">
        <v>1906</v>
      </c>
      <c r="C773" t="s">
        <v>160</v>
      </c>
      <c r="D773" t="s">
        <v>58</v>
      </c>
      <c r="E773">
        <v>5</v>
      </c>
    </row>
    <row r="774" spans="1:5" hidden="1" x14ac:dyDescent="0.25">
      <c r="A774" t="s">
        <v>1907</v>
      </c>
      <c r="B774" t="s">
        <v>1909</v>
      </c>
      <c r="C774" t="s">
        <v>160</v>
      </c>
      <c r="D774" t="s">
        <v>58</v>
      </c>
      <c r="E774">
        <v>21</v>
      </c>
    </row>
    <row r="775" spans="1:5" hidden="1" x14ac:dyDescent="0.25">
      <c r="A775" t="s">
        <v>1910</v>
      </c>
      <c r="B775" t="s">
        <v>1912</v>
      </c>
      <c r="C775" t="s">
        <v>160</v>
      </c>
      <c r="D775" t="s">
        <v>58</v>
      </c>
      <c r="E775">
        <v>7</v>
      </c>
    </row>
    <row r="776" spans="1:5" hidden="1" x14ac:dyDescent="0.25">
      <c r="A776" t="s">
        <v>1913</v>
      </c>
      <c r="B776" t="s">
        <v>1915</v>
      </c>
      <c r="C776" t="s">
        <v>160</v>
      </c>
      <c r="D776" t="s">
        <v>58</v>
      </c>
      <c r="E776">
        <v>92</v>
      </c>
    </row>
    <row r="777" spans="1:5" hidden="1" x14ac:dyDescent="0.25">
      <c r="A777" t="s">
        <v>1917</v>
      </c>
      <c r="B777" t="s">
        <v>1919</v>
      </c>
      <c r="C777" t="s">
        <v>59</v>
      </c>
      <c r="D777" t="s">
        <v>58</v>
      </c>
      <c r="E777">
        <v>547</v>
      </c>
    </row>
    <row r="778" spans="1:5" hidden="1" x14ac:dyDescent="0.25">
      <c r="A778" t="s">
        <v>1920</v>
      </c>
      <c r="B778" t="s">
        <v>1922</v>
      </c>
      <c r="C778" t="s">
        <v>59</v>
      </c>
      <c r="D778" t="s">
        <v>58</v>
      </c>
      <c r="E778">
        <v>208</v>
      </c>
    </row>
    <row r="779" spans="1:5" hidden="1" x14ac:dyDescent="0.25">
      <c r="A779" t="s">
        <v>1923</v>
      </c>
      <c r="B779" t="s">
        <v>1925</v>
      </c>
      <c r="C779" t="s">
        <v>160</v>
      </c>
      <c r="D779" t="s">
        <v>58</v>
      </c>
      <c r="E779">
        <v>19</v>
      </c>
    </row>
    <row r="780" spans="1:5" hidden="1" x14ac:dyDescent="0.25">
      <c r="A780" t="s">
        <v>1929</v>
      </c>
      <c r="B780" t="s">
        <v>1931</v>
      </c>
      <c r="C780" t="s">
        <v>160</v>
      </c>
      <c r="D780" t="s">
        <v>58</v>
      </c>
      <c r="E780">
        <v>529</v>
      </c>
    </row>
    <row r="781" spans="1:5" hidden="1" x14ac:dyDescent="0.25">
      <c r="A781" t="s">
        <v>1932</v>
      </c>
      <c r="B781" t="s">
        <v>1934</v>
      </c>
      <c r="C781" t="s">
        <v>160</v>
      </c>
      <c r="D781" t="s">
        <v>58</v>
      </c>
      <c r="E781">
        <v>684</v>
      </c>
    </row>
    <row r="782" spans="1:5" hidden="1" x14ac:dyDescent="0.25">
      <c r="A782" t="s">
        <v>2417</v>
      </c>
      <c r="B782" t="s">
        <v>1937</v>
      </c>
      <c r="C782" t="s">
        <v>160</v>
      </c>
      <c r="D782" t="s">
        <v>58</v>
      </c>
      <c r="E782">
        <v>96</v>
      </c>
    </row>
    <row r="783" spans="1:5" hidden="1" x14ac:dyDescent="0.25">
      <c r="A783" t="s">
        <v>2418</v>
      </c>
      <c r="B783" t="s">
        <v>1940</v>
      </c>
      <c r="C783" t="s">
        <v>160</v>
      </c>
      <c r="D783" t="s">
        <v>58</v>
      </c>
      <c r="E783">
        <v>9</v>
      </c>
    </row>
    <row r="784" spans="1:5" hidden="1" x14ac:dyDescent="0.25">
      <c r="A784" t="s">
        <v>1943</v>
      </c>
      <c r="B784" t="s">
        <v>1945</v>
      </c>
      <c r="C784" t="s">
        <v>160</v>
      </c>
      <c r="D784" t="s">
        <v>58</v>
      </c>
      <c r="E784">
        <v>248</v>
      </c>
    </row>
    <row r="785" spans="1:5" hidden="1" x14ac:dyDescent="0.25">
      <c r="A785" t="s">
        <v>1946</v>
      </c>
      <c r="B785" t="s">
        <v>1948</v>
      </c>
      <c r="C785" t="s">
        <v>59</v>
      </c>
      <c r="D785" t="s">
        <v>58</v>
      </c>
      <c r="E785">
        <v>19</v>
      </c>
    </row>
    <row r="786" spans="1:5" hidden="1" x14ac:dyDescent="0.25">
      <c r="A786" t="s">
        <v>1949</v>
      </c>
      <c r="B786" t="s">
        <v>1951</v>
      </c>
      <c r="C786" t="s">
        <v>160</v>
      </c>
      <c r="D786" t="s">
        <v>58</v>
      </c>
      <c r="E786">
        <v>182.5</v>
      </c>
    </row>
    <row r="787" spans="1:5" hidden="1" x14ac:dyDescent="0.25">
      <c r="A787" t="s">
        <v>1952</v>
      </c>
      <c r="B787" t="s">
        <v>1951</v>
      </c>
      <c r="C787" t="s">
        <v>160</v>
      </c>
      <c r="D787" t="s">
        <v>58</v>
      </c>
      <c r="E787">
        <v>1</v>
      </c>
    </row>
    <row r="788" spans="1:5" hidden="1" x14ac:dyDescent="0.25">
      <c r="A788" t="s">
        <v>2419</v>
      </c>
      <c r="B788" t="s">
        <v>2420</v>
      </c>
      <c r="C788" t="s">
        <v>59</v>
      </c>
      <c r="D788" t="s">
        <v>58</v>
      </c>
      <c r="E788">
        <v>287</v>
      </c>
    </row>
    <row r="789" spans="1:5" hidden="1" x14ac:dyDescent="0.25">
      <c r="A789" t="s">
        <v>2421</v>
      </c>
      <c r="B789" t="s">
        <v>2422</v>
      </c>
      <c r="C789" t="s">
        <v>59</v>
      </c>
      <c r="D789" t="s">
        <v>58</v>
      </c>
      <c r="E789">
        <v>489</v>
      </c>
    </row>
    <row r="790" spans="1:5" x14ac:dyDescent="0.25">
      <c r="A790" t="s">
        <v>1953</v>
      </c>
      <c r="B790" t="s">
        <v>1955</v>
      </c>
      <c r="C790" t="s">
        <v>167</v>
      </c>
      <c r="D790" t="s">
        <v>58</v>
      </c>
      <c r="E790">
        <v>29</v>
      </c>
    </row>
    <row r="791" spans="1:5" x14ac:dyDescent="0.25">
      <c r="A791" t="s">
        <v>1956</v>
      </c>
      <c r="B791" t="s">
        <v>1958</v>
      </c>
      <c r="C791" t="s">
        <v>167</v>
      </c>
      <c r="D791" t="s">
        <v>58</v>
      </c>
      <c r="E791">
        <v>167</v>
      </c>
    </row>
    <row r="792" spans="1:5" hidden="1" x14ac:dyDescent="0.25">
      <c r="A792" t="s">
        <v>2423</v>
      </c>
      <c r="B792" t="s">
        <v>2424</v>
      </c>
      <c r="C792" t="s">
        <v>124</v>
      </c>
      <c r="D792" t="s">
        <v>58</v>
      </c>
      <c r="E792">
        <v>71</v>
      </c>
    </row>
    <row r="793" spans="1:5" hidden="1" x14ac:dyDescent="0.25">
      <c r="A793" t="s">
        <v>2425</v>
      </c>
      <c r="B793" t="s">
        <v>2426</v>
      </c>
      <c r="C793" t="s">
        <v>124</v>
      </c>
      <c r="D793" t="s">
        <v>58</v>
      </c>
      <c r="E793">
        <v>15</v>
      </c>
    </row>
    <row r="794" spans="1:5" hidden="1" x14ac:dyDescent="0.25">
      <c r="A794" t="s">
        <v>2427</v>
      </c>
      <c r="B794" t="s">
        <v>2428</v>
      </c>
      <c r="C794" t="s">
        <v>124</v>
      </c>
      <c r="D794" t="s">
        <v>58</v>
      </c>
      <c r="E794">
        <v>50</v>
      </c>
    </row>
    <row r="795" spans="1:5" hidden="1" x14ac:dyDescent="0.25">
      <c r="A795" t="s">
        <v>2429</v>
      </c>
      <c r="B795" t="s">
        <v>2430</v>
      </c>
      <c r="C795" t="s">
        <v>124</v>
      </c>
      <c r="D795" t="s">
        <v>58</v>
      </c>
      <c r="E795">
        <v>31</v>
      </c>
    </row>
    <row r="796" spans="1:5" hidden="1" x14ac:dyDescent="0.25">
      <c r="A796" t="s">
        <v>2431</v>
      </c>
      <c r="B796" t="s">
        <v>2432</v>
      </c>
      <c r="C796" t="s">
        <v>124</v>
      </c>
      <c r="D796" t="s">
        <v>58</v>
      </c>
      <c r="E796">
        <v>219</v>
      </c>
    </row>
    <row r="797" spans="1:5" hidden="1" x14ac:dyDescent="0.25">
      <c r="A797" t="s">
        <v>2433</v>
      </c>
      <c r="B797" t="s">
        <v>2434</v>
      </c>
      <c r="C797" t="s">
        <v>124</v>
      </c>
      <c r="D797" t="s">
        <v>58</v>
      </c>
      <c r="E797">
        <v>52</v>
      </c>
    </row>
    <row r="798" spans="1:5" hidden="1" x14ac:dyDescent="0.25">
      <c r="A798" t="s">
        <v>2435</v>
      </c>
      <c r="B798" t="s">
        <v>2436</v>
      </c>
      <c r="C798" t="s">
        <v>124</v>
      </c>
      <c r="D798" t="s">
        <v>58</v>
      </c>
      <c r="E798">
        <v>233</v>
      </c>
    </row>
    <row r="799" spans="1:5" hidden="1" x14ac:dyDescent="0.25">
      <c r="A799" t="s">
        <v>2437</v>
      </c>
      <c r="B799" t="s">
        <v>2438</v>
      </c>
      <c r="C799" t="s">
        <v>124</v>
      </c>
      <c r="D799" t="s">
        <v>58</v>
      </c>
      <c r="E799">
        <v>5</v>
      </c>
    </row>
    <row r="800" spans="1:5" hidden="1" x14ac:dyDescent="0.25">
      <c r="A800" t="s">
        <v>2439</v>
      </c>
      <c r="B800" t="s">
        <v>2440</v>
      </c>
      <c r="C800" t="s">
        <v>124</v>
      </c>
      <c r="D800" t="s">
        <v>58</v>
      </c>
      <c r="E800">
        <v>24</v>
      </c>
    </row>
    <row r="801" spans="1:5" hidden="1" x14ac:dyDescent="0.25">
      <c r="A801" t="s">
        <v>2441</v>
      </c>
      <c r="B801" t="s">
        <v>2442</v>
      </c>
      <c r="C801" t="s">
        <v>124</v>
      </c>
      <c r="D801" t="s">
        <v>58</v>
      </c>
      <c r="E801">
        <v>4</v>
      </c>
    </row>
    <row r="802" spans="1:5" hidden="1" x14ac:dyDescent="0.25">
      <c r="A802" t="s">
        <v>2443</v>
      </c>
      <c r="B802" t="s">
        <v>2444</v>
      </c>
      <c r="C802" t="s">
        <v>124</v>
      </c>
      <c r="D802" t="s">
        <v>58</v>
      </c>
      <c r="E802">
        <v>36</v>
      </c>
    </row>
    <row r="803" spans="1:5" hidden="1" x14ac:dyDescent="0.25">
      <c r="A803" t="s">
        <v>2445</v>
      </c>
      <c r="B803" t="s">
        <v>2446</v>
      </c>
      <c r="C803" t="s">
        <v>124</v>
      </c>
      <c r="D803" t="s">
        <v>58</v>
      </c>
      <c r="E803">
        <v>5</v>
      </c>
    </row>
    <row r="804" spans="1:5" hidden="1" x14ac:dyDescent="0.25">
      <c r="A804" t="s">
        <v>2447</v>
      </c>
      <c r="B804" t="s">
        <v>2448</v>
      </c>
      <c r="C804" t="s">
        <v>124</v>
      </c>
      <c r="D804" t="s">
        <v>58</v>
      </c>
      <c r="E804">
        <v>44</v>
      </c>
    </row>
    <row r="805" spans="1:5" hidden="1" x14ac:dyDescent="0.25">
      <c r="A805" t="s">
        <v>2449</v>
      </c>
      <c r="B805" t="s">
        <v>2450</v>
      </c>
      <c r="C805" t="s">
        <v>124</v>
      </c>
      <c r="D805" t="s">
        <v>58</v>
      </c>
      <c r="E805">
        <v>82</v>
      </c>
    </row>
    <row r="806" spans="1:5" hidden="1" x14ac:dyDescent="0.25">
      <c r="A806" t="s">
        <v>2451</v>
      </c>
      <c r="B806" t="s">
        <v>2452</v>
      </c>
      <c r="C806" t="s">
        <v>124</v>
      </c>
      <c r="D806" t="s">
        <v>58</v>
      </c>
      <c r="E806">
        <v>13</v>
      </c>
    </row>
    <row r="807" spans="1:5" hidden="1" x14ac:dyDescent="0.25">
      <c r="A807" t="s">
        <v>2453</v>
      </c>
      <c r="B807" t="s">
        <v>2454</v>
      </c>
      <c r="C807" t="s">
        <v>124</v>
      </c>
      <c r="D807" t="s">
        <v>58</v>
      </c>
      <c r="E807">
        <v>1</v>
      </c>
    </row>
    <row r="808" spans="1:5" hidden="1" x14ac:dyDescent="0.25">
      <c r="A808" t="s">
        <v>2455</v>
      </c>
      <c r="B808" t="s">
        <v>2456</v>
      </c>
      <c r="C808" t="s">
        <v>124</v>
      </c>
      <c r="D808" t="s">
        <v>58</v>
      </c>
      <c r="E808">
        <v>14</v>
      </c>
    </row>
    <row r="809" spans="1:5" hidden="1" x14ac:dyDescent="0.25">
      <c r="A809" t="s">
        <v>2457</v>
      </c>
      <c r="B809" t="s">
        <v>2458</v>
      </c>
      <c r="C809" t="s">
        <v>124</v>
      </c>
      <c r="D809" t="s">
        <v>58</v>
      </c>
      <c r="E809">
        <v>18</v>
      </c>
    </row>
    <row r="810" spans="1:5" hidden="1" x14ac:dyDescent="0.25">
      <c r="A810" t="s">
        <v>2459</v>
      </c>
      <c r="B810" t="s">
        <v>2460</v>
      </c>
      <c r="C810" t="s">
        <v>124</v>
      </c>
      <c r="D810" t="s">
        <v>58</v>
      </c>
      <c r="E810">
        <v>7</v>
      </c>
    </row>
    <row r="811" spans="1:5" hidden="1" x14ac:dyDescent="0.25">
      <c r="A811" t="s">
        <v>2461</v>
      </c>
      <c r="B811" t="s">
        <v>2462</v>
      </c>
      <c r="C811" t="s">
        <v>124</v>
      </c>
      <c r="D811" t="s">
        <v>58</v>
      </c>
      <c r="E811">
        <v>60</v>
      </c>
    </row>
    <row r="812" spans="1:5" hidden="1" x14ac:dyDescent="0.25">
      <c r="A812" t="s">
        <v>2463</v>
      </c>
      <c r="B812" t="s">
        <v>2464</v>
      </c>
      <c r="C812" t="s">
        <v>124</v>
      </c>
      <c r="D812" t="s">
        <v>58</v>
      </c>
      <c r="E812">
        <v>11</v>
      </c>
    </row>
    <row r="813" spans="1:5" hidden="1" x14ac:dyDescent="0.25">
      <c r="A813" t="s">
        <v>2465</v>
      </c>
      <c r="B813" t="s">
        <v>2466</v>
      </c>
      <c r="C813" t="s">
        <v>124</v>
      </c>
      <c r="D813" t="s">
        <v>58</v>
      </c>
      <c r="E813">
        <v>23</v>
      </c>
    </row>
    <row r="814" spans="1:5" hidden="1" x14ac:dyDescent="0.25">
      <c r="A814" t="s">
        <v>2467</v>
      </c>
      <c r="B814" t="s">
        <v>2468</v>
      </c>
      <c r="C814" t="s">
        <v>124</v>
      </c>
      <c r="D814" t="s">
        <v>58</v>
      </c>
      <c r="E814">
        <v>23</v>
      </c>
    </row>
    <row r="815" spans="1:5" hidden="1" x14ac:dyDescent="0.25">
      <c r="A815" t="s">
        <v>2469</v>
      </c>
      <c r="B815" t="s">
        <v>2470</v>
      </c>
      <c r="C815" t="s">
        <v>124</v>
      </c>
      <c r="D815" t="s">
        <v>58</v>
      </c>
      <c r="E815">
        <v>65</v>
      </c>
    </row>
    <row r="816" spans="1:5" hidden="1" x14ac:dyDescent="0.25">
      <c r="A816" t="s">
        <v>2471</v>
      </c>
      <c r="B816" t="s">
        <v>2472</v>
      </c>
      <c r="C816" t="s">
        <v>124</v>
      </c>
      <c r="D816" t="s">
        <v>58</v>
      </c>
      <c r="E816">
        <v>51</v>
      </c>
    </row>
    <row r="817" spans="1:5" hidden="1" x14ac:dyDescent="0.25">
      <c r="A817" t="s">
        <v>2473</v>
      </c>
      <c r="B817" t="s">
        <v>2474</v>
      </c>
      <c r="C817" t="s">
        <v>124</v>
      </c>
      <c r="D817" t="s">
        <v>58</v>
      </c>
      <c r="E817">
        <v>7</v>
      </c>
    </row>
    <row r="818" spans="1:5" hidden="1" x14ac:dyDescent="0.25">
      <c r="A818" t="s">
        <v>2475</v>
      </c>
      <c r="B818" t="s">
        <v>2476</v>
      </c>
      <c r="C818" t="s">
        <v>124</v>
      </c>
      <c r="D818" t="s">
        <v>58</v>
      </c>
      <c r="E818">
        <v>6</v>
      </c>
    </row>
    <row r="819" spans="1:5" hidden="1" x14ac:dyDescent="0.25">
      <c r="A819" t="s">
        <v>2477</v>
      </c>
      <c r="B819" t="s">
        <v>2478</v>
      </c>
      <c r="C819" t="s">
        <v>124</v>
      </c>
      <c r="D819" t="s">
        <v>58</v>
      </c>
      <c r="E819">
        <v>3</v>
      </c>
    </row>
    <row r="820" spans="1:5" hidden="1" x14ac:dyDescent="0.25">
      <c r="A820" t="s">
        <v>2479</v>
      </c>
      <c r="B820" t="s">
        <v>2480</v>
      </c>
      <c r="C820" t="s">
        <v>124</v>
      </c>
      <c r="D820" t="s">
        <v>58</v>
      </c>
      <c r="E820">
        <v>68</v>
      </c>
    </row>
    <row r="821" spans="1:5" hidden="1" x14ac:dyDescent="0.25">
      <c r="A821" t="s">
        <v>2481</v>
      </c>
      <c r="B821" t="s">
        <v>2482</v>
      </c>
      <c r="C821" t="s">
        <v>124</v>
      </c>
      <c r="D821" t="s">
        <v>58</v>
      </c>
      <c r="E821">
        <v>16</v>
      </c>
    </row>
    <row r="822" spans="1:5" hidden="1" x14ac:dyDescent="0.25">
      <c r="A822" t="s">
        <v>2483</v>
      </c>
      <c r="B822" t="s">
        <v>2484</v>
      </c>
      <c r="C822" t="s">
        <v>124</v>
      </c>
      <c r="D822" t="s">
        <v>58</v>
      </c>
      <c r="E822">
        <v>4</v>
      </c>
    </row>
    <row r="823" spans="1:5" hidden="1" x14ac:dyDescent="0.25">
      <c r="A823" t="s">
        <v>2485</v>
      </c>
      <c r="B823" t="s">
        <v>2486</v>
      </c>
      <c r="C823" t="s">
        <v>124</v>
      </c>
      <c r="D823" t="s">
        <v>58</v>
      </c>
      <c r="E823">
        <v>4</v>
      </c>
    </row>
    <row r="824" spans="1:5" hidden="1" x14ac:dyDescent="0.25">
      <c r="A824" t="s">
        <v>2487</v>
      </c>
      <c r="B824" t="s">
        <v>2488</v>
      </c>
      <c r="C824" t="s">
        <v>124</v>
      </c>
      <c r="D824" t="s">
        <v>58</v>
      </c>
      <c r="E824">
        <v>40</v>
      </c>
    </row>
    <row r="825" spans="1:5" hidden="1" x14ac:dyDescent="0.25">
      <c r="A825" t="s">
        <v>2489</v>
      </c>
      <c r="B825" t="s">
        <v>2490</v>
      </c>
      <c r="C825" t="s">
        <v>124</v>
      </c>
      <c r="D825" t="s">
        <v>58</v>
      </c>
      <c r="E825">
        <v>7</v>
      </c>
    </row>
    <row r="826" spans="1:5" hidden="1" x14ac:dyDescent="0.25">
      <c r="A826" t="s">
        <v>2491</v>
      </c>
      <c r="B826" t="s">
        <v>2492</v>
      </c>
      <c r="C826" t="s">
        <v>124</v>
      </c>
      <c r="D826" t="s">
        <v>58</v>
      </c>
      <c r="E826">
        <v>15</v>
      </c>
    </row>
    <row r="827" spans="1:5" hidden="1" x14ac:dyDescent="0.25">
      <c r="A827" t="s">
        <v>2493</v>
      </c>
      <c r="B827" t="s">
        <v>2494</v>
      </c>
      <c r="C827" t="s">
        <v>124</v>
      </c>
      <c r="D827" t="s">
        <v>58</v>
      </c>
      <c r="E827">
        <v>6</v>
      </c>
    </row>
    <row r="828" spans="1:5" hidden="1" x14ac:dyDescent="0.25">
      <c r="A828" t="s">
        <v>2495</v>
      </c>
      <c r="B828" t="s">
        <v>2496</v>
      </c>
      <c r="C828" t="s">
        <v>124</v>
      </c>
      <c r="D828" t="s">
        <v>58</v>
      </c>
      <c r="E828">
        <v>6</v>
      </c>
    </row>
    <row r="829" spans="1:5" hidden="1" x14ac:dyDescent="0.25">
      <c r="A829" t="s">
        <v>2497</v>
      </c>
      <c r="B829" t="s">
        <v>2498</v>
      </c>
      <c r="C829" t="s">
        <v>124</v>
      </c>
      <c r="D829" t="s">
        <v>58</v>
      </c>
      <c r="E829">
        <v>10</v>
      </c>
    </row>
    <row r="830" spans="1:5" hidden="1" x14ac:dyDescent="0.25">
      <c r="A830" t="s">
        <v>2499</v>
      </c>
      <c r="B830" t="s">
        <v>2500</v>
      </c>
      <c r="C830" t="s">
        <v>124</v>
      </c>
      <c r="D830" t="s">
        <v>58</v>
      </c>
      <c r="E830">
        <v>1</v>
      </c>
    </row>
    <row r="831" spans="1:5" hidden="1" x14ac:dyDescent="0.25">
      <c r="A831" t="s">
        <v>2501</v>
      </c>
      <c r="B831" t="s">
        <v>2502</v>
      </c>
      <c r="C831" t="s">
        <v>124</v>
      </c>
      <c r="D831" t="s">
        <v>58</v>
      </c>
      <c r="E831">
        <v>18</v>
      </c>
    </row>
    <row r="832" spans="1:5" hidden="1" x14ac:dyDescent="0.25">
      <c r="A832" t="s">
        <v>2503</v>
      </c>
      <c r="B832" t="s">
        <v>2504</v>
      </c>
      <c r="C832" t="s">
        <v>124</v>
      </c>
      <c r="D832" t="s">
        <v>58</v>
      </c>
      <c r="E832">
        <v>1</v>
      </c>
    </row>
    <row r="833" spans="1:5" hidden="1" x14ac:dyDescent="0.25">
      <c r="A833" t="s">
        <v>2505</v>
      </c>
      <c r="B833" t="s">
        <v>2506</v>
      </c>
      <c r="C833" t="s">
        <v>124</v>
      </c>
      <c r="D833" t="s">
        <v>58</v>
      </c>
      <c r="E833">
        <v>23</v>
      </c>
    </row>
    <row r="834" spans="1:5" hidden="1" x14ac:dyDescent="0.25">
      <c r="A834" t="s">
        <v>2507</v>
      </c>
      <c r="B834" t="s">
        <v>2508</v>
      </c>
      <c r="C834" t="s">
        <v>124</v>
      </c>
      <c r="D834" t="s">
        <v>58</v>
      </c>
      <c r="E834">
        <v>27</v>
      </c>
    </row>
    <row r="835" spans="1:5" hidden="1" x14ac:dyDescent="0.25">
      <c r="A835" t="s">
        <v>2509</v>
      </c>
      <c r="B835" t="s">
        <v>2510</v>
      </c>
      <c r="C835" t="s">
        <v>124</v>
      </c>
      <c r="D835" t="s">
        <v>58</v>
      </c>
      <c r="E835">
        <v>21</v>
      </c>
    </row>
    <row r="836" spans="1:5" hidden="1" x14ac:dyDescent="0.25">
      <c r="A836" t="s">
        <v>2511</v>
      </c>
      <c r="B836" t="s">
        <v>2512</v>
      </c>
      <c r="C836" t="s">
        <v>124</v>
      </c>
      <c r="D836" t="s">
        <v>58</v>
      </c>
      <c r="E836">
        <v>4</v>
      </c>
    </row>
    <row r="837" spans="1:5" hidden="1" x14ac:dyDescent="0.25">
      <c r="A837" t="s">
        <v>2513</v>
      </c>
      <c r="B837" t="s">
        <v>2514</v>
      </c>
      <c r="C837" t="s">
        <v>124</v>
      </c>
      <c r="D837" t="s">
        <v>58</v>
      </c>
      <c r="E837">
        <v>153</v>
      </c>
    </row>
    <row r="838" spans="1:5" hidden="1" x14ac:dyDescent="0.25">
      <c r="A838" t="s">
        <v>2515</v>
      </c>
      <c r="B838" t="s">
        <v>2516</v>
      </c>
      <c r="C838" t="s">
        <v>124</v>
      </c>
      <c r="D838" t="s">
        <v>58</v>
      </c>
      <c r="E838">
        <v>8</v>
      </c>
    </row>
    <row r="839" spans="1:5" hidden="1" x14ac:dyDescent="0.25">
      <c r="A839" t="s">
        <v>2517</v>
      </c>
      <c r="B839" t="s">
        <v>2518</v>
      </c>
      <c r="C839" t="s">
        <v>124</v>
      </c>
      <c r="D839" t="s">
        <v>58</v>
      </c>
      <c r="E839">
        <v>72</v>
      </c>
    </row>
    <row r="840" spans="1:5" hidden="1" x14ac:dyDescent="0.25">
      <c r="A840" t="s">
        <v>2519</v>
      </c>
      <c r="B840" t="s">
        <v>2520</v>
      </c>
      <c r="C840" t="s">
        <v>124</v>
      </c>
      <c r="D840" t="s">
        <v>58</v>
      </c>
      <c r="E840">
        <v>15</v>
      </c>
    </row>
    <row r="841" spans="1:5" hidden="1" x14ac:dyDescent="0.25">
      <c r="A841" t="s">
        <v>2521</v>
      </c>
      <c r="B841" t="s">
        <v>2504</v>
      </c>
      <c r="C841" t="s">
        <v>124</v>
      </c>
      <c r="D841" t="s">
        <v>58</v>
      </c>
      <c r="E841">
        <v>1</v>
      </c>
    </row>
    <row r="842" spans="1:5" hidden="1" x14ac:dyDescent="0.25">
      <c r="A842" t="s">
        <v>2522</v>
      </c>
      <c r="B842" t="s">
        <v>2523</v>
      </c>
      <c r="C842" t="s">
        <v>124</v>
      </c>
      <c r="D842" t="s">
        <v>58</v>
      </c>
      <c r="E842">
        <v>15</v>
      </c>
    </row>
    <row r="843" spans="1:5" hidden="1" x14ac:dyDescent="0.25">
      <c r="A843" t="s">
        <v>2524</v>
      </c>
      <c r="B843" t="s">
        <v>2525</v>
      </c>
      <c r="C843" t="s">
        <v>124</v>
      </c>
      <c r="D843" t="s">
        <v>58</v>
      </c>
      <c r="E843">
        <v>3</v>
      </c>
    </row>
    <row r="844" spans="1:5" hidden="1" x14ac:dyDescent="0.25">
      <c r="A844" t="s">
        <v>2526</v>
      </c>
      <c r="B844" t="s">
        <v>2527</v>
      </c>
      <c r="C844" t="s">
        <v>124</v>
      </c>
      <c r="D844" t="s">
        <v>58</v>
      </c>
      <c r="E844">
        <v>15</v>
      </c>
    </row>
    <row r="845" spans="1:5" hidden="1" x14ac:dyDescent="0.25">
      <c r="A845" t="s">
        <v>2528</v>
      </c>
      <c r="B845" t="s">
        <v>2529</v>
      </c>
      <c r="C845" t="s">
        <v>1</v>
      </c>
      <c r="D845" t="s">
        <v>58</v>
      </c>
      <c r="E845">
        <v>93</v>
      </c>
    </row>
    <row r="846" spans="1:5" hidden="1" x14ac:dyDescent="0.25">
      <c r="A846" t="s">
        <v>2530</v>
      </c>
      <c r="B846" t="s">
        <v>2531</v>
      </c>
      <c r="C846" t="s">
        <v>1</v>
      </c>
      <c r="D846" t="s">
        <v>58</v>
      </c>
      <c r="E846">
        <v>44</v>
      </c>
    </row>
    <row r="847" spans="1:5" hidden="1" x14ac:dyDescent="0.25">
      <c r="A847" t="s">
        <v>2532</v>
      </c>
      <c r="B847" t="s">
        <v>2533</v>
      </c>
      <c r="C847" t="s">
        <v>124</v>
      </c>
      <c r="D847" t="s">
        <v>58</v>
      </c>
      <c r="E847">
        <v>184</v>
      </c>
    </row>
    <row r="848" spans="1:5" hidden="1" x14ac:dyDescent="0.25">
      <c r="A848" t="s">
        <v>2534</v>
      </c>
      <c r="B848" t="s">
        <v>2535</v>
      </c>
      <c r="C848" t="s">
        <v>124</v>
      </c>
      <c r="D848" t="s">
        <v>58</v>
      </c>
      <c r="E848">
        <v>18</v>
      </c>
    </row>
    <row r="849" spans="1:5" hidden="1" x14ac:dyDescent="0.25">
      <c r="A849" t="s">
        <v>2536</v>
      </c>
      <c r="B849" t="s">
        <v>2537</v>
      </c>
      <c r="C849" t="s">
        <v>1</v>
      </c>
      <c r="D849" t="s">
        <v>58</v>
      </c>
      <c r="E849">
        <v>67</v>
      </c>
    </row>
    <row r="850" spans="1:5" hidden="1" x14ac:dyDescent="0.25">
      <c r="A850" t="s">
        <v>2538</v>
      </c>
      <c r="B850" t="s">
        <v>2539</v>
      </c>
      <c r="C850" t="s">
        <v>124</v>
      </c>
      <c r="D850" t="s">
        <v>58</v>
      </c>
      <c r="E850">
        <v>6</v>
      </c>
    </row>
    <row r="851" spans="1:5" hidden="1" x14ac:dyDescent="0.25">
      <c r="A851" t="s">
        <v>2540</v>
      </c>
      <c r="B851" t="s">
        <v>2541</v>
      </c>
      <c r="C851" t="s">
        <v>124</v>
      </c>
      <c r="D851" t="s">
        <v>58</v>
      </c>
      <c r="E851">
        <v>109</v>
      </c>
    </row>
    <row r="852" spans="1:5" hidden="1" x14ac:dyDescent="0.25">
      <c r="A852" t="s">
        <v>2542</v>
      </c>
      <c r="B852" t="s">
        <v>2543</v>
      </c>
      <c r="C852" t="s">
        <v>124</v>
      </c>
      <c r="D852" t="s">
        <v>58</v>
      </c>
      <c r="E852">
        <v>3</v>
      </c>
    </row>
    <row r="853" spans="1:5" hidden="1" x14ac:dyDescent="0.25">
      <c r="A853" t="s">
        <v>2544</v>
      </c>
      <c r="B853" t="s">
        <v>2545</v>
      </c>
      <c r="C853" t="s">
        <v>124</v>
      </c>
      <c r="D853" t="s">
        <v>58</v>
      </c>
      <c r="E853">
        <v>6</v>
      </c>
    </row>
    <row r="854" spans="1:5" hidden="1" x14ac:dyDescent="0.25">
      <c r="A854" t="s">
        <v>2546</v>
      </c>
      <c r="B854" t="s">
        <v>2547</v>
      </c>
      <c r="C854" t="s">
        <v>124</v>
      </c>
      <c r="D854" t="s">
        <v>58</v>
      </c>
      <c r="E854">
        <v>18</v>
      </c>
    </row>
    <row r="855" spans="1:5" hidden="1" x14ac:dyDescent="0.25">
      <c r="A855" t="s">
        <v>2548</v>
      </c>
      <c r="B855" t="s">
        <v>2549</v>
      </c>
      <c r="C855" t="s">
        <v>124</v>
      </c>
      <c r="D855" t="s">
        <v>58</v>
      </c>
      <c r="E855">
        <v>4</v>
      </c>
    </row>
    <row r="856" spans="1:5" hidden="1" x14ac:dyDescent="0.25">
      <c r="A856" t="s">
        <v>2550</v>
      </c>
      <c r="B856" t="s">
        <v>2551</v>
      </c>
      <c r="C856" t="s">
        <v>124</v>
      </c>
      <c r="D856" t="s">
        <v>58</v>
      </c>
      <c r="E856">
        <v>52</v>
      </c>
    </row>
    <row r="857" spans="1:5" hidden="1" x14ac:dyDescent="0.25">
      <c r="A857" t="s">
        <v>2552</v>
      </c>
      <c r="B857" t="s">
        <v>2553</v>
      </c>
      <c r="C857" t="s">
        <v>124</v>
      </c>
      <c r="D857" t="s">
        <v>58</v>
      </c>
      <c r="E857">
        <v>32</v>
      </c>
    </row>
    <row r="858" spans="1:5" hidden="1" x14ac:dyDescent="0.25">
      <c r="A858" t="s">
        <v>2554</v>
      </c>
      <c r="B858" t="s">
        <v>2555</v>
      </c>
      <c r="C858" t="s">
        <v>124</v>
      </c>
      <c r="D858" t="s">
        <v>58</v>
      </c>
      <c r="E858">
        <v>2</v>
      </c>
    </row>
    <row r="859" spans="1:5" hidden="1" x14ac:dyDescent="0.25">
      <c r="A859" t="s">
        <v>2556</v>
      </c>
      <c r="B859" t="s">
        <v>2557</v>
      </c>
      <c r="C859" t="s">
        <v>124</v>
      </c>
      <c r="D859" t="s">
        <v>58</v>
      </c>
      <c r="E859">
        <v>4</v>
      </c>
    </row>
    <row r="860" spans="1:5" hidden="1" x14ac:dyDescent="0.25">
      <c r="A860" t="s">
        <v>2558</v>
      </c>
      <c r="B860" t="s">
        <v>2559</v>
      </c>
      <c r="C860" t="s">
        <v>124</v>
      </c>
      <c r="D860" t="s">
        <v>58</v>
      </c>
      <c r="E860">
        <v>14</v>
      </c>
    </row>
    <row r="861" spans="1:5" hidden="1" x14ac:dyDescent="0.25">
      <c r="A861" t="s">
        <v>2560</v>
      </c>
      <c r="B861" t="s">
        <v>2561</v>
      </c>
      <c r="C861" t="s">
        <v>124</v>
      </c>
      <c r="D861" t="s">
        <v>58</v>
      </c>
      <c r="E861">
        <v>13</v>
      </c>
    </row>
    <row r="862" spans="1:5" hidden="1" x14ac:dyDescent="0.25">
      <c r="A862" t="s">
        <v>2562</v>
      </c>
      <c r="B862" t="s">
        <v>2563</v>
      </c>
      <c r="C862" t="s">
        <v>59</v>
      </c>
      <c r="D862" t="s">
        <v>58</v>
      </c>
      <c r="E862">
        <v>55</v>
      </c>
    </row>
    <row r="863" spans="1:5" hidden="1" x14ac:dyDescent="0.25">
      <c r="A863" t="s">
        <v>2564</v>
      </c>
      <c r="B863" t="s">
        <v>2565</v>
      </c>
      <c r="C863" t="s">
        <v>160</v>
      </c>
      <c r="D863" t="s">
        <v>58</v>
      </c>
      <c r="E863">
        <v>25</v>
      </c>
    </row>
    <row r="864" spans="1:5" hidden="1" x14ac:dyDescent="0.25">
      <c r="A864" t="s">
        <v>2566</v>
      </c>
      <c r="B864" t="s">
        <v>2567</v>
      </c>
      <c r="C864" t="s">
        <v>67</v>
      </c>
      <c r="D864" t="s">
        <v>58</v>
      </c>
      <c r="E864">
        <v>25</v>
      </c>
    </row>
    <row r="865" spans="1:5" hidden="1" x14ac:dyDescent="0.25">
      <c r="A865" t="s">
        <v>1959</v>
      </c>
      <c r="B865" t="s">
        <v>1961</v>
      </c>
      <c r="C865" t="s">
        <v>59</v>
      </c>
      <c r="D865" t="s">
        <v>58</v>
      </c>
      <c r="E865">
        <v>20</v>
      </c>
    </row>
  </sheetData>
  <autoFilter ref="A1:E865" xr:uid="{D6C03F34-0898-40A8-BC7D-9DA1DDA91835}">
    <filterColumn colId="2">
      <filters>
        <filter val="CONT"/>
      </filters>
    </filterColumn>
    <sortState xmlns:xlrd2="http://schemas.microsoft.com/office/spreadsheetml/2017/richdata2" ref="A2:E86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E3C2-F454-44F1-8163-1CD6B1F3A409}">
  <dimension ref="A1:M662"/>
  <sheetViews>
    <sheetView tabSelected="1" workbookViewId="0">
      <selection activeCell="J2" sqref="J2"/>
    </sheetView>
  </sheetViews>
  <sheetFormatPr defaultRowHeight="15.75" x14ac:dyDescent="0.25"/>
  <cols>
    <col min="1" max="1" width="15.375" customWidth="1"/>
    <col min="2" max="2" width="58.875" customWidth="1"/>
    <col min="5" max="5" width="14.375" style="69" bestFit="1" customWidth="1"/>
    <col min="6" max="6" width="15.625" style="69" bestFit="1" customWidth="1"/>
    <col min="7" max="7" width="16.125" style="69" bestFit="1" customWidth="1"/>
    <col min="8" max="8" width="7.25" customWidth="1"/>
    <col min="9" max="9" width="9" style="69" bestFit="1" customWidth="1"/>
    <col min="13" max="13" width="26" customWidth="1"/>
  </cols>
  <sheetData>
    <row r="1" spans="1:13" x14ac:dyDescent="0.25">
      <c r="A1" t="s">
        <v>51</v>
      </c>
      <c r="B1" t="s">
        <v>3</v>
      </c>
      <c r="C1" t="s">
        <v>53</v>
      </c>
      <c r="D1" t="s">
        <v>0</v>
      </c>
      <c r="E1" s="69" t="s">
        <v>2568</v>
      </c>
      <c r="F1" s="69" t="s">
        <v>2569</v>
      </c>
      <c r="G1" s="69" t="s">
        <v>2570</v>
      </c>
      <c r="H1" t="s">
        <v>2571</v>
      </c>
      <c r="I1" s="69" t="s">
        <v>2572</v>
      </c>
      <c r="J1" s="69" t="s">
        <v>2901</v>
      </c>
    </row>
    <row r="2" spans="1:13" x14ac:dyDescent="0.25">
      <c r="A2" t="s">
        <v>975</v>
      </c>
      <c r="B2" t="s">
        <v>977</v>
      </c>
      <c r="C2" t="s">
        <v>58</v>
      </c>
      <c r="D2" t="s">
        <v>375</v>
      </c>
      <c r="E2" s="69">
        <v>1346</v>
      </c>
      <c r="F2" s="69">
        <v>163</v>
      </c>
      <c r="G2" s="69">
        <v>235</v>
      </c>
      <c r="H2" t="s">
        <v>2573</v>
      </c>
      <c r="I2" s="69">
        <v>1629</v>
      </c>
      <c r="J2">
        <f>I2-G2</f>
        <v>1394</v>
      </c>
    </row>
    <row r="3" spans="1:13" x14ac:dyDescent="0.25">
      <c r="A3" t="s">
        <v>1758</v>
      </c>
      <c r="B3" t="s">
        <v>1760</v>
      </c>
      <c r="C3" t="s">
        <v>58</v>
      </c>
      <c r="D3" t="s">
        <v>375</v>
      </c>
      <c r="E3" s="69">
        <v>1588</v>
      </c>
      <c r="F3" s="69">
        <v>0</v>
      </c>
      <c r="G3" s="69">
        <v>74</v>
      </c>
      <c r="H3" t="s">
        <v>2573</v>
      </c>
      <c r="I3" s="69">
        <v>1503</v>
      </c>
      <c r="J3">
        <f t="shared" ref="J3:J66" si="0">I3-G3</f>
        <v>1429</v>
      </c>
    </row>
    <row r="4" spans="1:13" x14ac:dyDescent="0.25">
      <c r="A4" t="s">
        <v>1066</v>
      </c>
      <c r="B4" t="s">
        <v>1068</v>
      </c>
      <c r="C4" t="s">
        <v>58</v>
      </c>
      <c r="D4" t="s">
        <v>375</v>
      </c>
      <c r="E4" s="69">
        <v>1416</v>
      </c>
      <c r="F4" s="69">
        <v>47</v>
      </c>
      <c r="G4" s="69">
        <v>0</v>
      </c>
      <c r="H4" t="s">
        <v>2573</v>
      </c>
      <c r="I4" s="69">
        <v>1163</v>
      </c>
      <c r="J4">
        <f t="shared" si="0"/>
        <v>1163</v>
      </c>
    </row>
    <row r="5" spans="1:13" x14ac:dyDescent="0.25">
      <c r="A5" t="s">
        <v>1400</v>
      </c>
      <c r="B5" t="s">
        <v>1402</v>
      </c>
      <c r="C5" t="s">
        <v>58</v>
      </c>
      <c r="D5" t="s">
        <v>150</v>
      </c>
      <c r="E5" s="69">
        <v>860</v>
      </c>
      <c r="F5" s="69">
        <v>260</v>
      </c>
      <c r="G5" s="69">
        <v>121</v>
      </c>
      <c r="H5" t="s">
        <v>2574</v>
      </c>
      <c r="I5" s="69">
        <v>1104</v>
      </c>
      <c r="J5">
        <f t="shared" si="0"/>
        <v>983</v>
      </c>
    </row>
    <row r="6" spans="1:13" x14ac:dyDescent="0.25">
      <c r="A6" t="s">
        <v>2303</v>
      </c>
      <c r="B6" t="s">
        <v>811</v>
      </c>
      <c r="C6" t="s">
        <v>58</v>
      </c>
      <c r="D6" t="s">
        <v>59</v>
      </c>
      <c r="E6" s="69">
        <v>699</v>
      </c>
      <c r="F6" s="69">
        <v>132</v>
      </c>
      <c r="G6" s="69">
        <v>250</v>
      </c>
      <c r="H6" t="s">
        <v>2574</v>
      </c>
      <c r="I6" s="69">
        <v>1081</v>
      </c>
      <c r="J6">
        <f t="shared" si="0"/>
        <v>831</v>
      </c>
    </row>
    <row r="7" spans="1:13" x14ac:dyDescent="0.25">
      <c r="A7" t="s">
        <v>1708</v>
      </c>
      <c r="B7" t="s">
        <v>1710</v>
      </c>
      <c r="C7" t="s">
        <v>58</v>
      </c>
      <c r="D7" t="s">
        <v>59</v>
      </c>
      <c r="E7" s="69">
        <v>1313</v>
      </c>
      <c r="F7" s="69">
        <v>118</v>
      </c>
      <c r="G7" s="69">
        <v>64</v>
      </c>
      <c r="H7" t="s">
        <v>2574</v>
      </c>
      <c r="I7" s="69">
        <v>1075</v>
      </c>
      <c r="J7">
        <f t="shared" si="0"/>
        <v>1011</v>
      </c>
    </row>
    <row r="8" spans="1:13" x14ac:dyDescent="0.25">
      <c r="A8" t="s">
        <v>1837</v>
      </c>
      <c r="B8" t="s">
        <v>1839</v>
      </c>
      <c r="C8" t="s">
        <v>58</v>
      </c>
      <c r="D8" t="s">
        <v>167</v>
      </c>
      <c r="E8" s="69">
        <v>765</v>
      </c>
      <c r="F8" s="69">
        <v>284</v>
      </c>
      <c r="G8" s="69">
        <v>54</v>
      </c>
      <c r="H8" t="s">
        <v>2574</v>
      </c>
      <c r="I8" s="69">
        <v>935</v>
      </c>
      <c r="J8">
        <f t="shared" si="0"/>
        <v>881</v>
      </c>
    </row>
    <row r="9" spans="1:13" x14ac:dyDescent="0.25">
      <c r="A9" t="s">
        <v>138</v>
      </c>
      <c r="B9" t="s">
        <v>140</v>
      </c>
      <c r="C9" t="s">
        <v>58</v>
      </c>
      <c r="D9" t="s">
        <v>59</v>
      </c>
      <c r="E9" s="69">
        <v>669</v>
      </c>
      <c r="F9" s="69">
        <v>214</v>
      </c>
      <c r="G9" s="69">
        <v>147</v>
      </c>
      <c r="H9" t="s">
        <v>2575</v>
      </c>
      <c r="I9" s="69">
        <v>790</v>
      </c>
      <c r="J9">
        <f t="shared" si="0"/>
        <v>643</v>
      </c>
      <c r="M9" s="70"/>
    </row>
    <row r="10" spans="1:13" x14ac:dyDescent="0.25">
      <c r="A10" t="s">
        <v>1008</v>
      </c>
      <c r="B10" t="s">
        <v>1010</v>
      </c>
      <c r="C10" t="s">
        <v>58</v>
      </c>
      <c r="D10" t="s">
        <v>150</v>
      </c>
      <c r="E10" s="69">
        <v>561</v>
      </c>
      <c r="F10" s="69">
        <v>136</v>
      </c>
      <c r="G10" s="69">
        <v>45</v>
      </c>
      <c r="H10" t="s">
        <v>2574</v>
      </c>
      <c r="I10" s="69">
        <v>742</v>
      </c>
      <c r="J10">
        <f t="shared" si="0"/>
        <v>697</v>
      </c>
    </row>
    <row r="11" spans="1:13" x14ac:dyDescent="0.25">
      <c r="A11" t="s">
        <v>1011</v>
      </c>
      <c r="B11" t="s">
        <v>1013</v>
      </c>
      <c r="C11" t="s">
        <v>58</v>
      </c>
      <c r="D11" t="s">
        <v>167</v>
      </c>
      <c r="E11" s="69">
        <v>784</v>
      </c>
      <c r="F11" s="69">
        <v>37</v>
      </c>
      <c r="G11" s="69">
        <v>67</v>
      </c>
      <c r="H11" t="s">
        <v>2575</v>
      </c>
      <c r="I11" s="69">
        <v>738</v>
      </c>
      <c r="J11">
        <f t="shared" si="0"/>
        <v>671</v>
      </c>
    </row>
    <row r="12" spans="1:13" x14ac:dyDescent="0.25">
      <c r="A12" t="s">
        <v>1782</v>
      </c>
      <c r="B12" t="s">
        <v>1784</v>
      </c>
      <c r="C12" t="s">
        <v>58</v>
      </c>
      <c r="D12" t="s">
        <v>59</v>
      </c>
      <c r="E12" s="69">
        <v>300</v>
      </c>
      <c r="F12" s="69">
        <v>388</v>
      </c>
      <c r="G12" s="69">
        <v>74</v>
      </c>
      <c r="H12" t="s">
        <v>2573</v>
      </c>
      <c r="I12" s="69">
        <v>708</v>
      </c>
      <c r="J12">
        <f t="shared" si="0"/>
        <v>634</v>
      </c>
    </row>
    <row r="13" spans="1:13" x14ac:dyDescent="0.25">
      <c r="A13" t="s">
        <v>1148</v>
      </c>
      <c r="B13" t="s">
        <v>1150</v>
      </c>
      <c r="C13" t="s">
        <v>58</v>
      </c>
      <c r="D13" t="s">
        <v>150</v>
      </c>
      <c r="E13" s="69">
        <v>553</v>
      </c>
      <c r="F13" s="69">
        <v>80</v>
      </c>
      <c r="G13" s="69">
        <v>0</v>
      </c>
      <c r="H13" t="s">
        <v>2574</v>
      </c>
      <c r="I13" s="69">
        <v>633</v>
      </c>
      <c r="J13">
        <f t="shared" si="0"/>
        <v>633</v>
      </c>
    </row>
    <row r="14" spans="1:13" x14ac:dyDescent="0.25">
      <c r="A14" t="s">
        <v>1932</v>
      </c>
      <c r="B14" t="s">
        <v>1934</v>
      </c>
      <c r="C14" t="s">
        <v>58</v>
      </c>
      <c r="D14" t="s">
        <v>160</v>
      </c>
      <c r="E14" s="69">
        <v>540</v>
      </c>
      <c r="F14" s="69">
        <v>112</v>
      </c>
      <c r="G14" s="69">
        <v>32</v>
      </c>
      <c r="H14" t="s">
        <v>2574</v>
      </c>
      <c r="I14" s="69">
        <v>591</v>
      </c>
      <c r="J14">
        <f t="shared" si="0"/>
        <v>559</v>
      </c>
    </row>
    <row r="15" spans="1:13" x14ac:dyDescent="0.25">
      <c r="A15" t="s">
        <v>890</v>
      </c>
      <c r="B15" t="s">
        <v>892</v>
      </c>
      <c r="C15" t="s">
        <v>58</v>
      </c>
      <c r="D15" t="s">
        <v>167</v>
      </c>
      <c r="E15" s="69">
        <v>477</v>
      </c>
      <c r="F15" s="69">
        <v>27</v>
      </c>
      <c r="G15" s="69">
        <v>52</v>
      </c>
      <c r="H15" t="s">
        <v>2575</v>
      </c>
      <c r="I15" s="69">
        <v>497</v>
      </c>
      <c r="J15">
        <f t="shared" si="0"/>
        <v>445</v>
      </c>
    </row>
    <row r="16" spans="1:13" x14ac:dyDescent="0.25">
      <c r="A16" t="s">
        <v>1607</v>
      </c>
      <c r="B16" t="s">
        <v>1609</v>
      </c>
      <c r="C16" t="s">
        <v>58</v>
      </c>
      <c r="D16" t="s">
        <v>59</v>
      </c>
      <c r="E16" s="69">
        <v>331</v>
      </c>
      <c r="F16" s="69">
        <v>383</v>
      </c>
      <c r="G16" s="69">
        <v>74</v>
      </c>
      <c r="H16" t="s">
        <v>2574</v>
      </c>
      <c r="I16" s="69">
        <v>486</v>
      </c>
      <c r="J16">
        <f t="shared" si="0"/>
        <v>412</v>
      </c>
    </row>
    <row r="17" spans="1:10" x14ac:dyDescent="0.25">
      <c r="A17" t="s">
        <v>1479</v>
      </c>
      <c r="B17" t="s">
        <v>1481</v>
      </c>
      <c r="C17" t="s">
        <v>58</v>
      </c>
      <c r="D17" t="s">
        <v>150</v>
      </c>
      <c r="E17" s="69">
        <v>311</v>
      </c>
      <c r="F17" s="69">
        <v>99</v>
      </c>
      <c r="G17" s="69">
        <v>30</v>
      </c>
      <c r="H17" t="s">
        <v>2574</v>
      </c>
      <c r="I17" s="69">
        <v>440</v>
      </c>
      <c r="J17">
        <f t="shared" si="0"/>
        <v>410</v>
      </c>
    </row>
    <row r="18" spans="1:10" x14ac:dyDescent="0.25">
      <c r="A18" t="s">
        <v>1929</v>
      </c>
      <c r="B18" t="s">
        <v>1931</v>
      </c>
      <c r="C18" t="s">
        <v>58</v>
      </c>
      <c r="D18" t="s">
        <v>160</v>
      </c>
      <c r="E18" s="69">
        <v>435</v>
      </c>
      <c r="F18" s="69">
        <v>84</v>
      </c>
      <c r="G18" s="69">
        <v>10</v>
      </c>
      <c r="H18" t="s">
        <v>2574</v>
      </c>
      <c r="I18" s="69">
        <v>418</v>
      </c>
      <c r="J18">
        <f t="shared" si="0"/>
        <v>408</v>
      </c>
    </row>
    <row r="19" spans="1:10" x14ac:dyDescent="0.25">
      <c r="A19" t="s">
        <v>1705</v>
      </c>
      <c r="B19" t="s">
        <v>1707</v>
      </c>
      <c r="C19" t="s">
        <v>58</v>
      </c>
      <c r="D19" t="s">
        <v>59</v>
      </c>
      <c r="E19" s="69">
        <v>402</v>
      </c>
      <c r="F19" s="69">
        <v>28</v>
      </c>
      <c r="G19" s="69">
        <v>84</v>
      </c>
      <c r="H19" t="s">
        <v>2574</v>
      </c>
      <c r="I19" s="69">
        <v>414</v>
      </c>
      <c r="J19">
        <f t="shared" si="0"/>
        <v>330</v>
      </c>
    </row>
    <row r="20" spans="1:10" x14ac:dyDescent="0.25">
      <c r="A20" t="s">
        <v>999</v>
      </c>
      <c r="B20" t="s">
        <v>1001</v>
      </c>
      <c r="C20" t="s">
        <v>58</v>
      </c>
      <c r="D20" t="s">
        <v>167</v>
      </c>
      <c r="E20" s="69">
        <v>442</v>
      </c>
      <c r="F20" s="69">
        <v>91</v>
      </c>
      <c r="G20" s="69">
        <v>16</v>
      </c>
      <c r="H20" t="s">
        <v>2575</v>
      </c>
      <c r="I20" s="69">
        <v>409</v>
      </c>
      <c r="J20">
        <f t="shared" si="0"/>
        <v>393</v>
      </c>
    </row>
    <row r="21" spans="1:10" x14ac:dyDescent="0.25">
      <c r="A21" t="s">
        <v>942</v>
      </c>
      <c r="B21" t="s">
        <v>944</v>
      </c>
      <c r="C21" t="s">
        <v>58</v>
      </c>
      <c r="D21" t="s">
        <v>167</v>
      </c>
      <c r="E21" s="69">
        <v>448</v>
      </c>
      <c r="F21" s="69">
        <v>114</v>
      </c>
      <c r="G21" s="69">
        <v>60</v>
      </c>
      <c r="H21" t="s">
        <v>2575</v>
      </c>
      <c r="I21" s="69">
        <v>408</v>
      </c>
      <c r="J21">
        <f t="shared" si="0"/>
        <v>348</v>
      </c>
    </row>
    <row r="22" spans="1:10" x14ac:dyDescent="0.25">
      <c r="A22" t="s">
        <v>1017</v>
      </c>
      <c r="B22" t="s">
        <v>1019</v>
      </c>
      <c r="C22" t="s">
        <v>58</v>
      </c>
      <c r="D22" t="s">
        <v>203</v>
      </c>
      <c r="E22" s="69">
        <v>424</v>
      </c>
      <c r="F22" s="69">
        <v>0</v>
      </c>
      <c r="G22" s="69">
        <v>0</v>
      </c>
      <c r="H22" t="s">
        <v>2573</v>
      </c>
      <c r="I22" s="69">
        <v>385</v>
      </c>
      <c r="J22">
        <f t="shared" si="0"/>
        <v>385</v>
      </c>
    </row>
    <row r="23" spans="1:10" x14ac:dyDescent="0.25">
      <c r="A23" t="s">
        <v>1482</v>
      </c>
      <c r="B23" t="s">
        <v>1484</v>
      </c>
      <c r="C23" t="s">
        <v>58</v>
      </c>
      <c r="D23" t="s">
        <v>150</v>
      </c>
      <c r="E23" s="69">
        <v>348</v>
      </c>
      <c r="F23" s="69">
        <v>0</v>
      </c>
      <c r="G23" s="69">
        <v>27</v>
      </c>
      <c r="H23" t="s">
        <v>2574</v>
      </c>
      <c r="I23" s="69">
        <v>375</v>
      </c>
      <c r="J23">
        <f t="shared" si="0"/>
        <v>348</v>
      </c>
    </row>
    <row r="24" spans="1:10" x14ac:dyDescent="0.25">
      <c r="A24" t="s">
        <v>1770</v>
      </c>
      <c r="B24" t="s">
        <v>1772</v>
      </c>
      <c r="C24" t="s">
        <v>58</v>
      </c>
      <c r="D24" t="s">
        <v>59</v>
      </c>
      <c r="E24" s="69">
        <v>350</v>
      </c>
      <c r="F24" s="69">
        <v>21</v>
      </c>
      <c r="G24" s="69">
        <v>82</v>
      </c>
      <c r="H24" t="s">
        <v>2573</v>
      </c>
      <c r="I24" s="69">
        <v>374</v>
      </c>
      <c r="J24">
        <f t="shared" si="0"/>
        <v>292</v>
      </c>
    </row>
    <row r="25" spans="1:10" x14ac:dyDescent="0.25">
      <c r="A25" t="s">
        <v>1516</v>
      </c>
      <c r="B25" t="s">
        <v>1515</v>
      </c>
      <c r="C25" t="s">
        <v>58</v>
      </c>
      <c r="D25" t="s">
        <v>59</v>
      </c>
      <c r="E25" s="69">
        <v>333</v>
      </c>
      <c r="F25" s="69">
        <v>78</v>
      </c>
      <c r="G25" s="69">
        <v>21</v>
      </c>
      <c r="H25" t="s">
        <v>2574</v>
      </c>
      <c r="I25" s="69">
        <v>362</v>
      </c>
      <c r="J25">
        <f t="shared" si="0"/>
        <v>341</v>
      </c>
    </row>
    <row r="26" spans="1:10" x14ac:dyDescent="0.25">
      <c r="A26" t="s">
        <v>1014</v>
      </c>
      <c r="B26" t="s">
        <v>1016</v>
      </c>
      <c r="C26" t="s">
        <v>58</v>
      </c>
      <c r="D26" t="s">
        <v>203</v>
      </c>
      <c r="E26" s="69">
        <v>495</v>
      </c>
      <c r="F26" s="69">
        <v>40</v>
      </c>
      <c r="G26" s="69">
        <v>9</v>
      </c>
      <c r="H26" t="s">
        <v>2573</v>
      </c>
      <c r="I26" s="69">
        <v>358</v>
      </c>
      <c r="J26">
        <f t="shared" si="0"/>
        <v>349</v>
      </c>
    </row>
    <row r="27" spans="1:10" x14ac:dyDescent="0.25">
      <c r="A27" t="s">
        <v>1711</v>
      </c>
      <c r="B27" t="s">
        <v>1713</v>
      </c>
      <c r="C27" t="s">
        <v>58</v>
      </c>
      <c r="D27" t="s">
        <v>59</v>
      </c>
      <c r="E27" s="69">
        <v>342</v>
      </c>
      <c r="F27" s="69">
        <v>6</v>
      </c>
      <c r="G27" s="69">
        <v>0</v>
      </c>
      <c r="H27" t="s">
        <v>2574</v>
      </c>
      <c r="I27" s="69">
        <v>348</v>
      </c>
      <c r="J27">
        <f t="shared" si="0"/>
        <v>348</v>
      </c>
    </row>
    <row r="28" spans="1:10" x14ac:dyDescent="0.25">
      <c r="A28" t="s">
        <v>836</v>
      </c>
      <c r="B28" t="s">
        <v>838</v>
      </c>
      <c r="C28" t="s">
        <v>58</v>
      </c>
      <c r="D28" t="s">
        <v>167</v>
      </c>
      <c r="E28" s="69">
        <v>366</v>
      </c>
      <c r="F28" s="69">
        <v>20</v>
      </c>
      <c r="G28" s="69">
        <v>45</v>
      </c>
      <c r="H28" t="s">
        <v>2574</v>
      </c>
      <c r="I28" s="69">
        <v>348</v>
      </c>
      <c r="J28">
        <f t="shared" si="0"/>
        <v>303</v>
      </c>
    </row>
    <row r="29" spans="1:10" x14ac:dyDescent="0.25">
      <c r="A29" t="s">
        <v>1529</v>
      </c>
      <c r="B29" t="s">
        <v>1531</v>
      </c>
      <c r="C29" t="s">
        <v>58</v>
      </c>
      <c r="D29" t="s">
        <v>150</v>
      </c>
      <c r="E29" s="69">
        <v>218</v>
      </c>
      <c r="F29" s="69">
        <v>172</v>
      </c>
      <c r="G29" s="69">
        <v>42</v>
      </c>
      <c r="H29" t="s">
        <v>2573</v>
      </c>
      <c r="I29" s="69">
        <v>348</v>
      </c>
      <c r="J29">
        <f t="shared" si="0"/>
        <v>306</v>
      </c>
    </row>
    <row r="30" spans="1:10" x14ac:dyDescent="0.25">
      <c r="A30" t="s">
        <v>1428</v>
      </c>
      <c r="B30" t="s">
        <v>1430</v>
      </c>
      <c r="C30" t="s">
        <v>58</v>
      </c>
      <c r="D30" t="s">
        <v>150</v>
      </c>
      <c r="E30" s="69">
        <v>212</v>
      </c>
      <c r="F30" s="69">
        <v>172</v>
      </c>
      <c r="G30" s="69">
        <v>17</v>
      </c>
      <c r="H30" t="s">
        <v>2574</v>
      </c>
      <c r="I30" s="69">
        <v>341</v>
      </c>
      <c r="J30">
        <f t="shared" si="0"/>
        <v>324</v>
      </c>
    </row>
    <row r="31" spans="1:10" x14ac:dyDescent="0.25">
      <c r="A31" t="s">
        <v>1163</v>
      </c>
      <c r="B31" t="s">
        <v>1165</v>
      </c>
      <c r="C31" t="s">
        <v>58</v>
      </c>
      <c r="D31" t="s">
        <v>150</v>
      </c>
      <c r="E31" s="69">
        <v>212</v>
      </c>
      <c r="F31" s="69">
        <v>172</v>
      </c>
      <c r="G31" s="69">
        <v>11</v>
      </c>
      <c r="H31" t="s">
        <v>2574</v>
      </c>
      <c r="I31" s="69">
        <v>332</v>
      </c>
      <c r="J31">
        <f t="shared" si="0"/>
        <v>321</v>
      </c>
    </row>
    <row r="32" spans="1:10" x14ac:dyDescent="0.25">
      <c r="A32" t="s">
        <v>1467</v>
      </c>
      <c r="B32" t="s">
        <v>1469</v>
      </c>
      <c r="C32" t="s">
        <v>58</v>
      </c>
      <c r="D32" t="s">
        <v>59</v>
      </c>
      <c r="E32" s="69">
        <v>275</v>
      </c>
      <c r="F32" s="69">
        <v>120</v>
      </c>
      <c r="G32" s="69">
        <v>58</v>
      </c>
      <c r="H32" t="s">
        <v>2574</v>
      </c>
      <c r="I32" s="69">
        <v>324</v>
      </c>
      <c r="J32">
        <f t="shared" si="0"/>
        <v>266</v>
      </c>
    </row>
    <row r="33" spans="1:10" x14ac:dyDescent="0.25">
      <c r="A33" t="s">
        <v>1327</v>
      </c>
      <c r="B33" t="s">
        <v>1326</v>
      </c>
      <c r="C33" t="s">
        <v>58</v>
      </c>
      <c r="D33" t="s">
        <v>59</v>
      </c>
      <c r="E33" s="69">
        <v>249</v>
      </c>
      <c r="F33" s="69">
        <v>84</v>
      </c>
      <c r="G33" s="69">
        <v>43</v>
      </c>
      <c r="H33" t="s">
        <v>2574</v>
      </c>
      <c r="I33" s="69">
        <v>319</v>
      </c>
      <c r="J33">
        <f t="shared" si="0"/>
        <v>276</v>
      </c>
    </row>
    <row r="34" spans="1:10" x14ac:dyDescent="0.25">
      <c r="A34" t="s">
        <v>945</v>
      </c>
      <c r="B34" t="s">
        <v>947</v>
      </c>
      <c r="C34" t="s">
        <v>58</v>
      </c>
      <c r="D34" t="s">
        <v>167</v>
      </c>
      <c r="E34" s="69">
        <v>272</v>
      </c>
      <c r="F34" s="69">
        <v>46</v>
      </c>
      <c r="G34" s="69">
        <v>0</v>
      </c>
      <c r="H34" t="s">
        <v>2575</v>
      </c>
      <c r="I34" s="69">
        <v>318</v>
      </c>
      <c r="J34">
        <f t="shared" si="0"/>
        <v>318</v>
      </c>
    </row>
    <row r="35" spans="1:10" x14ac:dyDescent="0.25">
      <c r="A35" t="s">
        <v>161</v>
      </c>
      <c r="B35" t="s">
        <v>163</v>
      </c>
      <c r="C35" t="s">
        <v>58</v>
      </c>
      <c r="D35" t="s">
        <v>59</v>
      </c>
      <c r="E35" s="69">
        <v>651</v>
      </c>
      <c r="F35" s="69">
        <v>100</v>
      </c>
      <c r="G35" s="69">
        <v>15</v>
      </c>
      <c r="H35" t="s">
        <v>2574</v>
      </c>
      <c r="I35" s="69">
        <v>316</v>
      </c>
      <c r="J35">
        <f t="shared" si="0"/>
        <v>301</v>
      </c>
    </row>
    <row r="36" spans="1:10" x14ac:dyDescent="0.25">
      <c r="A36" t="s">
        <v>1206</v>
      </c>
      <c r="B36" t="s">
        <v>1208</v>
      </c>
      <c r="C36" t="s">
        <v>58</v>
      </c>
      <c r="D36" t="s">
        <v>150</v>
      </c>
      <c r="E36" s="69">
        <v>302</v>
      </c>
      <c r="F36" s="69">
        <v>1</v>
      </c>
      <c r="G36" s="69">
        <v>39</v>
      </c>
      <c r="H36" t="s">
        <v>2573</v>
      </c>
      <c r="I36" s="69">
        <v>314</v>
      </c>
      <c r="J36">
        <f t="shared" si="0"/>
        <v>275</v>
      </c>
    </row>
    <row r="37" spans="1:10" x14ac:dyDescent="0.25">
      <c r="A37" t="s">
        <v>1470</v>
      </c>
      <c r="B37" t="s">
        <v>1472</v>
      </c>
      <c r="C37" t="s">
        <v>58</v>
      </c>
      <c r="D37" t="s">
        <v>59</v>
      </c>
      <c r="E37" s="69">
        <v>156</v>
      </c>
      <c r="F37" s="69">
        <v>112</v>
      </c>
      <c r="G37" s="69">
        <v>97</v>
      </c>
      <c r="H37" t="s">
        <v>2573</v>
      </c>
      <c r="I37" s="69">
        <v>311</v>
      </c>
      <c r="J37">
        <f t="shared" si="0"/>
        <v>214</v>
      </c>
    </row>
    <row r="38" spans="1:10" x14ac:dyDescent="0.25">
      <c r="A38" t="s">
        <v>1743</v>
      </c>
      <c r="B38" t="s">
        <v>1745</v>
      </c>
      <c r="C38" t="s">
        <v>58</v>
      </c>
      <c r="D38" t="s">
        <v>59</v>
      </c>
      <c r="E38" s="69">
        <v>456</v>
      </c>
      <c r="F38" s="69">
        <v>357</v>
      </c>
      <c r="G38" s="69">
        <v>81</v>
      </c>
      <c r="H38" t="s">
        <v>2574</v>
      </c>
      <c r="I38" s="69">
        <v>295</v>
      </c>
      <c r="J38">
        <f t="shared" si="0"/>
        <v>214</v>
      </c>
    </row>
    <row r="39" spans="1:10" x14ac:dyDescent="0.25">
      <c r="A39" t="s">
        <v>893</v>
      </c>
      <c r="B39" t="s">
        <v>895</v>
      </c>
      <c r="C39" t="s">
        <v>58</v>
      </c>
      <c r="D39" t="s">
        <v>167</v>
      </c>
      <c r="E39" s="69">
        <v>225</v>
      </c>
      <c r="F39" s="69">
        <v>38</v>
      </c>
      <c r="G39" s="69">
        <v>32</v>
      </c>
      <c r="H39" t="s">
        <v>2575</v>
      </c>
      <c r="I39" s="69">
        <v>295</v>
      </c>
      <c r="J39">
        <f t="shared" si="0"/>
        <v>263</v>
      </c>
    </row>
    <row r="40" spans="1:10" x14ac:dyDescent="0.25">
      <c r="A40" t="s">
        <v>451</v>
      </c>
      <c r="B40" t="s">
        <v>453</v>
      </c>
      <c r="C40" t="s">
        <v>58</v>
      </c>
      <c r="D40" t="s">
        <v>375</v>
      </c>
      <c r="E40" s="69">
        <v>308</v>
      </c>
      <c r="F40" s="69">
        <v>86</v>
      </c>
      <c r="G40" s="69">
        <v>31</v>
      </c>
      <c r="H40" t="s">
        <v>2573</v>
      </c>
      <c r="I40" s="69">
        <v>289</v>
      </c>
      <c r="J40">
        <f t="shared" si="0"/>
        <v>258</v>
      </c>
    </row>
    <row r="41" spans="1:10" x14ac:dyDescent="0.25">
      <c r="A41" t="s">
        <v>1412</v>
      </c>
      <c r="B41" t="s">
        <v>1414</v>
      </c>
      <c r="C41" t="s">
        <v>58</v>
      </c>
      <c r="D41" t="s">
        <v>59</v>
      </c>
      <c r="E41" s="69">
        <v>171</v>
      </c>
      <c r="F41" s="69">
        <v>89</v>
      </c>
      <c r="G41" s="69">
        <v>97</v>
      </c>
      <c r="H41" t="s">
        <v>2574</v>
      </c>
      <c r="I41" s="69">
        <v>286</v>
      </c>
      <c r="J41">
        <f t="shared" si="0"/>
        <v>189</v>
      </c>
    </row>
    <row r="42" spans="1:10" x14ac:dyDescent="0.25">
      <c r="A42" t="s">
        <v>1826</v>
      </c>
      <c r="B42" t="s">
        <v>1828</v>
      </c>
      <c r="C42" t="s">
        <v>58</v>
      </c>
      <c r="D42" t="s">
        <v>59</v>
      </c>
      <c r="E42" s="69">
        <v>306</v>
      </c>
      <c r="F42" s="69">
        <v>15</v>
      </c>
      <c r="G42" s="69">
        <v>2</v>
      </c>
      <c r="H42" t="s">
        <v>2575</v>
      </c>
      <c r="I42" s="69">
        <v>276</v>
      </c>
      <c r="J42">
        <f t="shared" si="0"/>
        <v>274</v>
      </c>
    </row>
    <row r="43" spans="1:10" x14ac:dyDescent="0.25">
      <c r="A43" t="s">
        <v>1823</v>
      </c>
      <c r="B43" t="s">
        <v>1825</v>
      </c>
      <c r="C43" t="s">
        <v>58</v>
      </c>
      <c r="D43" t="s">
        <v>59</v>
      </c>
      <c r="E43" s="69">
        <v>300</v>
      </c>
      <c r="F43" s="69">
        <v>15</v>
      </c>
      <c r="G43" s="69">
        <v>2</v>
      </c>
      <c r="H43" t="s">
        <v>2573</v>
      </c>
      <c r="I43" s="69">
        <v>271</v>
      </c>
      <c r="J43">
        <f t="shared" si="0"/>
        <v>269</v>
      </c>
    </row>
    <row r="44" spans="1:10" x14ac:dyDescent="0.25">
      <c r="A44" t="s">
        <v>2177</v>
      </c>
      <c r="B44" t="s">
        <v>176</v>
      </c>
      <c r="C44" t="s">
        <v>58</v>
      </c>
      <c r="D44" t="s">
        <v>167</v>
      </c>
      <c r="E44" s="69">
        <v>263</v>
      </c>
      <c r="F44" s="69">
        <v>14</v>
      </c>
      <c r="G44" s="69">
        <v>62</v>
      </c>
      <c r="H44" t="s">
        <v>2574</v>
      </c>
      <c r="I44" s="69">
        <v>271</v>
      </c>
      <c r="J44">
        <f t="shared" si="0"/>
        <v>209</v>
      </c>
    </row>
    <row r="45" spans="1:10" x14ac:dyDescent="0.25">
      <c r="A45" t="s">
        <v>869</v>
      </c>
      <c r="B45" t="s">
        <v>871</v>
      </c>
      <c r="C45" t="s">
        <v>58</v>
      </c>
      <c r="D45" t="s">
        <v>59</v>
      </c>
      <c r="E45" s="69">
        <v>130</v>
      </c>
      <c r="F45" s="69">
        <v>177</v>
      </c>
      <c r="G45" s="69">
        <v>80</v>
      </c>
      <c r="H45" t="s">
        <v>2573</v>
      </c>
      <c r="I45" s="69">
        <v>269</v>
      </c>
      <c r="J45">
        <f t="shared" si="0"/>
        <v>189</v>
      </c>
    </row>
    <row r="46" spans="1:10" x14ac:dyDescent="0.25">
      <c r="A46" t="s">
        <v>265</v>
      </c>
      <c r="B46" t="s">
        <v>267</v>
      </c>
      <c r="C46" t="s">
        <v>58</v>
      </c>
      <c r="D46" t="s">
        <v>167</v>
      </c>
      <c r="E46" s="69">
        <v>214</v>
      </c>
      <c r="F46" s="69">
        <v>17</v>
      </c>
      <c r="G46" s="69">
        <v>37</v>
      </c>
      <c r="H46" t="s">
        <v>2575</v>
      </c>
      <c r="I46" s="69">
        <v>268</v>
      </c>
      <c r="J46">
        <f t="shared" si="0"/>
        <v>231</v>
      </c>
    </row>
    <row r="47" spans="1:10" x14ac:dyDescent="0.25">
      <c r="A47" t="s">
        <v>372</v>
      </c>
      <c r="B47" t="s">
        <v>374</v>
      </c>
      <c r="C47" t="s">
        <v>58</v>
      </c>
      <c r="D47" t="s">
        <v>375</v>
      </c>
      <c r="E47" s="69">
        <v>292</v>
      </c>
      <c r="F47" s="69">
        <v>85</v>
      </c>
      <c r="G47" s="69">
        <v>33</v>
      </c>
      <c r="H47" t="s">
        <v>2573</v>
      </c>
      <c r="I47" s="69">
        <v>265</v>
      </c>
      <c r="J47">
        <f t="shared" si="0"/>
        <v>232</v>
      </c>
    </row>
    <row r="48" spans="1:10" x14ac:dyDescent="0.25">
      <c r="A48" t="s">
        <v>1318</v>
      </c>
      <c r="B48" t="s">
        <v>1320</v>
      </c>
      <c r="C48" t="s">
        <v>58</v>
      </c>
      <c r="D48" t="s">
        <v>167</v>
      </c>
      <c r="E48" s="69">
        <v>232</v>
      </c>
      <c r="F48" s="69">
        <v>6</v>
      </c>
      <c r="G48" s="69">
        <v>24</v>
      </c>
      <c r="H48" t="s">
        <v>2574</v>
      </c>
      <c r="I48" s="69">
        <v>262</v>
      </c>
      <c r="J48">
        <f t="shared" si="0"/>
        <v>238</v>
      </c>
    </row>
    <row r="49" spans="1:10" x14ac:dyDescent="0.25">
      <c r="A49" t="s">
        <v>1169</v>
      </c>
      <c r="B49" t="s">
        <v>1171</v>
      </c>
      <c r="C49" t="s">
        <v>58</v>
      </c>
      <c r="D49" t="s">
        <v>150</v>
      </c>
      <c r="E49" s="69">
        <v>120</v>
      </c>
      <c r="F49" s="69">
        <v>128</v>
      </c>
      <c r="G49" s="69">
        <v>26</v>
      </c>
      <c r="H49" t="s">
        <v>2573</v>
      </c>
      <c r="I49" s="69">
        <v>258</v>
      </c>
      <c r="J49">
        <f t="shared" si="0"/>
        <v>232</v>
      </c>
    </row>
    <row r="50" spans="1:10" x14ac:dyDescent="0.25">
      <c r="A50" t="s">
        <v>766</v>
      </c>
      <c r="B50" t="s">
        <v>768</v>
      </c>
      <c r="C50" t="s">
        <v>58</v>
      </c>
      <c r="D50" t="s">
        <v>59</v>
      </c>
      <c r="E50" s="69">
        <v>231</v>
      </c>
      <c r="F50" s="69">
        <v>44</v>
      </c>
      <c r="G50" s="69">
        <v>73</v>
      </c>
      <c r="H50" t="s">
        <v>2574</v>
      </c>
      <c r="I50" s="69">
        <v>249</v>
      </c>
      <c r="J50">
        <f t="shared" si="0"/>
        <v>176</v>
      </c>
    </row>
    <row r="51" spans="1:10" x14ac:dyDescent="0.25">
      <c r="A51" t="s">
        <v>2217</v>
      </c>
      <c r="B51" t="s">
        <v>2218</v>
      </c>
      <c r="C51" t="s">
        <v>58</v>
      </c>
      <c r="D51" t="s">
        <v>167</v>
      </c>
      <c r="E51" s="69">
        <v>244</v>
      </c>
      <c r="F51" s="69">
        <v>0</v>
      </c>
      <c r="G51" s="69">
        <v>40</v>
      </c>
      <c r="H51" t="s">
        <v>2575</v>
      </c>
      <c r="I51" s="69">
        <v>249</v>
      </c>
      <c r="J51">
        <f t="shared" si="0"/>
        <v>209</v>
      </c>
    </row>
    <row r="52" spans="1:10" x14ac:dyDescent="0.25">
      <c r="A52" t="s">
        <v>1273</v>
      </c>
      <c r="B52" t="s">
        <v>1275</v>
      </c>
      <c r="C52" t="s">
        <v>58</v>
      </c>
      <c r="D52" t="s">
        <v>167</v>
      </c>
      <c r="E52" s="69">
        <v>145</v>
      </c>
      <c r="F52" s="69">
        <v>81</v>
      </c>
      <c r="G52" s="69">
        <v>38</v>
      </c>
      <c r="H52" t="s">
        <v>2574</v>
      </c>
      <c r="I52" s="69">
        <v>245</v>
      </c>
      <c r="J52">
        <f t="shared" si="0"/>
        <v>207</v>
      </c>
    </row>
    <row r="53" spans="1:10" x14ac:dyDescent="0.25">
      <c r="A53" t="s">
        <v>1799</v>
      </c>
      <c r="B53" t="s">
        <v>1801</v>
      </c>
      <c r="C53" t="s">
        <v>58</v>
      </c>
      <c r="D53" t="s">
        <v>59</v>
      </c>
      <c r="E53" s="69">
        <v>328</v>
      </c>
      <c r="F53" s="69">
        <v>13</v>
      </c>
      <c r="G53" s="69">
        <v>4</v>
      </c>
      <c r="H53" t="s">
        <v>2574</v>
      </c>
      <c r="I53" s="69">
        <v>244</v>
      </c>
      <c r="J53">
        <f t="shared" si="0"/>
        <v>240</v>
      </c>
    </row>
    <row r="54" spans="1:10" x14ac:dyDescent="0.25">
      <c r="A54" t="s">
        <v>984</v>
      </c>
      <c r="B54" t="s">
        <v>986</v>
      </c>
      <c r="C54" t="s">
        <v>58</v>
      </c>
      <c r="D54" t="s">
        <v>150</v>
      </c>
      <c r="E54" s="69">
        <v>120</v>
      </c>
      <c r="F54" s="69">
        <v>105</v>
      </c>
      <c r="G54" s="69">
        <v>12</v>
      </c>
      <c r="H54" t="s">
        <v>2574</v>
      </c>
      <c r="I54" s="69">
        <v>237</v>
      </c>
      <c r="J54">
        <f t="shared" si="0"/>
        <v>225</v>
      </c>
    </row>
    <row r="55" spans="1:10" x14ac:dyDescent="0.25">
      <c r="A55" t="s">
        <v>2219</v>
      </c>
      <c r="B55" t="s">
        <v>2220</v>
      </c>
      <c r="C55" t="s">
        <v>58</v>
      </c>
      <c r="D55" t="s">
        <v>167</v>
      </c>
      <c r="E55" s="69">
        <v>244</v>
      </c>
      <c r="F55" s="69">
        <v>0</v>
      </c>
      <c r="G55" s="69">
        <v>40</v>
      </c>
      <c r="H55" t="s">
        <v>2575</v>
      </c>
      <c r="I55" s="69">
        <v>236</v>
      </c>
      <c r="J55">
        <f t="shared" si="0"/>
        <v>196</v>
      </c>
    </row>
    <row r="56" spans="1:10" x14ac:dyDescent="0.25">
      <c r="A56" t="s">
        <v>990</v>
      </c>
      <c r="B56" t="s">
        <v>992</v>
      </c>
      <c r="C56" t="s">
        <v>58</v>
      </c>
      <c r="D56" t="s">
        <v>203</v>
      </c>
      <c r="E56" s="69">
        <v>312</v>
      </c>
      <c r="F56" s="69">
        <v>37</v>
      </c>
      <c r="G56" s="69">
        <v>0</v>
      </c>
      <c r="H56" t="s">
        <v>2573</v>
      </c>
      <c r="I56" s="69">
        <v>234</v>
      </c>
      <c r="J56">
        <f t="shared" si="0"/>
        <v>234</v>
      </c>
    </row>
    <row r="57" spans="1:10" x14ac:dyDescent="0.25">
      <c r="A57" t="s">
        <v>845</v>
      </c>
      <c r="B57" t="s">
        <v>847</v>
      </c>
      <c r="C57" t="s">
        <v>58</v>
      </c>
      <c r="D57" t="s">
        <v>150</v>
      </c>
      <c r="E57" s="69">
        <v>296</v>
      </c>
      <c r="F57" s="69">
        <v>0</v>
      </c>
      <c r="G57" s="69">
        <v>24.1084</v>
      </c>
      <c r="H57" t="s">
        <v>2574</v>
      </c>
      <c r="I57" s="69">
        <v>230.10840000000002</v>
      </c>
      <c r="J57">
        <f t="shared" si="0"/>
        <v>206.00000000000003</v>
      </c>
    </row>
    <row r="58" spans="1:10" x14ac:dyDescent="0.25">
      <c r="A58" t="s">
        <v>605</v>
      </c>
      <c r="B58" t="s">
        <v>607</v>
      </c>
      <c r="C58" t="s">
        <v>58</v>
      </c>
      <c r="D58" t="s">
        <v>375</v>
      </c>
      <c r="E58" s="69">
        <v>186</v>
      </c>
      <c r="F58" s="69">
        <v>88</v>
      </c>
      <c r="G58" s="69">
        <v>55</v>
      </c>
      <c r="H58" t="s">
        <v>2573</v>
      </c>
      <c r="I58" s="69">
        <v>230</v>
      </c>
      <c r="J58">
        <f t="shared" si="0"/>
        <v>175</v>
      </c>
    </row>
    <row r="59" spans="1:10" x14ac:dyDescent="0.25">
      <c r="A59" t="s">
        <v>1882</v>
      </c>
      <c r="B59" t="s">
        <v>1884</v>
      </c>
      <c r="C59" t="s">
        <v>58</v>
      </c>
      <c r="D59" t="s">
        <v>59</v>
      </c>
      <c r="E59" s="69">
        <v>230</v>
      </c>
      <c r="F59" s="69">
        <v>19</v>
      </c>
      <c r="G59" s="69">
        <v>61</v>
      </c>
      <c r="H59" t="s">
        <v>2573</v>
      </c>
      <c r="I59" s="69">
        <v>228</v>
      </c>
      <c r="J59">
        <f t="shared" si="0"/>
        <v>167</v>
      </c>
    </row>
    <row r="60" spans="1:10" x14ac:dyDescent="0.25">
      <c r="A60" t="s">
        <v>478</v>
      </c>
      <c r="B60" t="s">
        <v>480</v>
      </c>
      <c r="C60" t="s">
        <v>58</v>
      </c>
      <c r="D60" t="s">
        <v>150</v>
      </c>
      <c r="E60" s="69">
        <v>226</v>
      </c>
      <c r="F60" s="69">
        <v>0</v>
      </c>
      <c r="G60" s="69">
        <v>27</v>
      </c>
      <c r="H60" t="s">
        <v>2573</v>
      </c>
      <c r="I60" s="69">
        <v>223</v>
      </c>
      <c r="J60">
        <f t="shared" si="0"/>
        <v>196</v>
      </c>
    </row>
    <row r="61" spans="1:10" x14ac:dyDescent="0.25">
      <c r="A61" t="s">
        <v>1427</v>
      </c>
      <c r="B61" t="s">
        <v>1426</v>
      </c>
      <c r="C61" t="s">
        <v>58</v>
      </c>
      <c r="D61" t="s">
        <v>59</v>
      </c>
      <c r="E61" s="69">
        <v>208</v>
      </c>
      <c r="F61" s="69">
        <v>50</v>
      </c>
      <c r="G61" s="69">
        <v>58</v>
      </c>
      <c r="H61" t="s">
        <v>2574</v>
      </c>
      <c r="I61" s="69">
        <v>218</v>
      </c>
      <c r="J61">
        <f t="shared" si="0"/>
        <v>160</v>
      </c>
    </row>
    <row r="62" spans="1:10" x14ac:dyDescent="0.25">
      <c r="A62" t="s">
        <v>1769</v>
      </c>
      <c r="B62" t="s">
        <v>1767</v>
      </c>
      <c r="C62" t="s">
        <v>58</v>
      </c>
      <c r="D62" t="s">
        <v>59</v>
      </c>
      <c r="E62" s="69">
        <v>130</v>
      </c>
      <c r="F62" s="69">
        <v>150</v>
      </c>
      <c r="G62" s="69">
        <v>78</v>
      </c>
      <c r="H62" t="s">
        <v>2574</v>
      </c>
      <c r="I62" s="69">
        <v>217</v>
      </c>
      <c r="J62">
        <f t="shared" si="0"/>
        <v>139</v>
      </c>
    </row>
    <row r="63" spans="1:10" x14ac:dyDescent="0.25">
      <c r="A63" t="s">
        <v>1943</v>
      </c>
      <c r="B63" t="s">
        <v>1945</v>
      </c>
      <c r="C63" t="s">
        <v>58</v>
      </c>
      <c r="D63" t="s">
        <v>160</v>
      </c>
      <c r="E63" s="69">
        <v>138</v>
      </c>
      <c r="F63" s="69">
        <v>75</v>
      </c>
      <c r="G63" s="69">
        <v>35</v>
      </c>
      <c r="H63" t="s">
        <v>2573</v>
      </c>
      <c r="I63" s="69">
        <v>215</v>
      </c>
      <c r="J63">
        <f t="shared" si="0"/>
        <v>180</v>
      </c>
    </row>
    <row r="64" spans="1:10" x14ac:dyDescent="0.25">
      <c r="A64" t="s">
        <v>1476</v>
      </c>
      <c r="B64" t="s">
        <v>1478</v>
      </c>
      <c r="C64" t="s">
        <v>58</v>
      </c>
      <c r="D64" t="s">
        <v>150</v>
      </c>
      <c r="E64" s="69">
        <v>213</v>
      </c>
      <c r="F64" s="69">
        <v>0</v>
      </c>
      <c r="G64" s="69">
        <v>0</v>
      </c>
      <c r="H64" t="s">
        <v>2574</v>
      </c>
      <c r="I64" s="69">
        <v>213</v>
      </c>
      <c r="J64">
        <f t="shared" si="0"/>
        <v>213</v>
      </c>
    </row>
    <row r="65" spans="1:10" x14ac:dyDescent="0.25">
      <c r="A65" t="s">
        <v>1676</v>
      </c>
      <c r="B65" t="s">
        <v>1678</v>
      </c>
      <c r="C65" t="s">
        <v>58</v>
      </c>
      <c r="D65" t="s">
        <v>59</v>
      </c>
      <c r="E65" s="69">
        <v>308</v>
      </c>
      <c r="F65" s="69">
        <v>2</v>
      </c>
      <c r="G65" s="69">
        <v>1</v>
      </c>
      <c r="H65" t="s">
        <v>2574</v>
      </c>
      <c r="I65" s="69">
        <v>211</v>
      </c>
      <c r="J65">
        <f t="shared" si="0"/>
        <v>210</v>
      </c>
    </row>
    <row r="66" spans="1:10" x14ac:dyDescent="0.25">
      <c r="A66" t="s">
        <v>1714</v>
      </c>
      <c r="B66" t="s">
        <v>1716</v>
      </c>
      <c r="C66" t="s">
        <v>58</v>
      </c>
      <c r="D66" t="s">
        <v>59</v>
      </c>
      <c r="E66" s="69">
        <v>188</v>
      </c>
      <c r="F66" s="69">
        <v>19</v>
      </c>
      <c r="G66" s="69">
        <v>0</v>
      </c>
      <c r="H66" t="s">
        <v>2574</v>
      </c>
      <c r="I66" s="69">
        <v>207</v>
      </c>
      <c r="J66">
        <f t="shared" si="0"/>
        <v>207</v>
      </c>
    </row>
    <row r="67" spans="1:10" x14ac:dyDescent="0.25">
      <c r="A67" t="s">
        <v>1094</v>
      </c>
      <c r="B67" t="s">
        <v>1096</v>
      </c>
      <c r="C67" t="s">
        <v>58</v>
      </c>
      <c r="D67" t="s">
        <v>59</v>
      </c>
      <c r="E67" s="69">
        <v>105</v>
      </c>
      <c r="F67" s="69">
        <v>90</v>
      </c>
      <c r="G67" s="69">
        <v>52</v>
      </c>
      <c r="H67" t="s">
        <v>2573</v>
      </c>
      <c r="I67" s="69">
        <v>206</v>
      </c>
      <c r="J67">
        <f t="shared" ref="J67:J130" si="1">I67-G67</f>
        <v>154</v>
      </c>
    </row>
    <row r="68" spans="1:10" x14ac:dyDescent="0.25">
      <c r="A68" t="s">
        <v>1764</v>
      </c>
      <c r="B68" t="s">
        <v>1763</v>
      </c>
      <c r="C68" t="s">
        <v>58</v>
      </c>
      <c r="D68" t="s">
        <v>59</v>
      </c>
      <c r="E68" s="69">
        <v>105</v>
      </c>
      <c r="F68" s="69">
        <v>44</v>
      </c>
      <c r="G68" s="69">
        <v>54</v>
      </c>
      <c r="H68" t="s">
        <v>2574</v>
      </c>
      <c r="I68" s="69">
        <v>203</v>
      </c>
      <c r="J68">
        <f t="shared" si="1"/>
        <v>149</v>
      </c>
    </row>
    <row r="69" spans="1:10" x14ac:dyDescent="0.25">
      <c r="A69" t="s">
        <v>1242</v>
      </c>
      <c r="B69" t="s">
        <v>1244</v>
      </c>
      <c r="C69" t="s">
        <v>58</v>
      </c>
      <c r="D69" t="s">
        <v>167</v>
      </c>
      <c r="E69" s="69">
        <v>145</v>
      </c>
      <c r="F69" s="69">
        <v>73</v>
      </c>
      <c r="G69" s="69">
        <v>29</v>
      </c>
      <c r="H69" t="s">
        <v>2573</v>
      </c>
      <c r="I69" s="69">
        <v>202</v>
      </c>
      <c r="J69">
        <f t="shared" si="1"/>
        <v>173</v>
      </c>
    </row>
    <row r="70" spans="1:10" x14ac:dyDescent="0.25">
      <c r="A70" t="s">
        <v>1464</v>
      </c>
      <c r="B70" t="s">
        <v>1466</v>
      </c>
      <c r="C70" t="s">
        <v>58</v>
      </c>
      <c r="D70" t="s">
        <v>59</v>
      </c>
      <c r="E70" s="69">
        <v>100</v>
      </c>
      <c r="F70" s="69">
        <v>70</v>
      </c>
      <c r="G70" s="69">
        <v>29</v>
      </c>
      <c r="H70" t="s">
        <v>2573</v>
      </c>
      <c r="I70" s="69">
        <v>191</v>
      </c>
      <c r="J70">
        <f t="shared" si="1"/>
        <v>162</v>
      </c>
    </row>
    <row r="71" spans="1:10" x14ac:dyDescent="0.25">
      <c r="A71" t="s">
        <v>271</v>
      </c>
      <c r="B71" t="s">
        <v>273</v>
      </c>
      <c r="C71" t="s">
        <v>58</v>
      </c>
      <c r="D71" t="s">
        <v>167</v>
      </c>
      <c r="E71" s="69">
        <v>180</v>
      </c>
      <c r="F71" s="69">
        <v>16</v>
      </c>
      <c r="G71" s="69">
        <v>43</v>
      </c>
      <c r="H71" t="s">
        <v>2575</v>
      </c>
      <c r="I71" s="69">
        <v>188</v>
      </c>
      <c r="J71">
        <f t="shared" si="1"/>
        <v>145</v>
      </c>
    </row>
    <row r="72" spans="1:10" x14ac:dyDescent="0.25">
      <c r="A72" t="s">
        <v>918</v>
      </c>
      <c r="B72" t="s">
        <v>920</v>
      </c>
      <c r="C72" t="s">
        <v>58</v>
      </c>
      <c r="D72" t="s">
        <v>150</v>
      </c>
      <c r="E72" s="69">
        <v>211</v>
      </c>
      <c r="F72" s="69">
        <v>0</v>
      </c>
      <c r="G72" s="69">
        <v>33</v>
      </c>
      <c r="H72" t="s">
        <v>2573</v>
      </c>
      <c r="I72" s="69">
        <v>187</v>
      </c>
      <c r="J72">
        <f t="shared" si="1"/>
        <v>154</v>
      </c>
    </row>
    <row r="73" spans="1:10" x14ac:dyDescent="0.25">
      <c r="A73" t="s">
        <v>1526</v>
      </c>
      <c r="B73" t="s">
        <v>1528</v>
      </c>
      <c r="C73" t="s">
        <v>58</v>
      </c>
      <c r="D73" t="s">
        <v>203</v>
      </c>
      <c r="E73" s="69">
        <v>72</v>
      </c>
      <c r="F73" s="69">
        <v>132</v>
      </c>
      <c r="G73" s="69">
        <v>0</v>
      </c>
      <c r="H73" t="s">
        <v>2573</v>
      </c>
      <c r="I73" s="69">
        <v>182</v>
      </c>
      <c r="J73">
        <f t="shared" si="1"/>
        <v>182</v>
      </c>
    </row>
    <row r="74" spans="1:10" x14ac:dyDescent="0.25">
      <c r="A74" t="s">
        <v>246</v>
      </c>
      <c r="B74" t="s">
        <v>248</v>
      </c>
      <c r="C74" t="s">
        <v>58</v>
      </c>
      <c r="D74" t="s">
        <v>59</v>
      </c>
      <c r="E74" s="69">
        <v>90</v>
      </c>
      <c r="F74" s="69">
        <v>80</v>
      </c>
      <c r="G74" s="69">
        <v>21</v>
      </c>
      <c r="H74" t="s">
        <v>2573</v>
      </c>
      <c r="I74" s="69">
        <v>177</v>
      </c>
      <c r="J74">
        <f t="shared" si="1"/>
        <v>156</v>
      </c>
    </row>
    <row r="75" spans="1:10" x14ac:dyDescent="0.25">
      <c r="A75" t="s">
        <v>1949</v>
      </c>
      <c r="B75" t="s">
        <v>1951</v>
      </c>
      <c r="C75" t="s">
        <v>58</v>
      </c>
      <c r="D75" t="s">
        <v>160</v>
      </c>
      <c r="E75" s="69">
        <v>91.75</v>
      </c>
      <c r="F75" s="69">
        <v>52</v>
      </c>
      <c r="G75" s="69">
        <v>38.75</v>
      </c>
      <c r="H75" t="s">
        <v>2573</v>
      </c>
      <c r="I75" s="69">
        <v>175.5</v>
      </c>
      <c r="J75">
        <f t="shared" si="1"/>
        <v>136.75</v>
      </c>
    </row>
    <row r="76" spans="1:10" x14ac:dyDescent="0.25">
      <c r="A76" t="s">
        <v>154</v>
      </c>
      <c r="B76" t="s">
        <v>156</v>
      </c>
      <c r="C76" t="s">
        <v>58</v>
      </c>
      <c r="D76" t="s">
        <v>59</v>
      </c>
      <c r="E76" s="69">
        <v>90</v>
      </c>
      <c r="F76" s="69">
        <v>63</v>
      </c>
      <c r="G76" s="69">
        <v>21</v>
      </c>
      <c r="H76" t="s">
        <v>2574</v>
      </c>
      <c r="I76" s="69">
        <v>174</v>
      </c>
      <c r="J76">
        <f t="shared" si="1"/>
        <v>153</v>
      </c>
    </row>
    <row r="77" spans="1:10" x14ac:dyDescent="0.25">
      <c r="A77" t="s">
        <v>322</v>
      </c>
      <c r="B77" t="s">
        <v>324</v>
      </c>
      <c r="C77" t="s">
        <v>58</v>
      </c>
      <c r="D77" t="s">
        <v>167</v>
      </c>
      <c r="E77" s="69">
        <v>202</v>
      </c>
      <c r="F77" s="69">
        <v>6</v>
      </c>
      <c r="G77" s="69">
        <v>31</v>
      </c>
      <c r="H77" t="s">
        <v>2575</v>
      </c>
      <c r="I77" s="69">
        <v>169</v>
      </c>
      <c r="J77">
        <f t="shared" si="1"/>
        <v>138</v>
      </c>
    </row>
    <row r="78" spans="1:10" x14ac:dyDescent="0.25">
      <c r="A78" t="s">
        <v>1726</v>
      </c>
      <c r="B78" t="s">
        <v>1728</v>
      </c>
      <c r="C78" t="s">
        <v>58</v>
      </c>
      <c r="D78" t="s">
        <v>59</v>
      </c>
      <c r="E78" s="69">
        <v>108</v>
      </c>
      <c r="F78" s="69">
        <v>31</v>
      </c>
      <c r="G78" s="69">
        <v>33</v>
      </c>
      <c r="H78" t="s">
        <v>2575</v>
      </c>
      <c r="I78" s="69">
        <v>164</v>
      </c>
      <c r="J78">
        <f t="shared" si="1"/>
        <v>131</v>
      </c>
    </row>
    <row r="79" spans="1:10" x14ac:dyDescent="0.25">
      <c r="A79" t="s">
        <v>1535</v>
      </c>
      <c r="B79" t="s">
        <v>1537</v>
      </c>
      <c r="C79" t="s">
        <v>58</v>
      </c>
      <c r="D79" t="s">
        <v>59</v>
      </c>
      <c r="E79" s="69">
        <v>126</v>
      </c>
      <c r="F79" s="69">
        <v>15</v>
      </c>
      <c r="G79" s="69">
        <v>19</v>
      </c>
      <c r="H79" t="s">
        <v>2574</v>
      </c>
      <c r="I79" s="69">
        <v>159</v>
      </c>
      <c r="J79">
        <f t="shared" si="1"/>
        <v>140</v>
      </c>
    </row>
    <row r="80" spans="1:10" x14ac:dyDescent="0.25">
      <c r="A80" t="s">
        <v>1434</v>
      </c>
      <c r="B80" t="s">
        <v>1436</v>
      </c>
      <c r="C80" t="s">
        <v>58</v>
      </c>
      <c r="D80" t="s">
        <v>167</v>
      </c>
      <c r="E80" s="69">
        <v>150</v>
      </c>
      <c r="F80" s="69">
        <v>1</v>
      </c>
      <c r="G80" s="69">
        <v>26</v>
      </c>
      <c r="H80" t="s">
        <v>2573</v>
      </c>
      <c r="I80" s="69">
        <v>159</v>
      </c>
      <c r="J80">
        <f t="shared" si="1"/>
        <v>133</v>
      </c>
    </row>
    <row r="81" spans="1:10" x14ac:dyDescent="0.25">
      <c r="A81" t="s">
        <v>1501</v>
      </c>
      <c r="B81" t="s">
        <v>1503</v>
      </c>
      <c r="C81" t="s">
        <v>58</v>
      </c>
      <c r="D81" t="s">
        <v>167</v>
      </c>
      <c r="E81" s="69">
        <v>107</v>
      </c>
      <c r="F81" s="69">
        <v>54</v>
      </c>
      <c r="G81" s="69">
        <v>52</v>
      </c>
      <c r="H81" t="s">
        <v>2573</v>
      </c>
      <c r="I81" s="69">
        <v>159</v>
      </c>
      <c r="J81">
        <f t="shared" si="1"/>
        <v>107</v>
      </c>
    </row>
    <row r="82" spans="1:10" x14ac:dyDescent="0.25">
      <c r="A82" t="s">
        <v>987</v>
      </c>
      <c r="B82" t="s">
        <v>989</v>
      </c>
      <c r="C82" t="s">
        <v>58</v>
      </c>
      <c r="D82" t="s">
        <v>203</v>
      </c>
      <c r="E82" s="69">
        <v>157</v>
      </c>
      <c r="F82" s="69">
        <v>0</v>
      </c>
      <c r="G82" s="69">
        <v>0</v>
      </c>
      <c r="H82" t="s">
        <v>2573</v>
      </c>
      <c r="I82" s="69">
        <v>157</v>
      </c>
      <c r="J82">
        <f t="shared" si="1"/>
        <v>157</v>
      </c>
    </row>
    <row r="83" spans="1:10" x14ac:dyDescent="0.25">
      <c r="A83" t="s">
        <v>1397</v>
      </c>
      <c r="B83" t="s">
        <v>1399</v>
      </c>
      <c r="C83" t="s">
        <v>58</v>
      </c>
      <c r="D83" t="s">
        <v>150</v>
      </c>
      <c r="E83" s="69">
        <v>153</v>
      </c>
      <c r="F83" s="69">
        <v>0</v>
      </c>
      <c r="G83" s="69">
        <v>0</v>
      </c>
      <c r="H83" t="s">
        <v>2574</v>
      </c>
      <c r="I83" s="69">
        <v>153</v>
      </c>
      <c r="J83">
        <f t="shared" si="1"/>
        <v>153</v>
      </c>
    </row>
    <row r="84" spans="1:10" x14ac:dyDescent="0.25">
      <c r="A84" t="s">
        <v>1461</v>
      </c>
      <c r="B84" t="s">
        <v>1463</v>
      </c>
      <c r="C84" t="s">
        <v>58</v>
      </c>
      <c r="D84" t="s">
        <v>59</v>
      </c>
      <c r="E84" s="69">
        <v>97</v>
      </c>
      <c r="F84" s="69">
        <v>29</v>
      </c>
      <c r="G84" s="69">
        <v>36</v>
      </c>
      <c r="H84" t="s">
        <v>2573</v>
      </c>
      <c r="I84" s="69">
        <v>151</v>
      </c>
      <c r="J84">
        <f t="shared" si="1"/>
        <v>115</v>
      </c>
    </row>
    <row r="85" spans="1:10" x14ac:dyDescent="0.25">
      <c r="A85" t="s">
        <v>1431</v>
      </c>
      <c r="B85" t="s">
        <v>1433</v>
      </c>
      <c r="C85" t="s">
        <v>58</v>
      </c>
      <c r="D85" t="s">
        <v>167</v>
      </c>
      <c r="E85" s="69">
        <v>122</v>
      </c>
      <c r="F85" s="69">
        <v>14</v>
      </c>
      <c r="G85" s="69">
        <v>22</v>
      </c>
      <c r="H85" t="s">
        <v>2573</v>
      </c>
      <c r="I85" s="69">
        <v>150</v>
      </c>
      <c r="J85">
        <f t="shared" si="1"/>
        <v>128</v>
      </c>
    </row>
    <row r="86" spans="1:10" x14ac:dyDescent="0.25">
      <c r="A86" t="s">
        <v>1437</v>
      </c>
      <c r="B86" t="s">
        <v>1439</v>
      </c>
      <c r="C86" t="s">
        <v>58</v>
      </c>
      <c r="D86" t="s">
        <v>167</v>
      </c>
      <c r="E86" s="69">
        <v>154</v>
      </c>
      <c r="F86" s="69">
        <v>18</v>
      </c>
      <c r="G86" s="69">
        <v>16</v>
      </c>
      <c r="H86" t="s">
        <v>2573</v>
      </c>
      <c r="I86" s="69">
        <v>148</v>
      </c>
      <c r="J86">
        <f t="shared" si="1"/>
        <v>132</v>
      </c>
    </row>
    <row r="87" spans="1:10" x14ac:dyDescent="0.25">
      <c r="A87" t="s">
        <v>1660</v>
      </c>
      <c r="B87" t="s">
        <v>1662</v>
      </c>
      <c r="C87" t="s">
        <v>58</v>
      </c>
      <c r="D87" t="s">
        <v>59</v>
      </c>
      <c r="E87" s="69">
        <v>108</v>
      </c>
      <c r="F87" s="69">
        <v>17</v>
      </c>
      <c r="G87" s="69">
        <v>21</v>
      </c>
      <c r="H87" t="s">
        <v>2574</v>
      </c>
      <c r="I87" s="69">
        <v>146</v>
      </c>
      <c r="J87">
        <f t="shared" si="1"/>
        <v>125</v>
      </c>
    </row>
    <row r="88" spans="1:10" x14ac:dyDescent="0.25">
      <c r="A88" t="s">
        <v>184</v>
      </c>
      <c r="B88" t="s">
        <v>186</v>
      </c>
      <c r="C88" t="s">
        <v>58</v>
      </c>
      <c r="D88" t="s">
        <v>187</v>
      </c>
      <c r="E88" s="69">
        <v>125.95</v>
      </c>
      <c r="F88" s="69">
        <v>20.85</v>
      </c>
      <c r="G88" s="69">
        <v>0</v>
      </c>
      <c r="H88" t="s">
        <v>2574</v>
      </c>
      <c r="I88" s="69">
        <v>145.80000000000001</v>
      </c>
      <c r="J88">
        <f t="shared" si="1"/>
        <v>145.80000000000001</v>
      </c>
    </row>
    <row r="89" spans="1:10" x14ac:dyDescent="0.25">
      <c r="A89" t="s">
        <v>1218</v>
      </c>
      <c r="B89" t="s">
        <v>1220</v>
      </c>
      <c r="C89" t="s">
        <v>58</v>
      </c>
      <c r="D89" t="s">
        <v>150</v>
      </c>
      <c r="E89" s="69">
        <v>54</v>
      </c>
      <c r="F89" s="69">
        <v>132</v>
      </c>
      <c r="G89" s="69">
        <v>14</v>
      </c>
      <c r="H89" t="s">
        <v>2573</v>
      </c>
      <c r="I89" s="69">
        <v>145</v>
      </c>
      <c r="J89">
        <f t="shared" si="1"/>
        <v>131</v>
      </c>
    </row>
    <row r="90" spans="1:10" x14ac:dyDescent="0.25">
      <c r="A90" t="s">
        <v>2356</v>
      </c>
      <c r="B90" t="s">
        <v>1457</v>
      </c>
      <c r="C90" t="s">
        <v>58</v>
      </c>
      <c r="D90" t="s">
        <v>59</v>
      </c>
      <c r="E90" s="69">
        <v>120</v>
      </c>
      <c r="F90" s="69">
        <v>14</v>
      </c>
      <c r="G90" s="69">
        <v>10</v>
      </c>
      <c r="H90" t="s">
        <v>2573</v>
      </c>
      <c r="I90" s="69">
        <v>144</v>
      </c>
      <c r="J90">
        <f t="shared" si="1"/>
        <v>134</v>
      </c>
    </row>
    <row r="91" spans="1:10" x14ac:dyDescent="0.25">
      <c r="A91" t="s">
        <v>1723</v>
      </c>
      <c r="B91" t="s">
        <v>1725</v>
      </c>
      <c r="C91" t="s">
        <v>58</v>
      </c>
      <c r="D91" t="s">
        <v>59</v>
      </c>
      <c r="E91" s="69">
        <v>90</v>
      </c>
      <c r="F91" s="69">
        <v>31</v>
      </c>
      <c r="G91" s="69">
        <v>33</v>
      </c>
      <c r="H91" t="s">
        <v>2573</v>
      </c>
      <c r="I91" s="69">
        <v>138</v>
      </c>
      <c r="J91">
        <f t="shared" si="1"/>
        <v>105</v>
      </c>
    </row>
    <row r="92" spans="1:10" x14ac:dyDescent="0.25">
      <c r="A92" t="s">
        <v>1737</v>
      </c>
      <c r="B92" t="s">
        <v>1739</v>
      </c>
      <c r="C92" t="s">
        <v>58</v>
      </c>
      <c r="D92" t="s">
        <v>59</v>
      </c>
      <c r="E92" s="69">
        <v>125</v>
      </c>
      <c r="F92" s="69">
        <v>0</v>
      </c>
      <c r="G92" s="69">
        <v>21</v>
      </c>
      <c r="H92" t="s">
        <v>2573</v>
      </c>
      <c r="I92" s="69">
        <v>138</v>
      </c>
      <c r="J92">
        <f t="shared" si="1"/>
        <v>117</v>
      </c>
    </row>
    <row r="93" spans="1:10" x14ac:dyDescent="0.25">
      <c r="A93" t="s">
        <v>316</v>
      </c>
      <c r="B93" t="s">
        <v>318</v>
      </c>
      <c r="C93" t="s">
        <v>58</v>
      </c>
      <c r="D93" t="s">
        <v>187</v>
      </c>
      <c r="E93" s="69">
        <v>109</v>
      </c>
      <c r="F93" s="69">
        <v>6</v>
      </c>
      <c r="G93" s="69">
        <v>33</v>
      </c>
      <c r="H93" t="s">
        <v>2573</v>
      </c>
      <c r="I93" s="69">
        <v>134</v>
      </c>
      <c r="J93">
        <f t="shared" si="1"/>
        <v>101</v>
      </c>
    </row>
    <row r="94" spans="1:10" x14ac:dyDescent="0.25">
      <c r="A94" t="s">
        <v>1227</v>
      </c>
      <c r="B94" t="s">
        <v>1229</v>
      </c>
      <c r="C94" t="s">
        <v>58</v>
      </c>
      <c r="D94" t="s">
        <v>167</v>
      </c>
      <c r="E94" s="69">
        <v>112</v>
      </c>
      <c r="F94" s="69">
        <v>24</v>
      </c>
      <c r="G94" s="69">
        <v>25</v>
      </c>
      <c r="H94" t="s">
        <v>2573</v>
      </c>
      <c r="I94" s="69">
        <v>133</v>
      </c>
      <c r="J94">
        <f t="shared" si="1"/>
        <v>108</v>
      </c>
    </row>
    <row r="95" spans="1:10" x14ac:dyDescent="0.25">
      <c r="A95" t="s">
        <v>475</v>
      </c>
      <c r="B95" t="s">
        <v>477</v>
      </c>
      <c r="C95" t="s">
        <v>58</v>
      </c>
      <c r="D95" t="s">
        <v>150</v>
      </c>
      <c r="E95" s="69">
        <v>132</v>
      </c>
      <c r="F95" s="69">
        <v>0</v>
      </c>
      <c r="G95" s="69">
        <v>0</v>
      </c>
      <c r="H95" t="s">
        <v>2573</v>
      </c>
      <c r="I95" s="69">
        <v>132</v>
      </c>
      <c r="J95">
        <f t="shared" si="1"/>
        <v>132</v>
      </c>
    </row>
    <row r="96" spans="1:10" x14ac:dyDescent="0.25">
      <c r="A96" t="s">
        <v>1485</v>
      </c>
      <c r="B96" t="s">
        <v>1487</v>
      </c>
      <c r="C96" t="s">
        <v>58</v>
      </c>
      <c r="D96" t="s">
        <v>150</v>
      </c>
      <c r="E96" s="69">
        <v>121</v>
      </c>
      <c r="F96" s="69">
        <v>0</v>
      </c>
      <c r="G96" s="69">
        <v>10</v>
      </c>
      <c r="H96" t="s">
        <v>2574</v>
      </c>
      <c r="I96" s="69">
        <v>131</v>
      </c>
      <c r="J96">
        <f t="shared" si="1"/>
        <v>121</v>
      </c>
    </row>
    <row r="97" spans="1:10" x14ac:dyDescent="0.25">
      <c r="A97" t="s">
        <v>1282</v>
      </c>
      <c r="B97" t="s">
        <v>1284</v>
      </c>
      <c r="C97" t="s">
        <v>58</v>
      </c>
      <c r="D97" t="s">
        <v>167</v>
      </c>
      <c r="E97" s="69">
        <v>61</v>
      </c>
      <c r="F97" s="69">
        <v>48</v>
      </c>
      <c r="G97" s="69">
        <v>20</v>
      </c>
      <c r="H97" t="s">
        <v>2574</v>
      </c>
      <c r="I97" s="69">
        <v>129</v>
      </c>
      <c r="J97">
        <f t="shared" si="1"/>
        <v>109</v>
      </c>
    </row>
    <row r="98" spans="1:10" x14ac:dyDescent="0.25">
      <c r="A98" t="s">
        <v>1920</v>
      </c>
      <c r="B98" t="s">
        <v>1922</v>
      </c>
      <c r="C98" t="s">
        <v>58</v>
      </c>
      <c r="D98" t="s">
        <v>59</v>
      </c>
      <c r="E98" s="69">
        <v>205</v>
      </c>
      <c r="F98" s="69">
        <v>0</v>
      </c>
      <c r="G98" s="69">
        <v>3</v>
      </c>
      <c r="H98" t="s">
        <v>2574</v>
      </c>
      <c r="I98" s="69">
        <v>128</v>
      </c>
      <c r="J98">
        <f t="shared" si="1"/>
        <v>125</v>
      </c>
    </row>
    <row r="99" spans="1:10" x14ac:dyDescent="0.25">
      <c r="A99" t="s">
        <v>391</v>
      </c>
      <c r="B99" t="s">
        <v>393</v>
      </c>
      <c r="C99" t="s">
        <v>58</v>
      </c>
      <c r="D99" t="s">
        <v>59</v>
      </c>
      <c r="E99" s="69">
        <v>90</v>
      </c>
      <c r="F99" s="69">
        <v>41</v>
      </c>
      <c r="G99" s="69">
        <v>32</v>
      </c>
      <c r="H99" t="s">
        <v>2573</v>
      </c>
      <c r="I99" s="69">
        <v>128</v>
      </c>
      <c r="J99">
        <f t="shared" si="1"/>
        <v>96</v>
      </c>
    </row>
    <row r="100" spans="1:10" x14ac:dyDescent="0.25">
      <c r="A100" t="s">
        <v>887</v>
      </c>
      <c r="B100" t="s">
        <v>889</v>
      </c>
      <c r="C100" t="s">
        <v>58</v>
      </c>
      <c r="D100" t="s">
        <v>167</v>
      </c>
      <c r="E100" s="69">
        <v>194</v>
      </c>
      <c r="F100" s="69">
        <v>0</v>
      </c>
      <c r="G100" s="69">
        <v>4</v>
      </c>
      <c r="H100" t="s">
        <v>2575</v>
      </c>
      <c r="I100" s="69">
        <v>128</v>
      </c>
      <c r="J100">
        <f t="shared" si="1"/>
        <v>124</v>
      </c>
    </row>
    <row r="101" spans="1:10" x14ac:dyDescent="0.25">
      <c r="A101" t="s">
        <v>674</v>
      </c>
      <c r="B101" t="s">
        <v>676</v>
      </c>
      <c r="C101" t="s">
        <v>58</v>
      </c>
      <c r="D101" t="s">
        <v>187</v>
      </c>
      <c r="E101" s="69">
        <v>53</v>
      </c>
      <c r="F101" s="69">
        <v>110</v>
      </c>
      <c r="G101" s="69">
        <v>25</v>
      </c>
      <c r="H101" t="s">
        <v>2573</v>
      </c>
      <c r="I101" s="69">
        <v>128</v>
      </c>
      <c r="J101">
        <f t="shared" si="1"/>
        <v>103</v>
      </c>
    </row>
    <row r="102" spans="1:10" x14ac:dyDescent="0.25">
      <c r="A102" t="s">
        <v>696</v>
      </c>
      <c r="B102" t="s">
        <v>45</v>
      </c>
      <c r="C102" t="s">
        <v>58</v>
      </c>
      <c r="D102" t="s">
        <v>1</v>
      </c>
      <c r="E102" s="69">
        <v>119</v>
      </c>
      <c r="F102" s="69">
        <v>0</v>
      </c>
      <c r="G102" s="69">
        <v>18</v>
      </c>
      <c r="H102" t="s">
        <v>2574</v>
      </c>
      <c r="I102" s="69">
        <v>128</v>
      </c>
      <c r="J102">
        <f t="shared" si="1"/>
        <v>110</v>
      </c>
    </row>
    <row r="103" spans="1:10" x14ac:dyDescent="0.25">
      <c r="A103" t="s">
        <v>1584</v>
      </c>
      <c r="B103" t="s">
        <v>1586</v>
      </c>
      <c r="C103" t="s">
        <v>58</v>
      </c>
      <c r="D103" t="s">
        <v>59</v>
      </c>
      <c r="E103" s="69">
        <v>127</v>
      </c>
      <c r="F103" s="69">
        <v>0</v>
      </c>
      <c r="G103" s="69">
        <v>0</v>
      </c>
      <c r="H103" t="s">
        <v>2574</v>
      </c>
      <c r="I103" s="69">
        <v>127</v>
      </c>
      <c r="J103">
        <f t="shared" si="1"/>
        <v>127</v>
      </c>
    </row>
    <row r="104" spans="1:10" x14ac:dyDescent="0.25">
      <c r="A104" t="s">
        <v>921</v>
      </c>
      <c r="B104" t="s">
        <v>923</v>
      </c>
      <c r="C104" t="s">
        <v>58</v>
      </c>
      <c r="D104" t="s">
        <v>150</v>
      </c>
      <c r="E104" s="69">
        <v>141</v>
      </c>
      <c r="F104" s="69">
        <v>0</v>
      </c>
      <c r="G104" s="69">
        <v>16</v>
      </c>
      <c r="H104" t="s">
        <v>2573</v>
      </c>
      <c r="I104" s="69">
        <v>126</v>
      </c>
      <c r="J104">
        <f t="shared" si="1"/>
        <v>110</v>
      </c>
    </row>
    <row r="105" spans="1:10" x14ac:dyDescent="0.25">
      <c r="A105" t="s">
        <v>681</v>
      </c>
      <c r="B105" t="s">
        <v>29</v>
      </c>
      <c r="C105" t="s">
        <v>58</v>
      </c>
      <c r="D105" t="s">
        <v>1</v>
      </c>
      <c r="E105" s="69">
        <v>119</v>
      </c>
      <c r="F105" s="69">
        <v>71</v>
      </c>
      <c r="G105" s="69">
        <v>18</v>
      </c>
      <c r="H105" t="s">
        <v>2574</v>
      </c>
      <c r="I105" s="69">
        <v>125</v>
      </c>
      <c r="J105">
        <f t="shared" si="1"/>
        <v>107</v>
      </c>
    </row>
    <row r="106" spans="1:10" x14ac:dyDescent="0.25">
      <c r="A106" t="s">
        <v>848</v>
      </c>
      <c r="B106" t="s">
        <v>850</v>
      </c>
      <c r="C106" t="s">
        <v>58</v>
      </c>
      <c r="D106" t="s">
        <v>150</v>
      </c>
      <c r="E106" s="69">
        <v>141</v>
      </c>
      <c r="F106" s="69">
        <v>0</v>
      </c>
      <c r="G106" s="69">
        <v>0</v>
      </c>
      <c r="H106" t="s">
        <v>2574</v>
      </c>
      <c r="I106" s="69">
        <v>124</v>
      </c>
      <c r="J106">
        <f t="shared" si="1"/>
        <v>124</v>
      </c>
    </row>
    <row r="107" spans="1:10" x14ac:dyDescent="0.25">
      <c r="A107" t="s">
        <v>948</v>
      </c>
      <c r="B107" t="s">
        <v>950</v>
      </c>
      <c r="C107" t="s">
        <v>58</v>
      </c>
      <c r="D107" t="s">
        <v>167</v>
      </c>
      <c r="E107" s="69">
        <v>161</v>
      </c>
      <c r="F107" s="69">
        <v>20</v>
      </c>
      <c r="G107" s="69">
        <v>10</v>
      </c>
      <c r="H107" t="s">
        <v>2575</v>
      </c>
      <c r="I107" s="69">
        <v>122</v>
      </c>
      <c r="J107">
        <f t="shared" si="1"/>
        <v>112</v>
      </c>
    </row>
    <row r="108" spans="1:10" x14ac:dyDescent="0.25">
      <c r="A108" t="s">
        <v>1352</v>
      </c>
      <c r="B108" t="s">
        <v>1354</v>
      </c>
      <c r="C108" t="s">
        <v>58</v>
      </c>
      <c r="D108" t="s">
        <v>150</v>
      </c>
      <c r="E108" s="69">
        <v>121</v>
      </c>
      <c r="F108" s="69">
        <v>0</v>
      </c>
      <c r="G108" s="69">
        <v>0</v>
      </c>
      <c r="H108" t="s">
        <v>2574</v>
      </c>
      <c r="I108" s="69">
        <v>121</v>
      </c>
      <c r="J108">
        <f t="shared" si="1"/>
        <v>121</v>
      </c>
    </row>
    <row r="109" spans="1:10" x14ac:dyDescent="0.25">
      <c r="A109" t="s">
        <v>787</v>
      </c>
      <c r="B109" t="s">
        <v>789</v>
      </c>
      <c r="C109" t="s">
        <v>58</v>
      </c>
      <c r="D109" t="s">
        <v>187</v>
      </c>
      <c r="E109" s="69">
        <v>109</v>
      </c>
      <c r="F109" s="69">
        <v>6</v>
      </c>
      <c r="G109" s="69">
        <v>14</v>
      </c>
      <c r="H109" t="s">
        <v>2574</v>
      </c>
      <c r="I109" s="69">
        <v>121</v>
      </c>
      <c r="J109">
        <f t="shared" si="1"/>
        <v>107</v>
      </c>
    </row>
    <row r="110" spans="1:10" x14ac:dyDescent="0.25">
      <c r="A110" t="s">
        <v>1861</v>
      </c>
      <c r="B110" t="s">
        <v>1863</v>
      </c>
      <c r="C110" t="s">
        <v>58</v>
      </c>
      <c r="D110" t="s">
        <v>59</v>
      </c>
      <c r="E110" s="69">
        <v>188</v>
      </c>
      <c r="F110" s="69">
        <v>10</v>
      </c>
      <c r="G110" s="69">
        <v>0</v>
      </c>
      <c r="H110" t="s">
        <v>2574</v>
      </c>
      <c r="I110" s="69">
        <v>120</v>
      </c>
      <c r="J110">
        <f t="shared" si="1"/>
        <v>120</v>
      </c>
    </row>
    <row r="111" spans="1:10" x14ac:dyDescent="0.25">
      <c r="A111" t="s">
        <v>2063</v>
      </c>
      <c r="B111" t="s">
        <v>2064</v>
      </c>
      <c r="C111" t="s">
        <v>58</v>
      </c>
      <c r="D111" t="s">
        <v>59</v>
      </c>
      <c r="E111" s="69">
        <v>100</v>
      </c>
      <c r="F111" s="69">
        <v>0</v>
      </c>
      <c r="G111" s="69">
        <v>20</v>
      </c>
      <c r="H111" t="s">
        <v>2573</v>
      </c>
      <c r="I111" s="69">
        <v>120</v>
      </c>
      <c r="J111">
        <f t="shared" si="1"/>
        <v>100</v>
      </c>
    </row>
    <row r="112" spans="1:10" x14ac:dyDescent="0.25">
      <c r="A112" t="s">
        <v>472</v>
      </c>
      <c r="B112" t="s">
        <v>474</v>
      </c>
      <c r="C112" t="s">
        <v>58</v>
      </c>
      <c r="D112" t="s">
        <v>150</v>
      </c>
      <c r="E112" s="69">
        <v>114</v>
      </c>
      <c r="F112" s="69">
        <v>0</v>
      </c>
      <c r="G112" s="69">
        <v>6</v>
      </c>
      <c r="H112" t="s">
        <v>2573</v>
      </c>
      <c r="I112" s="69">
        <v>120</v>
      </c>
      <c r="J112">
        <f t="shared" si="1"/>
        <v>114</v>
      </c>
    </row>
    <row r="113" spans="1:10" x14ac:dyDescent="0.25">
      <c r="A113" t="s">
        <v>30</v>
      </c>
      <c r="B113" t="s">
        <v>31</v>
      </c>
      <c r="C113" t="s">
        <v>58</v>
      </c>
      <c r="D113" t="s">
        <v>1</v>
      </c>
      <c r="E113" s="69">
        <v>119</v>
      </c>
      <c r="F113" s="69">
        <v>0</v>
      </c>
      <c r="G113" s="69">
        <v>0</v>
      </c>
      <c r="H113" t="s">
        <v>2574</v>
      </c>
      <c r="I113" s="69">
        <v>119</v>
      </c>
      <c r="J113">
        <f t="shared" si="1"/>
        <v>119</v>
      </c>
    </row>
    <row r="114" spans="1:10" x14ac:dyDescent="0.25">
      <c r="A114" t="s">
        <v>1596</v>
      </c>
      <c r="B114" t="s">
        <v>1598</v>
      </c>
      <c r="C114" t="s">
        <v>58</v>
      </c>
      <c r="D114" t="s">
        <v>59</v>
      </c>
      <c r="E114" s="69">
        <v>115</v>
      </c>
      <c r="F114" s="69">
        <v>15</v>
      </c>
      <c r="G114" s="69">
        <v>28</v>
      </c>
      <c r="H114" t="s">
        <v>2575</v>
      </c>
      <c r="I114" s="69">
        <v>118</v>
      </c>
      <c r="J114">
        <f t="shared" si="1"/>
        <v>90</v>
      </c>
    </row>
    <row r="115" spans="1:10" x14ac:dyDescent="0.25">
      <c r="A115" t="s">
        <v>1020</v>
      </c>
      <c r="B115" t="s">
        <v>1022</v>
      </c>
      <c r="C115" t="s">
        <v>58</v>
      </c>
      <c r="D115" t="s">
        <v>150</v>
      </c>
      <c r="E115" s="69">
        <v>143</v>
      </c>
      <c r="F115" s="69">
        <v>4</v>
      </c>
      <c r="G115" s="69">
        <v>12</v>
      </c>
      <c r="H115" t="s">
        <v>2574</v>
      </c>
      <c r="I115" s="69">
        <v>117</v>
      </c>
      <c r="J115">
        <f t="shared" si="1"/>
        <v>105</v>
      </c>
    </row>
    <row r="116" spans="1:10" x14ac:dyDescent="0.25">
      <c r="A116" t="s">
        <v>933</v>
      </c>
      <c r="B116" t="s">
        <v>935</v>
      </c>
      <c r="C116" t="s">
        <v>58</v>
      </c>
      <c r="D116" t="s">
        <v>59</v>
      </c>
      <c r="E116" s="69">
        <v>101</v>
      </c>
      <c r="F116" s="69">
        <v>12</v>
      </c>
      <c r="G116" s="69">
        <v>2</v>
      </c>
      <c r="H116" t="s">
        <v>2574</v>
      </c>
      <c r="I116" s="69">
        <v>115</v>
      </c>
      <c r="J116">
        <f t="shared" si="1"/>
        <v>113</v>
      </c>
    </row>
    <row r="117" spans="1:10" x14ac:dyDescent="0.25">
      <c r="A117" t="s">
        <v>1209</v>
      </c>
      <c r="B117" t="s">
        <v>1211</v>
      </c>
      <c r="C117" t="s">
        <v>58</v>
      </c>
      <c r="D117" t="s">
        <v>150</v>
      </c>
      <c r="E117" s="69">
        <v>83</v>
      </c>
      <c r="F117" s="69">
        <v>13</v>
      </c>
      <c r="G117" s="69">
        <v>20</v>
      </c>
      <c r="H117" t="s">
        <v>2573</v>
      </c>
      <c r="I117" s="69">
        <v>115</v>
      </c>
      <c r="J117">
        <f t="shared" si="1"/>
        <v>95</v>
      </c>
    </row>
    <row r="118" spans="1:10" x14ac:dyDescent="0.25">
      <c r="A118" t="s">
        <v>283</v>
      </c>
      <c r="B118" t="s">
        <v>285</v>
      </c>
      <c r="C118" t="s">
        <v>58</v>
      </c>
      <c r="D118" t="s">
        <v>167</v>
      </c>
      <c r="E118" s="69">
        <v>90</v>
      </c>
      <c r="F118" s="69">
        <v>0</v>
      </c>
      <c r="G118" s="69">
        <v>21</v>
      </c>
      <c r="H118" t="s">
        <v>2573</v>
      </c>
      <c r="I118" s="69">
        <v>111</v>
      </c>
      <c r="J118">
        <f t="shared" si="1"/>
        <v>90</v>
      </c>
    </row>
    <row r="119" spans="1:10" x14ac:dyDescent="0.25">
      <c r="A119" t="s">
        <v>1421</v>
      </c>
      <c r="B119" t="s">
        <v>1423</v>
      </c>
      <c r="C119" t="s">
        <v>58</v>
      </c>
      <c r="D119" t="s">
        <v>187</v>
      </c>
      <c r="E119" s="69">
        <v>105.75</v>
      </c>
      <c r="F119" s="69">
        <v>37.5</v>
      </c>
      <c r="G119" s="69">
        <v>22.75</v>
      </c>
      <c r="H119" t="s">
        <v>2573</v>
      </c>
      <c r="I119" s="69">
        <v>110</v>
      </c>
      <c r="J119">
        <f t="shared" si="1"/>
        <v>87.25</v>
      </c>
    </row>
    <row r="120" spans="1:10" x14ac:dyDescent="0.25">
      <c r="A120" t="s">
        <v>1270</v>
      </c>
      <c r="B120" t="s">
        <v>1272</v>
      </c>
      <c r="C120" t="s">
        <v>58</v>
      </c>
      <c r="D120" t="s">
        <v>167</v>
      </c>
      <c r="E120" s="69">
        <v>89</v>
      </c>
      <c r="F120" s="69">
        <v>18</v>
      </c>
      <c r="G120" s="69">
        <v>14</v>
      </c>
      <c r="H120" t="s">
        <v>2575</v>
      </c>
      <c r="I120" s="69">
        <v>108</v>
      </c>
      <c r="J120">
        <f t="shared" si="1"/>
        <v>94</v>
      </c>
    </row>
    <row r="121" spans="1:10" x14ac:dyDescent="0.25">
      <c r="A121" t="s">
        <v>1239</v>
      </c>
      <c r="B121" t="s">
        <v>1241</v>
      </c>
      <c r="C121" t="s">
        <v>58</v>
      </c>
      <c r="D121" t="s">
        <v>167</v>
      </c>
      <c r="E121" s="69">
        <v>92</v>
      </c>
      <c r="F121" s="69">
        <v>0</v>
      </c>
      <c r="G121" s="69">
        <v>16</v>
      </c>
      <c r="H121" t="s">
        <v>2573</v>
      </c>
      <c r="I121" s="69">
        <v>108</v>
      </c>
      <c r="J121">
        <f t="shared" si="1"/>
        <v>92</v>
      </c>
    </row>
    <row r="122" spans="1:10" x14ac:dyDescent="0.25">
      <c r="A122" t="s">
        <v>1523</v>
      </c>
      <c r="B122" t="s">
        <v>1525</v>
      </c>
      <c r="C122" t="s">
        <v>58</v>
      </c>
      <c r="D122" t="s">
        <v>203</v>
      </c>
      <c r="E122" s="69">
        <v>72</v>
      </c>
      <c r="F122" s="69">
        <v>158</v>
      </c>
      <c r="G122" s="69">
        <v>0</v>
      </c>
      <c r="H122" t="s">
        <v>2573</v>
      </c>
      <c r="I122" s="69">
        <v>108</v>
      </c>
      <c r="J122">
        <f t="shared" si="1"/>
        <v>108</v>
      </c>
    </row>
    <row r="123" spans="1:10" x14ac:dyDescent="0.25">
      <c r="A123" t="s">
        <v>1157</v>
      </c>
      <c r="B123" t="s">
        <v>1159</v>
      </c>
      <c r="C123" t="s">
        <v>58</v>
      </c>
      <c r="D123" t="s">
        <v>150</v>
      </c>
      <c r="E123" s="69">
        <v>108</v>
      </c>
      <c r="F123" s="69">
        <v>0</v>
      </c>
      <c r="G123" s="69">
        <v>0</v>
      </c>
      <c r="H123" t="s">
        <v>2574</v>
      </c>
      <c r="I123" s="69">
        <v>108</v>
      </c>
      <c r="J123">
        <f t="shared" si="1"/>
        <v>108</v>
      </c>
    </row>
    <row r="124" spans="1:10" x14ac:dyDescent="0.25">
      <c r="A124" t="s">
        <v>1720</v>
      </c>
      <c r="B124" t="s">
        <v>1722</v>
      </c>
      <c r="C124" t="s">
        <v>58</v>
      </c>
      <c r="D124" t="s">
        <v>167</v>
      </c>
      <c r="E124" s="69">
        <v>201</v>
      </c>
      <c r="F124" s="69">
        <v>10</v>
      </c>
      <c r="G124" s="69">
        <v>40</v>
      </c>
      <c r="H124" t="s">
        <v>2574</v>
      </c>
      <c r="I124" s="69">
        <v>107</v>
      </c>
      <c r="J124">
        <f t="shared" si="1"/>
        <v>67</v>
      </c>
    </row>
    <row r="125" spans="1:10" x14ac:dyDescent="0.25">
      <c r="A125" t="s">
        <v>1151</v>
      </c>
      <c r="B125" t="s">
        <v>2334</v>
      </c>
      <c r="C125" t="s">
        <v>58</v>
      </c>
      <c r="D125" t="s">
        <v>150</v>
      </c>
      <c r="E125" s="69">
        <v>112</v>
      </c>
      <c r="F125" s="69">
        <v>3</v>
      </c>
      <c r="G125" s="69">
        <v>22</v>
      </c>
      <c r="H125" t="s">
        <v>2574</v>
      </c>
      <c r="I125" s="69">
        <v>107</v>
      </c>
      <c r="J125">
        <f t="shared" si="1"/>
        <v>85</v>
      </c>
    </row>
    <row r="126" spans="1:10" x14ac:dyDescent="0.25">
      <c r="A126" t="s">
        <v>454</v>
      </c>
      <c r="B126" t="s">
        <v>456</v>
      </c>
      <c r="C126" t="s">
        <v>58</v>
      </c>
      <c r="D126" t="s">
        <v>150</v>
      </c>
      <c r="E126" s="69">
        <v>98</v>
      </c>
      <c r="F126" s="69">
        <v>0</v>
      </c>
      <c r="G126" s="69">
        <v>21</v>
      </c>
      <c r="H126" t="s">
        <v>2574</v>
      </c>
      <c r="I126" s="69">
        <v>105</v>
      </c>
      <c r="J126">
        <f t="shared" si="1"/>
        <v>84</v>
      </c>
    </row>
    <row r="127" spans="1:10" x14ac:dyDescent="0.25">
      <c r="A127" t="s">
        <v>1755</v>
      </c>
      <c r="B127" t="s">
        <v>1757</v>
      </c>
      <c r="C127" t="s">
        <v>58</v>
      </c>
      <c r="D127" t="s">
        <v>187</v>
      </c>
      <c r="E127" s="69">
        <v>106</v>
      </c>
      <c r="F127" s="69">
        <v>0</v>
      </c>
      <c r="G127" s="69">
        <v>6</v>
      </c>
      <c r="H127" t="s">
        <v>2574</v>
      </c>
      <c r="I127" s="69">
        <v>104</v>
      </c>
      <c r="J127">
        <f t="shared" si="1"/>
        <v>98</v>
      </c>
    </row>
    <row r="128" spans="1:10" x14ac:dyDescent="0.25">
      <c r="A128" t="s">
        <v>1035</v>
      </c>
      <c r="B128" t="s">
        <v>1037</v>
      </c>
      <c r="C128" t="s">
        <v>58</v>
      </c>
      <c r="D128" t="s">
        <v>187</v>
      </c>
      <c r="E128" s="69">
        <v>141.44999999999999</v>
      </c>
      <c r="F128" s="69">
        <v>15</v>
      </c>
      <c r="G128" s="69">
        <v>10</v>
      </c>
      <c r="H128" t="s">
        <v>2574</v>
      </c>
      <c r="I128" s="69">
        <v>103.44999999999999</v>
      </c>
      <c r="J128">
        <f t="shared" si="1"/>
        <v>93.449999999999989</v>
      </c>
    </row>
    <row r="129" spans="1:10" x14ac:dyDescent="0.25">
      <c r="A129" t="s">
        <v>1746</v>
      </c>
      <c r="B129" t="s">
        <v>1748</v>
      </c>
      <c r="C129" t="s">
        <v>58</v>
      </c>
      <c r="D129" t="s">
        <v>167</v>
      </c>
      <c r="E129" s="69">
        <v>99</v>
      </c>
      <c r="F129" s="69">
        <v>0</v>
      </c>
      <c r="G129" s="69">
        <v>3</v>
      </c>
      <c r="H129" t="s">
        <v>2574</v>
      </c>
      <c r="I129" s="69">
        <v>102</v>
      </c>
      <c r="J129">
        <f t="shared" si="1"/>
        <v>99</v>
      </c>
    </row>
    <row r="130" spans="1:10" x14ac:dyDescent="0.25">
      <c r="A130" t="s">
        <v>1069</v>
      </c>
      <c r="B130" t="s">
        <v>1071</v>
      </c>
      <c r="C130" t="s">
        <v>58</v>
      </c>
      <c r="D130" t="s">
        <v>375</v>
      </c>
      <c r="E130" s="69">
        <v>9</v>
      </c>
      <c r="F130" s="69">
        <v>0</v>
      </c>
      <c r="G130" s="69">
        <v>92</v>
      </c>
      <c r="H130" t="s">
        <v>2573</v>
      </c>
      <c r="I130" s="69">
        <v>101</v>
      </c>
      <c r="J130">
        <f t="shared" si="1"/>
        <v>9</v>
      </c>
    </row>
    <row r="131" spans="1:10" x14ac:dyDescent="0.25">
      <c r="A131" t="s">
        <v>1261</v>
      </c>
      <c r="B131" t="s">
        <v>1263</v>
      </c>
      <c r="C131" t="s">
        <v>58</v>
      </c>
      <c r="D131" t="s">
        <v>150</v>
      </c>
      <c r="E131" s="69">
        <v>81</v>
      </c>
      <c r="F131" s="69">
        <v>4</v>
      </c>
      <c r="G131" s="69">
        <v>16</v>
      </c>
      <c r="H131" t="s">
        <v>2574</v>
      </c>
      <c r="I131" s="69">
        <v>101</v>
      </c>
      <c r="J131">
        <f t="shared" ref="J131:J194" si="2">I131-G131</f>
        <v>85</v>
      </c>
    </row>
    <row r="132" spans="1:10" x14ac:dyDescent="0.25">
      <c r="A132" t="s">
        <v>1749</v>
      </c>
      <c r="B132" t="s">
        <v>1751</v>
      </c>
      <c r="C132" t="s">
        <v>58</v>
      </c>
      <c r="D132" t="s">
        <v>375</v>
      </c>
      <c r="E132" s="69">
        <v>112</v>
      </c>
      <c r="F132" s="69">
        <v>0</v>
      </c>
      <c r="G132" s="69">
        <v>0</v>
      </c>
      <c r="H132" t="s">
        <v>2573</v>
      </c>
      <c r="I132" s="69">
        <v>100</v>
      </c>
      <c r="J132">
        <f t="shared" si="2"/>
        <v>100</v>
      </c>
    </row>
    <row r="133" spans="1:10" x14ac:dyDescent="0.25">
      <c r="A133" t="s">
        <v>1005</v>
      </c>
      <c r="B133" t="s">
        <v>1007</v>
      </c>
      <c r="C133" t="s">
        <v>58</v>
      </c>
      <c r="D133" t="s">
        <v>150</v>
      </c>
      <c r="E133" s="69">
        <v>83</v>
      </c>
      <c r="F133" s="69">
        <v>0</v>
      </c>
      <c r="G133" s="69">
        <v>17</v>
      </c>
      <c r="H133" t="s">
        <v>2574</v>
      </c>
      <c r="I133" s="69">
        <v>100</v>
      </c>
      <c r="J133">
        <f t="shared" si="2"/>
        <v>83</v>
      </c>
    </row>
    <row r="134" spans="1:10" x14ac:dyDescent="0.25">
      <c r="A134" t="s">
        <v>188</v>
      </c>
      <c r="B134" t="s">
        <v>190</v>
      </c>
      <c r="C134" t="s">
        <v>58</v>
      </c>
      <c r="D134" t="s">
        <v>150</v>
      </c>
      <c r="E134" s="69">
        <v>87</v>
      </c>
      <c r="F134" s="69">
        <v>0</v>
      </c>
      <c r="G134" s="69">
        <v>12</v>
      </c>
      <c r="H134" t="s">
        <v>2573</v>
      </c>
      <c r="I134" s="69">
        <v>99</v>
      </c>
      <c r="J134">
        <f t="shared" si="2"/>
        <v>87</v>
      </c>
    </row>
    <row r="135" spans="1:10" x14ac:dyDescent="0.25">
      <c r="A135" t="s">
        <v>779</v>
      </c>
      <c r="B135" t="s">
        <v>778</v>
      </c>
      <c r="C135" t="s">
        <v>58</v>
      </c>
      <c r="D135" t="s">
        <v>187</v>
      </c>
      <c r="E135" s="69">
        <v>109</v>
      </c>
      <c r="F135" s="69">
        <v>0</v>
      </c>
      <c r="G135" s="69">
        <v>14</v>
      </c>
      <c r="H135" t="s">
        <v>2574</v>
      </c>
      <c r="I135" s="69">
        <v>97</v>
      </c>
      <c r="J135">
        <f t="shared" si="2"/>
        <v>83</v>
      </c>
    </row>
    <row r="136" spans="1:10" x14ac:dyDescent="0.25">
      <c r="A136" t="s">
        <v>1267</v>
      </c>
      <c r="B136" t="s">
        <v>1269</v>
      </c>
      <c r="C136" t="s">
        <v>58</v>
      </c>
      <c r="D136" t="s">
        <v>167</v>
      </c>
      <c r="E136" s="69">
        <v>82</v>
      </c>
      <c r="F136" s="69">
        <v>4</v>
      </c>
      <c r="G136" s="69">
        <v>8</v>
      </c>
      <c r="H136" t="s">
        <v>2575</v>
      </c>
      <c r="I136" s="69">
        <v>94</v>
      </c>
      <c r="J136">
        <f t="shared" si="2"/>
        <v>86</v>
      </c>
    </row>
    <row r="137" spans="1:10" x14ac:dyDescent="0.25">
      <c r="A137" t="s">
        <v>1224</v>
      </c>
      <c r="B137" t="s">
        <v>1226</v>
      </c>
      <c r="C137" t="s">
        <v>58</v>
      </c>
      <c r="D137" t="s">
        <v>150</v>
      </c>
      <c r="E137" s="69">
        <v>77</v>
      </c>
      <c r="F137" s="69">
        <v>6</v>
      </c>
      <c r="G137" s="69">
        <v>10</v>
      </c>
      <c r="H137" t="s">
        <v>2573</v>
      </c>
      <c r="I137" s="69">
        <v>93</v>
      </c>
      <c r="J137">
        <f t="shared" si="2"/>
        <v>83</v>
      </c>
    </row>
    <row r="138" spans="1:10" x14ac:dyDescent="0.25">
      <c r="A138" t="s">
        <v>1734</v>
      </c>
      <c r="B138" t="s">
        <v>1736</v>
      </c>
      <c r="C138" t="s">
        <v>58</v>
      </c>
      <c r="D138" t="s">
        <v>59</v>
      </c>
      <c r="E138" s="69">
        <v>125</v>
      </c>
      <c r="F138" s="69">
        <v>0</v>
      </c>
      <c r="G138" s="69">
        <v>13</v>
      </c>
      <c r="H138" t="s">
        <v>2574</v>
      </c>
      <c r="I138" s="69">
        <v>91</v>
      </c>
      <c r="J138">
        <f t="shared" si="2"/>
        <v>78</v>
      </c>
    </row>
    <row r="139" spans="1:10" x14ac:dyDescent="0.25">
      <c r="A139" t="s">
        <v>1054</v>
      </c>
      <c r="B139" t="s">
        <v>1056</v>
      </c>
      <c r="C139" t="s">
        <v>58</v>
      </c>
      <c r="D139" t="s">
        <v>167</v>
      </c>
      <c r="E139" s="69">
        <v>40</v>
      </c>
      <c r="F139" s="69">
        <v>34</v>
      </c>
      <c r="G139" s="69">
        <v>17</v>
      </c>
      <c r="H139" t="s">
        <v>2573</v>
      </c>
      <c r="I139" s="69">
        <v>91</v>
      </c>
      <c r="J139">
        <f t="shared" si="2"/>
        <v>74</v>
      </c>
    </row>
    <row r="140" spans="1:10" x14ac:dyDescent="0.25">
      <c r="A140" t="s">
        <v>866</v>
      </c>
      <c r="B140" t="s">
        <v>868</v>
      </c>
      <c r="C140" t="s">
        <v>58</v>
      </c>
      <c r="D140" t="s">
        <v>150</v>
      </c>
      <c r="E140" s="69">
        <v>91</v>
      </c>
      <c r="F140" s="69">
        <v>0</v>
      </c>
      <c r="G140" s="69">
        <v>0</v>
      </c>
      <c r="H140" t="s">
        <v>2574</v>
      </c>
      <c r="I140" s="69">
        <v>91</v>
      </c>
      <c r="J140">
        <f t="shared" si="2"/>
        <v>91</v>
      </c>
    </row>
    <row r="141" spans="1:10" x14ac:dyDescent="0.25">
      <c r="A141" t="s">
        <v>1976</v>
      </c>
      <c r="B141" t="s">
        <v>1977</v>
      </c>
      <c r="C141" t="s">
        <v>58</v>
      </c>
      <c r="D141" t="s">
        <v>59</v>
      </c>
      <c r="E141" s="69">
        <v>90</v>
      </c>
      <c r="F141" s="69">
        <v>0</v>
      </c>
      <c r="G141" s="69">
        <v>0</v>
      </c>
      <c r="H141" t="s">
        <v>2574</v>
      </c>
      <c r="I141" s="69">
        <v>90</v>
      </c>
      <c r="J141">
        <f t="shared" si="2"/>
        <v>90</v>
      </c>
    </row>
    <row r="142" spans="1:10" x14ac:dyDescent="0.25">
      <c r="A142" t="s">
        <v>1057</v>
      </c>
      <c r="B142" t="s">
        <v>1059</v>
      </c>
      <c r="C142" t="s">
        <v>58</v>
      </c>
      <c r="D142" t="s">
        <v>167</v>
      </c>
      <c r="E142" s="69">
        <v>76</v>
      </c>
      <c r="F142" s="69">
        <v>0</v>
      </c>
      <c r="G142" s="69">
        <v>14</v>
      </c>
      <c r="H142" t="s">
        <v>2573</v>
      </c>
      <c r="I142" s="69">
        <v>90</v>
      </c>
      <c r="J142">
        <f t="shared" si="2"/>
        <v>76</v>
      </c>
    </row>
    <row r="143" spans="1:10" x14ac:dyDescent="0.25">
      <c r="A143" t="s">
        <v>939</v>
      </c>
      <c r="B143" t="s">
        <v>941</v>
      </c>
      <c r="C143" t="s">
        <v>58</v>
      </c>
      <c r="D143" t="s">
        <v>304</v>
      </c>
      <c r="E143" s="69">
        <v>70</v>
      </c>
      <c r="F143" s="69">
        <v>0</v>
      </c>
      <c r="G143" s="69">
        <v>20</v>
      </c>
      <c r="H143" t="s">
        <v>2574</v>
      </c>
      <c r="I143" s="69">
        <v>90</v>
      </c>
      <c r="J143">
        <f t="shared" si="2"/>
        <v>70</v>
      </c>
    </row>
    <row r="144" spans="1:10" x14ac:dyDescent="0.25">
      <c r="A144" t="s">
        <v>978</v>
      </c>
      <c r="B144" t="s">
        <v>980</v>
      </c>
      <c r="C144" t="s">
        <v>58</v>
      </c>
      <c r="D144" t="s">
        <v>304</v>
      </c>
      <c r="E144" s="69">
        <v>79</v>
      </c>
      <c r="F144" s="69">
        <v>6</v>
      </c>
      <c r="G144" s="69">
        <v>32</v>
      </c>
      <c r="H144" t="s">
        <v>2573</v>
      </c>
      <c r="I144" s="69">
        <v>90</v>
      </c>
      <c r="J144">
        <f t="shared" si="2"/>
        <v>58</v>
      </c>
    </row>
    <row r="145" spans="1:10" x14ac:dyDescent="0.25">
      <c r="A145" t="s">
        <v>839</v>
      </c>
      <c r="B145" t="s">
        <v>841</v>
      </c>
      <c r="C145" t="s">
        <v>58</v>
      </c>
      <c r="D145" t="s">
        <v>167</v>
      </c>
      <c r="E145" s="69">
        <v>74</v>
      </c>
      <c r="F145" s="69">
        <v>12</v>
      </c>
      <c r="G145" s="69">
        <v>3</v>
      </c>
      <c r="H145" t="s">
        <v>2574</v>
      </c>
      <c r="I145" s="69">
        <v>89</v>
      </c>
      <c r="J145">
        <f t="shared" si="2"/>
        <v>86</v>
      </c>
    </row>
    <row r="146" spans="1:10" x14ac:dyDescent="0.25">
      <c r="A146" t="s">
        <v>1913</v>
      </c>
      <c r="B146" t="s">
        <v>1915</v>
      </c>
      <c r="C146" t="s">
        <v>58</v>
      </c>
      <c r="D146" t="s">
        <v>160</v>
      </c>
      <c r="E146" s="69">
        <v>51</v>
      </c>
      <c r="F146" s="69">
        <v>21</v>
      </c>
      <c r="G146" s="69">
        <v>20</v>
      </c>
      <c r="H146" t="s">
        <v>2573</v>
      </c>
      <c r="I146" s="69">
        <v>88</v>
      </c>
      <c r="J146">
        <f t="shared" si="2"/>
        <v>68</v>
      </c>
    </row>
    <row r="147" spans="1:10" x14ac:dyDescent="0.25">
      <c r="A147" t="s">
        <v>1956</v>
      </c>
      <c r="B147" t="s">
        <v>1958</v>
      </c>
      <c r="C147" t="s">
        <v>58</v>
      </c>
      <c r="D147" t="s">
        <v>167</v>
      </c>
      <c r="E147" s="69">
        <v>148</v>
      </c>
      <c r="F147" s="69">
        <v>2</v>
      </c>
      <c r="G147" s="69">
        <v>17</v>
      </c>
      <c r="H147" t="s">
        <v>2574</v>
      </c>
      <c r="I147" s="69">
        <v>87</v>
      </c>
      <c r="J147">
        <f t="shared" si="2"/>
        <v>70</v>
      </c>
    </row>
    <row r="148" spans="1:10" x14ac:dyDescent="0.25">
      <c r="A148" t="s">
        <v>1060</v>
      </c>
      <c r="B148" t="s">
        <v>1062</v>
      </c>
      <c r="C148" t="s">
        <v>58</v>
      </c>
      <c r="D148" t="s">
        <v>167</v>
      </c>
      <c r="E148" s="69">
        <v>100</v>
      </c>
      <c r="F148" s="69">
        <v>7</v>
      </c>
      <c r="G148" s="69">
        <v>15</v>
      </c>
      <c r="H148" t="s">
        <v>2573</v>
      </c>
      <c r="I148" s="69">
        <v>87</v>
      </c>
      <c r="J148">
        <f t="shared" si="2"/>
        <v>72</v>
      </c>
    </row>
    <row r="149" spans="1:10" x14ac:dyDescent="0.25">
      <c r="A149" t="s">
        <v>1179</v>
      </c>
      <c r="B149" t="s">
        <v>1181</v>
      </c>
      <c r="C149" t="s">
        <v>58</v>
      </c>
      <c r="D149" t="s">
        <v>150</v>
      </c>
      <c r="E149" s="69">
        <v>86</v>
      </c>
      <c r="F149" s="69">
        <v>0</v>
      </c>
      <c r="G149" s="69">
        <v>0</v>
      </c>
      <c r="H149" t="s">
        <v>2574</v>
      </c>
      <c r="I149" s="69">
        <v>86</v>
      </c>
      <c r="J149">
        <f t="shared" si="2"/>
        <v>86</v>
      </c>
    </row>
    <row r="150" spans="1:10" x14ac:dyDescent="0.25">
      <c r="A150" t="s">
        <v>728</v>
      </c>
      <c r="B150" t="s">
        <v>730</v>
      </c>
      <c r="C150" t="s">
        <v>58</v>
      </c>
      <c r="D150" t="s">
        <v>375</v>
      </c>
      <c r="E150" s="69">
        <v>8</v>
      </c>
      <c r="F150" s="69">
        <v>20</v>
      </c>
      <c r="G150" s="69">
        <v>56</v>
      </c>
      <c r="H150" t="s">
        <v>2573</v>
      </c>
      <c r="I150" s="69">
        <v>84</v>
      </c>
      <c r="J150">
        <f t="shared" si="2"/>
        <v>28</v>
      </c>
    </row>
    <row r="151" spans="1:10" x14ac:dyDescent="0.25">
      <c r="A151" t="s">
        <v>1245</v>
      </c>
      <c r="B151" t="s">
        <v>1247</v>
      </c>
      <c r="C151" t="s">
        <v>58</v>
      </c>
      <c r="D151" t="s">
        <v>167</v>
      </c>
      <c r="E151" s="69">
        <v>51</v>
      </c>
      <c r="F151" s="69">
        <v>12</v>
      </c>
      <c r="G151" s="69">
        <v>19</v>
      </c>
      <c r="H151" t="s">
        <v>2573</v>
      </c>
      <c r="I151" s="69">
        <v>82</v>
      </c>
      <c r="J151">
        <f t="shared" si="2"/>
        <v>63</v>
      </c>
    </row>
    <row r="152" spans="1:10" x14ac:dyDescent="0.25">
      <c r="A152" t="s">
        <v>1002</v>
      </c>
      <c r="B152" t="s">
        <v>1004</v>
      </c>
      <c r="C152" t="s">
        <v>58</v>
      </c>
      <c r="D152" t="s">
        <v>160</v>
      </c>
      <c r="E152" s="69">
        <v>84</v>
      </c>
      <c r="F152" s="69">
        <v>28</v>
      </c>
      <c r="G152" s="69">
        <v>0</v>
      </c>
      <c r="H152" t="s">
        <v>2574</v>
      </c>
      <c r="I152" s="69">
        <v>82</v>
      </c>
      <c r="J152">
        <f t="shared" si="2"/>
        <v>82</v>
      </c>
    </row>
    <row r="153" spans="1:10" x14ac:dyDescent="0.25">
      <c r="A153" t="s">
        <v>2417</v>
      </c>
      <c r="B153" t="s">
        <v>1937</v>
      </c>
      <c r="C153" t="s">
        <v>58</v>
      </c>
      <c r="D153" t="s">
        <v>160</v>
      </c>
      <c r="E153" s="69">
        <v>66</v>
      </c>
      <c r="F153" s="69">
        <v>15</v>
      </c>
      <c r="G153" s="69">
        <v>15</v>
      </c>
      <c r="H153" t="s">
        <v>2573</v>
      </c>
      <c r="I153" s="69">
        <v>82</v>
      </c>
      <c r="J153">
        <f t="shared" si="2"/>
        <v>67</v>
      </c>
    </row>
    <row r="154" spans="1:10" x14ac:dyDescent="0.25">
      <c r="A154" t="s">
        <v>151</v>
      </c>
      <c r="B154" t="s">
        <v>153</v>
      </c>
      <c r="C154" t="s">
        <v>58</v>
      </c>
      <c r="D154" t="s">
        <v>150</v>
      </c>
      <c r="E154" s="69">
        <v>85</v>
      </c>
      <c r="F154" s="69">
        <v>0</v>
      </c>
      <c r="G154" s="69">
        <v>11</v>
      </c>
      <c r="H154" t="s">
        <v>2573</v>
      </c>
      <c r="I154" s="69">
        <v>82</v>
      </c>
      <c r="J154">
        <f t="shared" si="2"/>
        <v>71</v>
      </c>
    </row>
    <row r="155" spans="1:10" x14ac:dyDescent="0.25">
      <c r="A155" t="s">
        <v>936</v>
      </c>
      <c r="B155" t="s">
        <v>938</v>
      </c>
      <c r="C155" t="s">
        <v>58</v>
      </c>
      <c r="D155" t="s">
        <v>59</v>
      </c>
      <c r="E155" s="69">
        <v>105</v>
      </c>
      <c r="F155" s="69">
        <v>23</v>
      </c>
      <c r="G155" s="69">
        <v>53</v>
      </c>
      <c r="H155" t="s">
        <v>2574</v>
      </c>
      <c r="I155" s="69">
        <v>81</v>
      </c>
      <c r="J155">
        <f t="shared" si="2"/>
        <v>28</v>
      </c>
    </row>
    <row r="156" spans="1:10" x14ac:dyDescent="0.25">
      <c r="A156" t="s">
        <v>1328</v>
      </c>
      <c r="B156" t="s">
        <v>1330</v>
      </c>
      <c r="C156" t="s">
        <v>58</v>
      </c>
      <c r="D156" t="s">
        <v>59</v>
      </c>
      <c r="E156" s="69">
        <v>97</v>
      </c>
      <c r="F156" s="69">
        <v>29</v>
      </c>
      <c r="G156" s="69">
        <v>18</v>
      </c>
      <c r="H156" t="s">
        <v>2574</v>
      </c>
      <c r="I156" s="69">
        <v>81</v>
      </c>
      <c r="J156">
        <f t="shared" si="2"/>
        <v>63</v>
      </c>
    </row>
    <row r="157" spans="1:10" x14ac:dyDescent="0.25">
      <c r="A157" t="s">
        <v>2406</v>
      </c>
      <c r="B157" t="s">
        <v>1807</v>
      </c>
      <c r="C157" t="s">
        <v>58</v>
      </c>
      <c r="D157" t="s">
        <v>160</v>
      </c>
      <c r="E157" s="69">
        <v>31</v>
      </c>
      <c r="F157" s="69">
        <v>45</v>
      </c>
      <c r="G157" s="69">
        <v>13</v>
      </c>
      <c r="H157" t="s">
        <v>2573</v>
      </c>
      <c r="I157" s="69">
        <v>81</v>
      </c>
      <c r="J157">
        <f t="shared" si="2"/>
        <v>68</v>
      </c>
    </row>
    <row r="158" spans="1:10" x14ac:dyDescent="0.25">
      <c r="A158" t="s">
        <v>210</v>
      </c>
      <c r="B158" t="s">
        <v>212</v>
      </c>
      <c r="C158" t="s">
        <v>58</v>
      </c>
      <c r="D158" t="s">
        <v>150</v>
      </c>
      <c r="E158" s="69">
        <v>192</v>
      </c>
      <c r="F158" s="69">
        <v>2</v>
      </c>
      <c r="G158" s="69">
        <v>3</v>
      </c>
      <c r="H158" t="s">
        <v>2574</v>
      </c>
      <c r="I158" s="69">
        <v>81</v>
      </c>
      <c r="J158">
        <f t="shared" si="2"/>
        <v>78</v>
      </c>
    </row>
    <row r="159" spans="1:10" x14ac:dyDescent="0.25">
      <c r="A159" t="s">
        <v>1510</v>
      </c>
      <c r="B159" t="s">
        <v>1512</v>
      </c>
      <c r="C159" t="s">
        <v>58</v>
      </c>
      <c r="D159" t="s">
        <v>167</v>
      </c>
      <c r="E159" s="69">
        <v>75</v>
      </c>
      <c r="F159" s="69">
        <v>3</v>
      </c>
      <c r="G159" s="69">
        <v>4</v>
      </c>
      <c r="H159" t="s">
        <v>2573</v>
      </c>
      <c r="I159" s="69">
        <v>79</v>
      </c>
      <c r="J159">
        <f t="shared" si="2"/>
        <v>75</v>
      </c>
    </row>
    <row r="160" spans="1:10" x14ac:dyDescent="0.25">
      <c r="A160" t="s">
        <v>1154</v>
      </c>
      <c r="B160" t="s">
        <v>2335</v>
      </c>
      <c r="C160" t="s">
        <v>58</v>
      </c>
      <c r="D160" t="s">
        <v>150</v>
      </c>
      <c r="E160" s="69">
        <v>95</v>
      </c>
      <c r="F160" s="69">
        <v>0</v>
      </c>
      <c r="G160" s="69">
        <v>8</v>
      </c>
      <c r="H160" t="s">
        <v>2574</v>
      </c>
      <c r="I160" s="69">
        <v>79</v>
      </c>
      <c r="J160">
        <f t="shared" si="2"/>
        <v>71</v>
      </c>
    </row>
    <row r="161" spans="1:10" x14ac:dyDescent="0.25">
      <c r="A161" t="s">
        <v>1346</v>
      </c>
      <c r="B161" t="s">
        <v>1348</v>
      </c>
      <c r="C161" t="s">
        <v>58</v>
      </c>
      <c r="D161" t="s">
        <v>216</v>
      </c>
      <c r="E161" s="69">
        <v>81</v>
      </c>
      <c r="F161" s="69">
        <v>0</v>
      </c>
      <c r="G161" s="69">
        <v>0</v>
      </c>
      <c r="H161" t="s">
        <v>2574</v>
      </c>
      <c r="I161" s="69">
        <v>79</v>
      </c>
      <c r="J161">
        <f t="shared" si="2"/>
        <v>79</v>
      </c>
    </row>
    <row r="162" spans="1:10" x14ac:dyDescent="0.25">
      <c r="A162" t="s">
        <v>972</v>
      </c>
      <c r="B162" t="s">
        <v>974</v>
      </c>
      <c r="C162" t="s">
        <v>58</v>
      </c>
      <c r="D162" t="s">
        <v>304</v>
      </c>
      <c r="E162" s="69">
        <v>79</v>
      </c>
      <c r="F162" s="69">
        <v>3</v>
      </c>
      <c r="G162" s="69">
        <v>30</v>
      </c>
      <c r="H162" t="s">
        <v>2574</v>
      </c>
      <c r="I162" s="69">
        <v>78</v>
      </c>
      <c r="J162">
        <f t="shared" si="2"/>
        <v>48</v>
      </c>
    </row>
    <row r="163" spans="1:10" x14ac:dyDescent="0.25">
      <c r="A163" t="s">
        <v>1666</v>
      </c>
      <c r="B163" t="s">
        <v>1668</v>
      </c>
      <c r="C163" t="s">
        <v>58</v>
      </c>
      <c r="D163" t="s">
        <v>160</v>
      </c>
      <c r="E163" s="69">
        <v>58</v>
      </c>
      <c r="F163" s="69">
        <v>18</v>
      </c>
      <c r="G163" s="69">
        <v>11</v>
      </c>
      <c r="H163" t="s">
        <v>2574</v>
      </c>
      <c r="I163" s="69">
        <v>75</v>
      </c>
      <c r="J163">
        <f t="shared" si="2"/>
        <v>64</v>
      </c>
    </row>
    <row r="164" spans="1:10" x14ac:dyDescent="0.25">
      <c r="A164" t="s">
        <v>872</v>
      </c>
      <c r="B164" t="s">
        <v>874</v>
      </c>
      <c r="C164" t="s">
        <v>58</v>
      </c>
      <c r="D164" t="s">
        <v>150</v>
      </c>
      <c r="E164" s="69">
        <v>74.9756</v>
      </c>
      <c r="F164" s="69">
        <v>0</v>
      </c>
      <c r="G164" s="69">
        <v>0</v>
      </c>
      <c r="H164" t="s">
        <v>2574</v>
      </c>
      <c r="I164" s="69">
        <v>74.9756</v>
      </c>
      <c r="J164">
        <f t="shared" si="2"/>
        <v>74.9756</v>
      </c>
    </row>
    <row r="165" spans="1:10" x14ac:dyDescent="0.25">
      <c r="A165" t="s">
        <v>854</v>
      </c>
      <c r="B165" t="s">
        <v>856</v>
      </c>
      <c r="C165" t="s">
        <v>58</v>
      </c>
      <c r="D165" t="s">
        <v>150</v>
      </c>
      <c r="E165" s="69">
        <v>117</v>
      </c>
      <c r="F165" s="69">
        <v>0</v>
      </c>
      <c r="G165" s="69">
        <v>7</v>
      </c>
      <c r="H165" t="s">
        <v>2574</v>
      </c>
      <c r="I165" s="69">
        <v>74</v>
      </c>
      <c r="J165">
        <f t="shared" si="2"/>
        <v>67</v>
      </c>
    </row>
    <row r="166" spans="1:10" x14ac:dyDescent="0.25">
      <c r="A166" t="s">
        <v>171</v>
      </c>
      <c r="B166" t="s">
        <v>173</v>
      </c>
      <c r="C166" t="s">
        <v>58</v>
      </c>
      <c r="D166" t="s">
        <v>59</v>
      </c>
      <c r="E166" s="69">
        <v>66</v>
      </c>
      <c r="F166" s="69">
        <v>16</v>
      </c>
      <c r="G166" s="69">
        <v>1</v>
      </c>
      <c r="H166" t="s">
        <v>2574</v>
      </c>
      <c r="I166" s="69">
        <v>72</v>
      </c>
      <c r="J166">
        <f t="shared" si="2"/>
        <v>71</v>
      </c>
    </row>
    <row r="167" spans="1:10" x14ac:dyDescent="0.25">
      <c r="A167" t="s">
        <v>791</v>
      </c>
      <c r="B167" t="s">
        <v>793</v>
      </c>
      <c r="C167" t="s">
        <v>58</v>
      </c>
      <c r="D167" t="s">
        <v>167</v>
      </c>
      <c r="E167" s="69">
        <v>64</v>
      </c>
      <c r="F167" s="69">
        <v>1</v>
      </c>
      <c r="G167" s="69">
        <v>7</v>
      </c>
      <c r="H167" t="s">
        <v>2575</v>
      </c>
      <c r="I167" s="69">
        <v>72</v>
      </c>
      <c r="J167">
        <f t="shared" si="2"/>
        <v>65</v>
      </c>
    </row>
    <row r="168" spans="1:10" x14ac:dyDescent="0.25">
      <c r="A168" t="s">
        <v>96</v>
      </c>
      <c r="B168" t="s">
        <v>98</v>
      </c>
      <c r="C168" t="s">
        <v>58</v>
      </c>
      <c r="D168" t="s">
        <v>63</v>
      </c>
      <c r="E168" s="69">
        <v>12</v>
      </c>
      <c r="F168" s="69">
        <v>36</v>
      </c>
      <c r="G168" s="69">
        <v>24</v>
      </c>
      <c r="H168" t="s">
        <v>2574</v>
      </c>
      <c r="I168" s="69">
        <v>72</v>
      </c>
      <c r="J168">
        <f t="shared" si="2"/>
        <v>48</v>
      </c>
    </row>
    <row r="169" spans="1:10" x14ac:dyDescent="0.25">
      <c r="A169" t="s">
        <v>1175</v>
      </c>
      <c r="B169" t="s">
        <v>1174</v>
      </c>
      <c r="C169" t="s">
        <v>58</v>
      </c>
      <c r="D169" t="s">
        <v>187</v>
      </c>
      <c r="E169" s="69">
        <v>54</v>
      </c>
      <c r="F169" s="69">
        <v>37.549999999999997</v>
      </c>
      <c r="G169" s="69">
        <v>9</v>
      </c>
      <c r="H169" t="s">
        <v>2574</v>
      </c>
      <c r="I169" s="69">
        <v>71.55</v>
      </c>
      <c r="J169">
        <f t="shared" si="2"/>
        <v>62.55</v>
      </c>
    </row>
    <row r="170" spans="1:10" x14ac:dyDescent="0.25">
      <c r="A170" t="s">
        <v>16</v>
      </c>
      <c r="B170" t="s">
        <v>17</v>
      </c>
      <c r="C170" t="s">
        <v>58</v>
      </c>
      <c r="D170" t="s">
        <v>1</v>
      </c>
      <c r="E170" s="69">
        <v>65.7</v>
      </c>
      <c r="F170" s="69">
        <v>2</v>
      </c>
      <c r="G170" s="69">
        <v>3.75</v>
      </c>
      <c r="H170" t="s">
        <v>2574</v>
      </c>
      <c r="I170" s="69">
        <v>71.45</v>
      </c>
      <c r="J170">
        <f t="shared" si="2"/>
        <v>67.7</v>
      </c>
    </row>
    <row r="171" spans="1:10" x14ac:dyDescent="0.25">
      <c r="A171" t="s">
        <v>1636</v>
      </c>
      <c r="B171" t="s">
        <v>1638</v>
      </c>
      <c r="C171" t="s">
        <v>58</v>
      </c>
      <c r="D171" t="s">
        <v>59</v>
      </c>
      <c r="E171" s="69">
        <v>70</v>
      </c>
      <c r="F171" s="69">
        <v>13</v>
      </c>
      <c r="G171" s="69">
        <v>19</v>
      </c>
      <c r="H171" t="s">
        <v>2574</v>
      </c>
      <c r="I171" s="69">
        <v>71</v>
      </c>
      <c r="J171">
        <f t="shared" si="2"/>
        <v>52</v>
      </c>
    </row>
    <row r="172" spans="1:10" x14ac:dyDescent="0.25">
      <c r="A172" t="s">
        <v>1044</v>
      </c>
      <c r="B172" t="s">
        <v>1043</v>
      </c>
      <c r="C172" t="s">
        <v>58</v>
      </c>
      <c r="D172" t="s">
        <v>160</v>
      </c>
      <c r="E172" s="69">
        <v>67</v>
      </c>
      <c r="F172" s="69">
        <v>16</v>
      </c>
      <c r="G172" s="69">
        <v>0</v>
      </c>
      <c r="H172" t="s">
        <v>2574</v>
      </c>
      <c r="I172" s="69">
        <v>71</v>
      </c>
      <c r="J172">
        <f t="shared" si="2"/>
        <v>71</v>
      </c>
    </row>
    <row r="173" spans="1:10" x14ac:dyDescent="0.25">
      <c r="A173" t="s">
        <v>24</v>
      </c>
      <c r="B173" t="s">
        <v>25</v>
      </c>
      <c r="C173" t="s">
        <v>58</v>
      </c>
      <c r="D173" t="s">
        <v>1</v>
      </c>
      <c r="E173" s="69">
        <v>63</v>
      </c>
      <c r="F173" s="69">
        <v>8.25</v>
      </c>
      <c r="G173" s="69">
        <v>3.75</v>
      </c>
      <c r="H173" t="s">
        <v>2573</v>
      </c>
      <c r="I173" s="69">
        <v>71</v>
      </c>
      <c r="J173">
        <f t="shared" si="2"/>
        <v>67.25</v>
      </c>
    </row>
    <row r="174" spans="1:10" x14ac:dyDescent="0.25">
      <c r="A174" t="s">
        <v>1279</v>
      </c>
      <c r="B174" t="s">
        <v>1281</v>
      </c>
      <c r="C174" t="s">
        <v>58</v>
      </c>
      <c r="D174" t="s">
        <v>167</v>
      </c>
      <c r="E174" s="69">
        <v>63</v>
      </c>
      <c r="F174" s="69">
        <v>12</v>
      </c>
      <c r="G174" s="69">
        <v>3</v>
      </c>
      <c r="H174" t="s">
        <v>2574</v>
      </c>
      <c r="I174" s="69">
        <v>70</v>
      </c>
      <c r="J174">
        <f t="shared" si="2"/>
        <v>67</v>
      </c>
    </row>
    <row r="175" spans="1:10" x14ac:dyDescent="0.25">
      <c r="A175" t="s">
        <v>347</v>
      </c>
      <c r="B175" t="s">
        <v>349</v>
      </c>
      <c r="C175" t="s">
        <v>58</v>
      </c>
      <c r="D175" t="s">
        <v>150</v>
      </c>
      <c r="E175" s="69">
        <v>62</v>
      </c>
      <c r="F175" s="69">
        <v>0</v>
      </c>
      <c r="G175" s="69">
        <v>13</v>
      </c>
      <c r="H175" t="s">
        <v>2573</v>
      </c>
      <c r="I175" s="69">
        <v>70</v>
      </c>
      <c r="J175">
        <f t="shared" si="2"/>
        <v>57</v>
      </c>
    </row>
    <row r="176" spans="1:10" x14ac:dyDescent="0.25">
      <c r="A176" t="s">
        <v>2391</v>
      </c>
      <c r="B176" t="s">
        <v>2392</v>
      </c>
      <c r="C176" t="s">
        <v>58</v>
      </c>
      <c r="D176" t="s">
        <v>203</v>
      </c>
      <c r="E176" s="69">
        <v>63.113999999999997</v>
      </c>
      <c r="F176" s="69">
        <v>6</v>
      </c>
      <c r="G176" s="69">
        <v>0</v>
      </c>
      <c r="H176" t="s">
        <v>2573</v>
      </c>
      <c r="I176" s="69">
        <v>69.114000000000004</v>
      </c>
      <c r="J176">
        <f t="shared" si="2"/>
        <v>69.114000000000004</v>
      </c>
    </row>
    <row r="177" spans="1:10" x14ac:dyDescent="0.25">
      <c r="A177" t="s">
        <v>2414</v>
      </c>
      <c r="B177" t="s">
        <v>1860</v>
      </c>
      <c r="C177" t="s">
        <v>58</v>
      </c>
      <c r="D177" t="s">
        <v>160</v>
      </c>
      <c r="E177" s="69">
        <v>63.113999999999997</v>
      </c>
      <c r="F177" s="69">
        <v>6</v>
      </c>
      <c r="G177" s="69">
        <v>0</v>
      </c>
      <c r="H177" t="s">
        <v>2574</v>
      </c>
      <c r="I177" s="69">
        <v>69.114000000000004</v>
      </c>
      <c r="J177">
        <f t="shared" si="2"/>
        <v>69.114000000000004</v>
      </c>
    </row>
    <row r="178" spans="1:10" x14ac:dyDescent="0.25">
      <c r="A178" t="s">
        <v>1855</v>
      </c>
      <c r="B178" t="s">
        <v>1857</v>
      </c>
      <c r="C178" t="s">
        <v>58</v>
      </c>
      <c r="D178" t="s">
        <v>160</v>
      </c>
      <c r="E178" s="69">
        <v>80.513999999999996</v>
      </c>
      <c r="F178" s="69">
        <v>18.34</v>
      </c>
      <c r="G178" s="69">
        <v>13.526</v>
      </c>
      <c r="H178" t="s">
        <v>2574</v>
      </c>
      <c r="I178" s="69">
        <v>68.38</v>
      </c>
      <c r="J178">
        <f t="shared" si="2"/>
        <v>54.853999999999999</v>
      </c>
    </row>
    <row r="179" spans="1:10" x14ac:dyDescent="0.25">
      <c r="A179" t="s">
        <v>497</v>
      </c>
      <c r="B179" t="s">
        <v>499</v>
      </c>
      <c r="C179" t="s">
        <v>58</v>
      </c>
      <c r="D179" t="s">
        <v>167</v>
      </c>
      <c r="E179" s="69">
        <v>47</v>
      </c>
      <c r="F179" s="69">
        <v>12</v>
      </c>
      <c r="G179" s="69">
        <v>9</v>
      </c>
      <c r="H179" t="s">
        <v>2573</v>
      </c>
      <c r="I179" s="69">
        <v>68</v>
      </c>
      <c r="J179">
        <f t="shared" si="2"/>
        <v>59</v>
      </c>
    </row>
    <row r="180" spans="1:10" x14ac:dyDescent="0.25">
      <c r="A180" t="s">
        <v>1601</v>
      </c>
      <c r="B180" t="s">
        <v>1603</v>
      </c>
      <c r="C180" t="s">
        <v>58</v>
      </c>
      <c r="D180" t="s">
        <v>59</v>
      </c>
      <c r="E180" s="69">
        <v>70</v>
      </c>
      <c r="F180" s="69">
        <v>13</v>
      </c>
      <c r="G180" s="69">
        <v>19</v>
      </c>
      <c r="H180" t="s">
        <v>2573</v>
      </c>
      <c r="I180" s="69">
        <v>67</v>
      </c>
      <c r="J180">
        <f t="shared" si="2"/>
        <v>48</v>
      </c>
    </row>
    <row r="181" spans="1:10" x14ac:dyDescent="0.25">
      <c r="A181" t="s">
        <v>851</v>
      </c>
      <c r="B181" t="s">
        <v>853</v>
      </c>
      <c r="C181" t="s">
        <v>58</v>
      </c>
      <c r="D181" t="s">
        <v>167</v>
      </c>
      <c r="E181" s="69">
        <v>54</v>
      </c>
      <c r="F181" s="69">
        <v>3</v>
      </c>
      <c r="G181" s="69">
        <v>10</v>
      </c>
      <c r="H181" t="s">
        <v>2575</v>
      </c>
      <c r="I181" s="69">
        <v>67</v>
      </c>
      <c r="J181">
        <f t="shared" si="2"/>
        <v>57</v>
      </c>
    </row>
    <row r="182" spans="1:10" x14ac:dyDescent="0.25">
      <c r="A182" t="s">
        <v>1418</v>
      </c>
      <c r="B182" t="s">
        <v>1420</v>
      </c>
      <c r="C182" t="s">
        <v>58</v>
      </c>
      <c r="D182" t="s">
        <v>187</v>
      </c>
      <c r="E182" s="69">
        <v>46</v>
      </c>
      <c r="F182" s="69">
        <v>18</v>
      </c>
      <c r="G182" s="69">
        <v>9</v>
      </c>
      <c r="H182" t="s">
        <v>2573</v>
      </c>
      <c r="I182" s="69">
        <v>67</v>
      </c>
      <c r="J182">
        <f t="shared" si="2"/>
        <v>58</v>
      </c>
    </row>
    <row r="183" spans="1:10" x14ac:dyDescent="0.25">
      <c r="A183" t="s">
        <v>1654</v>
      </c>
      <c r="B183" t="s">
        <v>1656</v>
      </c>
      <c r="C183" t="s">
        <v>58</v>
      </c>
      <c r="D183" t="s">
        <v>59</v>
      </c>
      <c r="E183" s="69">
        <v>51</v>
      </c>
      <c r="F183" s="69">
        <v>14</v>
      </c>
      <c r="G183" s="69">
        <v>1</v>
      </c>
      <c r="H183" t="s">
        <v>2574</v>
      </c>
      <c r="I183" s="69">
        <v>66</v>
      </c>
      <c r="J183">
        <f t="shared" si="2"/>
        <v>65</v>
      </c>
    </row>
    <row r="184" spans="1:10" x14ac:dyDescent="0.25">
      <c r="A184" t="s">
        <v>426</v>
      </c>
      <c r="B184" t="s">
        <v>428</v>
      </c>
      <c r="C184" t="s">
        <v>58</v>
      </c>
      <c r="D184" t="s">
        <v>67</v>
      </c>
      <c r="E184" s="69">
        <v>65</v>
      </c>
      <c r="F184" s="69">
        <v>0</v>
      </c>
      <c r="G184" s="69">
        <v>0</v>
      </c>
      <c r="H184" t="s">
        <v>2574</v>
      </c>
      <c r="I184" s="69">
        <v>65</v>
      </c>
      <c r="J184">
        <f t="shared" si="2"/>
        <v>65</v>
      </c>
    </row>
    <row r="185" spans="1:10" x14ac:dyDescent="0.25">
      <c r="A185" t="s">
        <v>2576</v>
      </c>
      <c r="B185" t="s">
        <v>968</v>
      </c>
      <c r="C185" t="s">
        <v>58</v>
      </c>
      <c r="D185" t="s">
        <v>203</v>
      </c>
      <c r="E185" s="69">
        <v>31</v>
      </c>
      <c r="F185" s="69">
        <v>19</v>
      </c>
      <c r="G185" s="69">
        <v>13</v>
      </c>
      <c r="H185" t="s">
        <v>2573</v>
      </c>
      <c r="I185" s="69">
        <v>63</v>
      </c>
      <c r="J185">
        <f t="shared" si="2"/>
        <v>50</v>
      </c>
    </row>
    <row r="186" spans="1:10" x14ac:dyDescent="0.25">
      <c r="A186" t="s">
        <v>1264</v>
      </c>
      <c r="B186" t="s">
        <v>1266</v>
      </c>
      <c r="C186" t="s">
        <v>58</v>
      </c>
      <c r="D186" t="s">
        <v>150</v>
      </c>
      <c r="E186" s="69">
        <v>56</v>
      </c>
      <c r="F186" s="69">
        <v>0</v>
      </c>
      <c r="G186" s="69">
        <v>7</v>
      </c>
      <c r="H186" t="s">
        <v>2574</v>
      </c>
      <c r="I186" s="69">
        <v>63</v>
      </c>
      <c r="J186">
        <f t="shared" si="2"/>
        <v>56</v>
      </c>
    </row>
    <row r="187" spans="1:10" x14ac:dyDescent="0.25">
      <c r="A187" t="s">
        <v>1172</v>
      </c>
      <c r="B187" t="s">
        <v>1174</v>
      </c>
      <c r="C187" t="s">
        <v>58</v>
      </c>
      <c r="D187" t="s">
        <v>187</v>
      </c>
      <c r="E187" s="69">
        <v>46</v>
      </c>
      <c r="F187" s="69">
        <v>18</v>
      </c>
      <c r="G187" s="69">
        <v>0</v>
      </c>
      <c r="H187" t="s">
        <v>2574</v>
      </c>
      <c r="I187" s="69">
        <v>63</v>
      </c>
      <c r="J187">
        <f t="shared" si="2"/>
        <v>63</v>
      </c>
    </row>
    <row r="188" spans="1:10" x14ac:dyDescent="0.25">
      <c r="A188" t="s">
        <v>18</v>
      </c>
      <c r="B188" t="s">
        <v>19</v>
      </c>
      <c r="C188" t="s">
        <v>58</v>
      </c>
      <c r="D188" t="s">
        <v>1</v>
      </c>
      <c r="E188" s="69">
        <v>65.75</v>
      </c>
      <c r="F188" s="69">
        <v>2</v>
      </c>
      <c r="G188" s="69">
        <v>3.75</v>
      </c>
      <c r="H188" t="s">
        <v>2574</v>
      </c>
      <c r="I188" s="69">
        <v>62.5</v>
      </c>
      <c r="J188">
        <f t="shared" si="2"/>
        <v>58.75</v>
      </c>
    </row>
    <row r="189" spans="1:10" x14ac:dyDescent="0.25">
      <c r="A189" t="s">
        <v>1688</v>
      </c>
      <c r="B189" t="s">
        <v>1690</v>
      </c>
      <c r="C189" t="s">
        <v>58</v>
      </c>
      <c r="D189" t="s">
        <v>59</v>
      </c>
      <c r="E189" s="69">
        <v>56</v>
      </c>
      <c r="F189" s="69">
        <v>35</v>
      </c>
      <c r="G189" s="69">
        <v>14</v>
      </c>
      <c r="H189" t="s">
        <v>2575</v>
      </c>
      <c r="I189" s="69">
        <v>62</v>
      </c>
      <c r="J189">
        <f t="shared" si="2"/>
        <v>48</v>
      </c>
    </row>
    <row r="190" spans="1:10" x14ac:dyDescent="0.25">
      <c r="A190" t="s">
        <v>292</v>
      </c>
      <c r="B190" t="s">
        <v>294</v>
      </c>
      <c r="C190" t="s">
        <v>58</v>
      </c>
      <c r="D190" t="s">
        <v>167</v>
      </c>
      <c r="E190" s="69">
        <v>97</v>
      </c>
      <c r="F190" s="69">
        <v>0</v>
      </c>
      <c r="G190" s="69">
        <v>9</v>
      </c>
      <c r="H190" t="s">
        <v>2575</v>
      </c>
      <c r="I190" s="69">
        <v>62</v>
      </c>
      <c r="J190">
        <f t="shared" si="2"/>
        <v>53</v>
      </c>
    </row>
    <row r="191" spans="1:10" x14ac:dyDescent="0.25">
      <c r="A191" t="s">
        <v>1520</v>
      </c>
      <c r="B191" t="s">
        <v>1522</v>
      </c>
      <c r="C191" t="s">
        <v>58</v>
      </c>
      <c r="D191" t="s">
        <v>203</v>
      </c>
      <c r="E191" s="69">
        <v>72</v>
      </c>
      <c r="F191" s="69">
        <v>133</v>
      </c>
      <c r="G191" s="69">
        <v>0</v>
      </c>
      <c r="H191" t="s">
        <v>2573</v>
      </c>
      <c r="I191" s="69">
        <v>62</v>
      </c>
      <c r="J191">
        <f t="shared" si="2"/>
        <v>62</v>
      </c>
    </row>
    <row r="192" spans="1:10" x14ac:dyDescent="0.25">
      <c r="A192" t="s">
        <v>1221</v>
      </c>
      <c r="B192" t="s">
        <v>1223</v>
      </c>
      <c r="C192" t="s">
        <v>58</v>
      </c>
      <c r="D192" t="s">
        <v>150</v>
      </c>
      <c r="E192" s="69">
        <v>71</v>
      </c>
      <c r="F192" s="69">
        <v>7</v>
      </c>
      <c r="G192" s="69">
        <v>13</v>
      </c>
      <c r="H192" t="s">
        <v>2573</v>
      </c>
      <c r="I192" s="69">
        <v>62</v>
      </c>
      <c r="J192">
        <f t="shared" si="2"/>
        <v>49</v>
      </c>
    </row>
    <row r="193" spans="1:10" x14ac:dyDescent="0.25">
      <c r="A193" t="s">
        <v>719</v>
      </c>
      <c r="B193" t="s">
        <v>721</v>
      </c>
      <c r="C193" t="s">
        <v>58</v>
      </c>
      <c r="D193" t="s">
        <v>63</v>
      </c>
      <c r="E193" s="69">
        <v>37</v>
      </c>
      <c r="F193" s="69">
        <v>19</v>
      </c>
      <c r="G193" s="69">
        <v>12</v>
      </c>
      <c r="H193" t="s">
        <v>2573</v>
      </c>
      <c r="I193" s="69">
        <v>62</v>
      </c>
      <c r="J193">
        <f t="shared" si="2"/>
        <v>50</v>
      </c>
    </row>
    <row r="194" spans="1:10" x14ac:dyDescent="0.25">
      <c r="A194" t="s">
        <v>1564</v>
      </c>
      <c r="B194" t="s">
        <v>1566</v>
      </c>
      <c r="C194" t="s">
        <v>58</v>
      </c>
      <c r="D194" t="s">
        <v>59</v>
      </c>
      <c r="E194" s="69">
        <v>81</v>
      </c>
      <c r="F194" s="69">
        <v>6</v>
      </c>
      <c r="G194" s="69">
        <v>11</v>
      </c>
      <c r="H194" t="s">
        <v>2574</v>
      </c>
      <c r="I194" s="69">
        <v>61</v>
      </c>
      <c r="J194">
        <f t="shared" si="2"/>
        <v>50</v>
      </c>
    </row>
    <row r="195" spans="1:10" x14ac:dyDescent="0.25">
      <c r="A195" t="s">
        <v>1699</v>
      </c>
      <c r="B195" t="s">
        <v>1701</v>
      </c>
      <c r="C195" t="s">
        <v>58</v>
      </c>
      <c r="D195" t="s">
        <v>167</v>
      </c>
      <c r="E195" s="69">
        <v>33</v>
      </c>
      <c r="F195" s="69">
        <v>28</v>
      </c>
      <c r="G195" s="69">
        <v>0</v>
      </c>
      <c r="H195" t="s">
        <v>2574</v>
      </c>
      <c r="I195" s="69">
        <v>61</v>
      </c>
      <c r="J195">
        <f t="shared" ref="J195:J258" si="3">I195-G195</f>
        <v>61</v>
      </c>
    </row>
    <row r="196" spans="1:10" x14ac:dyDescent="0.25">
      <c r="A196" t="s">
        <v>599</v>
      </c>
      <c r="B196" t="s">
        <v>601</v>
      </c>
      <c r="C196" t="s">
        <v>58</v>
      </c>
      <c r="D196" t="s">
        <v>375</v>
      </c>
      <c r="E196" s="69">
        <v>60</v>
      </c>
      <c r="F196" s="69">
        <v>0</v>
      </c>
      <c r="G196" s="69">
        <v>0</v>
      </c>
      <c r="H196" t="s">
        <v>2573</v>
      </c>
      <c r="I196" s="69">
        <v>60</v>
      </c>
      <c r="J196">
        <f t="shared" si="3"/>
        <v>60</v>
      </c>
    </row>
    <row r="197" spans="1:10" x14ac:dyDescent="0.25">
      <c r="A197" t="s">
        <v>650</v>
      </c>
      <c r="B197" t="s">
        <v>652</v>
      </c>
      <c r="C197" t="s">
        <v>58</v>
      </c>
      <c r="D197" t="s">
        <v>63</v>
      </c>
      <c r="E197" s="69">
        <v>44</v>
      </c>
      <c r="F197" s="69">
        <v>13</v>
      </c>
      <c r="G197" s="69">
        <v>13</v>
      </c>
      <c r="H197" t="s">
        <v>2573</v>
      </c>
      <c r="I197" s="69">
        <v>60</v>
      </c>
      <c r="J197">
        <f t="shared" si="3"/>
        <v>47</v>
      </c>
    </row>
    <row r="198" spans="1:10" x14ac:dyDescent="0.25">
      <c r="A198" t="s">
        <v>1581</v>
      </c>
      <c r="B198" t="s">
        <v>1583</v>
      </c>
      <c r="C198" t="s">
        <v>58</v>
      </c>
      <c r="D198" t="s">
        <v>59</v>
      </c>
      <c r="E198" s="69">
        <v>135</v>
      </c>
      <c r="F198" s="69">
        <v>8</v>
      </c>
      <c r="G198" s="69">
        <v>15</v>
      </c>
      <c r="H198" t="s">
        <v>2574</v>
      </c>
      <c r="I198" s="69">
        <v>58</v>
      </c>
      <c r="J198">
        <f t="shared" si="3"/>
        <v>43</v>
      </c>
    </row>
    <row r="199" spans="1:10" x14ac:dyDescent="0.25">
      <c r="A199" t="s">
        <v>325</v>
      </c>
      <c r="B199" t="s">
        <v>327</v>
      </c>
      <c r="C199" t="s">
        <v>58</v>
      </c>
      <c r="D199" t="s">
        <v>67</v>
      </c>
      <c r="E199" s="69">
        <v>0</v>
      </c>
      <c r="F199" s="69">
        <v>50</v>
      </c>
      <c r="G199" s="69">
        <v>8</v>
      </c>
      <c r="H199" t="s">
        <v>2574</v>
      </c>
      <c r="I199" s="69">
        <v>58</v>
      </c>
      <c r="J199">
        <f t="shared" si="3"/>
        <v>50</v>
      </c>
    </row>
    <row r="200" spans="1:10" x14ac:dyDescent="0.25">
      <c r="A200" t="s">
        <v>1257</v>
      </c>
      <c r="B200" t="s">
        <v>1259</v>
      </c>
      <c r="C200" t="s">
        <v>58</v>
      </c>
      <c r="D200" t="s">
        <v>187</v>
      </c>
      <c r="E200" s="69">
        <v>91.35</v>
      </c>
      <c r="F200" s="69">
        <v>0</v>
      </c>
      <c r="G200" s="69">
        <v>7</v>
      </c>
      <c r="H200" t="s">
        <v>2574</v>
      </c>
      <c r="I200" s="69">
        <v>57.349999999999994</v>
      </c>
      <c r="J200">
        <f t="shared" si="3"/>
        <v>50.349999999999994</v>
      </c>
    </row>
    <row r="201" spans="1:10" x14ac:dyDescent="0.25">
      <c r="A201" t="s">
        <v>20</v>
      </c>
      <c r="B201" t="s">
        <v>21</v>
      </c>
      <c r="C201" t="s">
        <v>58</v>
      </c>
      <c r="D201" t="s">
        <v>1</v>
      </c>
      <c r="E201" s="69">
        <v>57.3</v>
      </c>
      <c r="F201" s="69">
        <v>0</v>
      </c>
      <c r="G201" s="69">
        <v>1</v>
      </c>
      <c r="H201" t="s">
        <v>2574</v>
      </c>
      <c r="I201" s="69">
        <v>57.3</v>
      </c>
      <c r="J201">
        <f t="shared" si="3"/>
        <v>56.3</v>
      </c>
    </row>
    <row r="202" spans="1:10" x14ac:dyDescent="0.25">
      <c r="A202" t="s">
        <v>1473</v>
      </c>
      <c r="B202" t="s">
        <v>1475</v>
      </c>
      <c r="C202" t="s">
        <v>58</v>
      </c>
      <c r="D202" t="s">
        <v>59</v>
      </c>
      <c r="E202" s="69">
        <v>30</v>
      </c>
      <c r="F202" s="69">
        <v>16</v>
      </c>
      <c r="G202" s="69">
        <v>16</v>
      </c>
      <c r="H202" t="s">
        <v>2573</v>
      </c>
      <c r="I202" s="69">
        <v>57</v>
      </c>
      <c r="J202">
        <f t="shared" si="3"/>
        <v>41</v>
      </c>
    </row>
    <row r="203" spans="1:10" x14ac:dyDescent="0.25">
      <c r="A203" t="s">
        <v>1693</v>
      </c>
      <c r="B203" t="s">
        <v>1695</v>
      </c>
      <c r="C203" t="s">
        <v>58</v>
      </c>
      <c r="D203" t="s">
        <v>59</v>
      </c>
      <c r="E203" s="69">
        <v>50</v>
      </c>
      <c r="F203" s="69">
        <v>35</v>
      </c>
      <c r="G203" s="69">
        <v>14</v>
      </c>
      <c r="H203" t="s">
        <v>2573</v>
      </c>
      <c r="I203" s="69">
        <v>57</v>
      </c>
      <c r="J203">
        <f t="shared" si="3"/>
        <v>43</v>
      </c>
    </row>
    <row r="204" spans="1:10" x14ac:dyDescent="0.25">
      <c r="A204" t="s">
        <v>277</v>
      </c>
      <c r="B204" t="s">
        <v>279</v>
      </c>
      <c r="C204" t="s">
        <v>58</v>
      </c>
      <c r="D204" t="s">
        <v>167</v>
      </c>
      <c r="E204" s="69">
        <v>42</v>
      </c>
      <c r="F204" s="69">
        <v>6</v>
      </c>
      <c r="G204" s="69">
        <v>9</v>
      </c>
      <c r="H204" t="s">
        <v>2573</v>
      </c>
      <c r="I204" s="69">
        <v>57</v>
      </c>
      <c r="J204">
        <f t="shared" si="3"/>
        <v>48</v>
      </c>
    </row>
    <row r="205" spans="1:10" x14ac:dyDescent="0.25">
      <c r="A205" t="s">
        <v>243</v>
      </c>
      <c r="B205" t="s">
        <v>245</v>
      </c>
      <c r="C205" t="s">
        <v>58</v>
      </c>
      <c r="D205" t="s">
        <v>183</v>
      </c>
      <c r="E205" s="69">
        <v>66</v>
      </c>
      <c r="F205" s="69">
        <v>16</v>
      </c>
      <c r="G205" s="69">
        <v>7</v>
      </c>
      <c r="H205" t="s">
        <v>2573</v>
      </c>
      <c r="I205" s="69">
        <v>57</v>
      </c>
      <c r="J205">
        <f t="shared" si="3"/>
        <v>50</v>
      </c>
    </row>
    <row r="206" spans="1:10" x14ac:dyDescent="0.25">
      <c r="A206" t="s">
        <v>2308</v>
      </c>
      <c r="B206" t="s">
        <v>2309</v>
      </c>
      <c r="C206" t="s">
        <v>58</v>
      </c>
      <c r="D206" t="s">
        <v>203</v>
      </c>
      <c r="E206" s="69">
        <v>51</v>
      </c>
      <c r="F206" s="69">
        <v>6</v>
      </c>
      <c r="G206" s="69">
        <v>0</v>
      </c>
      <c r="H206" t="s">
        <v>2573</v>
      </c>
      <c r="I206" s="69">
        <v>57</v>
      </c>
      <c r="J206">
        <f t="shared" si="3"/>
        <v>57</v>
      </c>
    </row>
    <row r="207" spans="1:10" x14ac:dyDescent="0.25">
      <c r="A207" t="s">
        <v>716</v>
      </c>
      <c r="B207" t="s">
        <v>718</v>
      </c>
      <c r="C207" t="s">
        <v>58</v>
      </c>
      <c r="D207" t="s">
        <v>63</v>
      </c>
      <c r="E207" s="69">
        <v>37</v>
      </c>
      <c r="F207" s="69">
        <v>13</v>
      </c>
      <c r="G207" s="69">
        <v>13</v>
      </c>
      <c r="H207" t="s">
        <v>2573</v>
      </c>
      <c r="I207" s="69">
        <v>57</v>
      </c>
      <c r="J207">
        <f t="shared" si="3"/>
        <v>44</v>
      </c>
    </row>
    <row r="208" spans="1:10" x14ac:dyDescent="0.25">
      <c r="A208" t="s">
        <v>1517</v>
      </c>
      <c r="B208" t="s">
        <v>1519</v>
      </c>
      <c r="C208" t="s">
        <v>58</v>
      </c>
      <c r="D208" t="s">
        <v>59</v>
      </c>
      <c r="E208" s="69">
        <v>126</v>
      </c>
      <c r="F208" s="69">
        <v>15</v>
      </c>
      <c r="G208" s="69">
        <v>7</v>
      </c>
      <c r="H208" t="s">
        <v>2574</v>
      </c>
      <c r="I208" s="69">
        <v>56</v>
      </c>
      <c r="J208">
        <f t="shared" si="3"/>
        <v>49</v>
      </c>
    </row>
    <row r="209" spans="1:10" x14ac:dyDescent="0.25">
      <c r="A209" t="s">
        <v>1651</v>
      </c>
      <c r="B209" t="s">
        <v>1653</v>
      </c>
      <c r="C209" t="s">
        <v>58</v>
      </c>
      <c r="D209" t="s">
        <v>59</v>
      </c>
      <c r="E209" s="69">
        <v>45</v>
      </c>
      <c r="F209" s="69">
        <v>2</v>
      </c>
      <c r="G209" s="69">
        <v>9</v>
      </c>
      <c r="H209" t="s">
        <v>2573</v>
      </c>
      <c r="I209" s="69">
        <v>56</v>
      </c>
      <c r="J209">
        <f t="shared" si="3"/>
        <v>47</v>
      </c>
    </row>
    <row r="210" spans="1:10" x14ac:dyDescent="0.25">
      <c r="A210" t="s">
        <v>1349</v>
      </c>
      <c r="B210" t="s">
        <v>1351</v>
      </c>
      <c r="C210" t="s">
        <v>58</v>
      </c>
      <c r="D210" t="s">
        <v>167</v>
      </c>
      <c r="E210" s="69">
        <v>65</v>
      </c>
      <c r="F210" s="69">
        <v>5</v>
      </c>
      <c r="G210" s="69">
        <v>18</v>
      </c>
      <c r="H210" t="s">
        <v>2575</v>
      </c>
      <c r="I210" s="69">
        <v>55</v>
      </c>
      <c r="J210">
        <f t="shared" si="3"/>
        <v>37</v>
      </c>
    </row>
    <row r="211" spans="1:10" x14ac:dyDescent="0.25">
      <c r="A211" t="s">
        <v>1145</v>
      </c>
      <c r="B211" t="s">
        <v>1147</v>
      </c>
      <c r="C211" t="s">
        <v>58</v>
      </c>
      <c r="D211" t="s">
        <v>67</v>
      </c>
      <c r="E211" s="69">
        <v>0</v>
      </c>
      <c r="F211" s="69">
        <v>50</v>
      </c>
      <c r="G211" s="69">
        <v>5</v>
      </c>
      <c r="H211" t="s">
        <v>2574</v>
      </c>
      <c r="I211" s="69">
        <v>55</v>
      </c>
      <c r="J211">
        <f t="shared" si="3"/>
        <v>50</v>
      </c>
    </row>
    <row r="212" spans="1:10" x14ac:dyDescent="0.25">
      <c r="A212" t="s">
        <v>2577</v>
      </c>
      <c r="B212" t="s">
        <v>962</v>
      </c>
      <c r="C212" t="s">
        <v>58</v>
      </c>
      <c r="D212" t="s">
        <v>203</v>
      </c>
      <c r="E212" s="69">
        <v>31</v>
      </c>
      <c r="F212" s="69">
        <v>30</v>
      </c>
      <c r="G212" s="69">
        <v>13</v>
      </c>
      <c r="H212" t="s">
        <v>2573</v>
      </c>
      <c r="I212" s="69">
        <v>54</v>
      </c>
      <c r="J212">
        <f t="shared" si="3"/>
        <v>41</v>
      </c>
    </row>
    <row r="213" spans="1:10" x14ac:dyDescent="0.25">
      <c r="A213" t="s">
        <v>1415</v>
      </c>
      <c r="B213" t="s">
        <v>1417</v>
      </c>
      <c r="C213" t="s">
        <v>58</v>
      </c>
      <c r="D213" t="s">
        <v>59</v>
      </c>
      <c r="E213" s="69">
        <v>37</v>
      </c>
      <c r="F213" s="69">
        <v>7</v>
      </c>
      <c r="G213" s="69">
        <v>9</v>
      </c>
      <c r="H213" t="s">
        <v>2574</v>
      </c>
      <c r="I213" s="69">
        <v>53</v>
      </c>
      <c r="J213">
        <f t="shared" si="3"/>
        <v>44</v>
      </c>
    </row>
    <row r="214" spans="1:10" x14ac:dyDescent="0.25">
      <c r="A214" t="s">
        <v>1306</v>
      </c>
      <c r="B214" t="s">
        <v>1308</v>
      </c>
      <c r="C214" t="s">
        <v>58</v>
      </c>
      <c r="D214" t="s">
        <v>160</v>
      </c>
      <c r="E214" s="69">
        <v>23</v>
      </c>
      <c r="F214" s="69">
        <v>19</v>
      </c>
      <c r="G214" s="69">
        <v>16</v>
      </c>
      <c r="H214" t="s">
        <v>2573</v>
      </c>
      <c r="I214" s="69">
        <v>53</v>
      </c>
      <c r="J214">
        <f t="shared" si="3"/>
        <v>37</v>
      </c>
    </row>
    <row r="215" spans="1:10" x14ac:dyDescent="0.25">
      <c r="A215" t="s">
        <v>1610</v>
      </c>
      <c r="B215" t="s">
        <v>1612</v>
      </c>
      <c r="C215" t="s">
        <v>58</v>
      </c>
      <c r="D215" t="s">
        <v>167</v>
      </c>
      <c r="E215" s="69">
        <v>48</v>
      </c>
      <c r="F215" s="69">
        <v>54</v>
      </c>
      <c r="G215" s="69">
        <v>15</v>
      </c>
      <c r="H215" t="s">
        <v>2574</v>
      </c>
      <c r="I215" s="69">
        <v>51</v>
      </c>
      <c r="J215">
        <f t="shared" si="3"/>
        <v>36</v>
      </c>
    </row>
    <row r="216" spans="1:10" x14ac:dyDescent="0.25">
      <c r="A216" t="s">
        <v>908</v>
      </c>
      <c r="B216" t="s">
        <v>910</v>
      </c>
      <c r="C216" t="s">
        <v>58</v>
      </c>
      <c r="D216" t="s">
        <v>160</v>
      </c>
      <c r="E216" s="69">
        <v>26</v>
      </c>
      <c r="F216" s="69">
        <v>7</v>
      </c>
      <c r="G216" s="69">
        <v>19</v>
      </c>
      <c r="H216" t="s">
        <v>2574</v>
      </c>
      <c r="I216" s="69">
        <v>51</v>
      </c>
      <c r="J216">
        <f t="shared" si="3"/>
        <v>32</v>
      </c>
    </row>
    <row r="217" spans="1:10" x14ac:dyDescent="0.25">
      <c r="A217" t="s">
        <v>1127</v>
      </c>
      <c r="B217" t="s">
        <v>1129</v>
      </c>
      <c r="C217" t="s">
        <v>58</v>
      </c>
      <c r="D217" t="s">
        <v>150</v>
      </c>
      <c r="E217" s="69">
        <v>37</v>
      </c>
      <c r="F217" s="69">
        <v>6</v>
      </c>
      <c r="G217" s="69">
        <v>8</v>
      </c>
      <c r="H217" t="s">
        <v>2574</v>
      </c>
      <c r="I217" s="69">
        <v>51</v>
      </c>
      <c r="J217">
        <f t="shared" si="3"/>
        <v>43</v>
      </c>
    </row>
    <row r="218" spans="1:10" x14ac:dyDescent="0.25">
      <c r="A218" t="s">
        <v>757</v>
      </c>
      <c r="B218" t="s">
        <v>759</v>
      </c>
      <c r="C218" t="s">
        <v>58</v>
      </c>
      <c r="D218" t="s">
        <v>167</v>
      </c>
      <c r="E218" s="69">
        <v>71</v>
      </c>
      <c r="F218" s="69">
        <v>16</v>
      </c>
      <c r="G218" s="69">
        <v>23</v>
      </c>
      <c r="H218" t="s">
        <v>2575</v>
      </c>
      <c r="I218" s="69">
        <v>50</v>
      </c>
      <c r="J218">
        <f t="shared" si="3"/>
        <v>27</v>
      </c>
    </row>
    <row r="219" spans="1:10" x14ac:dyDescent="0.25">
      <c r="A219" t="s">
        <v>2578</v>
      </c>
      <c r="B219" t="s">
        <v>971</v>
      </c>
      <c r="C219" t="s">
        <v>58</v>
      </c>
      <c r="D219" t="s">
        <v>203</v>
      </c>
      <c r="E219" s="69">
        <v>31</v>
      </c>
      <c r="F219" s="69">
        <v>26</v>
      </c>
      <c r="G219" s="69">
        <v>13</v>
      </c>
      <c r="H219" t="s">
        <v>2573</v>
      </c>
      <c r="I219" s="69">
        <v>50</v>
      </c>
      <c r="J219">
        <f t="shared" si="3"/>
        <v>37</v>
      </c>
    </row>
    <row r="220" spans="1:10" x14ac:dyDescent="0.25">
      <c r="A220" t="s">
        <v>2197</v>
      </c>
      <c r="B220" t="s">
        <v>2198</v>
      </c>
      <c r="C220" t="s">
        <v>58</v>
      </c>
      <c r="D220" t="s">
        <v>160</v>
      </c>
      <c r="E220" s="69">
        <v>18</v>
      </c>
      <c r="F220" s="69">
        <v>3</v>
      </c>
      <c r="G220" s="69">
        <v>29</v>
      </c>
      <c r="H220" t="s">
        <v>2575</v>
      </c>
      <c r="I220" s="69">
        <v>50</v>
      </c>
      <c r="J220">
        <f t="shared" si="3"/>
        <v>21</v>
      </c>
    </row>
    <row r="221" spans="1:10" x14ac:dyDescent="0.25">
      <c r="A221" t="s">
        <v>875</v>
      </c>
      <c r="B221" t="s">
        <v>877</v>
      </c>
      <c r="C221" t="s">
        <v>58</v>
      </c>
      <c r="D221" t="s">
        <v>150</v>
      </c>
      <c r="E221" s="69">
        <v>49</v>
      </c>
      <c r="F221" s="69">
        <v>0</v>
      </c>
      <c r="G221" s="69">
        <v>0</v>
      </c>
      <c r="H221" t="s">
        <v>2574</v>
      </c>
      <c r="I221" s="69">
        <v>49</v>
      </c>
      <c r="J221">
        <f t="shared" si="3"/>
        <v>49</v>
      </c>
    </row>
    <row r="222" spans="1:10" x14ac:dyDescent="0.25">
      <c r="A222" t="s">
        <v>1570</v>
      </c>
      <c r="B222" t="s">
        <v>1572</v>
      </c>
      <c r="C222" t="s">
        <v>58</v>
      </c>
      <c r="D222" t="s">
        <v>59</v>
      </c>
      <c r="E222" s="69">
        <v>55</v>
      </c>
      <c r="F222" s="69">
        <v>1</v>
      </c>
      <c r="G222" s="69">
        <v>0</v>
      </c>
      <c r="H222" t="s">
        <v>2575</v>
      </c>
      <c r="I222" s="69">
        <v>48</v>
      </c>
      <c r="J222">
        <f t="shared" si="3"/>
        <v>48</v>
      </c>
    </row>
    <row r="223" spans="1:10" x14ac:dyDescent="0.25">
      <c r="A223" t="s">
        <v>1619</v>
      </c>
      <c r="B223" t="s">
        <v>1621</v>
      </c>
      <c r="C223" t="s">
        <v>58</v>
      </c>
      <c r="D223" t="s">
        <v>59</v>
      </c>
      <c r="E223" s="69">
        <v>45</v>
      </c>
      <c r="F223" s="69">
        <v>0</v>
      </c>
      <c r="G223" s="69">
        <v>3</v>
      </c>
      <c r="H223" t="s">
        <v>2573</v>
      </c>
      <c r="I223" s="69">
        <v>48</v>
      </c>
      <c r="J223">
        <f t="shared" si="3"/>
        <v>45</v>
      </c>
    </row>
    <row r="224" spans="1:10" x14ac:dyDescent="0.25">
      <c r="A224" t="s">
        <v>1567</v>
      </c>
      <c r="B224" t="s">
        <v>1569</v>
      </c>
      <c r="C224" t="s">
        <v>58</v>
      </c>
      <c r="D224" t="s">
        <v>59</v>
      </c>
      <c r="E224" s="69">
        <v>55</v>
      </c>
      <c r="F224" s="69">
        <v>1</v>
      </c>
      <c r="G224" s="69">
        <v>0</v>
      </c>
      <c r="H224" t="s">
        <v>2573</v>
      </c>
      <c r="I224" s="69">
        <v>48</v>
      </c>
      <c r="J224">
        <f t="shared" si="3"/>
        <v>48</v>
      </c>
    </row>
    <row r="225" spans="1:10" x14ac:dyDescent="0.25">
      <c r="A225" t="s">
        <v>878</v>
      </c>
      <c r="B225" t="s">
        <v>880</v>
      </c>
      <c r="C225" t="s">
        <v>58</v>
      </c>
      <c r="D225" t="s">
        <v>150</v>
      </c>
      <c r="E225" s="69">
        <v>48</v>
      </c>
      <c r="F225" s="69">
        <v>0</v>
      </c>
      <c r="G225" s="69">
        <v>0</v>
      </c>
      <c r="H225" t="s">
        <v>2574</v>
      </c>
      <c r="I225" s="69">
        <v>48</v>
      </c>
      <c r="J225">
        <f t="shared" si="3"/>
        <v>48</v>
      </c>
    </row>
    <row r="226" spans="1:10" x14ac:dyDescent="0.25">
      <c r="A226" t="s">
        <v>466</v>
      </c>
      <c r="B226" t="s">
        <v>468</v>
      </c>
      <c r="C226" t="s">
        <v>58</v>
      </c>
      <c r="D226" t="s">
        <v>150</v>
      </c>
      <c r="E226" s="69">
        <v>40</v>
      </c>
      <c r="F226" s="69">
        <v>2</v>
      </c>
      <c r="G226" s="69">
        <v>8</v>
      </c>
      <c r="H226" t="s">
        <v>2573</v>
      </c>
      <c r="I226" s="69">
        <v>48</v>
      </c>
      <c r="J226">
        <f t="shared" si="3"/>
        <v>40</v>
      </c>
    </row>
    <row r="227" spans="1:10" x14ac:dyDescent="0.25">
      <c r="A227" t="s">
        <v>1773</v>
      </c>
      <c r="B227" t="s">
        <v>1775</v>
      </c>
      <c r="C227" t="s">
        <v>58</v>
      </c>
      <c r="D227" t="s">
        <v>203</v>
      </c>
      <c r="E227" s="69">
        <v>49.279000000000003</v>
      </c>
      <c r="F227" s="69">
        <v>8</v>
      </c>
      <c r="G227" s="69">
        <v>0</v>
      </c>
      <c r="H227" t="s">
        <v>2573</v>
      </c>
      <c r="I227" s="69">
        <v>47.279000000000003</v>
      </c>
      <c r="J227">
        <f t="shared" si="3"/>
        <v>47.279000000000003</v>
      </c>
    </row>
    <row r="228" spans="1:10" x14ac:dyDescent="0.25">
      <c r="A228" t="s">
        <v>1788</v>
      </c>
      <c r="B228" t="s">
        <v>1790</v>
      </c>
      <c r="C228" t="s">
        <v>58</v>
      </c>
      <c r="D228" t="s">
        <v>160</v>
      </c>
      <c r="E228" s="69">
        <v>113.7822</v>
      </c>
      <c r="F228" s="69">
        <v>13.8345</v>
      </c>
      <c r="G228" s="69">
        <v>14.5001</v>
      </c>
      <c r="H228" t="s">
        <v>2574</v>
      </c>
      <c r="I228" s="69">
        <v>47.116800000000012</v>
      </c>
      <c r="J228">
        <f t="shared" si="3"/>
        <v>32.616700000000009</v>
      </c>
    </row>
    <row r="229" spans="1:10" x14ac:dyDescent="0.25">
      <c r="A229" t="s">
        <v>1038</v>
      </c>
      <c r="B229" t="s">
        <v>1040</v>
      </c>
      <c r="C229" t="s">
        <v>58</v>
      </c>
      <c r="D229" t="s">
        <v>160</v>
      </c>
      <c r="E229" s="69">
        <v>55</v>
      </c>
      <c r="F229" s="69">
        <v>16</v>
      </c>
      <c r="G229" s="69">
        <v>0</v>
      </c>
      <c r="H229" t="s">
        <v>2574</v>
      </c>
      <c r="I229" s="69">
        <v>47</v>
      </c>
      <c r="J229">
        <f t="shared" si="3"/>
        <v>47</v>
      </c>
    </row>
    <row r="230" spans="1:10" x14ac:dyDescent="0.25">
      <c r="A230" t="s">
        <v>490</v>
      </c>
      <c r="B230" t="s">
        <v>492</v>
      </c>
      <c r="C230" t="s">
        <v>58</v>
      </c>
      <c r="D230" t="s">
        <v>150</v>
      </c>
      <c r="E230" s="69">
        <v>80</v>
      </c>
      <c r="F230" s="69">
        <v>0</v>
      </c>
      <c r="G230" s="69">
        <v>15</v>
      </c>
      <c r="H230" t="s">
        <v>2574</v>
      </c>
      <c r="I230" s="69">
        <v>47</v>
      </c>
      <c r="J230">
        <f t="shared" si="3"/>
        <v>32</v>
      </c>
    </row>
    <row r="231" spans="1:10" x14ac:dyDescent="0.25">
      <c r="A231" t="s">
        <v>927</v>
      </c>
      <c r="B231" t="s">
        <v>929</v>
      </c>
      <c r="C231" t="s">
        <v>58</v>
      </c>
      <c r="D231" t="s">
        <v>150</v>
      </c>
      <c r="E231" s="69">
        <v>52</v>
      </c>
      <c r="F231" s="69">
        <v>0</v>
      </c>
      <c r="G231" s="69">
        <v>12</v>
      </c>
      <c r="H231" t="s">
        <v>2573</v>
      </c>
      <c r="I231" s="69">
        <v>47</v>
      </c>
      <c r="J231">
        <f t="shared" si="3"/>
        <v>35</v>
      </c>
    </row>
    <row r="232" spans="1:10" x14ac:dyDescent="0.25">
      <c r="A232" t="s">
        <v>1578</v>
      </c>
      <c r="B232" t="s">
        <v>1580</v>
      </c>
      <c r="C232" t="s">
        <v>58</v>
      </c>
      <c r="D232" t="s">
        <v>59</v>
      </c>
      <c r="E232" s="69">
        <v>61</v>
      </c>
      <c r="F232" s="69">
        <v>1</v>
      </c>
      <c r="G232" s="69">
        <v>4</v>
      </c>
      <c r="H232" t="s">
        <v>2574</v>
      </c>
      <c r="I232" s="69">
        <v>46</v>
      </c>
      <c r="J232">
        <f t="shared" si="3"/>
        <v>42</v>
      </c>
    </row>
    <row r="233" spans="1:10" x14ac:dyDescent="0.25">
      <c r="A233" t="s">
        <v>1639</v>
      </c>
      <c r="B233" t="s">
        <v>1641</v>
      </c>
      <c r="C233" t="s">
        <v>58</v>
      </c>
      <c r="D233" t="s">
        <v>59</v>
      </c>
      <c r="E233" s="69">
        <v>45</v>
      </c>
      <c r="F233" s="69">
        <v>2</v>
      </c>
      <c r="G233" s="69">
        <v>9</v>
      </c>
      <c r="H233" t="s">
        <v>2574</v>
      </c>
      <c r="I233" s="69">
        <v>46</v>
      </c>
      <c r="J233">
        <f t="shared" si="3"/>
        <v>37</v>
      </c>
    </row>
    <row r="234" spans="1:10" x14ac:dyDescent="0.25">
      <c r="A234" t="s">
        <v>46</v>
      </c>
      <c r="B234" t="s">
        <v>47</v>
      </c>
      <c r="C234" t="s">
        <v>58</v>
      </c>
      <c r="D234" t="s">
        <v>1</v>
      </c>
      <c r="E234" s="69">
        <v>45.2</v>
      </c>
      <c r="F234" s="69">
        <v>0</v>
      </c>
      <c r="G234" s="69">
        <v>0</v>
      </c>
      <c r="H234" t="s">
        <v>2574</v>
      </c>
      <c r="I234" s="69">
        <v>45.2</v>
      </c>
      <c r="J234">
        <f t="shared" si="3"/>
        <v>45.2</v>
      </c>
    </row>
    <row r="235" spans="1:10" x14ac:dyDescent="0.25">
      <c r="A235" t="s">
        <v>1731</v>
      </c>
      <c r="B235" t="s">
        <v>1733</v>
      </c>
      <c r="C235" t="s">
        <v>58</v>
      </c>
      <c r="D235" t="s">
        <v>59</v>
      </c>
      <c r="E235" s="69">
        <v>45</v>
      </c>
      <c r="F235" s="69">
        <v>0</v>
      </c>
      <c r="G235" s="69">
        <v>0</v>
      </c>
      <c r="H235" t="s">
        <v>2574</v>
      </c>
      <c r="I235" s="69">
        <v>45</v>
      </c>
      <c r="J235">
        <f t="shared" si="3"/>
        <v>45</v>
      </c>
    </row>
    <row r="236" spans="1:10" x14ac:dyDescent="0.25">
      <c r="A236" t="s">
        <v>1294</v>
      </c>
      <c r="B236" t="s">
        <v>1296</v>
      </c>
      <c r="C236" t="s">
        <v>58</v>
      </c>
      <c r="D236" t="s">
        <v>167</v>
      </c>
      <c r="E236" s="69">
        <v>40</v>
      </c>
      <c r="F236" s="69">
        <v>0</v>
      </c>
      <c r="G236" s="69">
        <v>8</v>
      </c>
      <c r="H236" t="s">
        <v>2573</v>
      </c>
      <c r="I236" s="69">
        <v>45</v>
      </c>
      <c r="J236">
        <f t="shared" si="3"/>
        <v>37</v>
      </c>
    </row>
    <row r="237" spans="1:10" x14ac:dyDescent="0.25">
      <c r="A237" t="s">
        <v>1440</v>
      </c>
      <c r="B237" t="s">
        <v>1442</v>
      </c>
      <c r="C237" t="s">
        <v>58</v>
      </c>
      <c r="D237" t="s">
        <v>167</v>
      </c>
      <c r="E237" s="69">
        <v>41</v>
      </c>
      <c r="F237" s="69">
        <v>2</v>
      </c>
      <c r="G237" s="69">
        <v>13</v>
      </c>
      <c r="H237" t="s">
        <v>2573</v>
      </c>
      <c r="I237" s="69">
        <v>45</v>
      </c>
      <c r="J237">
        <f t="shared" si="3"/>
        <v>32</v>
      </c>
    </row>
    <row r="238" spans="1:10" x14ac:dyDescent="0.25">
      <c r="A238" t="s">
        <v>1717</v>
      </c>
      <c r="B238" t="s">
        <v>1719</v>
      </c>
      <c r="C238" t="s">
        <v>58</v>
      </c>
      <c r="D238" t="s">
        <v>167</v>
      </c>
      <c r="E238" s="69">
        <v>64</v>
      </c>
      <c r="F238" s="69">
        <v>2</v>
      </c>
      <c r="G238" s="69">
        <v>3</v>
      </c>
      <c r="H238" t="s">
        <v>2574</v>
      </c>
      <c r="I238" s="69">
        <v>44</v>
      </c>
      <c r="J238">
        <f t="shared" si="3"/>
        <v>41</v>
      </c>
    </row>
    <row r="239" spans="1:10" x14ac:dyDescent="0.25">
      <c r="A239" t="s">
        <v>180</v>
      </c>
      <c r="B239" t="s">
        <v>182</v>
      </c>
      <c r="C239" t="s">
        <v>58</v>
      </c>
      <c r="D239" t="s">
        <v>183</v>
      </c>
      <c r="E239" s="69">
        <v>48</v>
      </c>
      <c r="F239" s="69">
        <v>16</v>
      </c>
      <c r="G239" s="69">
        <v>0</v>
      </c>
      <c r="H239" t="s">
        <v>2574</v>
      </c>
      <c r="I239" s="69">
        <v>44</v>
      </c>
      <c r="J239">
        <f t="shared" si="3"/>
        <v>44</v>
      </c>
    </row>
    <row r="240" spans="1:10" x14ac:dyDescent="0.25">
      <c r="A240" t="s">
        <v>1894</v>
      </c>
      <c r="B240" t="s">
        <v>1896</v>
      </c>
      <c r="C240" t="s">
        <v>58</v>
      </c>
      <c r="D240" t="s">
        <v>160</v>
      </c>
      <c r="E240" s="69">
        <v>30</v>
      </c>
      <c r="F240" s="69">
        <v>6</v>
      </c>
      <c r="G240" s="69">
        <v>8</v>
      </c>
      <c r="H240" t="s">
        <v>2574</v>
      </c>
      <c r="I240" s="69">
        <v>44</v>
      </c>
      <c r="J240">
        <f t="shared" si="3"/>
        <v>36</v>
      </c>
    </row>
    <row r="241" spans="1:10" x14ac:dyDescent="0.25">
      <c r="A241" t="s">
        <v>722</v>
      </c>
      <c r="B241" t="s">
        <v>724</v>
      </c>
      <c r="C241" t="s">
        <v>58</v>
      </c>
      <c r="D241" t="s">
        <v>63</v>
      </c>
      <c r="E241" s="69">
        <v>37</v>
      </c>
      <c r="F241" s="69">
        <v>8</v>
      </c>
      <c r="G241" s="69">
        <v>9</v>
      </c>
      <c r="H241" t="s">
        <v>2573</v>
      </c>
      <c r="I241" s="69">
        <v>44</v>
      </c>
      <c r="J241">
        <f t="shared" si="3"/>
        <v>35</v>
      </c>
    </row>
    <row r="242" spans="1:10" x14ac:dyDescent="0.25">
      <c r="A242" t="s">
        <v>48</v>
      </c>
      <c r="B242" t="s">
        <v>49</v>
      </c>
      <c r="C242" t="s">
        <v>58</v>
      </c>
      <c r="D242" t="s">
        <v>1</v>
      </c>
      <c r="E242" s="69">
        <v>43.2</v>
      </c>
      <c r="F242" s="69">
        <v>0</v>
      </c>
      <c r="G242" s="69">
        <v>0</v>
      </c>
      <c r="H242" t="s">
        <v>2574</v>
      </c>
      <c r="I242" s="69">
        <v>43.2</v>
      </c>
      <c r="J242">
        <f t="shared" si="3"/>
        <v>43.2</v>
      </c>
    </row>
    <row r="243" spans="1:10" x14ac:dyDescent="0.25">
      <c r="A243" t="s">
        <v>295</v>
      </c>
      <c r="B243" t="s">
        <v>297</v>
      </c>
      <c r="C243" t="s">
        <v>58</v>
      </c>
      <c r="D243" t="s">
        <v>167</v>
      </c>
      <c r="E243" s="69">
        <v>52</v>
      </c>
      <c r="F243" s="69">
        <v>34</v>
      </c>
      <c r="G243" s="69">
        <v>8</v>
      </c>
      <c r="H243" t="s">
        <v>2573</v>
      </c>
      <c r="I243" s="69">
        <v>43</v>
      </c>
      <c r="J243">
        <f t="shared" si="3"/>
        <v>35</v>
      </c>
    </row>
    <row r="244" spans="1:10" x14ac:dyDescent="0.25">
      <c r="A244" t="s">
        <v>60</v>
      </c>
      <c r="B244" t="s">
        <v>62</v>
      </c>
      <c r="C244" t="s">
        <v>58</v>
      </c>
      <c r="D244" t="s">
        <v>63</v>
      </c>
      <c r="E244" s="69">
        <v>37</v>
      </c>
      <c r="F244" s="69">
        <v>8</v>
      </c>
      <c r="G244" s="69">
        <v>8</v>
      </c>
      <c r="H244" t="s">
        <v>2573</v>
      </c>
      <c r="I244" s="69">
        <v>43</v>
      </c>
      <c r="J244">
        <f t="shared" si="3"/>
        <v>35</v>
      </c>
    </row>
    <row r="245" spans="1:10" x14ac:dyDescent="0.25">
      <c r="A245" t="s">
        <v>2239</v>
      </c>
      <c r="B245" t="s">
        <v>2240</v>
      </c>
      <c r="C245" t="s">
        <v>58</v>
      </c>
      <c r="D245" t="s">
        <v>63</v>
      </c>
      <c r="E245" s="69">
        <v>41</v>
      </c>
      <c r="F245" s="69">
        <v>3</v>
      </c>
      <c r="G245" s="69">
        <v>0</v>
      </c>
      <c r="H245" t="s">
        <v>2574</v>
      </c>
      <c r="I245" s="69">
        <v>43</v>
      </c>
      <c r="J245">
        <f t="shared" si="3"/>
        <v>43</v>
      </c>
    </row>
    <row r="246" spans="1:10" x14ac:dyDescent="0.25">
      <c r="A246" t="s">
        <v>815</v>
      </c>
      <c r="B246" t="s">
        <v>817</v>
      </c>
      <c r="C246" t="s">
        <v>58</v>
      </c>
      <c r="D246" t="s">
        <v>187</v>
      </c>
      <c r="E246" s="69">
        <v>39</v>
      </c>
      <c r="F246" s="69">
        <v>4</v>
      </c>
      <c r="G246" s="69">
        <v>0</v>
      </c>
      <c r="H246" t="s">
        <v>2574</v>
      </c>
      <c r="I246" s="69">
        <v>43</v>
      </c>
      <c r="J246">
        <f t="shared" si="3"/>
        <v>43</v>
      </c>
    </row>
    <row r="247" spans="1:10" x14ac:dyDescent="0.25">
      <c r="A247" t="s">
        <v>1233</v>
      </c>
      <c r="B247" t="s">
        <v>1235</v>
      </c>
      <c r="C247" t="s">
        <v>58</v>
      </c>
      <c r="D247" t="s">
        <v>167</v>
      </c>
      <c r="E247" s="69">
        <v>10</v>
      </c>
      <c r="F247" s="69">
        <v>25</v>
      </c>
      <c r="G247" s="69">
        <v>8</v>
      </c>
      <c r="H247" t="s">
        <v>2573</v>
      </c>
      <c r="I247" s="69">
        <v>42</v>
      </c>
      <c r="J247">
        <f t="shared" si="3"/>
        <v>34</v>
      </c>
    </row>
    <row r="248" spans="1:10" x14ac:dyDescent="0.25">
      <c r="A248" t="s">
        <v>1236</v>
      </c>
      <c r="B248" t="s">
        <v>1238</v>
      </c>
      <c r="C248" t="s">
        <v>58</v>
      </c>
      <c r="D248" t="s">
        <v>167</v>
      </c>
      <c r="E248" s="69">
        <v>30</v>
      </c>
      <c r="F248" s="69">
        <v>12</v>
      </c>
      <c r="G248" s="69">
        <v>0</v>
      </c>
      <c r="H248" t="s">
        <v>2573</v>
      </c>
      <c r="I248" s="69">
        <v>42</v>
      </c>
      <c r="J248">
        <f t="shared" si="3"/>
        <v>42</v>
      </c>
    </row>
    <row r="249" spans="1:10" x14ac:dyDescent="0.25">
      <c r="A249" t="s">
        <v>157</v>
      </c>
      <c r="B249" t="s">
        <v>159</v>
      </c>
      <c r="C249" t="s">
        <v>58</v>
      </c>
      <c r="D249" t="s">
        <v>160</v>
      </c>
      <c r="E249" s="69">
        <v>12</v>
      </c>
      <c r="F249" s="69">
        <v>17</v>
      </c>
      <c r="G249" s="69">
        <v>20</v>
      </c>
      <c r="H249" t="s">
        <v>2573</v>
      </c>
      <c r="I249" s="69">
        <v>42</v>
      </c>
      <c r="J249">
        <f t="shared" si="3"/>
        <v>22</v>
      </c>
    </row>
    <row r="250" spans="1:10" x14ac:dyDescent="0.25">
      <c r="A250" t="s">
        <v>731</v>
      </c>
      <c r="B250" t="s">
        <v>733</v>
      </c>
      <c r="C250" t="s">
        <v>58</v>
      </c>
      <c r="D250" t="s">
        <v>63</v>
      </c>
      <c r="E250" s="69">
        <v>37</v>
      </c>
      <c r="F250" s="69">
        <v>8</v>
      </c>
      <c r="G250" s="69">
        <v>8</v>
      </c>
      <c r="H250" t="s">
        <v>2573</v>
      </c>
      <c r="I250" s="69">
        <v>42</v>
      </c>
      <c r="J250">
        <f t="shared" si="3"/>
        <v>34</v>
      </c>
    </row>
    <row r="251" spans="1:10" x14ac:dyDescent="0.25">
      <c r="A251" t="s">
        <v>725</v>
      </c>
      <c r="B251" t="s">
        <v>727</v>
      </c>
      <c r="C251" t="s">
        <v>58</v>
      </c>
      <c r="D251" t="s">
        <v>63</v>
      </c>
      <c r="E251" s="69">
        <v>37</v>
      </c>
      <c r="F251" s="69">
        <v>8</v>
      </c>
      <c r="G251" s="69">
        <v>10</v>
      </c>
      <c r="H251" t="s">
        <v>2573</v>
      </c>
      <c r="I251" s="69">
        <v>42</v>
      </c>
      <c r="J251">
        <f t="shared" si="3"/>
        <v>32</v>
      </c>
    </row>
    <row r="252" spans="1:10" x14ac:dyDescent="0.25">
      <c r="A252" t="s">
        <v>824</v>
      </c>
      <c r="B252" t="s">
        <v>826</v>
      </c>
      <c r="C252" t="s">
        <v>58</v>
      </c>
      <c r="D252" t="s">
        <v>187</v>
      </c>
      <c r="E252" s="69">
        <v>78</v>
      </c>
      <c r="F252" s="69">
        <v>4</v>
      </c>
      <c r="G252" s="69">
        <v>0</v>
      </c>
      <c r="H252" t="s">
        <v>2574</v>
      </c>
      <c r="I252" s="69">
        <v>42</v>
      </c>
      <c r="J252">
        <f t="shared" si="3"/>
        <v>42</v>
      </c>
    </row>
    <row r="253" spans="1:10" x14ac:dyDescent="0.25">
      <c r="A253" t="s">
        <v>1867</v>
      </c>
      <c r="B253" t="s">
        <v>1869</v>
      </c>
      <c r="C253" t="s">
        <v>58</v>
      </c>
      <c r="D253" t="s">
        <v>167</v>
      </c>
      <c r="E253" s="69">
        <v>49</v>
      </c>
      <c r="F253" s="69">
        <v>0</v>
      </c>
      <c r="G253" s="69">
        <v>4</v>
      </c>
      <c r="H253" t="s">
        <v>2574</v>
      </c>
      <c r="I253" s="69">
        <v>41</v>
      </c>
      <c r="J253">
        <f t="shared" si="3"/>
        <v>37</v>
      </c>
    </row>
    <row r="254" spans="1:10" x14ac:dyDescent="0.25">
      <c r="A254" t="s">
        <v>860</v>
      </c>
      <c r="B254" t="s">
        <v>862</v>
      </c>
      <c r="C254" t="s">
        <v>58</v>
      </c>
      <c r="D254" t="s">
        <v>150</v>
      </c>
      <c r="E254" s="69">
        <v>61</v>
      </c>
      <c r="F254" s="69">
        <v>0</v>
      </c>
      <c r="G254" s="69">
        <v>10</v>
      </c>
      <c r="H254" t="s">
        <v>2574</v>
      </c>
      <c r="I254" s="69">
        <v>41</v>
      </c>
      <c r="J254">
        <f t="shared" si="3"/>
        <v>31</v>
      </c>
    </row>
    <row r="255" spans="1:10" x14ac:dyDescent="0.25">
      <c r="A255" t="s">
        <v>593</v>
      </c>
      <c r="B255" t="s">
        <v>595</v>
      </c>
      <c r="C255" t="s">
        <v>58</v>
      </c>
      <c r="D255" t="s">
        <v>150</v>
      </c>
      <c r="E255" s="69">
        <v>40</v>
      </c>
      <c r="F255" s="69">
        <v>0</v>
      </c>
      <c r="G255" s="69">
        <v>8</v>
      </c>
      <c r="H255" t="s">
        <v>2573</v>
      </c>
      <c r="I255" s="69">
        <v>41</v>
      </c>
      <c r="J255">
        <f t="shared" si="3"/>
        <v>33</v>
      </c>
    </row>
    <row r="256" spans="1:10" x14ac:dyDescent="0.25">
      <c r="A256" t="s">
        <v>1682</v>
      </c>
      <c r="B256" t="s">
        <v>1684</v>
      </c>
      <c r="C256" t="s">
        <v>58</v>
      </c>
      <c r="D256" t="s">
        <v>203</v>
      </c>
      <c r="E256" s="69">
        <v>34.076000000000001</v>
      </c>
      <c r="F256" s="69">
        <v>6</v>
      </c>
      <c r="G256" s="69">
        <v>0</v>
      </c>
      <c r="H256" t="s">
        <v>2573</v>
      </c>
      <c r="I256" s="69">
        <v>40.076000000000001</v>
      </c>
      <c r="J256">
        <f t="shared" si="3"/>
        <v>40.076000000000001</v>
      </c>
    </row>
    <row r="257" spans="1:10" x14ac:dyDescent="0.25">
      <c r="A257" t="s">
        <v>423</v>
      </c>
      <c r="B257" t="s">
        <v>425</v>
      </c>
      <c r="C257" t="s">
        <v>58</v>
      </c>
      <c r="D257" t="s">
        <v>167</v>
      </c>
      <c r="E257" s="69">
        <v>40</v>
      </c>
      <c r="F257" s="69">
        <v>0</v>
      </c>
      <c r="G257" s="69">
        <v>0</v>
      </c>
      <c r="H257" t="s">
        <v>2575</v>
      </c>
      <c r="I257" s="69">
        <v>40</v>
      </c>
      <c r="J257">
        <f t="shared" si="3"/>
        <v>40</v>
      </c>
    </row>
    <row r="258" spans="1:10" x14ac:dyDescent="0.25">
      <c r="A258" t="s">
        <v>2310</v>
      </c>
      <c r="B258" t="s">
        <v>2311</v>
      </c>
      <c r="C258" t="s">
        <v>58</v>
      </c>
      <c r="D258" t="s">
        <v>203</v>
      </c>
      <c r="E258" s="69">
        <v>84</v>
      </c>
      <c r="F258" s="69">
        <v>6</v>
      </c>
      <c r="G258" s="69">
        <v>0</v>
      </c>
      <c r="H258" t="s">
        <v>2573</v>
      </c>
      <c r="I258" s="69">
        <v>40</v>
      </c>
      <c r="J258">
        <f t="shared" si="3"/>
        <v>40</v>
      </c>
    </row>
    <row r="259" spans="1:10" x14ac:dyDescent="0.25">
      <c r="A259" t="s">
        <v>397</v>
      </c>
      <c r="B259" t="s">
        <v>399</v>
      </c>
      <c r="C259" t="s">
        <v>58</v>
      </c>
      <c r="D259" t="s">
        <v>150</v>
      </c>
      <c r="E259" s="69">
        <v>40</v>
      </c>
      <c r="F259" s="69">
        <v>0</v>
      </c>
      <c r="G259" s="69">
        <v>0</v>
      </c>
      <c r="H259" t="s">
        <v>2574</v>
      </c>
      <c r="I259" s="69">
        <v>40</v>
      </c>
      <c r="J259">
        <f t="shared" ref="J259:J322" si="4">I259-G259</f>
        <v>40</v>
      </c>
    </row>
    <row r="260" spans="1:10" x14ac:dyDescent="0.25">
      <c r="A260" t="s">
        <v>500</v>
      </c>
      <c r="B260" t="s">
        <v>502</v>
      </c>
      <c r="C260" t="s">
        <v>58</v>
      </c>
      <c r="D260" t="s">
        <v>150</v>
      </c>
      <c r="E260" s="69">
        <v>49</v>
      </c>
      <c r="F260" s="69">
        <v>0</v>
      </c>
      <c r="G260" s="69">
        <v>15</v>
      </c>
      <c r="H260" t="s">
        <v>2574</v>
      </c>
      <c r="I260" s="69">
        <v>40</v>
      </c>
      <c r="J260">
        <f t="shared" si="4"/>
        <v>25</v>
      </c>
    </row>
    <row r="261" spans="1:10" x14ac:dyDescent="0.25">
      <c r="A261" t="s">
        <v>881</v>
      </c>
      <c r="B261" t="s">
        <v>883</v>
      </c>
      <c r="C261" t="s">
        <v>58</v>
      </c>
      <c r="D261" t="s">
        <v>150</v>
      </c>
      <c r="E261" s="69">
        <v>40</v>
      </c>
      <c r="F261" s="69">
        <v>0</v>
      </c>
      <c r="G261" s="69">
        <v>0</v>
      </c>
      <c r="H261" t="s">
        <v>2574</v>
      </c>
      <c r="I261" s="69">
        <v>40</v>
      </c>
      <c r="J261">
        <f t="shared" si="4"/>
        <v>40</v>
      </c>
    </row>
    <row r="262" spans="1:10" x14ac:dyDescent="0.25">
      <c r="A262" t="s">
        <v>763</v>
      </c>
      <c r="B262" t="s">
        <v>765</v>
      </c>
      <c r="C262" t="s">
        <v>58</v>
      </c>
      <c r="D262" t="s">
        <v>203</v>
      </c>
      <c r="E262" s="69">
        <v>72</v>
      </c>
      <c r="F262" s="69">
        <v>0</v>
      </c>
      <c r="G262" s="69">
        <v>0</v>
      </c>
      <c r="H262" t="s">
        <v>2573</v>
      </c>
      <c r="I262" s="69">
        <v>39</v>
      </c>
      <c r="J262">
        <f t="shared" si="4"/>
        <v>39</v>
      </c>
    </row>
    <row r="263" spans="1:10" x14ac:dyDescent="0.25">
      <c r="A263" t="s">
        <v>770</v>
      </c>
      <c r="B263" t="s">
        <v>772</v>
      </c>
      <c r="C263" t="s">
        <v>58</v>
      </c>
      <c r="D263" t="s">
        <v>203</v>
      </c>
      <c r="E263" s="69">
        <v>71</v>
      </c>
      <c r="F263" s="69">
        <v>12</v>
      </c>
      <c r="G263" s="69">
        <v>6</v>
      </c>
      <c r="H263" t="s">
        <v>2573</v>
      </c>
      <c r="I263" s="69">
        <v>39</v>
      </c>
      <c r="J263">
        <f t="shared" si="4"/>
        <v>33</v>
      </c>
    </row>
    <row r="264" spans="1:10" x14ac:dyDescent="0.25">
      <c r="A264" t="s">
        <v>737</v>
      </c>
      <c r="B264" t="s">
        <v>739</v>
      </c>
      <c r="C264" t="s">
        <v>58</v>
      </c>
      <c r="D264" t="s">
        <v>63</v>
      </c>
      <c r="E264" s="69">
        <v>34</v>
      </c>
      <c r="F264" s="69">
        <v>8</v>
      </c>
      <c r="G264" s="69">
        <v>8</v>
      </c>
      <c r="H264" t="s">
        <v>2573</v>
      </c>
      <c r="I264" s="69">
        <v>39</v>
      </c>
      <c r="J264">
        <f t="shared" si="4"/>
        <v>31</v>
      </c>
    </row>
    <row r="265" spans="1:10" x14ac:dyDescent="0.25">
      <c r="A265" t="s">
        <v>298</v>
      </c>
      <c r="B265" t="s">
        <v>300</v>
      </c>
      <c r="C265" t="s">
        <v>58</v>
      </c>
      <c r="D265" t="s">
        <v>167</v>
      </c>
      <c r="E265" s="69">
        <v>34</v>
      </c>
      <c r="F265" s="69">
        <v>0</v>
      </c>
      <c r="G265" s="69">
        <v>5</v>
      </c>
      <c r="H265" t="s">
        <v>2573</v>
      </c>
      <c r="I265" s="69">
        <v>38</v>
      </c>
      <c r="J265">
        <f t="shared" si="4"/>
        <v>33</v>
      </c>
    </row>
    <row r="266" spans="1:10" x14ac:dyDescent="0.25">
      <c r="A266" t="s">
        <v>671</v>
      </c>
      <c r="B266" t="s">
        <v>673</v>
      </c>
      <c r="C266" t="s">
        <v>58</v>
      </c>
      <c r="D266" t="s">
        <v>187</v>
      </c>
      <c r="E266" s="69">
        <v>53</v>
      </c>
      <c r="F266" s="69">
        <v>18</v>
      </c>
      <c r="G266" s="69">
        <v>4.55</v>
      </c>
      <c r="H266" t="s">
        <v>2574</v>
      </c>
      <c r="I266" s="69">
        <v>37.549999999999997</v>
      </c>
      <c r="J266">
        <f t="shared" si="4"/>
        <v>33</v>
      </c>
    </row>
    <row r="267" spans="1:10" x14ac:dyDescent="0.25">
      <c r="A267" t="s">
        <v>1026</v>
      </c>
      <c r="B267" t="s">
        <v>1028</v>
      </c>
      <c r="C267" t="s">
        <v>58</v>
      </c>
      <c r="D267" t="s">
        <v>167</v>
      </c>
      <c r="E267" s="69">
        <v>30</v>
      </c>
      <c r="F267" s="69">
        <v>7</v>
      </c>
      <c r="G267" s="69">
        <v>11</v>
      </c>
      <c r="H267" t="s">
        <v>2573</v>
      </c>
      <c r="I267" s="69">
        <v>37</v>
      </c>
      <c r="J267">
        <f t="shared" si="4"/>
        <v>26</v>
      </c>
    </row>
    <row r="268" spans="1:10" x14ac:dyDescent="0.25">
      <c r="A268" t="s">
        <v>981</v>
      </c>
      <c r="B268" t="s">
        <v>983</v>
      </c>
      <c r="C268" t="s">
        <v>58</v>
      </c>
      <c r="D268" t="s">
        <v>150</v>
      </c>
      <c r="E268" s="69">
        <v>37</v>
      </c>
      <c r="F268" s="69">
        <v>0</v>
      </c>
      <c r="G268" s="69">
        <v>0</v>
      </c>
      <c r="H268" t="s">
        <v>2574</v>
      </c>
      <c r="I268" s="69">
        <v>37</v>
      </c>
      <c r="J268">
        <f t="shared" si="4"/>
        <v>37</v>
      </c>
    </row>
    <row r="269" spans="1:10" x14ac:dyDescent="0.25">
      <c r="A269" t="s">
        <v>168</v>
      </c>
      <c r="B269" t="s">
        <v>170</v>
      </c>
      <c r="C269" t="s">
        <v>58</v>
      </c>
      <c r="D269" t="s">
        <v>150</v>
      </c>
      <c r="E269" s="69">
        <v>37</v>
      </c>
      <c r="F269" s="69">
        <v>0</v>
      </c>
      <c r="G269" s="69">
        <v>0</v>
      </c>
      <c r="H269" t="s">
        <v>2573</v>
      </c>
      <c r="I269" s="69">
        <v>37</v>
      </c>
      <c r="J269">
        <f t="shared" si="4"/>
        <v>37</v>
      </c>
    </row>
    <row r="270" spans="1:10" x14ac:dyDescent="0.25">
      <c r="A270" t="s">
        <v>742</v>
      </c>
      <c r="B270" t="s">
        <v>744</v>
      </c>
      <c r="C270" t="s">
        <v>58</v>
      </c>
      <c r="D270" t="s">
        <v>63</v>
      </c>
      <c r="E270" s="69">
        <v>26</v>
      </c>
      <c r="F270" s="69">
        <v>3</v>
      </c>
      <c r="G270" s="69">
        <v>8</v>
      </c>
      <c r="H270" t="s">
        <v>2573</v>
      </c>
      <c r="I270" s="69">
        <v>37</v>
      </c>
      <c r="J270">
        <f t="shared" si="4"/>
        <v>29</v>
      </c>
    </row>
    <row r="271" spans="1:10" x14ac:dyDescent="0.25">
      <c r="A271" t="s">
        <v>2295</v>
      </c>
      <c r="B271" t="s">
        <v>2296</v>
      </c>
      <c r="C271" t="s">
        <v>58</v>
      </c>
      <c r="D271" t="s">
        <v>203</v>
      </c>
      <c r="E271" s="69">
        <v>36</v>
      </c>
      <c r="F271" s="69">
        <v>0</v>
      </c>
      <c r="G271" s="69">
        <v>0</v>
      </c>
      <c r="H271" t="s">
        <v>2573</v>
      </c>
      <c r="I271" s="69">
        <v>36</v>
      </c>
      <c r="J271">
        <f t="shared" si="4"/>
        <v>36</v>
      </c>
    </row>
    <row r="272" spans="1:10" x14ac:dyDescent="0.25">
      <c r="A272" t="s">
        <v>901</v>
      </c>
      <c r="B272" t="s">
        <v>903</v>
      </c>
      <c r="C272" t="s">
        <v>58</v>
      </c>
      <c r="D272" t="s">
        <v>160</v>
      </c>
      <c r="E272" s="69">
        <v>26</v>
      </c>
      <c r="F272" s="69">
        <v>5</v>
      </c>
      <c r="G272" s="69">
        <v>19</v>
      </c>
      <c r="H272" t="s">
        <v>2574</v>
      </c>
      <c r="I272" s="69">
        <v>36</v>
      </c>
      <c r="J272">
        <f t="shared" si="4"/>
        <v>17</v>
      </c>
    </row>
    <row r="273" spans="1:10" x14ac:dyDescent="0.25">
      <c r="A273" t="s">
        <v>147</v>
      </c>
      <c r="B273" t="s">
        <v>149</v>
      </c>
      <c r="C273" t="s">
        <v>58</v>
      </c>
      <c r="D273" t="s">
        <v>150</v>
      </c>
      <c r="E273" s="69">
        <v>36</v>
      </c>
      <c r="F273" s="69">
        <v>0</v>
      </c>
      <c r="G273" s="69">
        <v>0</v>
      </c>
      <c r="H273" t="s">
        <v>2573</v>
      </c>
      <c r="I273" s="69">
        <v>36</v>
      </c>
      <c r="J273">
        <f t="shared" si="4"/>
        <v>36</v>
      </c>
    </row>
    <row r="274" spans="1:10" x14ac:dyDescent="0.25">
      <c r="A274" t="s">
        <v>1403</v>
      </c>
      <c r="B274" t="s">
        <v>1405</v>
      </c>
      <c r="C274" t="s">
        <v>58</v>
      </c>
      <c r="D274" t="s">
        <v>216</v>
      </c>
      <c r="E274" s="69">
        <v>36</v>
      </c>
      <c r="F274" s="69">
        <v>0</v>
      </c>
      <c r="G274" s="69">
        <v>0</v>
      </c>
      <c r="H274" t="s">
        <v>2574</v>
      </c>
      <c r="I274" s="69">
        <v>36</v>
      </c>
      <c r="J274">
        <f t="shared" si="4"/>
        <v>36</v>
      </c>
    </row>
    <row r="275" spans="1:10" x14ac:dyDescent="0.25">
      <c r="A275" t="s">
        <v>530</v>
      </c>
      <c r="B275" t="s">
        <v>532</v>
      </c>
      <c r="C275" t="s">
        <v>58</v>
      </c>
      <c r="D275" t="s">
        <v>63</v>
      </c>
      <c r="E275" s="69">
        <v>17</v>
      </c>
      <c r="F275" s="69">
        <v>21</v>
      </c>
      <c r="G275" s="69">
        <v>18</v>
      </c>
      <c r="H275" t="s">
        <v>2573</v>
      </c>
      <c r="I275" s="69">
        <v>36</v>
      </c>
      <c r="J275">
        <f t="shared" si="4"/>
        <v>18</v>
      </c>
    </row>
    <row r="276" spans="1:10" x14ac:dyDescent="0.25">
      <c r="A276" t="s">
        <v>1820</v>
      </c>
      <c r="B276" t="s">
        <v>1822</v>
      </c>
      <c r="C276" t="s">
        <v>58</v>
      </c>
      <c r="D276" t="s">
        <v>375</v>
      </c>
      <c r="E276" s="69">
        <v>51</v>
      </c>
      <c r="F276" s="69">
        <v>6</v>
      </c>
      <c r="G276" s="69">
        <v>21</v>
      </c>
      <c r="H276" t="s">
        <v>2573</v>
      </c>
      <c r="I276" s="69">
        <v>35</v>
      </c>
      <c r="J276">
        <f t="shared" si="4"/>
        <v>14</v>
      </c>
    </row>
    <row r="277" spans="1:10" x14ac:dyDescent="0.25">
      <c r="A277" t="s">
        <v>1657</v>
      </c>
      <c r="B277" t="s">
        <v>1659</v>
      </c>
      <c r="C277" t="s">
        <v>58</v>
      </c>
      <c r="D277" t="s">
        <v>59</v>
      </c>
      <c r="E277" s="69">
        <v>35</v>
      </c>
      <c r="F277" s="69">
        <v>0</v>
      </c>
      <c r="G277" s="69">
        <v>0</v>
      </c>
      <c r="H277" t="s">
        <v>2573</v>
      </c>
      <c r="I277" s="69">
        <v>35</v>
      </c>
      <c r="J277">
        <f t="shared" si="4"/>
        <v>35</v>
      </c>
    </row>
    <row r="278" spans="1:10" x14ac:dyDescent="0.25">
      <c r="A278" t="s">
        <v>385</v>
      </c>
      <c r="B278" t="s">
        <v>387</v>
      </c>
      <c r="C278" t="s">
        <v>58</v>
      </c>
      <c r="D278" t="s">
        <v>67</v>
      </c>
      <c r="E278" s="69">
        <v>33</v>
      </c>
      <c r="F278" s="69">
        <v>0</v>
      </c>
      <c r="G278" s="69">
        <v>2</v>
      </c>
      <c r="H278" t="s">
        <v>2574</v>
      </c>
      <c r="I278" s="69">
        <v>35</v>
      </c>
      <c r="J278">
        <f t="shared" si="4"/>
        <v>33</v>
      </c>
    </row>
    <row r="279" spans="1:10" x14ac:dyDescent="0.25">
      <c r="A279" t="s">
        <v>1446</v>
      </c>
      <c r="B279" t="s">
        <v>1448</v>
      </c>
      <c r="C279" t="s">
        <v>58</v>
      </c>
      <c r="D279" t="s">
        <v>167</v>
      </c>
      <c r="E279" s="69">
        <v>25</v>
      </c>
      <c r="F279" s="69">
        <v>10</v>
      </c>
      <c r="G279" s="69">
        <v>7</v>
      </c>
      <c r="H279" t="s">
        <v>2573</v>
      </c>
      <c r="I279" s="69">
        <v>34</v>
      </c>
      <c r="J279">
        <f t="shared" si="4"/>
        <v>27</v>
      </c>
    </row>
    <row r="280" spans="1:10" x14ac:dyDescent="0.25">
      <c r="A280" t="s">
        <v>286</v>
      </c>
      <c r="B280" t="s">
        <v>288</v>
      </c>
      <c r="C280" t="s">
        <v>58</v>
      </c>
      <c r="D280" t="s">
        <v>167</v>
      </c>
      <c r="E280" s="69">
        <v>30</v>
      </c>
      <c r="F280" s="69">
        <v>0</v>
      </c>
      <c r="G280" s="69">
        <v>4</v>
      </c>
      <c r="H280" t="s">
        <v>2573</v>
      </c>
      <c r="I280" s="69">
        <v>34</v>
      </c>
      <c r="J280">
        <f t="shared" si="4"/>
        <v>30</v>
      </c>
    </row>
    <row r="281" spans="1:10" x14ac:dyDescent="0.25">
      <c r="A281" t="s">
        <v>1779</v>
      </c>
      <c r="B281" t="s">
        <v>1781</v>
      </c>
      <c r="C281" t="s">
        <v>58</v>
      </c>
      <c r="D281" t="s">
        <v>160</v>
      </c>
      <c r="E281" s="69">
        <v>23</v>
      </c>
      <c r="F281" s="69">
        <v>3</v>
      </c>
      <c r="G281" s="69">
        <v>8</v>
      </c>
      <c r="H281" t="s">
        <v>2573</v>
      </c>
      <c r="I281" s="69">
        <v>34</v>
      </c>
      <c r="J281">
        <f t="shared" si="4"/>
        <v>26</v>
      </c>
    </row>
    <row r="282" spans="1:10" x14ac:dyDescent="0.25">
      <c r="A282" t="s">
        <v>1176</v>
      </c>
      <c r="B282" t="s">
        <v>1178</v>
      </c>
      <c r="C282" t="s">
        <v>58</v>
      </c>
      <c r="D282" t="s">
        <v>150</v>
      </c>
      <c r="E282" s="69">
        <v>34</v>
      </c>
      <c r="F282" s="69">
        <v>0</v>
      </c>
      <c r="G282" s="69">
        <v>0</v>
      </c>
      <c r="H282" t="s">
        <v>2574</v>
      </c>
      <c r="I282" s="69">
        <v>34</v>
      </c>
      <c r="J282">
        <f t="shared" si="4"/>
        <v>34</v>
      </c>
    </row>
    <row r="283" spans="1:10" x14ac:dyDescent="0.25">
      <c r="A283" t="s">
        <v>784</v>
      </c>
      <c r="B283" t="s">
        <v>786</v>
      </c>
      <c r="C283" t="s">
        <v>58</v>
      </c>
      <c r="D283" t="s">
        <v>187</v>
      </c>
      <c r="E283" s="69">
        <v>12</v>
      </c>
      <c r="F283" s="69">
        <v>14</v>
      </c>
      <c r="G283" s="69">
        <v>8</v>
      </c>
      <c r="H283" t="s">
        <v>2574</v>
      </c>
      <c r="I283" s="69">
        <v>34</v>
      </c>
      <c r="J283">
        <f t="shared" si="4"/>
        <v>26</v>
      </c>
    </row>
    <row r="284" spans="1:10" x14ac:dyDescent="0.25">
      <c r="A284" t="s">
        <v>308</v>
      </c>
      <c r="B284" t="s">
        <v>310</v>
      </c>
      <c r="C284" t="s">
        <v>58</v>
      </c>
      <c r="D284" t="s">
        <v>187</v>
      </c>
      <c r="E284" s="69">
        <v>12</v>
      </c>
      <c r="F284" s="69">
        <v>14</v>
      </c>
      <c r="G284" s="69">
        <v>8</v>
      </c>
      <c r="H284" t="s">
        <v>2573</v>
      </c>
      <c r="I284" s="69">
        <v>34</v>
      </c>
      <c r="J284">
        <f t="shared" si="4"/>
        <v>26</v>
      </c>
    </row>
    <row r="285" spans="1:10" x14ac:dyDescent="0.25">
      <c r="A285" t="s">
        <v>2579</v>
      </c>
      <c r="B285" t="s">
        <v>1964</v>
      </c>
      <c r="C285" t="s">
        <v>58</v>
      </c>
      <c r="D285" t="s">
        <v>203</v>
      </c>
      <c r="E285" s="69">
        <v>33</v>
      </c>
      <c r="F285" s="69">
        <v>0</v>
      </c>
      <c r="G285" s="69">
        <v>0</v>
      </c>
      <c r="H285" t="s">
        <v>2573</v>
      </c>
      <c r="I285" s="69">
        <v>33</v>
      </c>
      <c r="J285">
        <f t="shared" si="4"/>
        <v>33</v>
      </c>
    </row>
    <row r="286" spans="1:10" x14ac:dyDescent="0.25">
      <c r="A286" t="s">
        <v>262</v>
      </c>
      <c r="B286" t="s">
        <v>264</v>
      </c>
      <c r="C286" t="s">
        <v>58</v>
      </c>
      <c r="D286" t="s">
        <v>67</v>
      </c>
      <c r="E286" s="69">
        <v>33</v>
      </c>
      <c r="F286" s="69">
        <v>0</v>
      </c>
      <c r="G286" s="69">
        <v>0</v>
      </c>
      <c r="H286" t="s">
        <v>2574</v>
      </c>
      <c r="I286" s="69">
        <v>33</v>
      </c>
      <c r="J286">
        <f t="shared" si="4"/>
        <v>33</v>
      </c>
    </row>
    <row r="287" spans="1:10" x14ac:dyDescent="0.25">
      <c r="A287" t="s">
        <v>259</v>
      </c>
      <c r="B287" t="s">
        <v>261</v>
      </c>
      <c r="C287" t="s">
        <v>58</v>
      </c>
      <c r="D287" t="s">
        <v>67</v>
      </c>
      <c r="E287" s="69">
        <v>33</v>
      </c>
      <c r="F287" s="69">
        <v>0</v>
      </c>
      <c r="G287" s="69">
        <v>0</v>
      </c>
      <c r="H287" t="s">
        <v>2574</v>
      </c>
      <c r="I287" s="69">
        <v>33</v>
      </c>
      <c r="J287">
        <f t="shared" si="4"/>
        <v>33</v>
      </c>
    </row>
    <row r="288" spans="1:10" x14ac:dyDescent="0.25">
      <c r="A288" t="s">
        <v>551</v>
      </c>
      <c r="B288" t="s">
        <v>553</v>
      </c>
      <c r="C288" t="s">
        <v>58</v>
      </c>
      <c r="D288" t="s">
        <v>67</v>
      </c>
      <c r="E288" s="69">
        <v>33</v>
      </c>
      <c r="F288" s="69">
        <v>0</v>
      </c>
      <c r="G288" s="69">
        <v>0</v>
      </c>
      <c r="H288" t="s">
        <v>2574</v>
      </c>
      <c r="I288" s="69">
        <v>33</v>
      </c>
      <c r="J288">
        <f t="shared" si="4"/>
        <v>33</v>
      </c>
    </row>
    <row r="289" spans="1:10" x14ac:dyDescent="0.25">
      <c r="A289" t="s">
        <v>382</v>
      </c>
      <c r="B289" t="s">
        <v>384</v>
      </c>
      <c r="C289" t="s">
        <v>58</v>
      </c>
      <c r="D289" t="s">
        <v>67</v>
      </c>
      <c r="E289" s="69">
        <v>33</v>
      </c>
      <c r="F289" s="69">
        <v>0</v>
      </c>
      <c r="G289" s="69">
        <v>0</v>
      </c>
      <c r="H289" t="s">
        <v>2574</v>
      </c>
      <c r="I289" s="69">
        <v>33</v>
      </c>
      <c r="J289">
        <f t="shared" si="4"/>
        <v>33</v>
      </c>
    </row>
    <row r="290" spans="1:10" x14ac:dyDescent="0.25">
      <c r="A290" t="s">
        <v>548</v>
      </c>
      <c r="B290" t="s">
        <v>550</v>
      </c>
      <c r="C290" t="s">
        <v>58</v>
      </c>
      <c r="D290" t="s">
        <v>67</v>
      </c>
      <c r="E290" s="69">
        <v>33</v>
      </c>
      <c r="F290" s="69">
        <v>0</v>
      </c>
      <c r="G290" s="69">
        <v>0</v>
      </c>
      <c r="H290" t="s">
        <v>2574</v>
      </c>
      <c r="I290" s="69">
        <v>33</v>
      </c>
      <c r="J290">
        <f t="shared" si="4"/>
        <v>33</v>
      </c>
    </row>
    <row r="291" spans="1:10" x14ac:dyDescent="0.25">
      <c r="A291" t="s">
        <v>1251</v>
      </c>
      <c r="B291" t="s">
        <v>1253</v>
      </c>
      <c r="C291" t="s">
        <v>58</v>
      </c>
      <c r="D291" t="s">
        <v>63</v>
      </c>
      <c r="E291" s="69">
        <v>12</v>
      </c>
      <c r="F291" s="69">
        <v>18</v>
      </c>
      <c r="G291" s="69">
        <v>13</v>
      </c>
      <c r="H291" t="s">
        <v>2573</v>
      </c>
      <c r="I291" s="69">
        <v>33</v>
      </c>
      <c r="J291">
        <f t="shared" si="4"/>
        <v>20</v>
      </c>
    </row>
    <row r="292" spans="1:10" x14ac:dyDescent="0.25">
      <c r="A292" t="s">
        <v>812</v>
      </c>
      <c r="B292" t="s">
        <v>814</v>
      </c>
      <c r="C292" t="s">
        <v>58</v>
      </c>
      <c r="D292" t="s">
        <v>59</v>
      </c>
      <c r="E292" s="69">
        <v>207</v>
      </c>
      <c r="F292" s="69">
        <v>19</v>
      </c>
      <c r="G292" s="69">
        <v>6</v>
      </c>
      <c r="H292" t="s">
        <v>2574</v>
      </c>
      <c r="I292" s="69">
        <v>32</v>
      </c>
      <c r="J292">
        <f t="shared" si="4"/>
        <v>26</v>
      </c>
    </row>
    <row r="293" spans="1:10" x14ac:dyDescent="0.25">
      <c r="A293" t="s">
        <v>1561</v>
      </c>
      <c r="B293" t="s">
        <v>1563</v>
      </c>
      <c r="C293" t="s">
        <v>58</v>
      </c>
      <c r="D293" t="s">
        <v>167</v>
      </c>
      <c r="E293" s="69">
        <v>40</v>
      </c>
      <c r="F293" s="69">
        <v>0</v>
      </c>
      <c r="G293" s="69">
        <v>3</v>
      </c>
      <c r="H293" t="s">
        <v>2574</v>
      </c>
      <c r="I293" s="69">
        <v>32</v>
      </c>
      <c r="J293">
        <f t="shared" si="4"/>
        <v>29</v>
      </c>
    </row>
    <row r="294" spans="1:10" x14ac:dyDescent="0.25">
      <c r="A294" t="s">
        <v>1023</v>
      </c>
      <c r="B294" t="s">
        <v>1025</v>
      </c>
      <c r="C294" t="s">
        <v>58</v>
      </c>
      <c r="D294" t="s">
        <v>167</v>
      </c>
      <c r="E294" s="69">
        <v>29</v>
      </c>
      <c r="F294" s="69">
        <v>1</v>
      </c>
      <c r="G294" s="69">
        <v>5</v>
      </c>
      <c r="H294" t="s">
        <v>2573</v>
      </c>
      <c r="I294" s="69">
        <v>32</v>
      </c>
      <c r="J294">
        <f t="shared" si="4"/>
        <v>27</v>
      </c>
    </row>
    <row r="295" spans="1:10" x14ac:dyDescent="0.25">
      <c r="A295" t="s">
        <v>1166</v>
      </c>
      <c r="B295" t="s">
        <v>1168</v>
      </c>
      <c r="C295" t="s">
        <v>58</v>
      </c>
      <c r="D295" t="s">
        <v>160</v>
      </c>
      <c r="E295" s="69">
        <v>2</v>
      </c>
      <c r="F295" s="69">
        <v>27</v>
      </c>
      <c r="G295" s="69">
        <v>3</v>
      </c>
      <c r="H295" t="s">
        <v>2573</v>
      </c>
      <c r="I295" s="69">
        <v>32</v>
      </c>
      <c r="J295">
        <f t="shared" si="4"/>
        <v>29</v>
      </c>
    </row>
    <row r="296" spans="1:10" x14ac:dyDescent="0.25">
      <c r="A296" t="s">
        <v>563</v>
      </c>
      <c r="B296" t="s">
        <v>565</v>
      </c>
      <c r="C296" t="s">
        <v>58</v>
      </c>
      <c r="D296" t="s">
        <v>150</v>
      </c>
      <c r="E296" s="69">
        <v>21</v>
      </c>
      <c r="F296" s="69">
        <v>3</v>
      </c>
      <c r="G296" s="69">
        <v>11</v>
      </c>
      <c r="H296" t="s">
        <v>2573</v>
      </c>
      <c r="I296" s="69">
        <v>32</v>
      </c>
      <c r="J296">
        <f t="shared" si="4"/>
        <v>21</v>
      </c>
    </row>
    <row r="297" spans="1:10" x14ac:dyDescent="0.25">
      <c r="A297" t="s">
        <v>623</v>
      </c>
      <c r="B297" t="s">
        <v>625</v>
      </c>
      <c r="C297" t="s">
        <v>58</v>
      </c>
      <c r="D297" t="s">
        <v>63</v>
      </c>
      <c r="E297" s="69">
        <v>21</v>
      </c>
      <c r="F297" s="69">
        <v>3</v>
      </c>
      <c r="G297" s="69">
        <v>8</v>
      </c>
      <c r="H297" t="s">
        <v>2573</v>
      </c>
      <c r="I297" s="69">
        <v>32</v>
      </c>
      <c r="J297">
        <f t="shared" si="4"/>
        <v>24</v>
      </c>
    </row>
    <row r="298" spans="1:10" x14ac:dyDescent="0.25">
      <c r="A298" t="s">
        <v>2413</v>
      </c>
      <c r="B298" t="s">
        <v>1854</v>
      </c>
      <c r="C298" t="s">
        <v>58</v>
      </c>
      <c r="D298" t="s">
        <v>160</v>
      </c>
      <c r="E298" s="69">
        <v>25.748000000000001</v>
      </c>
      <c r="F298" s="69">
        <v>6</v>
      </c>
      <c r="G298" s="69">
        <v>0</v>
      </c>
      <c r="H298" t="s">
        <v>2574</v>
      </c>
      <c r="I298" s="69">
        <v>31.748000000000001</v>
      </c>
      <c r="J298">
        <f t="shared" si="4"/>
        <v>31.748000000000001</v>
      </c>
    </row>
    <row r="299" spans="1:10" x14ac:dyDescent="0.25">
      <c r="A299" t="s">
        <v>1776</v>
      </c>
      <c r="B299" t="s">
        <v>1778</v>
      </c>
      <c r="C299" t="s">
        <v>58</v>
      </c>
      <c r="D299" t="s">
        <v>203</v>
      </c>
      <c r="E299" s="69">
        <v>31.279</v>
      </c>
      <c r="F299" s="69">
        <v>0</v>
      </c>
      <c r="G299" s="69">
        <v>0</v>
      </c>
      <c r="H299" t="s">
        <v>2573</v>
      </c>
      <c r="I299" s="69">
        <v>31.279</v>
      </c>
      <c r="J299">
        <f t="shared" si="4"/>
        <v>31.279</v>
      </c>
    </row>
    <row r="300" spans="1:10" x14ac:dyDescent="0.25">
      <c r="A300" t="s">
        <v>806</v>
      </c>
      <c r="B300" t="s">
        <v>808</v>
      </c>
      <c r="C300" t="s">
        <v>58</v>
      </c>
      <c r="D300" t="s">
        <v>59</v>
      </c>
      <c r="E300" s="69">
        <v>106</v>
      </c>
      <c r="F300" s="69">
        <v>7</v>
      </c>
      <c r="G300" s="69">
        <v>18</v>
      </c>
      <c r="H300" t="s">
        <v>2574</v>
      </c>
      <c r="I300" s="69">
        <v>31</v>
      </c>
      <c r="J300">
        <f t="shared" si="4"/>
        <v>13</v>
      </c>
    </row>
    <row r="301" spans="1:10" x14ac:dyDescent="0.25">
      <c r="A301" t="s">
        <v>1449</v>
      </c>
      <c r="B301" t="s">
        <v>1451</v>
      </c>
      <c r="C301" t="s">
        <v>58</v>
      </c>
      <c r="D301" t="s">
        <v>167</v>
      </c>
      <c r="E301" s="69">
        <v>30</v>
      </c>
      <c r="F301" s="69">
        <v>0</v>
      </c>
      <c r="G301" s="69">
        <v>0</v>
      </c>
      <c r="H301" t="s">
        <v>2573</v>
      </c>
      <c r="I301" s="69">
        <v>30</v>
      </c>
      <c r="J301">
        <f t="shared" si="4"/>
        <v>30</v>
      </c>
    </row>
    <row r="302" spans="1:10" x14ac:dyDescent="0.25">
      <c r="A302" t="s">
        <v>2221</v>
      </c>
      <c r="B302" t="s">
        <v>2222</v>
      </c>
      <c r="C302" t="s">
        <v>58</v>
      </c>
      <c r="D302" t="s">
        <v>117</v>
      </c>
      <c r="E302" s="69">
        <v>28</v>
      </c>
      <c r="F302" s="69">
        <v>4</v>
      </c>
      <c r="G302" s="69">
        <v>11</v>
      </c>
      <c r="H302" t="s">
        <v>2573</v>
      </c>
      <c r="I302" s="69">
        <v>30</v>
      </c>
      <c r="J302">
        <f t="shared" si="4"/>
        <v>19</v>
      </c>
    </row>
    <row r="303" spans="1:10" x14ac:dyDescent="0.25">
      <c r="A303" t="s">
        <v>1133</v>
      </c>
      <c r="B303" t="s">
        <v>1135</v>
      </c>
      <c r="C303" t="s">
        <v>58</v>
      </c>
      <c r="D303" t="s">
        <v>160</v>
      </c>
      <c r="E303" s="69">
        <v>3</v>
      </c>
      <c r="F303" s="69">
        <v>10</v>
      </c>
      <c r="G303" s="69">
        <v>18</v>
      </c>
      <c r="H303" t="s">
        <v>2574</v>
      </c>
      <c r="I303" s="69">
        <v>30</v>
      </c>
      <c r="J303">
        <f t="shared" si="4"/>
        <v>12</v>
      </c>
    </row>
    <row r="304" spans="1:10" x14ac:dyDescent="0.25">
      <c r="A304" t="s">
        <v>1312</v>
      </c>
      <c r="B304" t="s">
        <v>1314</v>
      </c>
      <c r="C304" t="s">
        <v>58</v>
      </c>
      <c r="D304" t="s">
        <v>160</v>
      </c>
      <c r="E304" s="69">
        <v>3</v>
      </c>
      <c r="F304" s="69">
        <v>11</v>
      </c>
      <c r="G304" s="69">
        <v>18</v>
      </c>
      <c r="H304" t="s">
        <v>2573</v>
      </c>
      <c r="I304" s="69">
        <v>30</v>
      </c>
      <c r="J304">
        <f t="shared" si="4"/>
        <v>12</v>
      </c>
    </row>
    <row r="305" spans="1:10" x14ac:dyDescent="0.25">
      <c r="A305" t="s">
        <v>745</v>
      </c>
      <c r="B305" t="s">
        <v>747</v>
      </c>
      <c r="C305" t="s">
        <v>58</v>
      </c>
      <c r="D305" t="s">
        <v>63</v>
      </c>
      <c r="E305" s="69">
        <v>17</v>
      </c>
      <c r="F305" s="69">
        <v>5</v>
      </c>
      <c r="G305" s="69">
        <v>8</v>
      </c>
      <c r="H305" t="s">
        <v>2573</v>
      </c>
      <c r="I305" s="69">
        <v>30</v>
      </c>
      <c r="J305">
        <f t="shared" si="4"/>
        <v>22</v>
      </c>
    </row>
    <row r="306" spans="1:10" x14ac:dyDescent="0.25">
      <c r="A306" t="s">
        <v>527</v>
      </c>
      <c r="B306" t="s">
        <v>529</v>
      </c>
      <c r="C306" t="s">
        <v>58</v>
      </c>
      <c r="D306" t="s">
        <v>63</v>
      </c>
      <c r="E306" s="69">
        <v>18</v>
      </c>
      <c r="F306" s="69">
        <v>0</v>
      </c>
      <c r="G306" s="69">
        <v>12</v>
      </c>
      <c r="H306" t="s">
        <v>2573</v>
      </c>
      <c r="I306" s="69">
        <v>30</v>
      </c>
      <c r="J306">
        <f t="shared" si="4"/>
        <v>18</v>
      </c>
    </row>
    <row r="307" spans="1:10" x14ac:dyDescent="0.25">
      <c r="A307" t="s">
        <v>2223</v>
      </c>
      <c r="B307" t="s">
        <v>2224</v>
      </c>
      <c r="C307" t="s">
        <v>58</v>
      </c>
      <c r="D307" t="s">
        <v>59</v>
      </c>
      <c r="E307" s="69">
        <v>29</v>
      </c>
      <c r="F307" s="69">
        <v>0</v>
      </c>
      <c r="G307" s="69">
        <v>0</v>
      </c>
      <c r="H307" t="s">
        <v>2574</v>
      </c>
      <c r="I307" s="69">
        <v>29</v>
      </c>
      <c r="J307">
        <f t="shared" si="4"/>
        <v>29</v>
      </c>
    </row>
    <row r="308" spans="1:10" x14ac:dyDescent="0.25">
      <c r="A308" t="s">
        <v>794</v>
      </c>
      <c r="B308" t="s">
        <v>796</v>
      </c>
      <c r="C308" t="s">
        <v>58</v>
      </c>
      <c r="D308" t="s">
        <v>59</v>
      </c>
      <c r="E308" s="69">
        <v>106</v>
      </c>
      <c r="F308" s="69">
        <v>7</v>
      </c>
      <c r="G308" s="69">
        <v>16</v>
      </c>
      <c r="H308" t="s">
        <v>2574</v>
      </c>
      <c r="I308" s="69">
        <v>29</v>
      </c>
      <c r="J308">
        <f t="shared" si="4"/>
        <v>13</v>
      </c>
    </row>
    <row r="309" spans="1:10" x14ac:dyDescent="0.25">
      <c r="A309" t="s">
        <v>394</v>
      </c>
      <c r="B309" t="s">
        <v>396</v>
      </c>
      <c r="C309" t="s">
        <v>58</v>
      </c>
      <c r="D309" t="s">
        <v>59</v>
      </c>
      <c r="E309" s="69">
        <v>27</v>
      </c>
      <c r="F309" s="69">
        <v>13</v>
      </c>
      <c r="G309" s="69">
        <v>7</v>
      </c>
      <c r="H309" t="s">
        <v>2573</v>
      </c>
      <c r="I309" s="69">
        <v>29</v>
      </c>
      <c r="J309">
        <f t="shared" si="4"/>
        <v>22</v>
      </c>
    </row>
    <row r="310" spans="1:10" x14ac:dyDescent="0.25">
      <c r="A310" t="s">
        <v>164</v>
      </c>
      <c r="B310" t="s">
        <v>166</v>
      </c>
      <c r="C310" t="s">
        <v>58</v>
      </c>
      <c r="D310" t="s">
        <v>167</v>
      </c>
      <c r="E310" s="69">
        <v>47</v>
      </c>
      <c r="F310" s="69">
        <v>7</v>
      </c>
      <c r="G310" s="69">
        <v>5</v>
      </c>
      <c r="H310" t="s">
        <v>2575</v>
      </c>
      <c r="I310" s="69">
        <v>29</v>
      </c>
      <c r="J310">
        <f t="shared" si="4"/>
        <v>24</v>
      </c>
    </row>
    <row r="311" spans="1:10" x14ac:dyDescent="0.25">
      <c r="A311" t="s">
        <v>1380</v>
      </c>
      <c r="B311" t="s">
        <v>1382</v>
      </c>
      <c r="C311" t="s">
        <v>58</v>
      </c>
      <c r="D311" t="s">
        <v>167</v>
      </c>
      <c r="E311" s="69">
        <v>23</v>
      </c>
      <c r="F311" s="69">
        <v>2</v>
      </c>
      <c r="G311" s="69">
        <v>5</v>
      </c>
      <c r="H311" t="s">
        <v>2573</v>
      </c>
      <c r="I311" s="69">
        <v>29</v>
      </c>
      <c r="J311">
        <f t="shared" si="4"/>
        <v>24</v>
      </c>
    </row>
    <row r="312" spans="1:10" x14ac:dyDescent="0.25">
      <c r="A312" t="s">
        <v>1230</v>
      </c>
      <c r="B312" t="s">
        <v>1232</v>
      </c>
      <c r="C312" t="s">
        <v>58</v>
      </c>
      <c r="D312" t="s">
        <v>167</v>
      </c>
      <c r="E312" s="69">
        <v>20</v>
      </c>
      <c r="F312" s="69">
        <v>6</v>
      </c>
      <c r="G312" s="69">
        <v>10</v>
      </c>
      <c r="H312" t="s">
        <v>2573</v>
      </c>
      <c r="I312" s="69">
        <v>29</v>
      </c>
      <c r="J312">
        <f t="shared" si="4"/>
        <v>19</v>
      </c>
    </row>
    <row r="313" spans="1:10" x14ac:dyDescent="0.25">
      <c r="A313" t="s">
        <v>1613</v>
      </c>
      <c r="B313" t="s">
        <v>1615</v>
      </c>
      <c r="C313" t="s">
        <v>58</v>
      </c>
      <c r="D313" t="s">
        <v>160</v>
      </c>
      <c r="E313" s="69">
        <v>48</v>
      </c>
      <c r="F313" s="69">
        <v>5</v>
      </c>
      <c r="G313" s="69">
        <v>0</v>
      </c>
      <c r="H313" t="s">
        <v>2574</v>
      </c>
      <c r="I313" s="69">
        <v>29</v>
      </c>
      <c r="J313">
        <f t="shared" si="4"/>
        <v>29</v>
      </c>
    </row>
    <row r="314" spans="1:10" x14ac:dyDescent="0.25">
      <c r="A314" t="s">
        <v>608</v>
      </c>
      <c r="B314" t="s">
        <v>610</v>
      </c>
      <c r="C314" t="s">
        <v>58</v>
      </c>
      <c r="D314" t="s">
        <v>375</v>
      </c>
      <c r="E314" s="69">
        <v>28</v>
      </c>
      <c r="F314" s="69">
        <v>0</v>
      </c>
      <c r="G314" s="69">
        <v>0</v>
      </c>
      <c r="H314" t="s">
        <v>2573</v>
      </c>
      <c r="I314" s="69">
        <v>28</v>
      </c>
      <c r="J314">
        <f t="shared" si="4"/>
        <v>28</v>
      </c>
    </row>
    <row r="315" spans="1:10" x14ac:dyDescent="0.25">
      <c r="A315" t="s">
        <v>1599</v>
      </c>
      <c r="B315" t="s">
        <v>1598</v>
      </c>
      <c r="C315" t="s">
        <v>58</v>
      </c>
      <c r="D315" t="s">
        <v>59</v>
      </c>
      <c r="E315" s="69">
        <v>20</v>
      </c>
      <c r="F315" s="69">
        <v>1</v>
      </c>
      <c r="G315" s="69">
        <v>7</v>
      </c>
      <c r="H315" t="s">
        <v>2575</v>
      </c>
      <c r="I315" s="69">
        <v>28</v>
      </c>
      <c r="J315">
        <f t="shared" si="4"/>
        <v>21</v>
      </c>
    </row>
    <row r="316" spans="1:10" x14ac:dyDescent="0.25">
      <c r="A316" t="s">
        <v>1455</v>
      </c>
      <c r="B316" t="s">
        <v>1457</v>
      </c>
      <c r="C316" t="s">
        <v>58</v>
      </c>
      <c r="D316" t="s">
        <v>59</v>
      </c>
      <c r="E316" s="69">
        <v>0</v>
      </c>
      <c r="F316" s="69">
        <v>32</v>
      </c>
      <c r="G316" s="69">
        <v>34</v>
      </c>
      <c r="H316" t="s">
        <v>2573</v>
      </c>
      <c r="I316" s="69">
        <v>28</v>
      </c>
      <c r="J316">
        <f t="shared" si="4"/>
        <v>-6</v>
      </c>
    </row>
    <row r="317" spans="1:10" x14ac:dyDescent="0.25">
      <c r="A317" t="s">
        <v>1443</v>
      </c>
      <c r="B317" t="s">
        <v>1445</v>
      </c>
      <c r="C317" t="s">
        <v>58</v>
      </c>
      <c r="D317" t="s">
        <v>167</v>
      </c>
      <c r="E317" s="69">
        <v>24</v>
      </c>
      <c r="F317" s="69">
        <v>0</v>
      </c>
      <c r="G317" s="69">
        <v>4</v>
      </c>
      <c r="H317" t="s">
        <v>2573</v>
      </c>
      <c r="I317" s="69">
        <v>28</v>
      </c>
      <c r="J317">
        <f t="shared" si="4"/>
        <v>24</v>
      </c>
    </row>
    <row r="318" spans="1:10" x14ac:dyDescent="0.25">
      <c r="A318" t="s">
        <v>1752</v>
      </c>
      <c r="B318" t="s">
        <v>1754</v>
      </c>
      <c r="C318" t="s">
        <v>58</v>
      </c>
      <c r="D318" t="s">
        <v>187</v>
      </c>
      <c r="E318" s="69">
        <v>12</v>
      </c>
      <c r="F318" s="69">
        <v>8</v>
      </c>
      <c r="G318" s="69">
        <v>8</v>
      </c>
      <c r="H318" t="s">
        <v>2574</v>
      </c>
      <c r="I318" s="69">
        <v>28</v>
      </c>
      <c r="J318">
        <f t="shared" si="4"/>
        <v>20</v>
      </c>
    </row>
    <row r="319" spans="1:10" x14ac:dyDescent="0.25">
      <c r="A319" t="s">
        <v>5</v>
      </c>
      <c r="B319" t="s">
        <v>6</v>
      </c>
      <c r="C319" t="s">
        <v>58</v>
      </c>
      <c r="D319" t="s">
        <v>1</v>
      </c>
      <c r="E319" s="69">
        <v>31.95</v>
      </c>
      <c r="F319" s="69">
        <v>4</v>
      </c>
      <c r="G319" s="69">
        <v>0</v>
      </c>
      <c r="H319" t="s">
        <v>2573</v>
      </c>
      <c r="I319" s="69">
        <v>27.950000000000003</v>
      </c>
      <c r="J319">
        <f t="shared" si="4"/>
        <v>27.950000000000003</v>
      </c>
    </row>
    <row r="320" spans="1:10" x14ac:dyDescent="0.25">
      <c r="A320" t="s">
        <v>1917</v>
      </c>
      <c r="B320" t="s">
        <v>1919</v>
      </c>
      <c r="C320" t="s">
        <v>58</v>
      </c>
      <c r="D320" t="s">
        <v>59</v>
      </c>
      <c r="E320" s="69">
        <v>292</v>
      </c>
      <c r="F320" s="69">
        <v>255</v>
      </c>
      <c r="G320" s="69">
        <v>0</v>
      </c>
      <c r="H320" t="s">
        <v>2574</v>
      </c>
      <c r="I320" s="69">
        <v>27</v>
      </c>
      <c r="J320">
        <f t="shared" si="4"/>
        <v>27</v>
      </c>
    </row>
    <row r="321" spans="1:10" x14ac:dyDescent="0.25">
      <c r="A321" t="s">
        <v>1898</v>
      </c>
      <c r="B321" t="s">
        <v>1900</v>
      </c>
      <c r="C321" t="s">
        <v>58</v>
      </c>
      <c r="D321" t="s">
        <v>160</v>
      </c>
      <c r="E321" s="69">
        <v>21</v>
      </c>
      <c r="F321" s="69">
        <v>6</v>
      </c>
      <c r="G321" s="69">
        <v>0</v>
      </c>
      <c r="H321" t="s">
        <v>2574</v>
      </c>
      <c r="I321" s="69">
        <v>27</v>
      </c>
      <c r="J321">
        <f t="shared" si="4"/>
        <v>27</v>
      </c>
    </row>
    <row r="322" spans="1:10" x14ac:dyDescent="0.25">
      <c r="A322" t="s">
        <v>1291</v>
      </c>
      <c r="B322" t="s">
        <v>1293</v>
      </c>
      <c r="C322" t="s">
        <v>58</v>
      </c>
      <c r="D322" t="s">
        <v>167</v>
      </c>
      <c r="E322" s="69">
        <v>16</v>
      </c>
      <c r="F322" s="69">
        <v>0</v>
      </c>
      <c r="G322" s="69">
        <v>10</v>
      </c>
      <c r="H322" t="s">
        <v>2573</v>
      </c>
      <c r="I322" s="69">
        <v>26</v>
      </c>
      <c r="J322">
        <f t="shared" si="4"/>
        <v>16</v>
      </c>
    </row>
    <row r="323" spans="1:10" x14ac:dyDescent="0.25">
      <c r="A323" t="s">
        <v>1696</v>
      </c>
      <c r="B323" t="s">
        <v>1698</v>
      </c>
      <c r="C323" t="s">
        <v>58</v>
      </c>
      <c r="D323" t="s">
        <v>160</v>
      </c>
      <c r="E323" s="69">
        <v>23</v>
      </c>
      <c r="F323" s="69">
        <v>2</v>
      </c>
      <c r="G323" s="69">
        <v>1</v>
      </c>
      <c r="H323" t="s">
        <v>2574</v>
      </c>
      <c r="I323" s="69">
        <v>26</v>
      </c>
      <c r="J323">
        <f t="shared" ref="J323:J386" si="5">I323-G323</f>
        <v>25</v>
      </c>
    </row>
    <row r="324" spans="1:10" x14ac:dyDescent="0.25">
      <c r="A324" t="s">
        <v>689</v>
      </c>
      <c r="B324" t="s">
        <v>691</v>
      </c>
      <c r="C324" t="s">
        <v>58</v>
      </c>
      <c r="D324" t="s">
        <v>150</v>
      </c>
      <c r="E324" s="69">
        <v>21</v>
      </c>
      <c r="F324" s="69">
        <v>1</v>
      </c>
      <c r="G324" s="69">
        <v>5</v>
      </c>
      <c r="H324" t="s">
        <v>2573</v>
      </c>
      <c r="I324" s="69">
        <v>26</v>
      </c>
      <c r="J324">
        <f t="shared" si="5"/>
        <v>21</v>
      </c>
    </row>
    <row r="325" spans="1:10" x14ac:dyDescent="0.25">
      <c r="A325" t="s">
        <v>1532</v>
      </c>
      <c r="B325" t="s">
        <v>1534</v>
      </c>
      <c r="C325" t="s">
        <v>58</v>
      </c>
      <c r="D325" t="s">
        <v>67</v>
      </c>
      <c r="E325" s="69">
        <v>25</v>
      </c>
      <c r="F325" s="69">
        <v>0.83450000000000002</v>
      </c>
      <c r="G325" s="69">
        <v>0</v>
      </c>
      <c r="H325" t="s">
        <v>2574</v>
      </c>
      <c r="I325" s="69">
        <v>25.834499999999998</v>
      </c>
      <c r="J325">
        <f t="shared" si="5"/>
        <v>25.834499999999998</v>
      </c>
    </row>
    <row r="326" spans="1:10" x14ac:dyDescent="0.25">
      <c r="A326" t="s">
        <v>1297</v>
      </c>
      <c r="B326" t="s">
        <v>1299</v>
      </c>
      <c r="C326" t="s">
        <v>58</v>
      </c>
      <c r="D326" t="s">
        <v>167</v>
      </c>
      <c r="E326" s="69">
        <v>20</v>
      </c>
      <c r="F326" s="69">
        <v>0</v>
      </c>
      <c r="G326" s="69">
        <v>5</v>
      </c>
      <c r="H326" t="s">
        <v>2573</v>
      </c>
      <c r="I326" s="69">
        <v>25</v>
      </c>
      <c r="J326">
        <f t="shared" si="5"/>
        <v>20</v>
      </c>
    </row>
    <row r="327" spans="1:10" x14ac:dyDescent="0.25">
      <c r="A327" t="s">
        <v>280</v>
      </c>
      <c r="B327" t="s">
        <v>282</v>
      </c>
      <c r="C327" t="s">
        <v>58</v>
      </c>
      <c r="D327" t="s">
        <v>167</v>
      </c>
      <c r="E327" s="69">
        <v>25</v>
      </c>
      <c r="F327" s="69">
        <v>0</v>
      </c>
      <c r="G327" s="69">
        <v>0</v>
      </c>
      <c r="H327" t="s">
        <v>2573</v>
      </c>
      <c r="I327" s="69">
        <v>25</v>
      </c>
      <c r="J327">
        <f t="shared" si="5"/>
        <v>25</v>
      </c>
    </row>
    <row r="328" spans="1:10" x14ac:dyDescent="0.25">
      <c r="A328" t="s">
        <v>64</v>
      </c>
      <c r="B328" t="s">
        <v>66</v>
      </c>
      <c r="C328" t="s">
        <v>58</v>
      </c>
      <c r="D328" t="s">
        <v>67</v>
      </c>
      <c r="E328" s="69">
        <v>20</v>
      </c>
      <c r="F328" s="69">
        <v>0</v>
      </c>
      <c r="G328" s="69">
        <v>5</v>
      </c>
      <c r="H328" t="s">
        <v>2574</v>
      </c>
      <c r="I328" s="69">
        <v>25</v>
      </c>
      <c r="J328">
        <f t="shared" si="5"/>
        <v>20</v>
      </c>
    </row>
    <row r="329" spans="1:10" x14ac:dyDescent="0.25">
      <c r="A329" t="s">
        <v>469</v>
      </c>
      <c r="B329" t="s">
        <v>471</v>
      </c>
      <c r="C329" t="s">
        <v>58</v>
      </c>
      <c r="D329" t="s">
        <v>150</v>
      </c>
      <c r="E329" s="69">
        <v>25</v>
      </c>
      <c r="F329" s="69">
        <v>0</v>
      </c>
      <c r="G329" s="69">
        <v>0</v>
      </c>
      <c r="H329" t="s">
        <v>2574</v>
      </c>
      <c r="I329" s="69">
        <v>25</v>
      </c>
      <c r="J329">
        <f t="shared" si="5"/>
        <v>25</v>
      </c>
    </row>
    <row r="330" spans="1:10" x14ac:dyDescent="0.25">
      <c r="A330" t="s">
        <v>542</v>
      </c>
      <c r="B330" t="s">
        <v>544</v>
      </c>
      <c r="C330" t="s">
        <v>58</v>
      </c>
      <c r="D330" t="s">
        <v>150</v>
      </c>
      <c r="E330" s="69">
        <v>21</v>
      </c>
      <c r="F330" s="69">
        <v>0</v>
      </c>
      <c r="G330" s="69">
        <v>4</v>
      </c>
      <c r="H330" t="s">
        <v>2574</v>
      </c>
      <c r="I330" s="69">
        <v>25</v>
      </c>
      <c r="J330">
        <f t="shared" si="5"/>
        <v>21</v>
      </c>
    </row>
    <row r="331" spans="1:10" x14ac:dyDescent="0.25">
      <c r="A331" t="s">
        <v>42</v>
      </c>
      <c r="B331" t="s">
        <v>43</v>
      </c>
      <c r="C331" t="s">
        <v>58</v>
      </c>
      <c r="D331" t="s">
        <v>1</v>
      </c>
      <c r="E331" s="69">
        <v>14</v>
      </c>
      <c r="F331" s="69">
        <v>2</v>
      </c>
      <c r="G331" s="69">
        <v>15</v>
      </c>
      <c r="H331" t="s">
        <v>2573</v>
      </c>
      <c r="I331" s="69">
        <v>25</v>
      </c>
      <c r="J331">
        <f t="shared" si="5"/>
        <v>10</v>
      </c>
    </row>
    <row r="332" spans="1:10" x14ac:dyDescent="0.25">
      <c r="A332" t="s">
        <v>177</v>
      </c>
      <c r="B332" t="s">
        <v>179</v>
      </c>
      <c r="C332" t="s">
        <v>58</v>
      </c>
      <c r="D332" t="s">
        <v>59</v>
      </c>
      <c r="E332" s="69">
        <v>27</v>
      </c>
      <c r="F332" s="69">
        <v>4</v>
      </c>
      <c r="G332" s="69">
        <v>5</v>
      </c>
      <c r="H332" t="s">
        <v>2574</v>
      </c>
      <c r="I332" s="69">
        <v>24</v>
      </c>
      <c r="J332">
        <f t="shared" si="5"/>
        <v>19</v>
      </c>
    </row>
    <row r="333" spans="1:10" x14ac:dyDescent="0.25">
      <c r="A333" t="s">
        <v>481</v>
      </c>
      <c r="B333" t="s">
        <v>483</v>
      </c>
      <c r="C333" t="s">
        <v>58</v>
      </c>
      <c r="D333" t="s">
        <v>150</v>
      </c>
      <c r="E333" s="69">
        <v>0</v>
      </c>
      <c r="F333" s="69">
        <v>0</v>
      </c>
      <c r="G333" s="69">
        <v>24</v>
      </c>
      <c r="H333" t="s">
        <v>2574</v>
      </c>
      <c r="I333" s="69">
        <v>24</v>
      </c>
      <c r="J333">
        <f t="shared" si="5"/>
        <v>0</v>
      </c>
    </row>
    <row r="334" spans="1:10" x14ac:dyDescent="0.25">
      <c r="A334" t="s">
        <v>350</v>
      </c>
      <c r="B334" t="s">
        <v>352</v>
      </c>
      <c r="C334" t="s">
        <v>58</v>
      </c>
      <c r="D334" t="s">
        <v>150</v>
      </c>
      <c r="E334" s="69">
        <v>27</v>
      </c>
      <c r="F334" s="69">
        <v>0</v>
      </c>
      <c r="G334" s="69">
        <v>2</v>
      </c>
      <c r="H334" t="s">
        <v>2573</v>
      </c>
      <c r="I334" s="69">
        <v>24</v>
      </c>
      <c r="J334">
        <f t="shared" si="5"/>
        <v>22</v>
      </c>
    </row>
    <row r="335" spans="1:10" x14ac:dyDescent="0.25">
      <c r="A335" t="s">
        <v>1334</v>
      </c>
      <c r="B335" t="s">
        <v>1336</v>
      </c>
      <c r="C335" t="s">
        <v>58</v>
      </c>
      <c r="D335" t="s">
        <v>304</v>
      </c>
      <c r="E335" s="69">
        <v>23</v>
      </c>
      <c r="F335" s="69">
        <v>0</v>
      </c>
      <c r="G335" s="69">
        <v>1</v>
      </c>
      <c r="H335" t="s">
        <v>2574</v>
      </c>
      <c r="I335" s="69">
        <v>24</v>
      </c>
      <c r="J335">
        <f t="shared" si="5"/>
        <v>23</v>
      </c>
    </row>
    <row r="336" spans="1:10" x14ac:dyDescent="0.25">
      <c r="A336" t="s">
        <v>1817</v>
      </c>
      <c r="B336" t="s">
        <v>1819</v>
      </c>
      <c r="C336" t="s">
        <v>58</v>
      </c>
      <c r="D336" t="s">
        <v>167</v>
      </c>
      <c r="E336" s="69">
        <v>23</v>
      </c>
      <c r="F336" s="69">
        <v>0</v>
      </c>
      <c r="G336" s="69">
        <v>0</v>
      </c>
      <c r="H336" t="s">
        <v>2574</v>
      </c>
      <c r="I336" s="69">
        <v>23</v>
      </c>
      <c r="J336">
        <f t="shared" si="5"/>
        <v>23</v>
      </c>
    </row>
    <row r="337" spans="1:10" x14ac:dyDescent="0.25">
      <c r="A337" t="s">
        <v>1702</v>
      </c>
      <c r="B337" t="s">
        <v>1704</v>
      </c>
      <c r="C337" t="s">
        <v>58</v>
      </c>
      <c r="D337" t="s">
        <v>167</v>
      </c>
      <c r="E337" s="69">
        <v>36</v>
      </c>
      <c r="F337" s="69">
        <v>9</v>
      </c>
      <c r="G337" s="69">
        <v>6</v>
      </c>
      <c r="H337" t="s">
        <v>2574</v>
      </c>
      <c r="I337" s="69">
        <v>23</v>
      </c>
      <c r="J337">
        <f t="shared" si="5"/>
        <v>17</v>
      </c>
    </row>
    <row r="338" spans="1:10" x14ac:dyDescent="0.25">
      <c r="A338" t="s">
        <v>1498</v>
      </c>
      <c r="B338" t="s">
        <v>1500</v>
      </c>
      <c r="C338" t="s">
        <v>58</v>
      </c>
      <c r="D338" t="s">
        <v>167</v>
      </c>
      <c r="E338" s="69">
        <v>16</v>
      </c>
      <c r="F338" s="69">
        <v>1</v>
      </c>
      <c r="G338" s="69">
        <v>10</v>
      </c>
      <c r="H338" t="s">
        <v>2573</v>
      </c>
      <c r="I338" s="69">
        <v>23</v>
      </c>
      <c r="J338">
        <f t="shared" si="5"/>
        <v>13</v>
      </c>
    </row>
    <row r="339" spans="1:10" x14ac:dyDescent="0.25">
      <c r="A339" t="s">
        <v>1130</v>
      </c>
      <c r="B339" t="s">
        <v>1132</v>
      </c>
      <c r="C339" t="s">
        <v>58</v>
      </c>
      <c r="D339" t="s">
        <v>150</v>
      </c>
      <c r="E339" s="69">
        <v>22</v>
      </c>
      <c r="F339" s="69">
        <v>2</v>
      </c>
      <c r="G339" s="69">
        <v>6</v>
      </c>
      <c r="H339" t="s">
        <v>2574</v>
      </c>
      <c r="I339" s="69">
        <v>23</v>
      </c>
      <c r="J339">
        <f t="shared" si="5"/>
        <v>17</v>
      </c>
    </row>
    <row r="340" spans="1:10" x14ac:dyDescent="0.25">
      <c r="A340" t="s">
        <v>1491</v>
      </c>
      <c r="B340" t="s">
        <v>1493</v>
      </c>
      <c r="C340" t="s">
        <v>58</v>
      </c>
      <c r="D340" t="s">
        <v>150</v>
      </c>
      <c r="E340" s="69">
        <v>21</v>
      </c>
      <c r="F340" s="69">
        <v>5</v>
      </c>
      <c r="G340" s="69">
        <v>11</v>
      </c>
      <c r="H340" t="s">
        <v>2574</v>
      </c>
      <c r="I340" s="69">
        <v>23</v>
      </c>
      <c r="J340">
        <f t="shared" si="5"/>
        <v>12</v>
      </c>
    </row>
    <row r="341" spans="1:10" x14ac:dyDescent="0.25">
      <c r="A341" t="s">
        <v>1212</v>
      </c>
      <c r="B341" t="s">
        <v>1214</v>
      </c>
      <c r="C341" t="s">
        <v>58</v>
      </c>
      <c r="D341" t="s">
        <v>150</v>
      </c>
      <c r="E341" s="69">
        <v>13</v>
      </c>
      <c r="F341" s="69">
        <v>0</v>
      </c>
      <c r="G341" s="69">
        <v>10</v>
      </c>
      <c r="H341" t="s">
        <v>2573</v>
      </c>
      <c r="I341" s="69">
        <v>23</v>
      </c>
      <c r="J341">
        <f t="shared" si="5"/>
        <v>13</v>
      </c>
    </row>
    <row r="342" spans="1:10" x14ac:dyDescent="0.25">
      <c r="A342" t="s">
        <v>1364</v>
      </c>
      <c r="B342" t="s">
        <v>1366</v>
      </c>
      <c r="C342" t="s">
        <v>58</v>
      </c>
      <c r="D342" t="s">
        <v>304</v>
      </c>
      <c r="E342" s="69">
        <v>14</v>
      </c>
      <c r="F342" s="69">
        <v>0</v>
      </c>
      <c r="G342" s="69">
        <v>9</v>
      </c>
      <c r="H342" t="s">
        <v>2573</v>
      </c>
      <c r="I342" s="69">
        <v>23</v>
      </c>
      <c r="J342">
        <f t="shared" si="5"/>
        <v>14</v>
      </c>
    </row>
    <row r="343" spans="1:10" x14ac:dyDescent="0.25">
      <c r="A343" t="s">
        <v>1100</v>
      </c>
      <c r="B343" t="s">
        <v>1102</v>
      </c>
      <c r="C343" t="s">
        <v>58</v>
      </c>
      <c r="D343" t="s">
        <v>59</v>
      </c>
      <c r="E343" s="69">
        <v>21</v>
      </c>
      <c r="F343" s="69">
        <v>0</v>
      </c>
      <c r="G343" s="69">
        <v>1</v>
      </c>
      <c r="H343" t="s">
        <v>2575</v>
      </c>
      <c r="I343" s="69">
        <v>22</v>
      </c>
      <c r="J343">
        <f t="shared" si="5"/>
        <v>21</v>
      </c>
    </row>
    <row r="344" spans="1:10" x14ac:dyDescent="0.25">
      <c r="A344" t="s">
        <v>884</v>
      </c>
      <c r="B344" t="s">
        <v>886</v>
      </c>
      <c r="C344" t="s">
        <v>58</v>
      </c>
      <c r="D344" t="s">
        <v>59</v>
      </c>
      <c r="E344" s="69">
        <v>21</v>
      </c>
      <c r="F344" s="69">
        <v>0</v>
      </c>
      <c r="G344" s="69">
        <v>1</v>
      </c>
      <c r="H344" t="s">
        <v>2575</v>
      </c>
      <c r="I344" s="69">
        <v>22</v>
      </c>
      <c r="J344">
        <f t="shared" si="5"/>
        <v>21</v>
      </c>
    </row>
    <row r="345" spans="1:10" x14ac:dyDescent="0.25">
      <c r="A345" t="s">
        <v>1324</v>
      </c>
      <c r="B345" t="s">
        <v>1326</v>
      </c>
      <c r="C345" t="s">
        <v>58</v>
      </c>
      <c r="D345" t="s">
        <v>59</v>
      </c>
      <c r="E345" s="69">
        <v>0</v>
      </c>
      <c r="F345" s="69">
        <v>1</v>
      </c>
      <c r="G345" s="69">
        <v>21</v>
      </c>
      <c r="H345" t="s">
        <v>2574</v>
      </c>
      <c r="I345" s="69">
        <v>22</v>
      </c>
      <c r="J345">
        <f t="shared" si="5"/>
        <v>1</v>
      </c>
    </row>
    <row r="346" spans="1:10" x14ac:dyDescent="0.25">
      <c r="A346" t="s">
        <v>1513</v>
      </c>
      <c r="B346" t="s">
        <v>1515</v>
      </c>
      <c r="C346" t="s">
        <v>58</v>
      </c>
      <c r="D346" t="s">
        <v>59</v>
      </c>
      <c r="E346" s="69">
        <v>0</v>
      </c>
      <c r="F346" s="69">
        <v>1</v>
      </c>
      <c r="G346" s="69">
        <v>21</v>
      </c>
      <c r="H346" t="s">
        <v>2574</v>
      </c>
      <c r="I346" s="69">
        <v>22</v>
      </c>
      <c r="J346">
        <f t="shared" si="5"/>
        <v>1</v>
      </c>
    </row>
    <row r="347" spans="1:10" x14ac:dyDescent="0.25">
      <c r="A347" t="s">
        <v>803</v>
      </c>
      <c r="B347" t="s">
        <v>805</v>
      </c>
      <c r="C347" t="s">
        <v>58</v>
      </c>
      <c r="D347" t="s">
        <v>59</v>
      </c>
      <c r="E347" s="69">
        <v>21</v>
      </c>
      <c r="F347" s="69">
        <v>0</v>
      </c>
      <c r="G347" s="69">
        <v>1</v>
      </c>
      <c r="H347" t="s">
        <v>2573</v>
      </c>
      <c r="I347" s="69">
        <v>22</v>
      </c>
      <c r="J347">
        <f t="shared" si="5"/>
        <v>21</v>
      </c>
    </row>
    <row r="348" spans="1:10" x14ac:dyDescent="0.25">
      <c r="A348" t="s">
        <v>1625</v>
      </c>
      <c r="B348" t="s">
        <v>1627</v>
      </c>
      <c r="C348" t="s">
        <v>58</v>
      </c>
      <c r="D348" t="s">
        <v>59</v>
      </c>
      <c r="E348" s="69">
        <v>23</v>
      </c>
      <c r="F348" s="69">
        <v>1</v>
      </c>
      <c r="G348" s="69">
        <v>8</v>
      </c>
      <c r="H348" t="s">
        <v>2573</v>
      </c>
      <c r="I348" s="69">
        <v>22</v>
      </c>
      <c r="J348">
        <f t="shared" si="5"/>
        <v>14</v>
      </c>
    </row>
    <row r="349" spans="1:10" x14ac:dyDescent="0.25">
      <c r="A349" t="s">
        <v>1321</v>
      </c>
      <c r="B349" t="s">
        <v>1323</v>
      </c>
      <c r="C349" t="s">
        <v>58</v>
      </c>
      <c r="D349" t="s">
        <v>167</v>
      </c>
      <c r="E349" s="69">
        <v>16</v>
      </c>
      <c r="F349" s="69">
        <v>0</v>
      </c>
      <c r="G349" s="69">
        <v>6</v>
      </c>
      <c r="H349" t="s">
        <v>2574</v>
      </c>
      <c r="I349" s="69">
        <v>22</v>
      </c>
      <c r="J349">
        <f t="shared" si="5"/>
        <v>16</v>
      </c>
    </row>
    <row r="350" spans="1:10" x14ac:dyDescent="0.25">
      <c r="A350" t="s">
        <v>2373</v>
      </c>
      <c r="B350" t="s">
        <v>2374</v>
      </c>
      <c r="C350" t="s">
        <v>58</v>
      </c>
      <c r="D350" t="s">
        <v>203</v>
      </c>
      <c r="E350" s="69">
        <v>19</v>
      </c>
      <c r="F350" s="69">
        <v>2</v>
      </c>
      <c r="G350" s="69">
        <v>1</v>
      </c>
      <c r="H350" t="s">
        <v>2573</v>
      </c>
      <c r="I350" s="69">
        <v>22</v>
      </c>
      <c r="J350">
        <f t="shared" si="5"/>
        <v>21</v>
      </c>
    </row>
    <row r="351" spans="1:10" x14ac:dyDescent="0.25">
      <c r="A351" t="s">
        <v>356</v>
      </c>
      <c r="B351" t="s">
        <v>358</v>
      </c>
      <c r="C351" t="s">
        <v>58</v>
      </c>
      <c r="D351" t="s">
        <v>67</v>
      </c>
      <c r="E351" s="69">
        <v>33</v>
      </c>
      <c r="F351" s="69">
        <v>0</v>
      </c>
      <c r="G351" s="69">
        <v>1</v>
      </c>
      <c r="H351" t="s">
        <v>2574</v>
      </c>
      <c r="I351" s="69">
        <v>22</v>
      </c>
      <c r="J351">
        <f t="shared" si="5"/>
        <v>21</v>
      </c>
    </row>
    <row r="352" spans="1:10" x14ac:dyDescent="0.25">
      <c r="A352" t="s">
        <v>362</v>
      </c>
      <c r="B352" t="s">
        <v>364</v>
      </c>
      <c r="C352" t="s">
        <v>58</v>
      </c>
      <c r="D352" t="s">
        <v>67</v>
      </c>
      <c r="E352" s="69">
        <v>22</v>
      </c>
      <c r="F352" s="69">
        <v>0</v>
      </c>
      <c r="G352" s="69">
        <v>0</v>
      </c>
      <c r="H352" t="s">
        <v>2574</v>
      </c>
      <c r="I352" s="69">
        <v>22</v>
      </c>
      <c r="J352">
        <f t="shared" si="5"/>
        <v>22</v>
      </c>
    </row>
    <row r="353" spans="1:10" x14ac:dyDescent="0.25">
      <c r="A353" t="s">
        <v>1982</v>
      </c>
      <c r="B353" t="s">
        <v>1983</v>
      </c>
      <c r="C353" t="s">
        <v>58</v>
      </c>
      <c r="D353" t="s">
        <v>67</v>
      </c>
      <c r="E353" s="69">
        <v>20</v>
      </c>
      <c r="F353" s="69">
        <v>0</v>
      </c>
      <c r="G353" s="69">
        <v>5</v>
      </c>
      <c r="H353" t="s">
        <v>2573</v>
      </c>
      <c r="I353" s="69">
        <v>22</v>
      </c>
      <c r="J353">
        <f t="shared" si="5"/>
        <v>17</v>
      </c>
    </row>
    <row r="354" spans="1:10" x14ac:dyDescent="0.25">
      <c r="A354" t="s">
        <v>194</v>
      </c>
      <c r="B354" t="s">
        <v>196</v>
      </c>
      <c r="C354" t="s">
        <v>58</v>
      </c>
      <c r="D354" t="s">
        <v>150</v>
      </c>
      <c r="E354" s="69">
        <v>9</v>
      </c>
      <c r="F354" s="69">
        <v>6</v>
      </c>
      <c r="G354" s="69">
        <v>10</v>
      </c>
      <c r="H354" t="s">
        <v>2573</v>
      </c>
      <c r="I354" s="69">
        <v>22</v>
      </c>
      <c r="J354">
        <f t="shared" si="5"/>
        <v>12</v>
      </c>
    </row>
    <row r="355" spans="1:10" x14ac:dyDescent="0.25">
      <c r="A355" t="s">
        <v>677</v>
      </c>
      <c r="B355" t="s">
        <v>679</v>
      </c>
      <c r="C355" t="s">
        <v>58</v>
      </c>
      <c r="D355" t="s">
        <v>63</v>
      </c>
      <c r="E355" s="69">
        <v>13</v>
      </c>
      <c r="F355" s="69">
        <v>2</v>
      </c>
      <c r="G355" s="69">
        <v>7</v>
      </c>
      <c r="H355" t="s">
        <v>2574</v>
      </c>
      <c r="I355" s="69">
        <v>22</v>
      </c>
      <c r="J355">
        <f t="shared" si="5"/>
        <v>15</v>
      </c>
    </row>
    <row r="356" spans="1:10" x14ac:dyDescent="0.25">
      <c r="A356" t="s">
        <v>602</v>
      </c>
      <c r="B356" t="s">
        <v>604</v>
      </c>
      <c r="C356" t="s">
        <v>58</v>
      </c>
      <c r="D356" t="s">
        <v>375</v>
      </c>
      <c r="E356" s="69">
        <v>21</v>
      </c>
      <c r="F356" s="69">
        <v>0</v>
      </c>
      <c r="G356" s="69">
        <v>0</v>
      </c>
      <c r="H356" t="s">
        <v>2573</v>
      </c>
      <c r="I356" s="69">
        <v>21</v>
      </c>
      <c r="J356">
        <f t="shared" si="5"/>
        <v>21</v>
      </c>
    </row>
    <row r="357" spans="1:10" x14ac:dyDescent="0.25">
      <c r="A357" t="s">
        <v>1628</v>
      </c>
      <c r="B357" t="s">
        <v>1630</v>
      </c>
      <c r="C357" t="s">
        <v>58</v>
      </c>
      <c r="D357" t="s">
        <v>59</v>
      </c>
      <c r="E357" s="69">
        <v>23</v>
      </c>
      <c r="F357" s="69">
        <v>0</v>
      </c>
      <c r="G357" s="69">
        <v>8</v>
      </c>
      <c r="H357" t="s">
        <v>2575</v>
      </c>
      <c r="I357" s="69">
        <v>21</v>
      </c>
      <c r="J357">
        <f t="shared" si="5"/>
        <v>13</v>
      </c>
    </row>
    <row r="358" spans="1:10" x14ac:dyDescent="0.25">
      <c r="A358" t="s">
        <v>1685</v>
      </c>
      <c r="B358" t="s">
        <v>1687</v>
      </c>
      <c r="C358" t="s">
        <v>58</v>
      </c>
      <c r="D358" t="s">
        <v>167</v>
      </c>
      <c r="E358" s="69">
        <v>28</v>
      </c>
      <c r="F358" s="69">
        <v>1</v>
      </c>
      <c r="G358" s="69">
        <v>15</v>
      </c>
      <c r="H358" t="s">
        <v>2574</v>
      </c>
      <c r="I358" s="69">
        <v>21</v>
      </c>
      <c r="J358">
        <f t="shared" si="5"/>
        <v>6</v>
      </c>
    </row>
    <row r="359" spans="1:10" x14ac:dyDescent="0.25">
      <c r="A359" t="s">
        <v>268</v>
      </c>
      <c r="B359" t="s">
        <v>270</v>
      </c>
      <c r="C359" t="s">
        <v>58</v>
      </c>
      <c r="D359" t="s">
        <v>167</v>
      </c>
      <c r="E359" s="69">
        <v>20</v>
      </c>
      <c r="F359" s="69">
        <v>12</v>
      </c>
      <c r="G359" s="69">
        <v>16</v>
      </c>
      <c r="H359" t="s">
        <v>2575</v>
      </c>
      <c r="I359" s="69">
        <v>21</v>
      </c>
      <c r="J359">
        <f t="shared" si="5"/>
        <v>5</v>
      </c>
    </row>
    <row r="360" spans="1:10" x14ac:dyDescent="0.25">
      <c r="A360" t="s">
        <v>1386</v>
      </c>
      <c r="B360" t="s">
        <v>1387</v>
      </c>
      <c r="C360" t="s">
        <v>58</v>
      </c>
      <c r="D360" t="s">
        <v>167</v>
      </c>
      <c r="E360" s="69">
        <v>23</v>
      </c>
      <c r="F360" s="69">
        <v>0</v>
      </c>
      <c r="G360" s="69">
        <v>2</v>
      </c>
      <c r="H360" t="s">
        <v>2573</v>
      </c>
      <c r="I360" s="69">
        <v>21</v>
      </c>
      <c r="J360">
        <f t="shared" si="5"/>
        <v>19</v>
      </c>
    </row>
    <row r="361" spans="1:10" x14ac:dyDescent="0.25">
      <c r="A361" t="s">
        <v>1391</v>
      </c>
      <c r="B361" t="s">
        <v>1393</v>
      </c>
      <c r="C361" t="s">
        <v>58</v>
      </c>
      <c r="D361" t="s">
        <v>167</v>
      </c>
      <c r="E361" s="69">
        <v>9</v>
      </c>
      <c r="F361" s="69">
        <v>2</v>
      </c>
      <c r="G361" s="69">
        <v>13</v>
      </c>
      <c r="H361" t="s">
        <v>2573</v>
      </c>
      <c r="I361" s="69">
        <v>21</v>
      </c>
      <c r="J361">
        <f t="shared" si="5"/>
        <v>8</v>
      </c>
    </row>
    <row r="362" spans="1:10" x14ac:dyDescent="0.25">
      <c r="A362" t="s">
        <v>905</v>
      </c>
      <c r="B362" t="s">
        <v>907</v>
      </c>
      <c r="C362" t="s">
        <v>58</v>
      </c>
      <c r="D362" t="s">
        <v>160</v>
      </c>
      <c r="E362" s="69">
        <v>25</v>
      </c>
      <c r="F362" s="69">
        <v>3</v>
      </c>
      <c r="G362" s="69">
        <v>10</v>
      </c>
      <c r="H362" t="s">
        <v>2574</v>
      </c>
      <c r="I362" s="69">
        <v>21</v>
      </c>
      <c r="J362">
        <f t="shared" si="5"/>
        <v>11</v>
      </c>
    </row>
    <row r="363" spans="1:10" x14ac:dyDescent="0.25">
      <c r="A363" t="s">
        <v>1604</v>
      </c>
      <c r="B363" t="s">
        <v>1606</v>
      </c>
      <c r="C363" t="s">
        <v>58</v>
      </c>
      <c r="D363" t="s">
        <v>160</v>
      </c>
      <c r="E363" s="69">
        <v>5</v>
      </c>
      <c r="F363" s="69">
        <v>10</v>
      </c>
      <c r="G363" s="69">
        <v>7</v>
      </c>
      <c r="H363" t="s">
        <v>2573</v>
      </c>
      <c r="I363" s="69">
        <v>21</v>
      </c>
      <c r="J363">
        <f t="shared" si="5"/>
        <v>14</v>
      </c>
    </row>
    <row r="364" spans="1:10" x14ac:dyDescent="0.25">
      <c r="A364" t="s">
        <v>1907</v>
      </c>
      <c r="B364" t="s">
        <v>1909</v>
      </c>
      <c r="C364" t="s">
        <v>58</v>
      </c>
      <c r="D364" t="s">
        <v>160</v>
      </c>
      <c r="E364" s="69">
        <v>6</v>
      </c>
      <c r="F364" s="69">
        <v>14</v>
      </c>
      <c r="G364" s="69">
        <v>1</v>
      </c>
      <c r="H364" t="s">
        <v>2573</v>
      </c>
      <c r="I364" s="69">
        <v>21</v>
      </c>
      <c r="J364">
        <f t="shared" si="5"/>
        <v>20</v>
      </c>
    </row>
    <row r="365" spans="1:10" x14ac:dyDescent="0.25">
      <c r="A365" t="s">
        <v>26</v>
      </c>
      <c r="B365" t="s">
        <v>27</v>
      </c>
      <c r="C365" t="s">
        <v>58</v>
      </c>
      <c r="D365" t="s">
        <v>1</v>
      </c>
      <c r="E365" s="69">
        <v>14</v>
      </c>
      <c r="F365" s="69">
        <v>2</v>
      </c>
      <c r="G365" s="69">
        <v>9</v>
      </c>
      <c r="H365" t="s">
        <v>2573</v>
      </c>
      <c r="I365" s="69">
        <v>21</v>
      </c>
      <c r="J365">
        <f t="shared" si="5"/>
        <v>12</v>
      </c>
    </row>
    <row r="366" spans="1:10" x14ac:dyDescent="0.25">
      <c r="A366" t="s">
        <v>1085</v>
      </c>
      <c r="B366" t="s">
        <v>1087</v>
      </c>
      <c r="C366" t="s">
        <v>58</v>
      </c>
      <c r="D366" t="s">
        <v>375</v>
      </c>
      <c r="E366" s="69">
        <v>28</v>
      </c>
      <c r="F366" s="69">
        <v>0</v>
      </c>
      <c r="G366" s="69">
        <v>4</v>
      </c>
      <c r="H366" t="s">
        <v>2573</v>
      </c>
      <c r="I366" s="69">
        <v>20</v>
      </c>
      <c r="J366">
        <f t="shared" si="5"/>
        <v>16</v>
      </c>
    </row>
    <row r="367" spans="1:10" x14ac:dyDescent="0.25">
      <c r="A367" t="s">
        <v>274</v>
      </c>
      <c r="B367" t="s">
        <v>276</v>
      </c>
      <c r="C367" t="s">
        <v>58</v>
      </c>
      <c r="D367" t="s">
        <v>167</v>
      </c>
      <c r="E367" s="69">
        <v>16</v>
      </c>
      <c r="F367" s="69">
        <v>0</v>
      </c>
      <c r="G367" s="69">
        <v>4</v>
      </c>
      <c r="H367" t="s">
        <v>2575</v>
      </c>
      <c r="I367" s="69">
        <v>20</v>
      </c>
      <c r="J367">
        <f t="shared" si="5"/>
        <v>16</v>
      </c>
    </row>
    <row r="368" spans="1:10" x14ac:dyDescent="0.25">
      <c r="A368" t="s">
        <v>1507</v>
      </c>
      <c r="B368" t="s">
        <v>1509</v>
      </c>
      <c r="C368" t="s">
        <v>58</v>
      </c>
      <c r="D368" t="s">
        <v>167</v>
      </c>
      <c r="E368" s="69">
        <v>10</v>
      </c>
      <c r="F368" s="69">
        <v>8</v>
      </c>
      <c r="G368" s="69">
        <v>8</v>
      </c>
      <c r="H368" t="s">
        <v>2573</v>
      </c>
      <c r="I368" s="69">
        <v>20</v>
      </c>
      <c r="J368">
        <f t="shared" si="5"/>
        <v>12</v>
      </c>
    </row>
    <row r="369" spans="1:10" x14ac:dyDescent="0.25">
      <c r="A369" t="s">
        <v>1504</v>
      </c>
      <c r="B369" t="s">
        <v>1506</v>
      </c>
      <c r="C369" t="s">
        <v>58</v>
      </c>
      <c r="D369" t="s">
        <v>167</v>
      </c>
      <c r="E369" s="69">
        <v>10</v>
      </c>
      <c r="F369" s="69">
        <v>8</v>
      </c>
      <c r="G369" s="69">
        <v>8</v>
      </c>
      <c r="H369" t="s">
        <v>2573</v>
      </c>
      <c r="I369" s="69">
        <v>20</v>
      </c>
      <c r="J369">
        <f t="shared" si="5"/>
        <v>12</v>
      </c>
    </row>
    <row r="370" spans="1:10" x14ac:dyDescent="0.25">
      <c r="A370" t="s">
        <v>1109</v>
      </c>
      <c r="B370" t="s">
        <v>1111</v>
      </c>
      <c r="C370" t="s">
        <v>58</v>
      </c>
      <c r="D370" t="s">
        <v>203</v>
      </c>
      <c r="E370" s="69">
        <v>18</v>
      </c>
      <c r="F370" s="69">
        <v>2</v>
      </c>
      <c r="G370" s="69">
        <v>0</v>
      </c>
      <c r="H370" t="s">
        <v>2573</v>
      </c>
      <c r="I370" s="69">
        <v>20</v>
      </c>
      <c r="J370">
        <f t="shared" si="5"/>
        <v>20</v>
      </c>
    </row>
    <row r="371" spans="1:10" x14ac:dyDescent="0.25">
      <c r="A371" t="s">
        <v>2580</v>
      </c>
      <c r="B371" t="s">
        <v>959</v>
      </c>
      <c r="C371" t="s">
        <v>58</v>
      </c>
      <c r="D371" t="s">
        <v>203</v>
      </c>
      <c r="E371" s="69">
        <v>31</v>
      </c>
      <c r="F371" s="69">
        <v>26</v>
      </c>
      <c r="G371" s="69">
        <v>13</v>
      </c>
      <c r="H371" t="s">
        <v>2573</v>
      </c>
      <c r="I371" s="69">
        <v>20</v>
      </c>
      <c r="J371">
        <f t="shared" si="5"/>
        <v>7</v>
      </c>
    </row>
    <row r="372" spans="1:10" x14ac:dyDescent="0.25">
      <c r="A372" t="s">
        <v>1967</v>
      </c>
      <c r="B372" t="s">
        <v>70</v>
      </c>
      <c r="C372" t="s">
        <v>58</v>
      </c>
      <c r="D372" t="s">
        <v>67</v>
      </c>
      <c r="E372" s="69">
        <v>20</v>
      </c>
      <c r="F372" s="69">
        <v>0</v>
      </c>
      <c r="G372" s="69">
        <v>0</v>
      </c>
      <c r="H372" t="s">
        <v>2574</v>
      </c>
      <c r="I372" s="69">
        <v>20</v>
      </c>
      <c r="J372">
        <f t="shared" si="5"/>
        <v>20</v>
      </c>
    </row>
    <row r="373" spans="1:10" x14ac:dyDescent="0.25">
      <c r="A373" t="s">
        <v>1124</v>
      </c>
      <c r="B373" t="s">
        <v>1126</v>
      </c>
      <c r="C373" t="s">
        <v>58</v>
      </c>
      <c r="D373" t="s">
        <v>150</v>
      </c>
      <c r="E373" s="69">
        <v>20</v>
      </c>
      <c r="F373" s="69">
        <v>0</v>
      </c>
      <c r="G373" s="69">
        <v>0</v>
      </c>
      <c r="H373" t="s">
        <v>2574</v>
      </c>
      <c r="I373" s="69">
        <v>20</v>
      </c>
      <c r="J373">
        <f t="shared" si="5"/>
        <v>20</v>
      </c>
    </row>
    <row r="374" spans="1:10" x14ac:dyDescent="0.25">
      <c r="A374" t="s">
        <v>912</v>
      </c>
      <c r="B374" t="s">
        <v>914</v>
      </c>
      <c r="C374" t="s">
        <v>58</v>
      </c>
      <c r="D374" t="s">
        <v>150</v>
      </c>
      <c r="E374" s="69">
        <v>13</v>
      </c>
      <c r="F374" s="69">
        <v>0</v>
      </c>
      <c r="G374" s="69">
        <v>7</v>
      </c>
      <c r="H374" t="s">
        <v>2573</v>
      </c>
      <c r="I374" s="69">
        <v>20</v>
      </c>
      <c r="J374">
        <f t="shared" si="5"/>
        <v>13</v>
      </c>
    </row>
    <row r="375" spans="1:10" x14ac:dyDescent="0.25">
      <c r="A375" t="s">
        <v>219</v>
      </c>
      <c r="B375" t="s">
        <v>221</v>
      </c>
      <c r="C375" t="s">
        <v>58</v>
      </c>
      <c r="D375" t="s">
        <v>150</v>
      </c>
      <c r="E375" s="69">
        <v>16</v>
      </c>
      <c r="F375" s="69">
        <v>0</v>
      </c>
      <c r="G375" s="69">
        <v>5</v>
      </c>
      <c r="H375" t="s">
        <v>2573</v>
      </c>
      <c r="I375" s="69">
        <v>20</v>
      </c>
      <c r="J375">
        <f t="shared" si="5"/>
        <v>15</v>
      </c>
    </row>
    <row r="376" spans="1:10" x14ac:dyDescent="0.25">
      <c r="A376" t="s">
        <v>569</v>
      </c>
      <c r="B376" t="s">
        <v>571</v>
      </c>
      <c r="C376" t="s">
        <v>58</v>
      </c>
      <c r="D376" t="s">
        <v>150</v>
      </c>
      <c r="E376" s="69">
        <v>16</v>
      </c>
      <c r="F376" s="69">
        <v>0</v>
      </c>
      <c r="G376" s="69">
        <v>4</v>
      </c>
      <c r="H376" t="s">
        <v>2573</v>
      </c>
      <c r="I376" s="69">
        <v>20</v>
      </c>
      <c r="J376">
        <f t="shared" si="5"/>
        <v>16</v>
      </c>
    </row>
    <row r="377" spans="1:10" x14ac:dyDescent="0.25">
      <c r="A377" t="s">
        <v>776</v>
      </c>
      <c r="B377" t="s">
        <v>778</v>
      </c>
      <c r="C377" t="s">
        <v>58</v>
      </c>
      <c r="D377" t="s">
        <v>187</v>
      </c>
      <c r="E377" s="69">
        <v>14</v>
      </c>
      <c r="F377" s="69">
        <v>6</v>
      </c>
      <c r="G377" s="69">
        <v>0</v>
      </c>
      <c r="H377" t="s">
        <v>2574</v>
      </c>
      <c r="I377" s="69">
        <v>20</v>
      </c>
      <c r="J377">
        <f t="shared" si="5"/>
        <v>20</v>
      </c>
    </row>
    <row r="378" spans="1:10" x14ac:dyDescent="0.25">
      <c r="A378" t="s">
        <v>1032</v>
      </c>
      <c r="B378" t="s">
        <v>1034</v>
      </c>
      <c r="C378" t="s">
        <v>58</v>
      </c>
      <c r="D378" t="s">
        <v>167</v>
      </c>
      <c r="E378" s="69">
        <v>6</v>
      </c>
      <c r="F378" s="69">
        <v>8</v>
      </c>
      <c r="G378" s="69">
        <v>6</v>
      </c>
      <c r="H378" t="s">
        <v>2573</v>
      </c>
      <c r="I378" s="69">
        <v>19</v>
      </c>
      <c r="J378">
        <f t="shared" si="5"/>
        <v>13</v>
      </c>
    </row>
    <row r="379" spans="1:10" x14ac:dyDescent="0.25">
      <c r="A379" t="s">
        <v>911</v>
      </c>
      <c r="B379" t="s">
        <v>910</v>
      </c>
      <c r="C379" t="s">
        <v>58</v>
      </c>
      <c r="D379" t="s">
        <v>160</v>
      </c>
      <c r="E379" s="69">
        <v>10</v>
      </c>
      <c r="F379" s="69">
        <v>0</v>
      </c>
      <c r="G379" s="69">
        <v>10</v>
      </c>
      <c r="H379" t="s">
        <v>2574</v>
      </c>
      <c r="I379" s="69">
        <v>19</v>
      </c>
      <c r="J379">
        <f t="shared" si="5"/>
        <v>9</v>
      </c>
    </row>
    <row r="380" spans="1:10" x14ac:dyDescent="0.25">
      <c r="A380" t="s">
        <v>1542</v>
      </c>
      <c r="B380" t="s">
        <v>1544</v>
      </c>
      <c r="C380" t="s">
        <v>58</v>
      </c>
      <c r="D380" t="s">
        <v>150</v>
      </c>
      <c r="E380" s="69">
        <v>0</v>
      </c>
      <c r="F380" s="69">
        <v>0</v>
      </c>
      <c r="G380" s="69">
        <v>19</v>
      </c>
      <c r="H380" t="s">
        <v>2574</v>
      </c>
      <c r="I380" s="69">
        <v>19</v>
      </c>
      <c r="J380">
        <f t="shared" si="5"/>
        <v>0</v>
      </c>
    </row>
    <row r="381" spans="1:10" x14ac:dyDescent="0.25">
      <c r="A381" t="s">
        <v>1575</v>
      </c>
      <c r="B381" t="s">
        <v>1577</v>
      </c>
      <c r="C381" t="s">
        <v>58</v>
      </c>
      <c r="D381" t="s">
        <v>59</v>
      </c>
      <c r="E381" s="69">
        <v>22</v>
      </c>
      <c r="F381" s="69">
        <v>0</v>
      </c>
      <c r="G381" s="69">
        <v>8</v>
      </c>
      <c r="H381" t="s">
        <v>2574</v>
      </c>
      <c r="I381" s="69">
        <v>18</v>
      </c>
      <c r="J381">
        <f t="shared" si="5"/>
        <v>10</v>
      </c>
    </row>
    <row r="382" spans="1:10" x14ac:dyDescent="0.25">
      <c r="A382" t="s">
        <v>1879</v>
      </c>
      <c r="B382" t="s">
        <v>1881</v>
      </c>
      <c r="C382" t="s">
        <v>58</v>
      </c>
      <c r="D382" t="s">
        <v>59</v>
      </c>
      <c r="E382" s="69">
        <v>7</v>
      </c>
      <c r="F382" s="69">
        <v>0</v>
      </c>
      <c r="G382" s="69">
        <v>11</v>
      </c>
      <c r="H382" t="s">
        <v>2573</v>
      </c>
      <c r="I382" s="69">
        <v>18</v>
      </c>
      <c r="J382">
        <f t="shared" si="5"/>
        <v>7</v>
      </c>
    </row>
    <row r="383" spans="1:10" x14ac:dyDescent="0.25">
      <c r="A383" t="s">
        <v>1923</v>
      </c>
      <c r="B383" t="s">
        <v>1925</v>
      </c>
      <c r="C383" t="s">
        <v>58</v>
      </c>
      <c r="D383" t="s">
        <v>160</v>
      </c>
      <c r="E383" s="69">
        <v>3</v>
      </c>
      <c r="F383" s="69">
        <v>12</v>
      </c>
      <c r="G383" s="69">
        <v>4</v>
      </c>
      <c r="H383" t="s">
        <v>2573</v>
      </c>
      <c r="I383" s="69">
        <v>18</v>
      </c>
      <c r="J383">
        <f t="shared" si="5"/>
        <v>14</v>
      </c>
    </row>
    <row r="384" spans="1:10" x14ac:dyDescent="0.25">
      <c r="A384" t="s">
        <v>924</v>
      </c>
      <c r="B384" t="s">
        <v>926</v>
      </c>
      <c r="C384" t="s">
        <v>58</v>
      </c>
      <c r="D384" t="s">
        <v>150</v>
      </c>
      <c r="E384" s="69">
        <v>13</v>
      </c>
      <c r="F384" s="69">
        <v>0</v>
      </c>
      <c r="G384" s="69">
        <v>5</v>
      </c>
      <c r="H384" t="s">
        <v>2573</v>
      </c>
      <c r="I384" s="69">
        <v>18</v>
      </c>
      <c r="J384">
        <f t="shared" si="5"/>
        <v>13</v>
      </c>
    </row>
    <row r="385" spans="1:10" x14ac:dyDescent="0.25">
      <c r="A385" t="s">
        <v>1203</v>
      </c>
      <c r="B385" t="s">
        <v>1205</v>
      </c>
      <c r="C385" t="s">
        <v>58</v>
      </c>
      <c r="D385" t="s">
        <v>150</v>
      </c>
      <c r="E385" s="69">
        <v>13</v>
      </c>
      <c r="F385" s="69">
        <v>0</v>
      </c>
      <c r="G385" s="69">
        <v>5</v>
      </c>
      <c r="H385" t="s">
        <v>2573</v>
      </c>
      <c r="I385" s="69">
        <v>18</v>
      </c>
      <c r="J385">
        <f t="shared" si="5"/>
        <v>13</v>
      </c>
    </row>
    <row r="386" spans="1:10" x14ac:dyDescent="0.25">
      <c r="A386" t="s">
        <v>748</v>
      </c>
      <c r="B386" t="s">
        <v>750</v>
      </c>
      <c r="C386" t="s">
        <v>58</v>
      </c>
      <c r="D386" t="s">
        <v>167</v>
      </c>
      <c r="E386" s="69">
        <v>12</v>
      </c>
      <c r="F386" s="69">
        <v>0</v>
      </c>
      <c r="G386" s="69">
        <v>5</v>
      </c>
      <c r="H386" t="s">
        <v>2575</v>
      </c>
      <c r="I386" s="69">
        <v>17</v>
      </c>
      <c r="J386">
        <f t="shared" si="5"/>
        <v>12</v>
      </c>
    </row>
    <row r="387" spans="1:10" x14ac:dyDescent="0.25">
      <c r="A387" t="s">
        <v>2401</v>
      </c>
      <c r="B387" t="s">
        <v>2402</v>
      </c>
      <c r="C387" t="s">
        <v>58</v>
      </c>
      <c r="D387" t="s">
        <v>160</v>
      </c>
      <c r="E387" s="69">
        <v>9</v>
      </c>
      <c r="F387" s="69">
        <v>7</v>
      </c>
      <c r="G387" s="69">
        <v>1</v>
      </c>
      <c r="H387" t="s">
        <v>2574</v>
      </c>
      <c r="I387" s="69">
        <v>17</v>
      </c>
      <c r="J387">
        <f t="shared" ref="J387:J450" si="6">I387-G387</f>
        <v>16</v>
      </c>
    </row>
    <row r="388" spans="1:10" x14ac:dyDescent="0.25">
      <c r="A388" t="s">
        <v>2241</v>
      </c>
      <c r="B388" t="s">
        <v>2242</v>
      </c>
      <c r="C388" t="s">
        <v>58</v>
      </c>
      <c r="D388" t="s">
        <v>150</v>
      </c>
      <c r="E388" s="69">
        <v>17</v>
      </c>
      <c r="F388" s="69">
        <v>0</v>
      </c>
      <c r="G388" s="69">
        <v>0</v>
      </c>
      <c r="H388" t="s">
        <v>2574</v>
      </c>
      <c r="I388" s="69">
        <v>17</v>
      </c>
      <c r="J388">
        <f t="shared" si="6"/>
        <v>17</v>
      </c>
    </row>
    <row r="389" spans="1:10" x14ac:dyDescent="0.25">
      <c r="A389" t="s">
        <v>1873</v>
      </c>
      <c r="B389" t="s">
        <v>1875</v>
      </c>
      <c r="C389" t="s">
        <v>58</v>
      </c>
      <c r="D389" t="s">
        <v>160</v>
      </c>
      <c r="E389" s="69">
        <v>3</v>
      </c>
      <c r="F389" s="69">
        <v>12</v>
      </c>
      <c r="G389" s="69">
        <v>1</v>
      </c>
      <c r="H389" t="s">
        <v>2574</v>
      </c>
      <c r="I389" s="69">
        <v>16</v>
      </c>
      <c r="J389">
        <f t="shared" si="6"/>
        <v>15</v>
      </c>
    </row>
    <row r="390" spans="1:10" x14ac:dyDescent="0.25">
      <c r="A390" t="s">
        <v>842</v>
      </c>
      <c r="B390" t="s">
        <v>844</v>
      </c>
      <c r="C390" t="s">
        <v>58</v>
      </c>
      <c r="D390" t="s">
        <v>160</v>
      </c>
      <c r="E390" s="69">
        <v>12</v>
      </c>
      <c r="F390" s="69">
        <v>4</v>
      </c>
      <c r="G390" s="69">
        <v>0</v>
      </c>
      <c r="H390" t="s">
        <v>2574</v>
      </c>
      <c r="I390" s="69">
        <v>16</v>
      </c>
      <c r="J390">
        <f t="shared" si="6"/>
        <v>16</v>
      </c>
    </row>
    <row r="391" spans="1:10" x14ac:dyDescent="0.25">
      <c r="A391" t="s">
        <v>896</v>
      </c>
      <c r="B391" t="s">
        <v>898</v>
      </c>
      <c r="C391" t="s">
        <v>58</v>
      </c>
      <c r="D391" t="s">
        <v>160</v>
      </c>
      <c r="E391" s="69">
        <v>25</v>
      </c>
      <c r="F391" s="69">
        <v>3</v>
      </c>
      <c r="G391" s="69">
        <v>11</v>
      </c>
      <c r="H391" t="s">
        <v>2574</v>
      </c>
      <c r="I391" s="69">
        <v>16</v>
      </c>
      <c r="J391">
        <f t="shared" si="6"/>
        <v>5</v>
      </c>
    </row>
    <row r="392" spans="1:10" x14ac:dyDescent="0.25">
      <c r="A392" t="s">
        <v>1843</v>
      </c>
      <c r="B392" t="s">
        <v>1845</v>
      </c>
      <c r="C392" t="s">
        <v>58</v>
      </c>
      <c r="D392" t="s">
        <v>160</v>
      </c>
      <c r="E392" s="69">
        <v>3</v>
      </c>
      <c r="F392" s="69">
        <v>12</v>
      </c>
      <c r="G392" s="69">
        <v>1</v>
      </c>
      <c r="H392" t="s">
        <v>2573</v>
      </c>
      <c r="I392" s="69">
        <v>16</v>
      </c>
      <c r="J392">
        <f t="shared" si="6"/>
        <v>15</v>
      </c>
    </row>
    <row r="393" spans="1:10" x14ac:dyDescent="0.25">
      <c r="A393" t="s">
        <v>1633</v>
      </c>
      <c r="B393" t="s">
        <v>1635</v>
      </c>
      <c r="C393" t="s">
        <v>58</v>
      </c>
      <c r="D393" t="s">
        <v>160</v>
      </c>
      <c r="E393" s="69">
        <v>4</v>
      </c>
      <c r="F393" s="69">
        <v>16</v>
      </c>
      <c r="G393" s="69">
        <v>1</v>
      </c>
      <c r="H393" t="s">
        <v>2573</v>
      </c>
      <c r="I393" s="69">
        <v>16</v>
      </c>
      <c r="J393">
        <f t="shared" si="6"/>
        <v>15</v>
      </c>
    </row>
    <row r="394" spans="1:10" x14ac:dyDescent="0.25">
      <c r="A394" t="s">
        <v>1849</v>
      </c>
      <c r="B394" t="s">
        <v>1851</v>
      </c>
      <c r="C394" t="s">
        <v>58</v>
      </c>
      <c r="D394" t="s">
        <v>225</v>
      </c>
      <c r="E394" s="69">
        <v>8</v>
      </c>
      <c r="F394" s="69">
        <v>5</v>
      </c>
      <c r="G394" s="69">
        <v>3</v>
      </c>
      <c r="H394" t="s">
        <v>2574</v>
      </c>
      <c r="I394" s="69">
        <v>16</v>
      </c>
      <c r="J394">
        <f t="shared" si="6"/>
        <v>13</v>
      </c>
    </row>
    <row r="395" spans="1:10" x14ac:dyDescent="0.25">
      <c r="A395" t="s">
        <v>77</v>
      </c>
      <c r="B395" t="s">
        <v>79</v>
      </c>
      <c r="C395" t="s">
        <v>58</v>
      </c>
      <c r="D395" t="s">
        <v>63</v>
      </c>
      <c r="E395" s="69">
        <v>4</v>
      </c>
      <c r="F395" s="69">
        <v>8</v>
      </c>
      <c r="G395" s="69">
        <v>4</v>
      </c>
      <c r="H395" t="s">
        <v>2573</v>
      </c>
      <c r="I395" s="69">
        <v>16</v>
      </c>
      <c r="J395">
        <f t="shared" si="6"/>
        <v>12</v>
      </c>
    </row>
    <row r="396" spans="1:10" x14ac:dyDescent="0.25">
      <c r="A396" t="s">
        <v>626</v>
      </c>
      <c r="B396" t="s">
        <v>628</v>
      </c>
      <c r="C396" t="s">
        <v>58</v>
      </c>
      <c r="D396" t="s">
        <v>63</v>
      </c>
      <c r="E396" s="69">
        <v>7</v>
      </c>
      <c r="F396" s="69">
        <v>7</v>
      </c>
      <c r="G396" s="69">
        <v>4</v>
      </c>
      <c r="H396" t="s">
        <v>2573</v>
      </c>
      <c r="I396" s="69">
        <v>16</v>
      </c>
      <c r="J396">
        <f t="shared" si="6"/>
        <v>12</v>
      </c>
    </row>
    <row r="397" spans="1:10" x14ac:dyDescent="0.25">
      <c r="A397" t="s">
        <v>590</v>
      </c>
      <c r="B397" t="s">
        <v>592</v>
      </c>
      <c r="C397" t="s">
        <v>58</v>
      </c>
      <c r="D397" t="s">
        <v>63</v>
      </c>
      <c r="E397" s="69">
        <v>7</v>
      </c>
      <c r="F397" s="69">
        <v>7</v>
      </c>
      <c r="G397" s="69">
        <v>4</v>
      </c>
      <c r="H397" t="s">
        <v>2573</v>
      </c>
      <c r="I397" s="69">
        <v>16</v>
      </c>
      <c r="J397">
        <f t="shared" si="6"/>
        <v>12</v>
      </c>
    </row>
    <row r="398" spans="1:10" x14ac:dyDescent="0.25">
      <c r="A398" t="s">
        <v>2352</v>
      </c>
      <c r="B398" t="s">
        <v>2353</v>
      </c>
      <c r="C398" t="s">
        <v>58</v>
      </c>
      <c r="D398" t="s">
        <v>1075</v>
      </c>
      <c r="E398" s="69">
        <v>4</v>
      </c>
      <c r="F398" s="69">
        <v>0</v>
      </c>
      <c r="G398" s="69">
        <v>13</v>
      </c>
      <c r="H398" t="s">
        <v>2581</v>
      </c>
      <c r="I398" s="69">
        <v>16</v>
      </c>
      <c r="J398">
        <f t="shared" si="6"/>
        <v>3</v>
      </c>
    </row>
    <row r="399" spans="1:10" x14ac:dyDescent="0.25">
      <c r="A399" t="s">
        <v>620</v>
      </c>
      <c r="B399" t="s">
        <v>622</v>
      </c>
      <c r="C399" t="s">
        <v>58</v>
      </c>
      <c r="D399" t="s">
        <v>117</v>
      </c>
      <c r="E399" s="69">
        <v>15.35</v>
      </c>
      <c r="F399" s="69">
        <v>0</v>
      </c>
      <c r="G399" s="69">
        <v>0</v>
      </c>
      <c r="H399" t="s">
        <v>2573</v>
      </c>
      <c r="I399" s="69">
        <v>15.35</v>
      </c>
      <c r="J399">
        <f t="shared" si="6"/>
        <v>15.35</v>
      </c>
    </row>
    <row r="400" spans="1:10" x14ac:dyDescent="0.25">
      <c r="A400" t="s">
        <v>2582</v>
      </c>
      <c r="B400" t="s">
        <v>1966</v>
      </c>
      <c r="C400" t="s">
        <v>58</v>
      </c>
      <c r="D400" t="s">
        <v>203</v>
      </c>
      <c r="E400" s="69">
        <v>13</v>
      </c>
      <c r="F400" s="69">
        <v>2</v>
      </c>
      <c r="G400" s="69">
        <v>0</v>
      </c>
      <c r="H400" t="s">
        <v>2573</v>
      </c>
      <c r="I400" s="69">
        <v>15</v>
      </c>
      <c r="J400">
        <f t="shared" si="6"/>
        <v>15</v>
      </c>
    </row>
    <row r="401" spans="1:10" x14ac:dyDescent="0.25">
      <c r="A401" t="s">
        <v>1616</v>
      </c>
      <c r="B401" t="s">
        <v>1618</v>
      </c>
      <c r="C401" t="s">
        <v>58</v>
      </c>
      <c r="D401" t="s">
        <v>160</v>
      </c>
      <c r="E401" s="69">
        <v>14</v>
      </c>
      <c r="F401" s="69">
        <v>2</v>
      </c>
      <c r="G401" s="69">
        <v>0</v>
      </c>
      <c r="H401" t="s">
        <v>2574</v>
      </c>
      <c r="I401" s="69">
        <v>15</v>
      </c>
      <c r="J401">
        <f t="shared" si="6"/>
        <v>15</v>
      </c>
    </row>
    <row r="402" spans="1:10" x14ac:dyDescent="0.25">
      <c r="A402" t="s">
        <v>1840</v>
      </c>
      <c r="B402" t="s">
        <v>1842</v>
      </c>
      <c r="C402" t="s">
        <v>58</v>
      </c>
      <c r="D402" t="s">
        <v>160</v>
      </c>
      <c r="E402" s="69">
        <v>3</v>
      </c>
      <c r="F402" s="69">
        <v>12</v>
      </c>
      <c r="G402" s="69">
        <v>0</v>
      </c>
      <c r="H402" t="s">
        <v>2573</v>
      </c>
      <c r="I402" s="69">
        <v>15</v>
      </c>
      <c r="J402">
        <f t="shared" si="6"/>
        <v>15</v>
      </c>
    </row>
    <row r="403" spans="1:10" x14ac:dyDescent="0.25">
      <c r="A403" t="s">
        <v>584</v>
      </c>
      <c r="B403" t="s">
        <v>586</v>
      </c>
      <c r="C403" t="s">
        <v>58</v>
      </c>
      <c r="D403" t="s">
        <v>63</v>
      </c>
      <c r="E403" s="69">
        <v>13</v>
      </c>
      <c r="F403" s="69">
        <v>2</v>
      </c>
      <c r="G403" s="69">
        <v>0</v>
      </c>
      <c r="H403" t="s">
        <v>2574</v>
      </c>
      <c r="I403" s="69">
        <v>15</v>
      </c>
      <c r="J403">
        <f t="shared" si="6"/>
        <v>15</v>
      </c>
    </row>
    <row r="404" spans="1:10" x14ac:dyDescent="0.25">
      <c r="A404" t="s">
        <v>2583</v>
      </c>
      <c r="B404" t="s">
        <v>965</v>
      </c>
      <c r="C404" t="s">
        <v>58</v>
      </c>
      <c r="D404" t="s">
        <v>203</v>
      </c>
      <c r="E404" s="69">
        <v>31</v>
      </c>
      <c r="F404" s="69">
        <v>29</v>
      </c>
      <c r="G404" s="69">
        <v>13</v>
      </c>
      <c r="H404" t="s">
        <v>2573</v>
      </c>
      <c r="I404" s="69">
        <v>14</v>
      </c>
      <c r="J404">
        <f t="shared" si="6"/>
        <v>1</v>
      </c>
    </row>
    <row r="405" spans="1:10" x14ac:dyDescent="0.25">
      <c r="A405" t="s">
        <v>1106</v>
      </c>
      <c r="B405" t="s">
        <v>1108</v>
      </c>
      <c r="C405" t="s">
        <v>58</v>
      </c>
      <c r="D405" t="s">
        <v>203</v>
      </c>
      <c r="E405" s="69">
        <v>12</v>
      </c>
      <c r="F405" s="69">
        <v>2</v>
      </c>
      <c r="G405" s="69">
        <v>0</v>
      </c>
      <c r="H405" t="s">
        <v>2573</v>
      </c>
      <c r="I405" s="69">
        <v>14</v>
      </c>
      <c r="J405">
        <f t="shared" si="6"/>
        <v>14</v>
      </c>
    </row>
    <row r="406" spans="1:10" x14ac:dyDescent="0.25">
      <c r="A406" t="s">
        <v>954</v>
      </c>
      <c r="B406" t="s">
        <v>956</v>
      </c>
      <c r="C406" t="s">
        <v>58</v>
      </c>
      <c r="D406" t="s">
        <v>160</v>
      </c>
      <c r="E406" s="69">
        <v>3</v>
      </c>
      <c r="F406" s="69">
        <v>2</v>
      </c>
      <c r="G406" s="69">
        <v>9</v>
      </c>
      <c r="H406" t="s">
        <v>2574</v>
      </c>
      <c r="I406" s="69">
        <v>14</v>
      </c>
      <c r="J406">
        <f t="shared" si="6"/>
        <v>5</v>
      </c>
    </row>
    <row r="407" spans="1:10" x14ac:dyDescent="0.25">
      <c r="A407" t="s">
        <v>2412</v>
      </c>
      <c r="B407" t="s">
        <v>1848</v>
      </c>
      <c r="C407" t="s">
        <v>58</v>
      </c>
      <c r="D407" t="s">
        <v>160</v>
      </c>
      <c r="E407" s="69">
        <v>9</v>
      </c>
      <c r="F407" s="69">
        <v>7</v>
      </c>
      <c r="G407" s="69">
        <v>1</v>
      </c>
      <c r="H407" t="s">
        <v>2573</v>
      </c>
      <c r="I407" s="69">
        <v>14</v>
      </c>
      <c r="J407">
        <f t="shared" si="6"/>
        <v>13</v>
      </c>
    </row>
    <row r="408" spans="1:10" x14ac:dyDescent="0.25">
      <c r="A408" t="s">
        <v>359</v>
      </c>
      <c r="B408" t="s">
        <v>361</v>
      </c>
      <c r="C408" t="s">
        <v>58</v>
      </c>
      <c r="D408" t="s">
        <v>67</v>
      </c>
      <c r="E408" s="69">
        <v>9</v>
      </c>
      <c r="F408" s="69">
        <v>0</v>
      </c>
      <c r="G408" s="69">
        <v>5</v>
      </c>
      <c r="H408" t="s">
        <v>2574</v>
      </c>
      <c r="I408" s="69">
        <v>14</v>
      </c>
      <c r="J408">
        <f t="shared" si="6"/>
        <v>9</v>
      </c>
    </row>
    <row r="409" spans="1:10" x14ac:dyDescent="0.25">
      <c r="A409" t="s">
        <v>438</v>
      </c>
      <c r="B409" t="s">
        <v>437</v>
      </c>
      <c r="C409" t="s">
        <v>58</v>
      </c>
      <c r="D409" t="s">
        <v>63</v>
      </c>
      <c r="E409" s="69">
        <v>9</v>
      </c>
      <c r="F409" s="69">
        <v>0</v>
      </c>
      <c r="G409" s="69">
        <v>5</v>
      </c>
      <c r="H409" t="s">
        <v>2573</v>
      </c>
      <c r="I409" s="69">
        <v>14</v>
      </c>
      <c r="J409">
        <f t="shared" si="6"/>
        <v>9</v>
      </c>
    </row>
    <row r="410" spans="1:10" x14ac:dyDescent="0.25">
      <c r="A410" t="s">
        <v>36</v>
      </c>
      <c r="B410" t="s">
        <v>37</v>
      </c>
      <c r="C410" t="s">
        <v>58</v>
      </c>
      <c r="D410" t="s">
        <v>1</v>
      </c>
      <c r="E410" s="69">
        <v>12</v>
      </c>
      <c r="F410" s="69">
        <v>2</v>
      </c>
      <c r="G410" s="69">
        <v>0</v>
      </c>
      <c r="H410" t="s">
        <v>2573</v>
      </c>
      <c r="I410" s="69">
        <v>14</v>
      </c>
      <c r="J410">
        <f t="shared" si="6"/>
        <v>14</v>
      </c>
    </row>
    <row r="411" spans="1:10" x14ac:dyDescent="0.25">
      <c r="A411" t="s">
        <v>1091</v>
      </c>
      <c r="B411" t="s">
        <v>1093</v>
      </c>
      <c r="C411" t="s">
        <v>58</v>
      </c>
      <c r="D411" t="s">
        <v>1075</v>
      </c>
      <c r="E411" s="69">
        <v>11</v>
      </c>
      <c r="F411" s="69">
        <v>1</v>
      </c>
      <c r="G411" s="69">
        <v>6</v>
      </c>
      <c r="H411" t="s">
        <v>2573</v>
      </c>
      <c r="I411" s="69">
        <v>14</v>
      </c>
      <c r="J411">
        <f t="shared" si="6"/>
        <v>8</v>
      </c>
    </row>
    <row r="412" spans="1:10" x14ac:dyDescent="0.25">
      <c r="A412" t="s">
        <v>457</v>
      </c>
      <c r="B412" t="s">
        <v>459</v>
      </c>
      <c r="C412" t="s">
        <v>58</v>
      </c>
      <c r="D412" t="s">
        <v>67</v>
      </c>
      <c r="E412" s="69">
        <v>0</v>
      </c>
      <c r="F412" s="69">
        <v>0</v>
      </c>
      <c r="G412" s="69">
        <v>13</v>
      </c>
      <c r="H412" t="s">
        <v>2574</v>
      </c>
      <c r="I412" s="69">
        <v>13</v>
      </c>
      <c r="J412">
        <f t="shared" si="6"/>
        <v>0</v>
      </c>
    </row>
    <row r="413" spans="1:10" x14ac:dyDescent="0.25">
      <c r="A413" t="s">
        <v>1539</v>
      </c>
      <c r="B413" t="s">
        <v>1541</v>
      </c>
      <c r="C413" t="s">
        <v>58</v>
      </c>
      <c r="D413" t="s">
        <v>225</v>
      </c>
      <c r="E413" s="69">
        <v>3</v>
      </c>
      <c r="F413" s="69">
        <v>1</v>
      </c>
      <c r="G413" s="69">
        <v>9</v>
      </c>
      <c r="H413" t="s">
        <v>2573</v>
      </c>
      <c r="I413" s="69">
        <v>13</v>
      </c>
      <c r="J413">
        <f t="shared" si="6"/>
        <v>4</v>
      </c>
    </row>
    <row r="414" spans="1:10" x14ac:dyDescent="0.25">
      <c r="A414" t="s">
        <v>857</v>
      </c>
      <c r="B414" t="s">
        <v>859</v>
      </c>
      <c r="C414" t="s">
        <v>58</v>
      </c>
      <c r="D414" t="s">
        <v>150</v>
      </c>
      <c r="E414" s="69">
        <v>11</v>
      </c>
      <c r="F414" s="69">
        <v>2</v>
      </c>
      <c r="G414" s="69">
        <v>0</v>
      </c>
      <c r="H414" t="s">
        <v>2574</v>
      </c>
      <c r="I414" s="69">
        <v>13</v>
      </c>
      <c r="J414">
        <f t="shared" si="6"/>
        <v>13</v>
      </c>
    </row>
    <row r="415" spans="1:10" x14ac:dyDescent="0.25">
      <c r="A415" t="s">
        <v>344</v>
      </c>
      <c r="B415" t="s">
        <v>346</v>
      </c>
      <c r="C415" t="s">
        <v>58</v>
      </c>
      <c r="D415" t="s">
        <v>150</v>
      </c>
      <c r="E415" s="69">
        <v>9</v>
      </c>
      <c r="F415" s="69">
        <v>0</v>
      </c>
      <c r="G415" s="69">
        <v>4</v>
      </c>
      <c r="H415" t="s">
        <v>2573</v>
      </c>
      <c r="I415" s="69">
        <v>13</v>
      </c>
      <c r="J415">
        <f t="shared" si="6"/>
        <v>9</v>
      </c>
    </row>
    <row r="416" spans="1:10" x14ac:dyDescent="0.25">
      <c r="A416" t="s">
        <v>515</v>
      </c>
      <c r="B416" t="s">
        <v>517</v>
      </c>
      <c r="C416" t="s">
        <v>58</v>
      </c>
      <c r="D416" t="s">
        <v>63</v>
      </c>
      <c r="E416" s="69">
        <v>10</v>
      </c>
      <c r="F416" s="69">
        <v>0</v>
      </c>
      <c r="G416" s="69">
        <v>3</v>
      </c>
      <c r="H416" t="s">
        <v>2573</v>
      </c>
      <c r="I416" s="69">
        <v>13</v>
      </c>
      <c r="J416">
        <f t="shared" si="6"/>
        <v>10</v>
      </c>
    </row>
    <row r="417" spans="1:10" x14ac:dyDescent="0.25">
      <c r="A417" t="s">
        <v>1361</v>
      </c>
      <c r="B417" t="s">
        <v>1363</v>
      </c>
      <c r="C417" t="s">
        <v>58</v>
      </c>
      <c r="D417" t="s">
        <v>304</v>
      </c>
      <c r="E417" s="69">
        <v>13</v>
      </c>
      <c r="F417" s="69">
        <v>0</v>
      </c>
      <c r="G417" s="69">
        <v>0</v>
      </c>
      <c r="H417" t="s">
        <v>2574</v>
      </c>
      <c r="I417" s="69">
        <v>13</v>
      </c>
      <c r="J417">
        <f t="shared" si="6"/>
        <v>13</v>
      </c>
    </row>
    <row r="418" spans="1:10" x14ac:dyDescent="0.25">
      <c r="A418" t="s">
        <v>200</v>
      </c>
      <c r="B418" t="s">
        <v>202</v>
      </c>
      <c r="C418" t="s">
        <v>58</v>
      </c>
      <c r="D418" t="s">
        <v>203</v>
      </c>
      <c r="E418" s="69">
        <v>12.9</v>
      </c>
      <c r="F418" s="69">
        <v>0</v>
      </c>
      <c r="G418" s="69">
        <v>0</v>
      </c>
      <c r="H418" t="s">
        <v>2573</v>
      </c>
      <c r="I418" s="69">
        <v>12.9</v>
      </c>
      <c r="J418">
        <f t="shared" si="6"/>
        <v>12.9</v>
      </c>
    </row>
    <row r="419" spans="1:10" x14ac:dyDescent="0.25">
      <c r="A419" t="s">
        <v>204</v>
      </c>
      <c r="B419" t="s">
        <v>206</v>
      </c>
      <c r="C419" t="s">
        <v>58</v>
      </c>
      <c r="D419" t="s">
        <v>203</v>
      </c>
      <c r="E419" s="69">
        <v>12.9</v>
      </c>
      <c r="F419" s="69">
        <v>0</v>
      </c>
      <c r="G419" s="69">
        <v>0</v>
      </c>
      <c r="H419" t="s">
        <v>2573</v>
      </c>
      <c r="I419" s="69">
        <v>12.9</v>
      </c>
      <c r="J419">
        <f t="shared" si="6"/>
        <v>12.9</v>
      </c>
    </row>
    <row r="420" spans="1:10" x14ac:dyDescent="0.25">
      <c r="A420" t="s">
        <v>1785</v>
      </c>
      <c r="B420" t="s">
        <v>1787</v>
      </c>
      <c r="C420" t="s">
        <v>58</v>
      </c>
      <c r="D420" t="s">
        <v>375</v>
      </c>
      <c r="E420" s="69">
        <v>12</v>
      </c>
      <c r="F420" s="69">
        <v>0</v>
      </c>
      <c r="G420" s="69">
        <v>0</v>
      </c>
      <c r="H420" t="s">
        <v>2573</v>
      </c>
      <c r="I420" s="69">
        <v>12</v>
      </c>
      <c r="J420">
        <f t="shared" si="6"/>
        <v>12</v>
      </c>
    </row>
    <row r="421" spans="1:10" x14ac:dyDescent="0.25">
      <c r="A421" t="s">
        <v>1679</v>
      </c>
      <c r="B421" t="s">
        <v>1681</v>
      </c>
      <c r="C421" t="s">
        <v>58</v>
      </c>
      <c r="D421" t="s">
        <v>160</v>
      </c>
      <c r="E421" s="69">
        <v>21</v>
      </c>
      <c r="F421" s="69">
        <v>2</v>
      </c>
      <c r="G421" s="69">
        <v>1</v>
      </c>
      <c r="H421" t="s">
        <v>2574</v>
      </c>
      <c r="I421" s="69">
        <v>12</v>
      </c>
      <c r="J421">
        <f t="shared" si="6"/>
        <v>11</v>
      </c>
    </row>
    <row r="422" spans="1:10" x14ac:dyDescent="0.25">
      <c r="A422" t="s">
        <v>2346</v>
      </c>
      <c r="B422" t="s">
        <v>2347</v>
      </c>
      <c r="C422" t="s">
        <v>58</v>
      </c>
      <c r="D422" t="s">
        <v>150</v>
      </c>
      <c r="E422" s="69">
        <v>6</v>
      </c>
      <c r="F422" s="69">
        <v>1</v>
      </c>
      <c r="G422" s="69">
        <v>5</v>
      </c>
      <c r="H422" t="s">
        <v>2574</v>
      </c>
      <c r="I422" s="69">
        <v>12</v>
      </c>
      <c r="J422">
        <f t="shared" si="6"/>
        <v>7</v>
      </c>
    </row>
    <row r="423" spans="1:10" x14ac:dyDescent="0.25">
      <c r="A423" t="s">
        <v>1495</v>
      </c>
      <c r="B423" t="s">
        <v>1497</v>
      </c>
      <c r="C423" t="s">
        <v>58</v>
      </c>
      <c r="D423" t="s">
        <v>216</v>
      </c>
      <c r="E423" s="69">
        <v>5</v>
      </c>
      <c r="F423" s="69">
        <v>0</v>
      </c>
      <c r="G423" s="69">
        <v>7</v>
      </c>
      <c r="H423" t="s">
        <v>2573</v>
      </c>
      <c r="I423" s="69">
        <v>12</v>
      </c>
      <c r="J423">
        <f t="shared" si="6"/>
        <v>5</v>
      </c>
    </row>
    <row r="424" spans="1:10" x14ac:dyDescent="0.25">
      <c r="A424" t="s">
        <v>2237</v>
      </c>
      <c r="B424" t="s">
        <v>2238</v>
      </c>
      <c r="C424" t="s">
        <v>58</v>
      </c>
      <c r="D424" t="s">
        <v>63</v>
      </c>
      <c r="E424" s="69">
        <v>4</v>
      </c>
      <c r="F424" s="69">
        <v>0</v>
      </c>
      <c r="G424" s="69">
        <v>8</v>
      </c>
      <c r="H424" t="s">
        <v>2574</v>
      </c>
      <c r="I424" s="69">
        <v>12</v>
      </c>
      <c r="J424">
        <f t="shared" si="6"/>
        <v>4</v>
      </c>
    </row>
    <row r="425" spans="1:10" x14ac:dyDescent="0.25">
      <c r="A425" t="s">
        <v>587</v>
      </c>
      <c r="B425" t="s">
        <v>589</v>
      </c>
      <c r="C425" t="s">
        <v>58</v>
      </c>
      <c r="D425" t="s">
        <v>63</v>
      </c>
      <c r="E425" s="69">
        <v>4</v>
      </c>
      <c r="F425" s="69">
        <v>0</v>
      </c>
      <c r="G425" s="69">
        <v>8</v>
      </c>
      <c r="H425" t="s">
        <v>2574</v>
      </c>
      <c r="I425" s="69">
        <v>12</v>
      </c>
      <c r="J425">
        <f t="shared" si="6"/>
        <v>4</v>
      </c>
    </row>
    <row r="426" spans="1:10" x14ac:dyDescent="0.25">
      <c r="A426" t="s">
        <v>1315</v>
      </c>
      <c r="B426" t="s">
        <v>1317</v>
      </c>
      <c r="C426" t="s">
        <v>58</v>
      </c>
      <c r="D426" t="s">
        <v>304</v>
      </c>
      <c r="E426" s="69">
        <v>12</v>
      </c>
      <c r="F426" s="69">
        <v>0</v>
      </c>
      <c r="G426" s="69">
        <v>0</v>
      </c>
      <c r="H426" t="s">
        <v>2573</v>
      </c>
      <c r="I426" s="69">
        <v>12</v>
      </c>
      <c r="J426">
        <f t="shared" si="6"/>
        <v>12</v>
      </c>
    </row>
    <row r="427" spans="1:10" x14ac:dyDescent="0.25">
      <c r="A427" t="s">
        <v>301</v>
      </c>
      <c r="B427" t="s">
        <v>303</v>
      </c>
      <c r="C427" t="s">
        <v>58</v>
      </c>
      <c r="D427" t="s">
        <v>304</v>
      </c>
      <c r="E427" s="69">
        <v>9</v>
      </c>
      <c r="F427" s="69">
        <v>0</v>
      </c>
      <c r="G427" s="69">
        <v>3</v>
      </c>
      <c r="H427" t="s">
        <v>2573</v>
      </c>
      <c r="I427" s="69">
        <v>12</v>
      </c>
      <c r="J427">
        <f t="shared" si="6"/>
        <v>9</v>
      </c>
    </row>
    <row r="428" spans="1:10" x14ac:dyDescent="0.25">
      <c r="A428" t="s">
        <v>118</v>
      </c>
      <c r="B428" t="s">
        <v>120</v>
      </c>
      <c r="C428" t="s">
        <v>58</v>
      </c>
      <c r="D428" t="s">
        <v>117</v>
      </c>
      <c r="E428" s="69">
        <v>20</v>
      </c>
      <c r="F428" s="69">
        <v>9</v>
      </c>
      <c r="G428" s="69">
        <v>11.5</v>
      </c>
      <c r="H428" t="s">
        <v>2573</v>
      </c>
      <c r="I428" s="69">
        <v>11.5</v>
      </c>
      <c r="J428">
        <f t="shared" si="6"/>
        <v>0</v>
      </c>
    </row>
    <row r="429" spans="1:10" x14ac:dyDescent="0.25">
      <c r="A429" t="s">
        <v>1870</v>
      </c>
      <c r="B429" t="s">
        <v>1872</v>
      </c>
      <c r="C429" t="s">
        <v>58</v>
      </c>
      <c r="D429" t="s">
        <v>167</v>
      </c>
      <c r="E429" s="69">
        <v>11</v>
      </c>
      <c r="F429" s="69">
        <v>0</v>
      </c>
      <c r="G429" s="69">
        <v>0</v>
      </c>
      <c r="H429" t="s">
        <v>2574</v>
      </c>
      <c r="I429" s="69">
        <v>11</v>
      </c>
      <c r="J429">
        <f t="shared" si="6"/>
        <v>11</v>
      </c>
    </row>
    <row r="430" spans="1:10" x14ac:dyDescent="0.25">
      <c r="A430" t="s">
        <v>751</v>
      </c>
      <c r="B430" t="s">
        <v>753</v>
      </c>
      <c r="C430" t="s">
        <v>58</v>
      </c>
      <c r="D430" t="s">
        <v>167</v>
      </c>
      <c r="E430" s="69">
        <v>12</v>
      </c>
      <c r="F430" s="69">
        <v>5</v>
      </c>
      <c r="G430" s="69">
        <v>6</v>
      </c>
      <c r="H430" t="s">
        <v>2575</v>
      </c>
      <c r="I430" s="69">
        <v>11</v>
      </c>
      <c r="J430">
        <f t="shared" si="6"/>
        <v>5</v>
      </c>
    </row>
    <row r="431" spans="1:10" x14ac:dyDescent="0.25">
      <c r="A431" t="s">
        <v>2397</v>
      </c>
      <c r="B431" t="s">
        <v>2398</v>
      </c>
      <c r="C431" t="s">
        <v>58</v>
      </c>
      <c r="D431" t="s">
        <v>160</v>
      </c>
      <c r="E431" s="69">
        <v>6</v>
      </c>
      <c r="F431" s="69">
        <v>5</v>
      </c>
      <c r="G431" s="69">
        <v>1</v>
      </c>
      <c r="H431" t="s">
        <v>2574</v>
      </c>
      <c r="I431" s="69">
        <v>11</v>
      </c>
      <c r="J431">
        <f t="shared" si="6"/>
        <v>10</v>
      </c>
    </row>
    <row r="432" spans="1:10" x14ac:dyDescent="0.25">
      <c r="A432" t="s">
        <v>1115</v>
      </c>
      <c r="B432" t="s">
        <v>1117</v>
      </c>
      <c r="C432" t="s">
        <v>58</v>
      </c>
      <c r="D432" t="s">
        <v>160</v>
      </c>
      <c r="E432" s="69">
        <v>12</v>
      </c>
      <c r="F432" s="69">
        <v>9</v>
      </c>
      <c r="G432" s="69">
        <v>11</v>
      </c>
      <c r="H432" t="s">
        <v>2574</v>
      </c>
      <c r="I432" s="69">
        <v>11</v>
      </c>
      <c r="J432">
        <f t="shared" si="6"/>
        <v>0</v>
      </c>
    </row>
    <row r="433" spans="1:10" x14ac:dyDescent="0.25">
      <c r="A433" t="s">
        <v>2361</v>
      </c>
      <c r="B433" t="s">
        <v>2362</v>
      </c>
      <c r="C433" t="s">
        <v>58</v>
      </c>
      <c r="D433" t="s">
        <v>160</v>
      </c>
      <c r="E433" s="69">
        <v>0</v>
      </c>
      <c r="F433" s="69">
        <v>11</v>
      </c>
      <c r="G433" s="69">
        <v>0</v>
      </c>
      <c r="H433" t="s">
        <v>2574</v>
      </c>
      <c r="I433" s="69">
        <v>11</v>
      </c>
      <c r="J433">
        <f t="shared" si="6"/>
        <v>11</v>
      </c>
    </row>
    <row r="434" spans="1:10" x14ac:dyDescent="0.25">
      <c r="A434" t="s">
        <v>2211</v>
      </c>
      <c r="B434" t="s">
        <v>544</v>
      </c>
      <c r="C434" t="s">
        <v>58</v>
      </c>
      <c r="D434" t="s">
        <v>150</v>
      </c>
      <c r="E434" s="69">
        <v>6</v>
      </c>
      <c r="F434" s="69">
        <v>0</v>
      </c>
      <c r="G434" s="69">
        <v>5</v>
      </c>
      <c r="H434" t="s">
        <v>2574</v>
      </c>
      <c r="I434" s="69">
        <v>11</v>
      </c>
      <c r="J434">
        <f t="shared" si="6"/>
        <v>6</v>
      </c>
    </row>
    <row r="435" spans="1:10" x14ac:dyDescent="0.25">
      <c r="A435" t="s">
        <v>241</v>
      </c>
      <c r="B435" t="s">
        <v>242</v>
      </c>
      <c r="C435" t="s">
        <v>58</v>
      </c>
      <c r="D435" t="s">
        <v>216</v>
      </c>
      <c r="E435" s="69">
        <v>6</v>
      </c>
      <c r="F435" s="69">
        <v>0</v>
      </c>
      <c r="G435" s="69">
        <v>5</v>
      </c>
      <c r="H435" t="s">
        <v>2573</v>
      </c>
      <c r="I435" s="69">
        <v>11</v>
      </c>
      <c r="J435">
        <f t="shared" si="6"/>
        <v>6</v>
      </c>
    </row>
    <row r="436" spans="1:10" x14ac:dyDescent="0.25">
      <c r="A436" t="s">
        <v>662</v>
      </c>
      <c r="B436" t="s">
        <v>664</v>
      </c>
      <c r="C436" t="s">
        <v>58</v>
      </c>
      <c r="D436" t="s">
        <v>63</v>
      </c>
      <c r="E436" s="69">
        <v>7</v>
      </c>
      <c r="F436" s="69">
        <v>2</v>
      </c>
      <c r="G436" s="69">
        <v>2</v>
      </c>
      <c r="H436" t="s">
        <v>2573</v>
      </c>
      <c r="I436" s="69">
        <v>11</v>
      </c>
      <c r="J436">
        <f t="shared" si="6"/>
        <v>9</v>
      </c>
    </row>
    <row r="437" spans="1:10" x14ac:dyDescent="0.25">
      <c r="A437" t="s">
        <v>1888</v>
      </c>
      <c r="B437" t="s">
        <v>1890</v>
      </c>
      <c r="C437" t="s">
        <v>58</v>
      </c>
      <c r="D437" t="s">
        <v>160</v>
      </c>
      <c r="E437" s="69">
        <v>2</v>
      </c>
      <c r="F437" s="69">
        <v>8.3528000000000002</v>
      </c>
      <c r="G437" s="69">
        <v>0</v>
      </c>
      <c r="H437" t="s">
        <v>2574</v>
      </c>
      <c r="I437" s="69">
        <v>10.3528</v>
      </c>
      <c r="J437">
        <f t="shared" si="6"/>
        <v>10.3528</v>
      </c>
    </row>
    <row r="438" spans="1:10" x14ac:dyDescent="0.25">
      <c r="A438" t="s">
        <v>1573</v>
      </c>
      <c r="B438" t="s">
        <v>1572</v>
      </c>
      <c r="C438" t="s">
        <v>58</v>
      </c>
      <c r="D438" t="s">
        <v>59</v>
      </c>
      <c r="E438" s="69">
        <v>6</v>
      </c>
      <c r="F438" s="69">
        <v>0</v>
      </c>
      <c r="G438" s="69">
        <v>4</v>
      </c>
      <c r="H438" t="s">
        <v>2575</v>
      </c>
      <c r="I438" s="69">
        <v>10</v>
      </c>
      <c r="J438">
        <f t="shared" si="6"/>
        <v>6</v>
      </c>
    </row>
    <row r="439" spans="1:10" x14ac:dyDescent="0.25">
      <c r="A439" t="s">
        <v>1670</v>
      </c>
      <c r="B439" t="s">
        <v>1672</v>
      </c>
      <c r="C439" t="s">
        <v>58</v>
      </c>
      <c r="D439" t="s">
        <v>59</v>
      </c>
      <c r="E439" s="69">
        <v>90</v>
      </c>
      <c r="F439" s="69">
        <v>6</v>
      </c>
      <c r="G439" s="69">
        <v>14</v>
      </c>
      <c r="H439" t="s">
        <v>2574</v>
      </c>
      <c r="I439" s="69">
        <v>10</v>
      </c>
      <c r="J439">
        <f t="shared" si="6"/>
        <v>-4</v>
      </c>
    </row>
    <row r="440" spans="1:10" x14ac:dyDescent="0.25">
      <c r="A440" t="s">
        <v>760</v>
      </c>
      <c r="B440" t="s">
        <v>762</v>
      </c>
      <c r="C440" t="s">
        <v>58</v>
      </c>
      <c r="D440" t="s">
        <v>59</v>
      </c>
      <c r="E440" s="69">
        <v>21</v>
      </c>
      <c r="F440" s="69">
        <v>0</v>
      </c>
      <c r="G440" s="69">
        <v>1</v>
      </c>
      <c r="H440" t="s">
        <v>2574</v>
      </c>
      <c r="I440" s="69">
        <v>10</v>
      </c>
      <c r="J440">
        <f t="shared" si="6"/>
        <v>9</v>
      </c>
    </row>
    <row r="441" spans="1:10" x14ac:dyDescent="0.25">
      <c r="A441" t="s">
        <v>1669</v>
      </c>
      <c r="B441" t="s">
        <v>1668</v>
      </c>
      <c r="C441" t="s">
        <v>58</v>
      </c>
      <c r="D441" t="s">
        <v>160</v>
      </c>
      <c r="E441" s="69">
        <v>0</v>
      </c>
      <c r="F441" s="69">
        <v>0</v>
      </c>
      <c r="G441" s="69">
        <v>10</v>
      </c>
      <c r="H441" t="s">
        <v>2574</v>
      </c>
      <c r="I441" s="69">
        <v>10</v>
      </c>
      <c r="J441">
        <f t="shared" si="6"/>
        <v>0</v>
      </c>
    </row>
    <row r="442" spans="1:10" x14ac:dyDescent="0.25">
      <c r="A442" t="s">
        <v>1367</v>
      </c>
      <c r="B442" t="s">
        <v>1369</v>
      </c>
      <c r="C442" t="s">
        <v>58</v>
      </c>
      <c r="D442" t="s">
        <v>160</v>
      </c>
      <c r="E442" s="69">
        <v>2</v>
      </c>
      <c r="F442" s="69">
        <v>25</v>
      </c>
      <c r="G442" s="69">
        <v>3</v>
      </c>
      <c r="H442" t="s">
        <v>2574</v>
      </c>
      <c r="I442" s="69">
        <v>10</v>
      </c>
      <c r="J442">
        <f t="shared" si="6"/>
        <v>7</v>
      </c>
    </row>
    <row r="443" spans="1:10" x14ac:dyDescent="0.25">
      <c r="A443" t="s">
        <v>2407</v>
      </c>
      <c r="B443" t="s">
        <v>1810</v>
      </c>
      <c r="C443" t="s">
        <v>58</v>
      </c>
      <c r="D443" t="s">
        <v>160</v>
      </c>
      <c r="E443" s="69">
        <v>2</v>
      </c>
      <c r="F443" s="69">
        <v>5</v>
      </c>
      <c r="G443" s="69">
        <v>3</v>
      </c>
      <c r="H443" t="s">
        <v>2573</v>
      </c>
      <c r="I443" s="69">
        <v>10</v>
      </c>
      <c r="J443">
        <f t="shared" si="6"/>
        <v>7</v>
      </c>
    </row>
    <row r="444" spans="1:10" x14ac:dyDescent="0.25">
      <c r="A444" t="s">
        <v>827</v>
      </c>
      <c r="B444" t="s">
        <v>829</v>
      </c>
      <c r="C444" t="s">
        <v>58</v>
      </c>
      <c r="D444" t="s">
        <v>225</v>
      </c>
      <c r="E444" s="69">
        <v>8</v>
      </c>
      <c r="F444" s="69">
        <v>1</v>
      </c>
      <c r="G444" s="69">
        <v>3</v>
      </c>
      <c r="H444" t="s">
        <v>2573</v>
      </c>
      <c r="I444" s="69">
        <v>10</v>
      </c>
      <c r="J444">
        <f t="shared" si="6"/>
        <v>7</v>
      </c>
    </row>
    <row r="445" spans="1:10" x14ac:dyDescent="0.25">
      <c r="A445" t="s">
        <v>863</v>
      </c>
      <c r="B445" t="s">
        <v>865</v>
      </c>
      <c r="C445" t="s">
        <v>58</v>
      </c>
      <c r="D445" t="s">
        <v>150</v>
      </c>
      <c r="E445" s="69">
        <v>9</v>
      </c>
      <c r="F445" s="69">
        <v>0</v>
      </c>
      <c r="G445" s="69">
        <v>1</v>
      </c>
      <c r="H445" t="s">
        <v>2574</v>
      </c>
      <c r="I445" s="69">
        <v>10</v>
      </c>
      <c r="J445">
        <f t="shared" si="6"/>
        <v>9</v>
      </c>
    </row>
    <row r="446" spans="1:10" x14ac:dyDescent="0.25">
      <c r="A446" t="s">
        <v>533</v>
      </c>
      <c r="B446" t="s">
        <v>535</v>
      </c>
      <c r="C446" t="s">
        <v>58</v>
      </c>
      <c r="D446" t="s">
        <v>63</v>
      </c>
      <c r="E446" s="69">
        <v>9</v>
      </c>
      <c r="F446" s="69">
        <v>1</v>
      </c>
      <c r="G446" s="69">
        <v>0</v>
      </c>
      <c r="H446" t="s">
        <v>2573</v>
      </c>
      <c r="I446" s="69">
        <v>10</v>
      </c>
      <c r="J446">
        <f t="shared" si="6"/>
        <v>10</v>
      </c>
    </row>
    <row r="447" spans="1:10" x14ac:dyDescent="0.25">
      <c r="A447" t="s">
        <v>1409</v>
      </c>
      <c r="B447" t="s">
        <v>1411</v>
      </c>
      <c r="C447" t="s">
        <v>58</v>
      </c>
      <c r="D447" t="s">
        <v>1075</v>
      </c>
      <c r="E447" s="69">
        <v>4</v>
      </c>
      <c r="F447" s="69">
        <v>0</v>
      </c>
      <c r="G447" s="69">
        <v>6</v>
      </c>
      <c r="H447" t="s">
        <v>2574</v>
      </c>
      <c r="I447" s="69">
        <v>10</v>
      </c>
      <c r="J447">
        <f t="shared" si="6"/>
        <v>4</v>
      </c>
    </row>
    <row r="448" spans="1:10" x14ac:dyDescent="0.25">
      <c r="A448" t="s">
        <v>2389</v>
      </c>
      <c r="B448" t="s">
        <v>2390</v>
      </c>
      <c r="C448" t="s">
        <v>58</v>
      </c>
      <c r="D448" t="s">
        <v>203</v>
      </c>
      <c r="E448" s="69">
        <v>63.113999999999997</v>
      </c>
      <c r="F448" s="69">
        <v>6</v>
      </c>
      <c r="G448" s="69">
        <v>0</v>
      </c>
      <c r="H448" t="s">
        <v>2573</v>
      </c>
      <c r="I448" s="69">
        <v>9.1140000000000043</v>
      </c>
      <c r="J448">
        <f t="shared" si="6"/>
        <v>9.1140000000000043</v>
      </c>
    </row>
    <row r="449" spans="1:10" x14ac:dyDescent="0.25">
      <c r="A449" t="s">
        <v>2385</v>
      </c>
      <c r="B449" t="s">
        <v>2386</v>
      </c>
      <c r="C449" t="s">
        <v>58</v>
      </c>
      <c r="D449" t="s">
        <v>167</v>
      </c>
      <c r="E449" s="69">
        <v>8</v>
      </c>
      <c r="F449" s="69">
        <v>0</v>
      </c>
      <c r="G449" s="69">
        <v>1</v>
      </c>
      <c r="H449" t="s">
        <v>2575</v>
      </c>
      <c r="I449" s="69">
        <v>9</v>
      </c>
      <c r="J449">
        <f t="shared" si="6"/>
        <v>8</v>
      </c>
    </row>
    <row r="450" spans="1:10" x14ac:dyDescent="0.25">
      <c r="A450" t="s">
        <v>2383</v>
      </c>
      <c r="B450" t="s">
        <v>2384</v>
      </c>
      <c r="C450" t="s">
        <v>58</v>
      </c>
      <c r="D450" t="s">
        <v>167</v>
      </c>
      <c r="E450" s="69">
        <v>8</v>
      </c>
      <c r="F450" s="69">
        <v>0</v>
      </c>
      <c r="G450" s="69">
        <v>1</v>
      </c>
      <c r="H450" t="s">
        <v>2575</v>
      </c>
      <c r="I450" s="69">
        <v>9</v>
      </c>
      <c r="J450">
        <f t="shared" si="6"/>
        <v>8</v>
      </c>
    </row>
    <row r="451" spans="1:10" x14ac:dyDescent="0.25">
      <c r="A451" t="s">
        <v>1587</v>
      </c>
      <c r="B451" t="s">
        <v>1589</v>
      </c>
      <c r="C451" t="s">
        <v>58</v>
      </c>
      <c r="D451" t="s">
        <v>160</v>
      </c>
      <c r="E451" s="69">
        <v>5</v>
      </c>
      <c r="F451" s="69">
        <v>4</v>
      </c>
      <c r="G451" s="69">
        <v>0</v>
      </c>
      <c r="H451" t="s">
        <v>2574</v>
      </c>
      <c r="I451" s="69">
        <v>9</v>
      </c>
      <c r="J451">
        <f t="shared" ref="J451:J514" si="7">I451-G451</f>
        <v>9</v>
      </c>
    </row>
    <row r="452" spans="1:10" x14ac:dyDescent="0.25">
      <c r="A452" t="s">
        <v>1891</v>
      </c>
      <c r="B452" t="s">
        <v>1893</v>
      </c>
      <c r="C452" t="s">
        <v>58</v>
      </c>
      <c r="D452" t="s">
        <v>160</v>
      </c>
      <c r="E452" s="69">
        <v>2</v>
      </c>
      <c r="F452" s="69">
        <v>8</v>
      </c>
      <c r="G452" s="69">
        <v>0</v>
      </c>
      <c r="H452" t="s">
        <v>2574</v>
      </c>
      <c r="I452" s="69">
        <v>9</v>
      </c>
      <c r="J452">
        <f t="shared" si="7"/>
        <v>9</v>
      </c>
    </row>
    <row r="453" spans="1:10" x14ac:dyDescent="0.25">
      <c r="A453" t="s">
        <v>1045</v>
      </c>
      <c r="B453" t="s">
        <v>1047</v>
      </c>
      <c r="C453" t="s">
        <v>58</v>
      </c>
      <c r="D453" t="s">
        <v>160</v>
      </c>
      <c r="E453" s="69">
        <v>2</v>
      </c>
      <c r="F453" s="69">
        <v>1</v>
      </c>
      <c r="G453" s="69">
        <v>6</v>
      </c>
      <c r="H453" t="s">
        <v>2573</v>
      </c>
      <c r="I453" s="69">
        <v>9</v>
      </c>
      <c r="J453">
        <f t="shared" si="7"/>
        <v>3</v>
      </c>
    </row>
    <row r="454" spans="1:10" x14ac:dyDescent="0.25">
      <c r="A454" t="s">
        <v>388</v>
      </c>
      <c r="B454" t="s">
        <v>390</v>
      </c>
      <c r="C454" t="s">
        <v>58</v>
      </c>
      <c r="D454" t="s">
        <v>150</v>
      </c>
      <c r="E454" s="69">
        <v>9</v>
      </c>
      <c r="F454" s="69">
        <v>0</v>
      </c>
      <c r="G454" s="69">
        <v>0</v>
      </c>
      <c r="H454" t="s">
        <v>2574</v>
      </c>
      <c r="I454" s="69">
        <v>9</v>
      </c>
      <c r="J454">
        <f t="shared" si="7"/>
        <v>9</v>
      </c>
    </row>
    <row r="455" spans="1:10" x14ac:dyDescent="0.25">
      <c r="A455" t="s">
        <v>1103</v>
      </c>
      <c r="B455" t="s">
        <v>1105</v>
      </c>
      <c r="C455" t="s">
        <v>58</v>
      </c>
      <c r="D455" t="s">
        <v>150</v>
      </c>
      <c r="E455" s="69">
        <v>3</v>
      </c>
      <c r="F455" s="69">
        <v>0</v>
      </c>
      <c r="G455" s="69">
        <v>6</v>
      </c>
      <c r="H455" t="s">
        <v>2574</v>
      </c>
      <c r="I455" s="69">
        <v>9</v>
      </c>
      <c r="J455">
        <f t="shared" si="7"/>
        <v>3</v>
      </c>
    </row>
    <row r="456" spans="1:10" x14ac:dyDescent="0.25">
      <c r="A456" t="s">
        <v>692</v>
      </c>
      <c r="B456" t="s">
        <v>694</v>
      </c>
      <c r="C456" t="s">
        <v>58</v>
      </c>
      <c r="D456" t="s">
        <v>150</v>
      </c>
      <c r="E456" s="69">
        <v>6</v>
      </c>
      <c r="F456" s="69">
        <v>0</v>
      </c>
      <c r="G456" s="69">
        <v>3</v>
      </c>
      <c r="H456" t="s">
        <v>2573</v>
      </c>
      <c r="I456" s="69">
        <v>9</v>
      </c>
      <c r="J456">
        <f t="shared" si="7"/>
        <v>6</v>
      </c>
    </row>
    <row r="457" spans="1:10" x14ac:dyDescent="0.25">
      <c r="A457" t="s">
        <v>191</v>
      </c>
      <c r="B457" t="s">
        <v>193</v>
      </c>
      <c r="C457" t="s">
        <v>58</v>
      </c>
      <c r="D457" t="s">
        <v>150</v>
      </c>
      <c r="E457" s="69">
        <v>6</v>
      </c>
      <c r="F457" s="69">
        <v>0</v>
      </c>
      <c r="G457" s="69">
        <v>3</v>
      </c>
      <c r="H457" t="s">
        <v>2573</v>
      </c>
      <c r="I457" s="69">
        <v>9</v>
      </c>
      <c r="J457">
        <f t="shared" si="7"/>
        <v>6</v>
      </c>
    </row>
    <row r="458" spans="1:10" x14ac:dyDescent="0.25">
      <c r="A458" t="s">
        <v>1215</v>
      </c>
      <c r="B458" t="s">
        <v>1217</v>
      </c>
      <c r="C458" t="s">
        <v>58</v>
      </c>
      <c r="D458" t="s">
        <v>150</v>
      </c>
      <c r="E458" s="69">
        <v>15</v>
      </c>
      <c r="F458" s="69">
        <v>4</v>
      </c>
      <c r="G458" s="69">
        <v>3</v>
      </c>
      <c r="H458" t="s">
        <v>2573</v>
      </c>
      <c r="I458" s="69">
        <v>9</v>
      </c>
      <c r="J458">
        <f t="shared" si="7"/>
        <v>6</v>
      </c>
    </row>
    <row r="459" spans="1:10" x14ac:dyDescent="0.25">
      <c r="A459" t="s">
        <v>2115</v>
      </c>
      <c r="B459" t="s">
        <v>2116</v>
      </c>
      <c r="C459" t="s">
        <v>58</v>
      </c>
      <c r="D459" t="s">
        <v>124</v>
      </c>
      <c r="E459" s="69">
        <v>0</v>
      </c>
      <c r="F459" s="69">
        <v>7</v>
      </c>
      <c r="G459" s="69">
        <v>2</v>
      </c>
      <c r="H459" t="s">
        <v>2581</v>
      </c>
      <c r="I459" s="69">
        <v>9</v>
      </c>
      <c r="J459">
        <f t="shared" si="7"/>
        <v>7</v>
      </c>
    </row>
    <row r="460" spans="1:10" x14ac:dyDescent="0.25">
      <c r="A460" t="s">
        <v>2117</v>
      </c>
      <c r="B460" t="s">
        <v>2118</v>
      </c>
      <c r="C460" t="s">
        <v>58</v>
      </c>
      <c r="D460" t="s">
        <v>124</v>
      </c>
      <c r="E460" s="69">
        <v>0</v>
      </c>
      <c r="F460" s="69">
        <v>7</v>
      </c>
      <c r="G460" s="69">
        <v>2</v>
      </c>
      <c r="H460" t="s">
        <v>2581</v>
      </c>
      <c r="I460" s="69">
        <v>9</v>
      </c>
      <c r="J460">
        <f t="shared" si="7"/>
        <v>7</v>
      </c>
    </row>
    <row r="461" spans="1:10" x14ac:dyDescent="0.25">
      <c r="A461" t="s">
        <v>2110</v>
      </c>
      <c r="B461" t="s">
        <v>146</v>
      </c>
      <c r="C461" t="s">
        <v>58</v>
      </c>
      <c r="D461" t="s">
        <v>124</v>
      </c>
      <c r="E461" s="69">
        <v>0</v>
      </c>
      <c r="F461" s="69">
        <v>8</v>
      </c>
      <c r="G461" s="69">
        <v>2</v>
      </c>
      <c r="H461" t="s">
        <v>2581</v>
      </c>
      <c r="I461" s="69">
        <v>9</v>
      </c>
      <c r="J461">
        <f t="shared" si="7"/>
        <v>7</v>
      </c>
    </row>
    <row r="462" spans="1:10" x14ac:dyDescent="0.25">
      <c r="A462" t="s">
        <v>2044</v>
      </c>
      <c r="B462" t="s">
        <v>2045</v>
      </c>
      <c r="C462" t="s">
        <v>58</v>
      </c>
      <c r="D462" t="s">
        <v>131</v>
      </c>
      <c r="E462" s="69">
        <v>1</v>
      </c>
      <c r="F462" s="69">
        <v>2</v>
      </c>
      <c r="G462" s="69">
        <v>6</v>
      </c>
      <c r="H462" t="s">
        <v>2581</v>
      </c>
      <c r="I462" s="69">
        <v>9</v>
      </c>
      <c r="J462">
        <f t="shared" si="7"/>
        <v>3</v>
      </c>
    </row>
    <row r="463" spans="1:10" x14ac:dyDescent="0.25">
      <c r="A463" t="s">
        <v>128</v>
      </c>
      <c r="B463" t="s">
        <v>130</v>
      </c>
      <c r="C463" t="s">
        <v>58</v>
      </c>
      <c r="D463" t="s">
        <v>131</v>
      </c>
      <c r="E463" s="69">
        <v>1</v>
      </c>
      <c r="F463" s="69">
        <v>2</v>
      </c>
      <c r="G463" s="69">
        <v>6</v>
      </c>
      <c r="H463" t="s">
        <v>2581</v>
      </c>
      <c r="I463" s="69">
        <v>9</v>
      </c>
      <c r="J463">
        <f t="shared" si="7"/>
        <v>3</v>
      </c>
    </row>
    <row r="464" spans="1:10" x14ac:dyDescent="0.25">
      <c r="A464" t="s">
        <v>656</v>
      </c>
      <c r="B464" t="s">
        <v>658</v>
      </c>
      <c r="C464" t="s">
        <v>58</v>
      </c>
      <c r="D464" t="s">
        <v>63</v>
      </c>
      <c r="E464" s="69">
        <v>7</v>
      </c>
      <c r="F464" s="69">
        <v>2</v>
      </c>
      <c r="G464" s="69">
        <v>0</v>
      </c>
      <c r="H464" t="s">
        <v>2573</v>
      </c>
      <c r="I464" s="69">
        <v>9</v>
      </c>
      <c r="J464">
        <f t="shared" si="7"/>
        <v>9</v>
      </c>
    </row>
    <row r="465" spans="1:10" x14ac:dyDescent="0.25">
      <c r="A465" t="s">
        <v>659</v>
      </c>
      <c r="B465" t="s">
        <v>661</v>
      </c>
      <c r="C465" t="s">
        <v>58</v>
      </c>
      <c r="D465" t="s">
        <v>63</v>
      </c>
      <c r="E465" s="69">
        <v>7</v>
      </c>
      <c r="F465" s="69">
        <v>2</v>
      </c>
      <c r="G465" s="69">
        <v>0</v>
      </c>
      <c r="H465" t="s">
        <v>2573</v>
      </c>
      <c r="I465" s="69">
        <v>9</v>
      </c>
      <c r="J465">
        <f t="shared" si="7"/>
        <v>9</v>
      </c>
    </row>
    <row r="466" spans="1:10" x14ac:dyDescent="0.25">
      <c r="A466" t="s">
        <v>780</v>
      </c>
      <c r="B466" t="s">
        <v>778</v>
      </c>
      <c r="C466" t="s">
        <v>58</v>
      </c>
      <c r="D466" t="s">
        <v>187</v>
      </c>
      <c r="E466" s="69">
        <v>0</v>
      </c>
      <c r="F466" s="69">
        <v>0</v>
      </c>
      <c r="G466" s="69">
        <v>17</v>
      </c>
      <c r="H466" t="s">
        <v>2574</v>
      </c>
      <c r="I466" s="69">
        <v>9</v>
      </c>
      <c r="J466">
        <f t="shared" si="7"/>
        <v>-8</v>
      </c>
    </row>
    <row r="467" spans="1:10" x14ac:dyDescent="0.25">
      <c r="A467" t="s">
        <v>12</v>
      </c>
      <c r="B467" t="s">
        <v>13</v>
      </c>
      <c r="C467" t="s">
        <v>58</v>
      </c>
      <c r="D467" t="s">
        <v>1</v>
      </c>
      <c r="E467" s="69">
        <v>8</v>
      </c>
      <c r="F467" s="69">
        <v>0</v>
      </c>
      <c r="G467" s="69">
        <v>6</v>
      </c>
      <c r="H467" t="s">
        <v>2573</v>
      </c>
      <c r="I467" s="69">
        <v>9</v>
      </c>
      <c r="J467">
        <f t="shared" si="7"/>
        <v>3</v>
      </c>
    </row>
    <row r="468" spans="1:10" x14ac:dyDescent="0.25">
      <c r="A468" t="s">
        <v>34</v>
      </c>
      <c r="B468" t="s">
        <v>35</v>
      </c>
      <c r="C468" t="s">
        <v>58</v>
      </c>
      <c r="D468" t="s">
        <v>1</v>
      </c>
      <c r="E468" s="69">
        <v>9</v>
      </c>
      <c r="F468" s="69">
        <v>1</v>
      </c>
      <c r="G468" s="69">
        <v>3</v>
      </c>
      <c r="H468" t="s">
        <v>2573</v>
      </c>
      <c r="I468" s="69">
        <v>9</v>
      </c>
      <c r="J468">
        <f t="shared" si="7"/>
        <v>6</v>
      </c>
    </row>
    <row r="469" spans="1:10" x14ac:dyDescent="0.25">
      <c r="A469" t="s">
        <v>1981</v>
      </c>
      <c r="B469" t="s">
        <v>10</v>
      </c>
      <c r="C469" t="s">
        <v>58</v>
      </c>
      <c r="D469" t="s">
        <v>1</v>
      </c>
      <c r="E469" s="69">
        <v>8</v>
      </c>
      <c r="F469" s="69">
        <v>1</v>
      </c>
      <c r="G469" s="69">
        <v>3.75</v>
      </c>
      <c r="H469" t="s">
        <v>2573</v>
      </c>
      <c r="I469" s="69">
        <v>8.75</v>
      </c>
      <c r="J469">
        <f t="shared" si="7"/>
        <v>5</v>
      </c>
    </row>
    <row r="470" spans="1:10" x14ac:dyDescent="0.25">
      <c r="A470" t="s">
        <v>2369</v>
      </c>
      <c r="B470" t="s">
        <v>2370</v>
      </c>
      <c r="C470" t="s">
        <v>58</v>
      </c>
      <c r="D470" t="s">
        <v>160</v>
      </c>
      <c r="E470" s="69">
        <v>5.2789999999999999</v>
      </c>
      <c r="F470" s="69">
        <v>3</v>
      </c>
      <c r="G470" s="69">
        <v>0</v>
      </c>
      <c r="H470" t="s">
        <v>2574</v>
      </c>
      <c r="I470" s="69">
        <v>8.2789999999999999</v>
      </c>
      <c r="J470">
        <f t="shared" si="7"/>
        <v>8.2789999999999999</v>
      </c>
    </row>
    <row r="471" spans="1:10" x14ac:dyDescent="0.25">
      <c r="A471" t="s">
        <v>1796</v>
      </c>
      <c r="B471" t="s">
        <v>1798</v>
      </c>
      <c r="C471" t="s">
        <v>58</v>
      </c>
      <c r="D471" t="s">
        <v>59</v>
      </c>
      <c r="E471" s="69">
        <v>35</v>
      </c>
      <c r="F471" s="69">
        <v>0</v>
      </c>
      <c r="G471" s="69">
        <v>0</v>
      </c>
      <c r="H471" t="s">
        <v>2574</v>
      </c>
      <c r="I471" s="69">
        <v>8</v>
      </c>
      <c r="J471">
        <f t="shared" si="7"/>
        <v>8</v>
      </c>
    </row>
    <row r="472" spans="1:10" x14ac:dyDescent="0.25">
      <c r="A472" t="s">
        <v>1458</v>
      </c>
      <c r="B472" t="s">
        <v>1460</v>
      </c>
      <c r="C472" t="s">
        <v>58</v>
      </c>
      <c r="D472" t="s">
        <v>59</v>
      </c>
      <c r="E472" s="69">
        <v>5</v>
      </c>
      <c r="F472" s="69">
        <v>0</v>
      </c>
      <c r="G472" s="69">
        <v>3</v>
      </c>
      <c r="H472" t="s">
        <v>2573</v>
      </c>
      <c r="I472" s="69">
        <v>8</v>
      </c>
      <c r="J472">
        <f t="shared" si="7"/>
        <v>5</v>
      </c>
    </row>
    <row r="473" spans="1:10" x14ac:dyDescent="0.25">
      <c r="A473" t="s">
        <v>2359</v>
      </c>
      <c r="B473" t="s">
        <v>2360</v>
      </c>
      <c r="C473" t="s">
        <v>58</v>
      </c>
      <c r="D473" t="s">
        <v>59</v>
      </c>
      <c r="E473" s="69">
        <v>2</v>
      </c>
      <c r="F473" s="69">
        <v>0</v>
      </c>
      <c r="G473" s="69">
        <v>9</v>
      </c>
      <c r="H473" t="s">
        <v>2573</v>
      </c>
      <c r="I473" s="69">
        <v>8</v>
      </c>
      <c r="J473">
        <f t="shared" si="7"/>
        <v>-1</v>
      </c>
    </row>
    <row r="474" spans="1:10" x14ac:dyDescent="0.25">
      <c r="A474" t="s">
        <v>1959</v>
      </c>
      <c r="B474" t="s">
        <v>1961</v>
      </c>
      <c r="C474" t="s">
        <v>58</v>
      </c>
      <c r="D474" t="s">
        <v>59</v>
      </c>
      <c r="E474" s="69">
        <v>19</v>
      </c>
      <c r="F474" s="69">
        <v>0</v>
      </c>
      <c r="G474" s="69">
        <v>1</v>
      </c>
      <c r="H474" t="s">
        <v>2574</v>
      </c>
      <c r="I474" s="69">
        <v>8</v>
      </c>
      <c r="J474">
        <f t="shared" si="7"/>
        <v>7</v>
      </c>
    </row>
    <row r="475" spans="1:10" x14ac:dyDescent="0.25">
      <c r="A475" t="s">
        <v>1276</v>
      </c>
      <c r="B475" t="s">
        <v>1278</v>
      </c>
      <c r="C475" t="s">
        <v>58</v>
      </c>
      <c r="D475" t="s">
        <v>167</v>
      </c>
      <c r="E475" s="69">
        <v>6</v>
      </c>
      <c r="F475" s="69">
        <v>2</v>
      </c>
      <c r="G475" s="69">
        <v>0</v>
      </c>
      <c r="H475" t="s">
        <v>2574</v>
      </c>
      <c r="I475" s="69">
        <v>8</v>
      </c>
      <c r="J475">
        <f t="shared" si="7"/>
        <v>8</v>
      </c>
    </row>
    <row r="476" spans="1:10" x14ac:dyDescent="0.25">
      <c r="A476" t="s">
        <v>2344</v>
      </c>
      <c r="B476" t="s">
        <v>2345</v>
      </c>
      <c r="C476" t="s">
        <v>58</v>
      </c>
      <c r="D476" t="s">
        <v>167</v>
      </c>
      <c r="E476" s="69">
        <v>6</v>
      </c>
      <c r="F476" s="69">
        <v>2</v>
      </c>
      <c r="G476" s="69">
        <v>0</v>
      </c>
      <c r="H476" t="s">
        <v>2573</v>
      </c>
      <c r="I476" s="69">
        <v>8</v>
      </c>
      <c r="J476">
        <f t="shared" si="7"/>
        <v>8</v>
      </c>
    </row>
    <row r="477" spans="1:10" x14ac:dyDescent="0.25">
      <c r="A477" t="s">
        <v>1029</v>
      </c>
      <c r="B477" t="s">
        <v>1031</v>
      </c>
      <c r="C477" t="s">
        <v>58</v>
      </c>
      <c r="D477" t="s">
        <v>167</v>
      </c>
      <c r="E477" s="69">
        <v>6</v>
      </c>
      <c r="F477" s="69">
        <v>0</v>
      </c>
      <c r="G477" s="69">
        <v>2</v>
      </c>
      <c r="H477" t="s">
        <v>2573</v>
      </c>
      <c r="I477" s="69">
        <v>8</v>
      </c>
      <c r="J477">
        <f t="shared" si="7"/>
        <v>6</v>
      </c>
    </row>
    <row r="478" spans="1:10" x14ac:dyDescent="0.25">
      <c r="A478" t="s">
        <v>647</v>
      </c>
      <c r="B478" t="s">
        <v>649</v>
      </c>
      <c r="C478" t="s">
        <v>58</v>
      </c>
      <c r="D478" t="s">
        <v>117</v>
      </c>
      <c r="E478" s="69">
        <v>11</v>
      </c>
      <c r="F478" s="69">
        <v>0</v>
      </c>
      <c r="G478" s="69">
        <v>0</v>
      </c>
      <c r="H478" t="s">
        <v>2573</v>
      </c>
      <c r="I478" s="69">
        <v>8</v>
      </c>
      <c r="J478">
        <f t="shared" si="7"/>
        <v>8</v>
      </c>
    </row>
    <row r="479" spans="1:10" x14ac:dyDescent="0.25">
      <c r="A479" t="s">
        <v>1370</v>
      </c>
      <c r="B479" t="s">
        <v>1372</v>
      </c>
      <c r="C479" t="s">
        <v>58</v>
      </c>
      <c r="D479" t="s">
        <v>160</v>
      </c>
      <c r="E479" s="69">
        <v>0</v>
      </c>
      <c r="F479" s="69">
        <v>0</v>
      </c>
      <c r="G479" s="69">
        <v>8</v>
      </c>
      <c r="H479" t="s">
        <v>2574</v>
      </c>
      <c r="I479" s="69">
        <v>8</v>
      </c>
      <c r="J479">
        <f t="shared" si="7"/>
        <v>0</v>
      </c>
    </row>
    <row r="480" spans="1:10" x14ac:dyDescent="0.25">
      <c r="A480" t="s">
        <v>1373</v>
      </c>
      <c r="B480" t="s">
        <v>1372</v>
      </c>
      <c r="C480" t="s">
        <v>58</v>
      </c>
      <c r="D480" t="s">
        <v>160</v>
      </c>
      <c r="E480" s="69">
        <v>2</v>
      </c>
      <c r="F480" s="69">
        <v>4</v>
      </c>
      <c r="G480" s="69">
        <v>2</v>
      </c>
      <c r="H480" t="s">
        <v>2574</v>
      </c>
      <c r="I480" s="69">
        <v>8</v>
      </c>
      <c r="J480">
        <f t="shared" si="7"/>
        <v>6</v>
      </c>
    </row>
    <row r="481" spans="1:10" x14ac:dyDescent="0.25">
      <c r="A481" t="s">
        <v>1885</v>
      </c>
      <c r="B481" t="s">
        <v>1887</v>
      </c>
      <c r="C481" t="s">
        <v>58</v>
      </c>
      <c r="D481" t="s">
        <v>225</v>
      </c>
      <c r="E481" s="69">
        <v>7</v>
      </c>
      <c r="F481" s="69">
        <v>1</v>
      </c>
      <c r="G481" s="69">
        <v>0</v>
      </c>
      <c r="H481" t="s">
        <v>2574</v>
      </c>
      <c r="I481" s="69">
        <v>8</v>
      </c>
      <c r="J481">
        <f t="shared" si="7"/>
        <v>8</v>
      </c>
    </row>
    <row r="482" spans="1:10" x14ac:dyDescent="0.25">
      <c r="A482" t="s">
        <v>698</v>
      </c>
      <c r="B482" t="s">
        <v>700</v>
      </c>
      <c r="C482" t="s">
        <v>58</v>
      </c>
      <c r="D482" t="s">
        <v>63</v>
      </c>
      <c r="E482" s="69">
        <v>13</v>
      </c>
      <c r="F482" s="69">
        <v>1</v>
      </c>
      <c r="G482" s="69">
        <v>7</v>
      </c>
      <c r="H482" t="s">
        <v>2574</v>
      </c>
      <c r="I482" s="69">
        <v>8</v>
      </c>
      <c r="J482">
        <f t="shared" si="7"/>
        <v>1</v>
      </c>
    </row>
    <row r="483" spans="1:10" x14ac:dyDescent="0.25">
      <c r="A483" t="s">
        <v>734</v>
      </c>
      <c r="B483" t="s">
        <v>736</v>
      </c>
      <c r="C483" t="s">
        <v>58</v>
      </c>
      <c r="D483" t="s">
        <v>63</v>
      </c>
      <c r="E483" s="69">
        <v>13</v>
      </c>
      <c r="F483" s="69">
        <v>2</v>
      </c>
      <c r="G483" s="69">
        <v>8</v>
      </c>
      <c r="H483" t="s">
        <v>2573</v>
      </c>
      <c r="I483" s="69">
        <v>8</v>
      </c>
      <c r="J483">
        <f t="shared" si="7"/>
        <v>0</v>
      </c>
    </row>
    <row r="484" spans="1:10" x14ac:dyDescent="0.25">
      <c r="A484" t="s">
        <v>2584</v>
      </c>
      <c r="B484" t="s">
        <v>1963</v>
      </c>
      <c r="C484" t="s">
        <v>58</v>
      </c>
      <c r="D484" t="s">
        <v>203</v>
      </c>
      <c r="E484" s="69">
        <v>7.6</v>
      </c>
      <c r="F484" s="69">
        <v>0</v>
      </c>
      <c r="G484" s="69">
        <v>0</v>
      </c>
      <c r="H484" t="s">
        <v>2573</v>
      </c>
      <c r="I484" s="69">
        <v>7.6</v>
      </c>
      <c r="J484">
        <f t="shared" si="7"/>
        <v>7.6</v>
      </c>
    </row>
    <row r="485" spans="1:10" x14ac:dyDescent="0.25">
      <c r="A485" t="s">
        <v>1946</v>
      </c>
      <c r="B485" t="s">
        <v>1948</v>
      </c>
      <c r="C485" t="s">
        <v>58</v>
      </c>
      <c r="D485" t="s">
        <v>59</v>
      </c>
      <c r="E485" s="69">
        <v>19</v>
      </c>
      <c r="F485" s="69">
        <v>0</v>
      </c>
      <c r="G485" s="69">
        <v>0</v>
      </c>
      <c r="H485" t="s">
        <v>2574</v>
      </c>
      <c r="I485" s="69">
        <v>7</v>
      </c>
      <c r="J485">
        <f t="shared" si="7"/>
        <v>7</v>
      </c>
    </row>
    <row r="486" spans="1:10" x14ac:dyDescent="0.25">
      <c r="A486" t="s">
        <v>1953</v>
      </c>
      <c r="B486" t="s">
        <v>1955</v>
      </c>
      <c r="C486" t="s">
        <v>58</v>
      </c>
      <c r="D486" t="s">
        <v>167</v>
      </c>
      <c r="E486" s="69">
        <v>27</v>
      </c>
      <c r="F486" s="69">
        <v>2</v>
      </c>
      <c r="G486" s="69">
        <v>0</v>
      </c>
      <c r="H486" t="s">
        <v>2574</v>
      </c>
      <c r="I486" s="69">
        <v>7</v>
      </c>
      <c r="J486">
        <f t="shared" si="7"/>
        <v>7</v>
      </c>
    </row>
    <row r="487" spans="1:10" x14ac:dyDescent="0.25">
      <c r="A487" t="s">
        <v>1288</v>
      </c>
      <c r="B487" t="s">
        <v>1290</v>
      </c>
      <c r="C487" t="s">
        <v>58</v>
      </c>
      <c r="D487" t="s">
        <v>167</v>
      </c>
      <c r="E487" s="69">
        <v>0</v>
      </c>
      <c r="F487" s="69">
        <v>12</v>
      </c>
      <c r="G487" s="69">
        <v>0</v>
      </c>
      <c r="H487" t="s">
        <v>2573</v>
      </c>
      <c r="I487" s="69">
        <v>7</v>
      </c>
      <c r="J487">
        <f t="shared" si="7"/>
        <v>7</v>
      </c>
    </row>
    <row r="488" spans="1:10" x14ac:dyDescent="0.25">
      <c r="A488" t="s">
        <v>1394</v>
      </c>
      <c r="B488" t="s">
        <v>1396</v>
      </c>
      <c r="C488" t="s">
        <v>58</v>
      </c>
      <c r="D488" t="s">
        <v>167</v>
      </c>
      <c r="E488" s="69">
        <v>5</v>
      </c>
      <c r="F488" s="69">
        <v>3</v>
      </c>
      <c r="G488" s="69">
        <v>6</v>
      </c>
      <c r="H488" t="s">
        <v>2573</v>
      </c>
      <c r="I488" s="69">
        <v>7</v>
      </c>
      <c r="J488">
        <f t="shared" si="7"/>
        <v>1</v>
      </c>
    </row>
    <row r="489" spans="1:10" x14ac:dyDescent="0.25">
      <c r="A489" t="s">
        <v>1063</v>
      </c>
      <c r="B489" t="s">
        <v>1065</v>
      </c>
      <c r="C489" t="s">
        <v>58</v>
      </c>
      <c r="D489" t="s">
        <v>167</v>
      </c>
      <c r="E489" s="69">
        <v>3</v>
      </c>
      <c r="F489" s="69">
        <v>0</v>
      </c>
      <c r="G489" s="69">
        <v>4</v>
      </c>
      <c r="H489" t="s">
        <v>2573</v>
      </c>
      <c r="I489" s="69">
        <v>7</v>
      </c>
      <c r="J489">
        <f t="shared" si="7"/>
        <v>3</v>
      </c>
    </row>
    <row r="490" spans="1:10" x14ac:dyDescent="0.25">
      <c r="A490" t="s">
        <v>993</v>
      </c>
      <c r="B490" t="s">
        <v>995</v>
      </c>
      <c r="C490" t="s">
        <v>58</v>
      </c>
      <c r="D490" t="s">
        <v>203</v>
      </c>
      <c r="E490" s="69">
        <v>4</v>
      </c>
      <c r="F490" s="69">
        <v>3</v>
      </c>
      <c r="G490" s="69">
        <v>0</v>
      </c>
      <c r="H490" t="s">
        <v>2573</v>
      </c>
      <c r="I490" s="69">
        <v>7</v>
      </c>
      <c r="J490">
        <f t="shared" si="7"/>
        <v>7</v>
      </c>
    </row>
    <row r="491" spans="1:10" x14ac:dyDescent="0.25">
      <c r="A491" t="s">
        <v>1300</v>
      </c>
      <c r="B491" t="s">
        <v>1302</v>
      </c>
      <c r="C491" t="s">
        <v>58</v>
      </c>
      <c r="D491" t="s">
        <v>160</v>
      </c>
      <c r="E491" s="69">
        <v>3</v>
      </c>
      <c r="F491" s="69">
        <v>0</v>
      </c>
      <c r="G491" s="69">
        <v>5</v>
      </c>
      <c r="H491" t="s">
        <v>2573</v>
      </c>
      <c r="I491" s="69">
        <v>7</v>
      </c>
      <c r="J491">
        <f t="shared" si="7"/>
        <v>2</v>
      </c>
    </row>
    <row r="492" spans="1:10" x14ac:dyDescent="0.25">
      <c r="A492" t="s">
        <v>1309</v>
      </c>
      <c r="B492" t="s">
        <v>1311</v>
      </c>
      <c r="C492" t="s">
        <v>58</v>
      </c>
      <c r="D492" t="s">
        <v>160</v>
      </c>
      <c r="E492" s="69">
        <v>0</v>
      </c>
      <c r="F492" s="69">
        <v>3</v>
      </c>
      <c r="G492" s="69">
        <v>4</v>
      </c>
      <c r="H492" t="s">
        <v>2573</v>
      </c>
      <c r="I492" s="69">
        <v>7</v>
      </c>
      <c r="J492">
        <f t="shared" si="7"/>
        <v>3</v>
      </c>
    </row>
    <row r="493" spans="1:10" x14ac:dyDescent="0.25">
      <c r="A493" t="s">
        <v>2275</v>
      </c>
      <c r="B493" t="s">
        <v>2276</v>
      </c>
      <c r="C493" t="s">
        <v>58</v>
      </c>
      <c r="D493" t="s">
        <v>67</v>
      </c>
      <c r="E493" s="69">
        <v>3</v>
      </c>
      <c r="F493" s="69">
        <v>0</v>
      </c>
      <c r="G493" s="69">
        <v>4</v>
      </c>
      <c r="H493" t="s">
        <v>2573</v>
      </c>
      <c r="I493" s="69">
        <v>7</v>
      </c>
      <c r="J493">
        <f t="shared" si="7"/>
        <v>3</v>
      </c>
    </row>
    <row r="494" spans="1:10" x14ac:dyDescent="0.25">
      <c r="A494" t="s">
        <v>2332</v>
      </c>
      <c r="B494" t="s">
        <v>2333</v>
      </c>
      <c r="C494" t="s">
        <v>58</v>
      </c>
      <c r="D494" t="s">
        <v>150</v>
      </c>
      <c r="E494" s="69">
        <v>7</v>
      </c>
      <c r="F494" s="69">
        <v>0</v>
      </c>
      <c r="G494" s="69">
        <v>0</v>
      </c>
      <c r="H494" t="s">
        <v>2574</v>
      </c>
      <c r="I494" s="69">
        <v>7</v>
      </c>
      <c r="J494">
        <f t="shared" si="7"/>
        <v>7</v>
      </c>
    </row>
    <row r="495" spans="1:10" x14ac:dyDescent="0.25">
      <c r="A495" t="s">
        <v>545</v>
      </c>
      <c r="B495" t="s">
        <v>547</v>
      </c>
      <c r="C495" t="s">
        <v>58</v>
      </c>
      <c r="D495" t="s">
        <v>150</v>
      </c>
      <c r="E495" s="69">
        <v>7</v>
      </c>
      <c r="F495" s="69">
        <v>0</v>
      </c>
      <c r="G495" s="69">
        <v>0</v>
      </c>
      <c r="H495" t="s">
        <v>2574</v>
      </c>
      <c r="I495" s="69">
        <v>7</v>
      </c>
      <c r="J495">
        <f t="shared" si="7"/>
        <v>7</v>
      </c>
    </row>
    <row r="496" spans="1:10" x14ac:dyDescent="0.25">
      <c r="A496" t="s">
        <v>930</v>
      </c>
      <c r="B496" t="s">
        <v>932</v>
      </c>
      <c r="C496" t="s">
        <v>58</v>
      </c>
      <c r="D496" t="s">
        <v>150</v>
      </c>
      <c r="E496" s="69">
        <v>6</v>
      </c>
      <c r="F496" s="69">
        <v>0</v>
      </c>
      <c r="G496" s="69">
        <v>1</v>
      </c>
      <c r="H496" t="s">
        <v>2573</v>
      </c>
      <c r="I496" s="69">
        <v>7</v>
      </c>
      <c r="J496">
        <f t="shared" si="7"/>
        <v>6</v>
      </c>
    </row>
    <row r="497" spans="1:10" x14ac:dyDescent="0.25">
      <c r="A497" t="s">
        <v>2030</v>
      </c>
      <c r="B497" t="s">
        <v>2031</v>
      </c>
      <c r="C497" t="s">
        <v>58</v>
      </c>
      <c r="D497" t="s">
        <v>124</v>
      </c>
      <c r="E497" s="69">
        <v>0</v>
      </c>
      <c r="F497" s="69">
        <v>7</v>
      </c>
      <c r="G497" s="69">
        <v>0</v>
      </c>
      <c r="H497" t="s">
        <v>2581</v>
      </c>
      <c r="I497" s="69">
        <v>7</v>
      </c>
      <c r="J497">
        <f t="shared" si="7"/>
        <v>7</v>
      </c>
    </row>
    <row r="498" spans="1:10" x14ac:dyDescent="0.25">
      <c r="A498" t="s">
        <v>2095</v>
      </c>
      <c r="B498" t="s">
        <v>2096</v>
      </c>
      <c r="C498" t="s">
        <v>58</v>
      </c>
      <c r="D498" t="s">
        <v>131</v>
      </c>
      <c r="E498" s="69">
        <v>1</v>
      </c>
      <c r="F498" s="69">
        <v>1</v>
      </c>
      <c r="G498" s="69">
        <v>5</v>
      </c>
      <c r="H498" t="s">
        <v>2581</v>
      </c>
      <c r="I498" s="69">
        <v>7</v>
      </c>
      <c r="J498">
        <f t="shared" si="7"/>
        <v>2</v>
      </c>
    </row>
    <row r="499" spans="1:10" x14ac:dyDescent="0.25">
      <c r="A499" t="s">
        <v>617</v>
      </c>
      <c r="B499" t="s">
        <v>619</v>
      </c>
      <c r="C499" t="s">
        <v>58</v>
      </c>
      <c r="D499" t="s">
        <v>63</v>
      </c>
      <c r="E499" s="69">
        <v>7</v>
      </c>
      <c r="F499" s="69">
        <v>2</v>
      </c>
      <c r="G499" s="69">
        <v>0</v>
      </c>
      <c r="H499" t="s">
        <v>2573</v>
      </c>
      <c r="I499" s="69">
        <v>7</v>
      </c>
      <c r="J499">
        <f t="shared" si="7"/>
        <v>7</v>
      </c>
    </row>
    <row r="500" spans="1:10" x14ac:dyDescent="0.25">
      <c r="A500" t="s">
        <v>1337</v>
      </c>
      <c r="B500" t="s">
        <v>1339</v>
      </c>
      <c r="C500" t="s">
        <v>58</v>
      </c>
      <c r="D500" t="s">
        <v>304</v>
      </c>
      <c r="E500" s="69">
        <v>7</v>
      </c>
      <c r="F500" s="69">
        <v>0</v>
      </c>
      <c r="G500" s="69">
        <v>0</v>
      </c>
      <c r="H500" t="s">
        <v>2574</v>
      </c>
      <c r="I500" s="69">
        <v>7</v>
      </c>
      <c r="J500">
        <f t="shared" si="7"/>
        <v>7</v>
      </c>
    </row>
    <row r="501" spans="1:10" x14ac:dyDescent="0.25">
      <c r="A501" t="s">
        <v>790</v>
      </c>
      <c r="B501" t="s">
        <v>789</v>
      </c>
      <c r="C501" t="s">
        <v>58</v>
      </c>
      <c r="D501" t="s">
        <v>187</v>
      </c>
      <c r="E501" s="69">
        <v>0</v>
      </c>
      <c r="F501" s="69">
        <v>0</v>
      </c>
      <c r="G501" s="69">
        <v>17</v>
      </c>
      <c r="H501" t="s">
        <v>2574</v>
      </c>
      <c r="I501" s="69">
        <v>7</v>
      </c>
      <c r="J501">
        <f t="shared" si="7"/>
        <v>-10</v>
      </c>
    </row>
    <row r="502" spans="1:10" x14ac:dyDescent="0.25">
      <c r="A502" t="s">
        <v>38</v>
      </c>
      <c r="B502" t="s">
        <v>39</v>
      </c>
      <c r="C502" t="s">
        <v>58</v>
      </c>
      <c r="D502" t="s">
        <v>1</v>
      </c>
      <c r="E502" s="69">
        <v>2</v>
      </c>
      <c r="F502" s="69">
        <v>3</v>
      </c>
      <c r="G502" s="69">
        <v>2</v>
      </c>
      <c r="H502" t="s">
        <v>2573</v>
      </c>
      <c r="I502" s="69">
        <v>7</v>
      </c>
      <c r="J502">
        <f t="shared" si="7"/>
        <v>5</v>
      </c>
    </row>
    <row r="503" spans="1:10" x14ac:dyDescent="0.25">
      <c r="A503" t="s">
        <v>1864</v>
      </c>
      <c r="B503" t="s">
        <v>1866</v>
      </c>
      <c r="C503" t="s">
        <v>58</v>
      </c>
      <c r="D503" t="s">
        <v>59</v>
      </c>
      <c r="E503" s="69">
        <v>6</v>
      </c>
      <c r="F503" s="69">
        <v>0</v>
      </c>
      <c r="G503" s="69">
        <v>0</v>
      </c>
      <c r="H503" t="s">
        <v>2574</v>
      </c>
      <c r="I503" s="69">
        <v>6</v>
      </c>
      <c r="J503">
        <f t="shared" si="7"/>
        <v>6</v>
      </c>
    </row>
    <row r="504" spans="1:10" x14ac:dyDescent="0.25">
      <c r="A504" t="s">
        <v>1548</v>
      </c>
      <c r="B504" t="s">
        <v>1550</v>
      </c>
      <c r="C504" t="s">
        <v>58</v>
      </c>
      <c r="D504" t="s">
        <v>59</v>
      </c>
      <c r="E504" s="69">
        <v>0</v>
      </c>
      <c r="F504" s="69">
        <v>0</v>
      </c>
      <c r="G504" s="69">
        <v>6</v>
      </c>
      <c r="H504" t="s">
        <v>2574</v>
      </c>
      <c r="I504" s="69">
        <v>6</v>
      </c>
      <c r="J504">
        <f t="shared" si="7"/>
        <v>0</v>
      </c>
    </row>
    <row r="505" spans="1:10" x14ac:dyDescent="0.25">
      <c r="A505" t="s">
        <v>2418</v>
      </c>
      <c r="B505" t="s">
        <v>1940</v>
      </c>
      <c r="C505" t="s">
        <v>58</v>
      </c>
      <c r="D505" t="s">
        <v>160</v>
      </c>
      <c r="E505" s="69">
        <v>6</v>
      </c>
      <c r="F505" s="69">
        <v>1</v>
      </c>
      <c r="G505" s="69">
        <v>2</v>
      </c>
      <c r="H505" t="s">
        <v>2573</v>
      </c>
      <c r="I505" s="69">
        <v>6</v>
      </c>
      <c r="J505">
        <f t="shared" si="7"/>
        <v>4</v>
      </c>
    </row>
    <row r="506" spans="1:10" x14ac:dyDescent="0.25">
      <c r="A506" t="s">
        <v>1648</v>
      </c>
      <c r="B506" t="s">
        <v>1650</v>
      </c>
      <c r="C506" t="s">
        <v>58</v>
      </c>
      <c r="D506" t="s">
        <v>160</v>
      </c>
      <c r="E506" s="69">
        <v>2</v>
      </c>
      <c r="F506" s="69">
        <v>4</v>
      </c>
      <c r="G506" s="69">
        <v>0</v>
      </c>
      <c r="H506" t="s">
        <v>2573</v>
      </c>
      <c r="I506" s="69">
        <v>6</v>
      </c>
      <c r="J506">
        <f t="shared" si="7"/>
        <v>6</v>
      </c>
    </row>
    <row r="507" spans="1:10" x14ac:dyDescent="0.25">
      <c r="A507" t="s">
        <v>1910</v>
      </c>
      <c r="B507" t="s">
        <v>1912</v>
      </c>
      <c r="C507" t="s">
        <v>58</v>
      </c>
      <c r="D507" t="s">
        <v>160</v>
      </c>
      <c r="E507" s="69">
        <v>2</v>
      </c>
      <c r="F507" s="69">
        <v>2</v>
      </c>
      <c r="G507" s="69">
        <v>3</v>
      </c>
      <c r="H507" t="s">
        <v>2573</v>
      </c>
      <c r="I507" s="69">
        <v>6</v>
      </c>
      <c r="J507">
        <f t="shared" si="7"/>
        <v>3</v>
      </c>
    </row>
    <row r="508" spans="1:10" x14ac:dyDescent="0.25">
      <c r="A508" t="s">
        <v>2212</v>
      </c>
      <c r="B508" t="s">
        <v>547</v>
      </c>
      <c r="C508" t="s">
        <v>58</v>
      </c>
      <c r="D508" t="s">
        <v>150</v>
      </c>
      <c r="E508" s="69">
        <v>6</v>
      </c>
      <c r="F508" s="69">
        <v>0</v>
      </c>
      <c r="G508" s="69">
        <v>0</v>
      </c>
      <c r="H508" t="s">
        <v>2574</v>
      </c>
      <c r="I508" s="69">
        <v>6</v>
      </c>
      <c r="J508">
        <f t="shared" si="7"/>
        <v>6</v>
      </c>
    </row>
    <row r="509" spans="1:10" x14ac:dyDescent="0.25">
      <c r="A509" t="s">
        <v>1488</v>
      </c>
      <c r="B509" t="s">
        <v>1490</v>
      </c>
      <c r="C509" t="s">
        <v>58</v>
      </c>
      <c r="D509" t="s">
        <v>150</v>
      </c>
      <c r="E509" s="69">
        <v>6</v>
      </c>
      <c r="F509" s="69">
        <v>0</v>
      </c>
      <c r="G509" s="69">
        <v>0</v>
      </c>
      <c r="H509" t="s">
        <v>2574</v>
      </c>
      <c r="I509" s="69">
        <v>6</v>
      </c>
      <c r="J509">
        <f t="shared" si="7"/>
        <v>6</v>
      </c>
    </row>
    <row r="510" spans="1:10" x14ac:dyDescent="0.25">
      <c r="A510" t="s">
        <v>1188</v>
      </c>
      <c r="B510" t="s">
        <v>1190</v>
      </c>
      <c r="C510" t="s">
        <v>58</v>
      </c>
      <c r="D510" t="s">
        <v>150</v>
      </c>
      <c r="E510" s="69">
        <v>3</v>
      </c>
      <c r="F510" s="69">
        <v>0</v>
      </c>
      <c r="G510" s="69">
        <v>3</v>
      </c>
      <c r="H510" t="s">
        <v>2573</v>
      </c>
      <c r="I510" s="69">
        <v>6</v>
      </c>
      <c r="J510">
        <f t="shared" si="7"/>
        <v>3</v>
      </c>
    </row>
    <row r="511" spans="1:10" x14ac:dyDescent="0.25">
      <c r="A511" t="s">
        <v>1194</v>
      </c>
      <c r="B511" t="s">
        <v>1196</v>
      </c>
      <c r="C511" t="s">
        <v>58</v>
      </c>
      <c r="D511" t="s">
        <v>150</v>
      </c>
      <c r="E511" s="69">
        <v>6</v>
      </c>
      <c r="F511" s="69">
        <v>0</v>
      </c>
      <c r="G511" s="69">
        <v>0</v>
      </c>
      <c r="H511" t="s">
        <v>2573</v>
      </c>
      <c r="I511" s="69">
        <v>6</v>
      </c>
      <c r="J511">
        <f t="shared" si="7"/>
        <v>6</v>
      </c>
    </row>
    <row r="512" spans="1:10" x14ac:dyDescent="0.25">
      <c r="A512" t="s">
        <v>566</v>
      </c>
      <c r="B512" t="s">
        <v>568</v>
      </c>
      <c r="C512" t="s">
        <v>58</v>
      </c>
      <c r="D512" t="s">
        <v>150</v>
      </c>
      <c r="E512" s="69">
        <v>3</v>
      </c>
      <c r="F512" s="69">
        <v>0</v>
      </c>
      <c r="G512" s="69">
        <v>3</v>
      </c>
      <c r="H512" t="s">
        <v>2573</v>
      </c>
      <c r="I512" s="69">
        <v>6</v>
      </c>
      <c r="J512">
        <f t="shared" si="7"/>
        <v>3</v>
      </c>
    </row>
    <row r="513" spans="1:10" x14ac:dyDescent="0.25">
      <c r="A513" t="s">
        <v>2111</v>
      </c>
      <c r="B513" t="s">
        <v>2112</v>
      </c>
      <c r="C513" t="s">
        <v>58</v>
      </c>
      <c r="D513" t="s">
        <v>124</v>
      </c>
      <c r="E513" s="69">
        <v>0</v>
      </c>
      <c r="F513" s="69">
        <v>7</v>
      </c>
      <c r="G513" s="69">
        <v>2</v>
      </c>
      <c r="H513" t="s">
        <v>2581</v>
      </c>
      <c r="I513" s="69">
        <v>6</v>
      </c>
      <c r="J513">
        <f t="shared" si="7"/>
        <v>4</v>
      </c>
    </row>
    <row r="514" spans="1:10" x14ac:dyDescent="0.25">
      <c r="A514" t="s">
        <v>2113</v>
      </c>
      <c r="B514" t="s">
        <v>2114</v>
      </c>
      <c r="C514" t="s">
        <v>58</v>
      </c>
      <c r="D514" t="s">
        <v>124</v>
      </c>
      <c r="E514" s="69">
        <v>0</v>
      </c>
      <c r="F514" s="69">
        <v>7</v>
      </c>
      <c r="G514" s="69">
        <v>2</v>
      </c>
      <c r="H514" t="s">
        <v>2581</v>
      </c>
      <c r="I514" s="69">
        <v>6</v>
      </c>
      <c r="J514">
        <f t="shared" si="7"/>
        <v>4</v>
      </c>
    </row>
    <row r="515" spans="1:10" x14ac:dyDescent="0.25">
      <c r="A515" t="s">
        <v>653</v>
      </c>
      <c r="B515" t="s">
        <v>655</v>
      </c>
      <c r="C515" t="s">
        <v>58</v>
      </c>
      <c r="D515" t="s">
        <v>63</v>
      </c>
      <c r="E515" s="69">
        <v>7</v>
      </c>
      <c r="F515" s="69">
        <v>5</v>
      </c>
      <c r="G515" s="69">
        <v>4</v>
      </c>
      <c r="H515" t="s">
        <v>2573</v>
      </c>
      <c r="I515" s="69">
        <v>6</v>
      </c>
      <c r="J515">
        <f t="shared" ref="J515:J578" si="8">I515-G515</f>
        <v>2</v>
      </c>
    </row>
    <row r="516" spans="1:10" x14ac:dyDescent="0.25">
      <c r="A516" t="s">
        <v>2243</v>
      </c>
      <c r="B516" t="s">
        <v>2244</v>
      </c>
      <c r="C516" t="s">
        <v>58</v>
      </c>
      <c r="D516" t="s">
        <v>63</v>
      </c>
      <c r="E516" s="69">
        <v>5</v>
      </c>
      <c r="F516" s="69">
        <v>1</v>
      </c>
      <c r="G516" s="69">
        <v>0</v>
      </c>
      <c r="H516" t="s">
        <v>2574</v>
      </c>
      <c r="I516" s="69">
        <v>6</v>
      </c>
      <c r="J516">
        <f t="shared" si="8"/>
        <v>6</v>
      </c>
    </row>
    <row r="517" spans="1:10" x14ac:dyDescent="0.25">
      <c r="A517" t="s">
        <v>1406</v>
      </c>
      <c r="B517" t="s">
        <v>1408</v>
      </c>
      <c r="C517" t="s">
        <v>58</v>
      </c>
      <c r="D517" t="s">
        <v>1075</v>
      </c>
      <c r="E517" s="69">
        <v>3</v>
      </c>
      <c r="F517" s="69">
        <v>3</v>
      </c>
      <c r="G517" s="69">
        <v>0</v>
      </c>
      <c r="H517" t="s">
        <v>2574</v>
      </c>
      <c r="I517" s="69">
        <v>6</v>
      </c>
      <c r="J517">
        <f t="shared" si="8"/>
        <v>6</v>
      </c>
    </row>
    <row r="518" spans="1:10" x14ac:dyDescent="0.25">
      <c r="A518" t="s">
        <v>2301</v>
      </c>
      <c r="B518" t="s">
        <v>2302</v>
      </c>
      <c r="C518" t="s">
        <v>58</v>
      </c>
      <c r="D518" t="s">
        <v>167</v>
      </c>
      <c r="E518" s="69">
        <v>3</v>
      </c>
      <c r="F518" s="69">
        <v>2</v>
      </c>
      <c r="G518" s="69">
        <v>0</v>
      </c>
      <c r="H518" t="s">
        <v>2575</v>
      </c>
      <c r="I518" s="69">
        <v>5</v>
      </c>
      <c r="J518">
        <f t="shared" si="8"/>
        <v>5</v>
      </c>
    </row>
    <row r="519" spans="1:10" x14ac:dyDescent="0.25">
      <c r="A519" t="s">
        <v>830</v>
      </c>
      <c r="B519" t="s">
        <v>832</v>
      </c>
      <c r="C519" t="s">
        <v>58</v>
      </c>
      <c r="D519" t="s">
        <v>203</v>
      </c>
      <c r="E519" s="69">
        <v>4</v>
      </c>
      <c r="F519" s="69">
        <v>1</v>
      </c>
      <c r="G519" s="69">
        <v>0</v>
      </c>
      <c r="H519" t="s">
        <v>2573</v>
      </c>
      <c r="I519" s="69">
        <v>5</v>
      </c>
      <c r="J519">
        <f t="shared" si="8"/>
        <v>5</v>
      </c>
    </row>
    <row r="520" spans="1:10" x14ac:dyDescent="0.25">
      <c r="A520" t="s">
        <v>2324</v>
      </c>
      <c r="B520" t="s">
        <v>2325</v>
      </c>
      <c r="C520" t="s">
        <v>58</v>
      </c>
      <c r="D520" t="s">
        <v>203</v>
      </c>
      <c r="E520" s="69">
        <v>1</v>
      </c>
      <c r="F520" s="69">
        <v>4</v>
      </c>
      <c r="G520" s="69">
        <v>0</v>
      </c>
      <c r="H520" t="s">
        <v>2573</v>
      </c>
      <c r="I520" s="69">
        <v>5</v>
      </c>
      <c r="J520">
        <f t="shared" si="8"/>
        <v>5</v>
      </c>
    </row>
    <row r="521" spans="1:10" x14ac:dyDescent="0.25">
      <c r="A521" t="s">
        <v>2253</v>
      </c>
      <c r="B521" t="s">
        <v>2254</v>
      </c>
      <c r="C521" t="s">
        <v>58</v>
      </c>
      <c r="D521" t="s">
        <v>2007</v>
      </c>
      <c r="E521" s="69">
        <v>0</v>
      </c>
      <c r="F521" s="69">
        <v>5</v>
      </c>
      <c r="G521" s="69">
        <v>0</v>
      </c>
      <c r="H521" t="s">
        <v>2581</v>
      </c>
      <c r="I521" s="69">
        <v>5</v>
      </c>
      <c r="J521">
        <f t="shared" si="8"/>
        <v>5</v>
      </c>
    </row>
    <row r="522" spans="1:10" x14ac:dyDescent="0.25">
      <c r="A522" t="s">
        <v>1904</v>
      </c>
      <c r="B522" t="s">
        <v>1906</v>
      </c>
      <c r="C522" t="s">
        <v>58</v>
      </c>
      <c r="D522" t="s">
        <v>160</v>
      </c>
      <c r="E522" s="69">
        <v>3</v>
      </c>
      <c r="F522" s="69">
        <v>1</v>
      </c>
      <c r="G522" s="69">
        <v>1</v>
      </c>
      <c r="H522" t="s">
        <v>2574</v>
      </c>
      <c r="I522" s="69">
        <v>5</v>
      </c>
      <c r="J522">
        <f t="shared" si="8"/>
        <v>4</v>
      </c>
    </row>
    <row r="523" spans="1:10" x14ac:dyDescent="0.25">
      <c r="A523" t="s">
        <v>414</v>
      </c>
      <c r="B523" t="s">
        <v>416</v>
      </c>
      <c r="C523" t="s">
        <v>58</v>
      </c>
      <c r="D523" t="s">
        <v>160</v>
      </c>
      <c r="E523" s="69">
        <v>0</v>
      </c>
      <c r="F523" s="69">
        <v>0</v>
      </c>
      <c r="G523" s="69">
        <v>5</v>
      </c>
      <c r="H523" t="s">
        <v>2574</v>
      </c>
      <c r="I523" s="69">
        <v>5</v>
      </c>
      <c r="J523">
        <f t="shared" si="8"/>
        <v>0</v>
      </c>
    </row>
    <row r="524" spans="1:10" x14ac:dyDescent="0.25">
      <c r="A524" t="s">
        <v>417</v>
      </c>
      <c r="B524" t="s">
        <v>419</v>
      </c>
      <c r="C524" t="s">
        <v>58</v>
      </c>
      <c r="D524" t="s">
        <v>160</v>
      </c>
      <c r="E524" s="69">
        <v>0</v>
      </c>
      <c r="F524" s="69">
        <v>0</v>
      </c>
      <c r="G524" s="69">
        <v>5</v>
      </c>
      <c r="H524" t="s">
        <v>2574</v>
      </c>
      <c r="I524" s="69">
        <v>5</v>
      </c>
      <c r="J524">
        <f t="shared" si="8"/>
        <v>0</v>
      </c>
    </row>
    <row r="525" spans="1:10" x14ac:dyDescent="0.25">
      <c r="A525" t="s">
        <v>2405</v>
      </c>
      <c r="B525" t="s">
        <v>1804</v>
      </c>
      <c r="C525" t="s">
        <v>58</v>
      </c>
      <c r="D525" t="s">
        <v>160</v>
      </c>
      <c r="E525" s="69">
        <v>3</v>
      </c>
      <c r="F525" s="69">
        <v>1</v>
      </c>
      <c r="G525" s="69">
        <v>2</v>
      </c>
      <c r="H525" t="s">
        <v>2573</v>
      </c>
      <c r="I525" s="69">
        <v>5</v>
      </c>
      <c r="J525">
        <f t="shared" si="8"/>
        <v>3</v>
      </c>
    </row>
    <row r="526" spans="1:10" x14ac:dyDescent="0.25">
      <c r="A526" t="s">
        <v>68</v>
      </c>
      <c r="B526" t="s">
        <v>70</v>
      </c>
      <c r="C526" t="s">
        <v>58</v>
      </c>
      <c r="D526" t="s">
        <v>67</v>
      </c>
      <c r="E526" s="69">
        <v>0</v>
      </c>
      <c r="F526" s="69">
        <v>0</v>
      </c>
      <c r="G526" s="69">
        <v>5</v>
      </c>
      <c r="H526" t="s">
        <v>2574</v>
      </c>
      <c r="I526" s="69">
        <v>5</v>
      </c>
      <c r="J526">
        <f t="shared" si="8"/>
        <v>0</v>
      </c>
    </row>
    <row r="527" spans="1:10" x14ac:dyDescent="0.25">
      <c r="A527" t="s">
        <v>1994</v>
      </c>
      <c r="B527" t="s">
        <v>86</v>
      </c>
      <c r="C527" t="s">
        <v>58</v>
      </c>
      <c r="D527" t="s">
        <v>67</v>
      </c>
      <c r="E527" s="69">
        <v>20</v>
      </c>
      <c r="F527" s="69">
        <v>0</v>
      </c>
      <c r="G527" s="69">
        <v>0</v>
      </c>
      <c r="H527" t="s">
        <v>2574</v>
      </c>
      <c r="I527" s="69">
        <v>5</v>
      </c>
      <c r="J527">
        <f t="shared" si="8"/>
        <v>5</v>
      </c>
    </row>
    <row r="528" spans="1:10" x14ac:dyDescent="0.25">
      <c r="A528" t="s">
        <v>1197</v>
      </c>
      <c r="B528" t="s">
        <v>1199</v>
      </c>
      <c r="C528" t="s">
        <v>58</v>
      </c>
      <c r="D528" t="s">
        <v>150</v>
      </c>
      <c r="E528" s="69">
        <v>2</v>
      </c>
      <c r="F528" s="69">
        <v>4</v>
      </c>
      <c r="G528" s="69">
        <v>0</v>
      </c>
      <c r="H528" t="s">
        <v>2573</v>
      </c>
      <c r="I528" s="69">
        <v>5</v>
      </c>
      <c r="J528">
        <f t="shared" si="8"/>
        <v>5</v>
      </c>
    </row>
    <row r="529" spans="1:10" x14ac:dyDescent="0.25">
      <c r="A529" t="s">
        <v>2049</v>
      </c>
      <c r="B529" t="s">
        <v>2050</v>
      </c>
      <c r="C529" t="s">
        <v>58</v>
      </c>
      <c r="D529" t="s">
        <v>131</v>
      </c>
      <c r="E529" s="69">
        <v>3</v>
      </c>
      <c r="F529" s="69">
        <v>0</v>
      </c>
      <c r="G529" s="69">
        <v>2</v>
      </c>
      <c r="H529" t="s">
        <v>2581</v>
      </c>
      <c r="I529" s="69">
        <v>5</v>
      </c>
      <c r="J529">
        <f t="shared" si="8"/>
        <v>3</v>
      </c>
    </row>
    <row r="530" spans="1:10" x14ac:dyDescent="0.25">
      <c r="A530" t="s">
        <v>503</v>
      </c>
      <c r="B530" t="s">
        <v>505</v>
      </c>
      <c r="C530" t="s">
        <v>58</v>
      </c>
      <c r="D530" t="s">
        <v>63</v>
      </c>
      <c r="E530" s="69">
        <v>2</v>
      </c>
      <c r="F530" s="69">
        <v>1</v>
      </c>
      <c r="G530" s="69">
        <v>3</v>
      </c>
      <c r="H530" t="s">
        <v>2573</v>
      </c>
      <c r="I530" s="69">
        <v>5</v>
      </c>
      <c r="J530">
        <f t="shared" si="8"/>
        <v>2</v>
      </c>
    </row>
    <row r="531" spans="1:10" x14ac:dyDescent="0.25">
      <c r="A531" t="s">
        <v>2245</v>
      </c>
      <c r="B531" t="s">
        <v>2246</v>
      </c>
      <c r="C531" t="s">
        <v>58</v>
      </c>
      <c r="D531" t="s">
        <v>63</v>
      </c>
      <c r="E531" s="69">
        <v>4</v>
      </c>
      <c r="F531" s="69">
        <v>1</v>
      </c>
      <c r="G531" s="69">
        <v>0</v>
      </c>
      <c r="H531" t="s">
        <v>2574</v>
      </c>
      <c r="I531" s="69">
        <v>5</v>
      </c>
      <c r="J531">
        <f t="shared" si="8"/>
        <v>5</v>
      </c>
    </row>
    <row r="532" spans="1:10" x14ac:dyDescent="0.25">
      <c r="A532" t="s">
        <v>701</v>
      </c>
      <c r="B532" t="s">
        <v>703</v>
      </c>
      <c r="C532" t="s">
        <v>58</v>
      </c>
      <c r="D532" t="s">
        <v>63</v>
      </c>
      <c r="E532" s="69">
        <v>5</v>
      </c>
      <c r="F532" s="69">
        <v>0</v>
      </c>
      <c r="G532" s="69">
        <v>0</v>
      </c>
      <c r="H532" t="s">
        <v>2574</v>
      </c>
      <c r="I532" s="69">
        <v>5</v>
      </c>
      <c r="J532">
        <f t="shared" si="8"/>
        <v>5</v>
      </c>
    </row>
    <row r="533" spans="1:10" x14ac:dyDescent="0.25">
      <c r="A533" t="s">
        <v>704</v>
      </c>
      <c r="B533" t="s">
        <v>706</v>
      </c>
      <c r="C533" t="s">
        <v>58</v>
      </c>
      <c r="D533" t="s">
        <v>63</v>
      </c>
      <c r="E533" s="69">
        <v>5</v>
      </c>
      <c r="F533" s="69">
        <v>0</v>
      </c>
      <c r="G533" s="69">
        <v>0</v>
      </c>
      <c r="H533" t="s">
        <v>2574</v>
      </c>
      <c r="I533" s="69">
        <v>5</v>
      </c>
      <c r="J533">
        <f t="shared" si="8"/>
        <v>5</v>
      </c>
    </row>
    <row r="534" spans="1:10" x14ac:dyDescent="0.25">
      <c r="A534" t="s">
        <v>668</v>
      </c>
      <c r="B534" t="s">
        <v>670</v>
      </c>
      <c r="C534" t="s">
        <v>58</v>
      </c>
      <c r="D534" t="s">
        <v>63</v>
      </c>
      <c r="E534" s="69">
        <v>0</v>
      </c>
      <c r="F534" s="69">
        <v>0</v>
      </c>
      <c r="G534" s="69">
        <v>7</v>
      </c>
      <c r="H534" t="s">
        <v>2574</v>
      </c>
      <c r="I534" s="69">
        <v>5</v>
      </c>
      <c r="J534">
        <f t="shared" si="8"/>
        <v>-2</v>
      </c>
    </row>
    <row r="535" spans="1:10" x14ac:dyDescent="0.25">
      <c r="A535" t="s">
        <v>1260</v>
      </c>
      <c r="B535" t="s">
        <v>1259</v>
      </c>
      <c r="C535" t="s">
        <v>58</v>
      </c>
      <c r="D535" t="s">
        <v>187</v>
      </c>
      <c r="E535" s="69">
        <v>0</v>
      </c>
      <c r="F535" s="69">
        <v>0</v>
      </c>
      <c r="G535" s="69">
        <v>5</v>
      </c>
      <c r="H535" t="s">
        <v>2574</v>
      </c>
      <c r="I535" s="69">
        <v>5</v>
      </c>
      <c r="J535">
        <f t="shared" si="8"/>
        <v>0</v>
      </c>
    </row>
    <row r="536" spans="1:10" x14ac:dyDescent="0.25">
      <c r="A536" t="s">
        <v>313</v>
      </c>
      <c r="B536" t="s">
        <v>315</v>
      </c>
      <c r="C536" t="s">
        <v>58</v>
      </c>
      <c r="D536" t="s">
        <v>187</v>
      </c>
      <c r="E536" s="69">
        <v>3</v>
      </c>
      <c r="F536" s="69">
        <v>0</v>
      </c>
      <c r="G536" s="69">
        <v>3</v>
      </c>
      <c r="H536" t="s">
        <v>2573</v>
      </c>
      <c r="I536" s="69">
        <v>5</v>
      </c>
      <c r="J536">
        <f t="shared" si="8"/>
        <v>2</v>
      </c>
    </row>
    <row r="537" spans="1:10" x14ac:dyDescent="0.25">
      <c r="A537" t="s">
        <v>40</v>
      </c>
      <c r="B537" t="s">
        <v>41</v>
      </c>
      <c r="C537" t="s">
        <v>58</v>
      </c>
      <c r="D537" t="s">
        <v>1</v>
      </c>
      <c r="E537" s="69">
        <v>2</v>
      </c>
      <c r="F537" s="69">
        <v>2</v>
      </c>
      <c r="G537" s="69">
        <v>2</v>
      </c>
      <c r="H537" t="s">
        <v>2573</v>
      </c>
      <c r="I537" s="69">
        <v>5</v>
      </c>
      <c r="J537">
        <f t="shared" si="8"/>
        <v>3</v>
      </c>
    </row>
    <row r="538" spans="1:10" x14ac:dyDescent="0.25">
      <c r="A538" t="s">
        <v>1452</v>
      </c>
      <c r="B538" t="s">
        <v>1454</v>
      </c>
      <c r="C538" t="s">
        <v>58</v>
      </c>
      <c r="D538" t="s">
        <v>167</v>
      </c>
      <c r="E538" s="69">
        <v>3</v>
      </c>
      <c r="F538" s="69">
        <v>0</v>
      </c>
      <c r="G538" s="69">
        <v>1</v>
      </c>
      <c r="H538" t="s">
        <v>2573</v>
      </c>
      <c r="I538" s="69">
        <v>4</v>
      </c>
      <c r="J538">
        <f t="shared" si="8"/>
        <v>3</v>
      </c>
    </row>
    <row r="539" spans="1:10" x14ac:dyDescent="0.25">
      <c r="A539" t="s">
        <v>1374</v>
      </c>
      <c r="B539" t="s">
        <v>1376</v>
      </c>
      <c r="C539" t="s">
        <v>58</v>
      </c>
      <c r="D539" t="s">
        <v>167</v>
      </c>
      <c r="E539" s="69">
        <v>4</v>
      </c>
      <c r="F539" s="69">
        <v>0</v>
      </c>
      <c r="G539" s="69">
        <v>0</v>
      </c>
      <c r="H539" t="s">
        <v>2573</v>
      </c>
      <c r="I539" s="69">
        <v>4</v>
      </c>
      <c r="J539">
        <f t="shared" si="8"/>
        <v>4</v>
      </c>
    </row>
    <row r="540" spans="1:10" x14ac:dyDescent="0.25">
      <c r="A540" t="s">
        <v>1793</v>
      </c>
      <c r="B540" t="s">
        <v>1795</v>
      </c>
      <c r="C540" t="s">
        <v>58</v>
      </c>
      <c r="D540" t="s">
        <v>160</v>
      </c>
      <c r="E540" s="69">
        <v>3</v>
      </c>
      <c r="F540" s="69">
        <v>8</v>
      </c>
      <c r="G540" s="69">
        <v>1</v>
      </c>
      <c r="H540" t="s">
        <v>2574</v>
      </c>
      <c r="I540" s="69">
        <v>4</v>
      </c>
      <c r="J540">
        <f t="shared" si="8"/>
        <v>3</v>
      </c>
    </row>
    <row r="541" spans="1:10" x14ac:dyDescent="0.25">
      <c r="A541" t="s">
        <v>2367</v>
      </c>
      <c r="B541" t="s">
        <v>2368</v>
      </c>
      <c r="C541" t="s">
        <v>58</v>
      </c>
      <c r="D541" t="s">
        <v>160</v>
      </c>
      <c r="E541" s="69">
        <v>4</v>
      </c>
      <c r="F541" s="69">
        <v>0</v>
      </c>
      <c r="G541" s="69">
        <v>0</v>
      </c>
      <c r="H541" t="s">
        <v>2574</v>
      </c>
      <c r="I541" s="69">
        <v>4</v>
      </c>
      <c r="J541">
        <f t="shared" si="8"/>
        <v>4</v>
      </c>
    </row>
    <row r="542" spans="1:10" x14ac:dyDescent="0.25">
      <c r="A542" t="s">
        <v>1590</v>
      </c>
      <c r="B542" t="s">
        <v>1592</v>
      </c>
      <c r="C542" t="s">
        <v>58</v>
      </c>
      <c r="D542" t="s">
        <v>160</v>
      </c>
      <c r="E542" s="69">
        <v>5</v>
      </c>
      <c r="F542" s="69">
        <v>11</v>
      </c>
      <c r="G542" s="69">
        <v>0</v>
      </c>
      <c r="H542" t="s">
        <v>2574</v>
      </c>
      <c r="I542" s="69">
        <v>4</v>
      </c>
      <c r="J542">
        <f t="shared" si="8"/>
        <v>4</v>
      </c>
    </row>
    <row r="543" spans="1:10" x14ac:dyDescent="0.25">
      <c r="A543" t="s">
        <v>1852</v>
      </c>
      <c r="B543" t="s">
        <v>1854</v>
      </c>
      <c r="C543" t="s">
        <v>58</v>
      </c>
      <c r="D543" t="s">
        <v>160</v>
      </c>
      <c r="E543" s="69">
        <v>0</v>
      </c>
      <c r="F543" s="69">
        <v>0</v>
      </c>
      <c r="G543" s="69">
        <v>4</v>
      </c>
      <c r="H543" t="s">
        <v>2574</v>
      </c>
      <c r="I543" s="69">
        <v>4</v>
      </c>
      <c r="J543">
        <f t="shared" si="8"/>
        <v>0</v>
      </c>
    </row>
    <row r="544" spans="1:10" x14ac:dyDescent="0.25">
      <c r="A544" t="s">
        <v>1858</v>
      </c>
      <c r="B544" t="s">
        <v>1860</v>
      </c>
      <c r="C544" t="s">
        <v>58</v>
      </c>
      <c r="D544" t="s">
        <v>160</v>
      </c>
      <c r="E544" s="69">
        <v>0</v>
      </c>
      <c r="F544" s="69">
        <v>0</v>
      </c>
      <c r="G544" s="69">
        <v>4</v>
      </c>
      <c r="H544" t="s">
        <v>2574</v>
      </c>
      <c r="I544" s="69">
        <v>4</v>
      </c>
      <c r="J544">
        <f t="shared" si="8"/>
        <v>0</v>
      </c>
    </row>
    <row r="545" spans="1:10" x14ac:dyDescent="0.25">
      <c r="A545" t="s">
        <v>2190</v>
      </c>
      <c r="B545" t="s">
        <v>2191</v>
      </c>
      <c r="C545" t="s">
        <v>58</v>
      </c>
      <c r="D545" t="s">
        <v>160</v>
      </c>
      <c r="E545" s="69">
        <v>4</v>
      </c>
      <c r="F545" s="69">
        <v>0</v>
      </c>
      <c r="G545" s="69">
        <v>0</v>
      </c>
      <c r="H545" t="s">
        <v>2574</v>
      </c>
      <c r="I545" s="69">
        <v>4</v>
      </c>
      <c r="J545">
        <f t="shared" si="8"/>
        <v>4</v>
      </c>
    </row>
    <row r="546" spans="1:10" x14ac:dyDescent="0.25">
      <c r="A546" t="s">
        <v>2408</v>
      </c>
      <c r="B546" t="s">
        <v>1813</v>
      </c>
      <c r="C546" t="s">
        <v>58</v>
      </c>
      <c r="D546" t="s">
        <v>160</v>
      </c>
      <c r="E546" s="69">
        <v>2</v>
      </c>
      <c r="F546" s="69">
        <v>0</v>
      </c>
      <c r="G546" s="69">
        <v>2</v>
      </c>
      <c r="H546" t="s">
        <v>2573</v>
      </c>
      <c r="I546" s="69">
        <v>4</v>
      </c>
      <c r="J546">
        <f t="shared" si="8"/>
        <v>2</v>
      </c>
    </row>
    <row r="547" spans="1:10" x14ac:dyDescent="0.25">
      <c r="A547" t="s">
        <v>2403</v>
      </c>
      <c r="B547" t="s">
        <v>2404</v>
      </c>
      <c r="C547" t="s">
        <v>58</v>
      </c>
      <c r="D547" t="s">
        <v>160</v>
      </c>
      <c r="E547" s="69">
        <v>0</v>
      </c>
      <c r="F547" s="69">
        <v>4</v>
      </c>
      <c r="G547" s="69">
        <v>0</v>
      </c>
      <c r="H547" t="s">
        <v>2573</v>
      </c>
      <c r="I547" s="69">
        <v>4</v>
      </c>
      <c r="J547">
        <f t="shared" si="8"/>
        <v>4</v>
      </c>
    </row>
    <row r="548" spans="1:10" x14ac:dyDescent="0.25">
      <c r="A548" t="s">
        <v>1303</v>
      </c>
      <c r="B548" t="s">
        <v>1305</v>
      </c>
      <c r="C548" t="s">
        <v>58</v>
      </c>
      <c r="D548" t="s">
        <v>160</v>
      </c>
      <c r="E548" s="69">
        <v>0</v>
      </c>
      <c r="F548" s="69">
        <v>0</v>
      </c>
      <c r="G548" s="69">
        <v>4</v>
      </c>
      <c r="H548" t="s">
        <v>2573</v>
      </c>
      <c r="I548" s="69">
        <v>4</v>
      </c>
      <c r="J548">
        <f t="shared" si="8"/>
        <v>0</v>
      </c>
    </row>
    <row r="549" spans="1:10" x14ac:dyDescent="0.25">
      <c r="A549" t="s">
        <v>353</v>
      </c>
      <c r="B549" t="s">
        <v>355</v>
      </c>
      <c r="C549" t="s">
        <v>58</v>
      </c>
      <c r="D549" t="s">
        <v>334</v>
      </c>
      <c r="E549" s="69">
        <v>3</v>
      </c>
      <c r="F549" s="69">
        <v>0</v>
      </c>
      <c r="G549" s="69">
        <v>1</v>
      </c>
      <c r="H549" t="s">
        <v>2573</v>
      </c>
      <c r="I549" s="69">
        <v>4</v>
      </c>
      <c r="J549">
        <f t="shared" si="8"/>
        <v>3</v>
      </c>
    </row>
    <row r="550" spans="1:10" x14ac:dyDescent="0.25">
      <c r="A550" t="s">
        <v>2201</v>
      </c>
      <c r="B550" t="s">
        <v>2202</v>
      </c>
      <c r="C550" t="s">
        <v>58</v>
      </c>
      <c r="D550" t="s">
        <v>124</v>
      </c>
      <c r="E550" s="69">
        <v>2</v>
      </c>
      <c r="F550" s="69">
        <v>2</v>
      </c>
      <c r="G550" s="69">
        <v>2</v>
      </c>
      <c r="H550" t="s">
        <v>2581</v>
      </c>
      <c r="I550" s="69">
        <v>4</v>
      </c>
      <c r="J550">
        <f t="shared" si="8"/>
        <v>2</v>
      </c>
    </row>
    <row r="551" spans="1:10" x14ac:dyDescent="0.25">
      <c r="A551" t="s">
        <v>217</v>
      </c>
      <c r="B551" t="s">
        <v>218</v>
      </c>
      <c r="C551" t="s">
        <v>58</v>
      </c>
      <c r="D551" t="s">
        <v>216</v>
      </c>
      <c r="E551" s="69">
        <v>4</v>
      </c>
      <c r="F551" s="69">
        <v>0</v>
      </c>
      <c r="G551" s="69">
        <v>0</v>
      </c>
      <c r="H551" t="s">
        <v>2574</v>
      </c>
      <c r="I551" s="69">
        <v>4</v>
      </c>
      <c r="J551">
        <f t="shared" si="8"/>
        <v>4</v>
      </c>
    </row>
    <row r="552" spans="1:10" x14ac:dyDescent="0.25">
      <c r="A552" t="s">
        <v>506</v>
      </c>
      <c r="B552" t="s">
        <v>508</v>
      </c>
      <c r="C552" t="s">
        <v>58</v>
      </c>
      <c r="D552" t="s">
        <v>63</v>
      </c>
      <c r="E552" s="69">
        <v>2</v>
      </c>
      <c r="F552" s="69">
        <v>0</v>
      </c>
      <c r="G552" s="69">
        <v>2</v>
      </c>
      <c r="H552" t="s">
        <v>2573</v>
      </c>
      <c r="I552" s="69">
        <v>4</v>
      </c>
      <c r="J552">
        <f t="shared" si="8"/>
        <v>2</v>
      </c>
    </row>
    <row r="553" spans="1:10" x14ac:dyDescent="0.25">
      <c r="A553" t="s">
        <v>512</v>
      </c>
      <c r="B553" t="s">
        <v>514</v>
      </c>
      <c r="C553" t="s">
        <v>58</v>
      </c>
      <c r="D553" t="s">
        <v>63</v>
      </c>
      <c r="E553" s="69">
        <v>2</v>
      </c>
      <c r="F553" s="69">
        <v>0</v>
      </c>
      <c r="G553" s="69">
        <v>2</v>
      </c>
      <c r="H553" t="s">
        <v>2573</v>
      </c>
      <c r="I553" s="69">
        <v>4</v>
      </c>
      <c r="J553">
        <f t="shared" si="8"/>
        <v>2</v>
      </c>
    </row>
    <row r="554" spans="1:10" x14ac:dyDescent="0.25">
      <c r="A554" t="s">
        <v>635</v>
      </c>
      <c r="B554" t="s">
        <v>637</v>
      </c>
      <c r="C554" t="s">
        <v>58</v>
      </c>
      <c r="D554" t="s">
        <v>63</v>
      </c>
      <c r="E554" s="69">
        <v>0</v>
      </c>
      <c r="F554" s="69">
        <v>4</v>
      </c>
      <c r="G554" s="69">
        <v>0</v>
      </c>
      <c r="H554" t="s">
        <v>2573</v>
      </c>
      <c r="I554" s="69">
        <v>4</v>
      </c>
      <c r="J554">
        <f t="shared" si="8"/>
        <v>4</v>
      </c>
    </row>
    <row r="555" spans="1:10" x14ac:dyDescent="0.25">
      <c r="A555" t="s">
        <v>2585</v>
      </c>
      <c r="B555" t="s">
        <v>1965</v>
      </c>
      <c r="C555" t="s">
        <v>58</v>
      </c>
      <c r="D555" t="s">
        <v>63</v>
      </c>
      <c r="E555" s="69">
        <v>4</v>
      </c>
      <c r="F555" s="69">
        <v>0</v>
      </c>
      <c r="G555" s="69">
        <v>0</v>
      </c>
      <c r="H555" t="s">
        <v>2573</v>
      </c>
      <c r="I555" s="69">
        <v>4</v>
      </c>
      <c r="J555">
        <f t="shared" si="8"/>
        <v>4</v>
      </c>
    </row>
    <row r="556" spans="1:10" x14ac:dyDescent="0.25">
      <c r="A556" t="s">
        <v>665</v>
      </c>
      <c r="B556" t="s">
        <v>667</v>
      </c>
      <c r="C556" t="s">
        <v>58</v>
      </c>
      <c r="D556" t="s">
        <v>63</v>
      </c>
      <c r="E556" s="69">
        <v>4</v>
      </c>
      <c r="F556" s="69">
        <v>0</v>
      </c>
      <c r="G556" s="69">
        <v>0</v>
      </c>
      <c r="H556" t="s">
        <v>2574</v>
      </c>
      <c r="I556" s="69">
        <v>4</v>
      </c>
      <c r="J556">
        <f t="shared" si="8"/>
        <v>4</v>
      </c>
    </row>
    <row r="557" spans="1:10" x14ac:dyDescent="0.25">
      <c r="A557" t="s">
        <v>2259</v>
      </c>
      <c r="B557" t="s">
        <v>2260</v>
      </c>
      <c r="C557" t="s">
        <v>58</v>
      </c>
      <c r="D557" t="s">
        <v>1</v>
      </c>
      <c r="E557" s="69">
        <v>3</v>
      </c>
      <c r="F557" s="69">
        <v>0</v>
      </c>
      <c r="G557" s="69">
        <v>1</v>
      </c>
      <c r="H557" t="s">
        <v>2573</v>
      </c>
      <c r="I557" s="69">
        <v>4</v>
      </c>
      <c r="J557">
        <f t="shared" si="8"/>
        <v>3</v>
      </c>
    </row>
    <row r="558" spans="1:10" x14ac:dyDescent="0.25">
      <c r="A558" t="s">
        <v>1079</v>
      </c>
      <c r="B558" t="s">
        <v>1081</v>
      </c>
      <c r="C558" t="s">
        <v>58</v>
      </c>
      <c r="D558" t="s">
        <v>1075</v>
      </c>
      <c r="E558" s="69">
        <v>7</v>
      </c>
      <c r="F558" s="69">
        <v>0</v>
      </c>
      <c r="G558" s="69">
        <v>7</v>
      </c>
      <c r="H558" t="s">
        <v>2574</v>
      </c>
      <c r="I558" s="69">
        <v>4</v>
      </c>
      <c r="J558">
        <f t="shared" si="8"/>
        <v>-3</v>
      </c>
    </row>
    <row r="559" spans="1:10" x14ac:dyDescent="0.25">
      <c r="A559" t="s">
        <v>1331</v>
      </c>
      <c r="B559" t="s">
        <v>1333</v>
      </c>
      <c r="C559" t="s">
        <v>58</v>
      </c>
      <c r="D559" t="s">
        <v>160</v>
      </c>
      <c r="E559" s="69">
        <v>2.3321999999999998</v>
      </c>
      <c r="F559" s="69">
        <v>0.83450000000000002</v>
      </c>
      <c r="G559" s="69">
        <v>0</v>
      </c>
      <c r="H559" t="s">
        <v>2574</v>
      </c>
      <c r="I559" s="69">
        <v>3.1666999999999996</v>
      </c>
      <c r="J559">
        <f t="shared" si="8"/>
        <v>3.1666999999999996</v>
      </c>
    </row>
    <row r="560" spans="1:10" x14ac:dyDescent="0.25">
      <c r="A560" t="s">
        <v>1355</v>
      </c>
      <c r="B560" t="s">
        <v>1357</v>
      </c>
      <c r="C560" t="s">
        <v>58</v>
      </c>
      <c r="D560" t="s">
        <v>160</v>
      </c>
      <c r="E560" s="69">
        <v>2.3321999999999998</v>
      </c>
      <c r="F560" s="69">
        <v>0.83450000000000002</v>
      </c>
      <c r="G560" s="69">
        <v>0</v>
      </c>
      <c r="H560" t="s">
        <v>2574</v>
      </c>
      <c r="I560" s="69">
        <v>3.1666999999999996</v>
      </c>
      <c r="J560">
        <f t="shared" si="8"/>
        <v>3.1666999999999996</v>
      </c>
    </row>
    <row r="561" spans="1:10" x14ac:dyDescent="0.25">
      <c r="A561" t="s">
        <v>1545</v>
      </c>
      <c r="B561" t="s">
        <v>1547</v>
      </c>
      <c r="C561" t="s">
        <v>58</v>
      </c>
      <c r="D561" t="s">
        <v>59</v>
      </c>
      <c r="E561" s="69">
        <v>0</v>
      </c>
      <c r="F561" s="69">
        <v>0</v>
      </c>
      <c r="G561" s="69">
        <v>3</v>
      </c>
      <c r="H561" t="s">
        <v>2574</v>
      </c>
      <c r="I561" s="69">
        <v>3</v>
      </c>
      <c r="J561">
        <f t="shared" si="8"/>
        <v>0</v>
      </c>
    </row>
    <row r="562" spans="1:10" x14ac:dyDescent="0.25">
      <c r="A562" t="s">
        <v>1377</v>
      </c>
      <c r="B562" t="s">
        <v>1379</v>
      </c>
      <c r="C562" t="s">
        <v>58</v>
      </c>
      <c r="D562" t="s">
        <v>167</v>
      </c>
      <c r="E562" s="69">
        <v>3</v>
      </c>
      <c r="F562" s="69">
        <v>0</v>
      </c>
      <c r="G562" s="69">
        <v>0</v>
      </c>
      <c r="H562" t="s">
        <v>2573</v>
      </c>
      <c r="I562" s="69">
        <v>3</v>
      </c>
      <c r="J562">
        <f t="shared" si="8"/>
        <v>3</v>
      </c>
    </row>
    <row r="563" spans="1:10" x14ac:dyDescent="0.25">
      <c r="A563" t="s">
        <v>1051</v>
      </c>
      <c r="B563" t="s">
        <v>1053</v>
      </c>
      <c r="C563" t="s">
        <v>58</v>
      </c>
      <c r="D563" t="s">
        <v>167</v>
      </c>
      <c r="E563" s="69">
        <v>0</v>
      </c>
      <c r="F563" s="69">
        <v>3</v>
      </c>
      <c r="G563" s="69">
        <v>0</v>
      </c>
      <c r="H563" t="s">
        <v>2573</v>
      </c>
      <c r="I563" s="69">
        <v>3</v>
      </c>
      <c r="J563">
        <f t="shared" si="8"/>
        <v>3</v>
      </c>
    </row>
    <row r="564" spans="1:10" x14ac:dyDescent="0.25">
      <c r="A564" t="s">
        <v>2306</v>
      </c>
      <c r="B564" t="s">
        <v>2307</v>
      </c>
      <c r="C564" t="s">
        <v>58</v>
      </c>
      <c r="D564" t="s">
        <v>203</v>
      </c>
      <c r="E564" s="69">
        <v>3</v>
      </c>
      <c r="F564" s="69">
        <v>0</v>
      </c>
      <c r="G564" s="69">
        <v>0</v>
      </c>
      <c r="H564" t="s">
        <v>2573</v>
      </c>
      <c r="I564" s="69">
        <v>3</v>
      </c>
      <c r="J564">
        <f t="shared" si="8"/>
        <v>3</v>
      </c>
    </row>
    <row r="565" spans="1:10" x14ac:dyDescent="0.25">
      <c r="A565" t="s">
        <v>2365</v>
      </c>
      <c r="B565" t="s">
        <v>2366</v>
      </c>
      <c r="C565" t="s">
        <v>58</v>
      </c>
      <c r="D565" t="s">
        <v>160</v>
      </c>
      <c r="E565" s="69">
        <v>4</v>
      </c>
      <c r="F565" s="69">
        <v>10</v>
      </c>
      <c r="G565" s="69">
        <v>1</v>
      </c>
      <c r="H565" t="s">
        <v>2574</v>
      </c>
      <c r="I565" s="69">
        <v>3</v>
      </c>
      <c r="J565">
        <f t="shared" si="8"/>
        <v>2</v>
      </c>
    </row>
    <row r="566" spans="1:10" x14ac:dyDescent="0.25">
      <c r="A566" t="s">
        <v>420</v>
      </c>
      <c r="B566" t="s">
        <v>422</v>
      </c>
      <c r="C566" t="s">
        <v>58</v>
      </c>
      <c r="D566" t="s">
        <v>160</v>
      </c>
      <c r="E566" s="69">
        <v>0</v>
      </c>
      <c r="F566" s="69">
        <v>0</v>
      </c>
      <c r="G566" s="69">
        <v>3</v>
      </c>
      <c r="H566" t="s">
        <v>2574</v>
      </c>
      <c r="I566" s="69">
        <v>3</v>
      </c>
      <c r="J566">
        <f t="shared" si="8"/>
        <v>0</v>
      </c>
    </row>
    <row r="567" spans="1:10" x14ac:dyDescent="0.25">
      <c r="A567" t="s">
        <v>2328</v>
      </c>
      <c r="B567" t="s">
        <v>2329</v>
      </c>
      <c r="C567" t="s">
        <v>58</v>
      </c>
      <c r="D567" t="s">
        <v>160</v>
      </c>
      <c r="E567" s="69">
        <v>11</v>
      </c>
      <c r="F567" s="69">
        <v>0</v>
      </c>
      <c r="G567" s="69">
        <v>4</v>
      </c>
      <c r="H567" t="s">
        <v>2574</v>
      </c>
      <c r="I567" s="69">
        <v>3</v>
      </c>
      <c r="J567">
        <f t="shared" si="8"/>
        <v>-1</v>
      </c>
    </row>
    <row r="568" spans="1:10" x14ac:dyDescent="0.25">
      <c r="A568" t="s">
        <v>2409</v>
      </c>
      <c r="B568" t="s">
        <v>1816</v>
      </c>
      <c r="C568" t="s">
        <v>58</v>
      </c>
      <c r="D568" t="s">
        <v>160</v>
      </c>
      <c r="E568" s="69">
        <v>0</v>
      </c>
      <c r="F568" s="69">
        <v>3</v>
      </c>
      <c r="G568" s="69">
        <v>0</v>
      </c>
      <c r="H568" t="s">
        <v>2573</v>
      </c>
      <c r="I568" s="69">
        <v>3</v>
      </c>
      <c r="J568">
        <f t="shared" si="8"/>
        <v>3</v>
      </c>
    </row>
    <row r="569" spans="1:10" x14ac:dyDescent="0.25">
      <c r="A569" t="s">
        <v>1642</v>
      </c>
      <c r="B569" t="s">
        <v>1644</v>
      </c>
      <c r="C569" t="s">
        <v>58</v>
      </c>
      <c r="D569" t="s">
        <v>160</v>
      </c>
      <c r="E569" s="69">
        <v>3</v>
      </c>
      <c r="F569" s="69">
        <v>0</v>
      </c>
      <c r="G569" s="69">
        <v>0</v>
      </c>
      <c r="H569" t="s">
        <v>2573</v>
      </c>
      <c r="I569" s="69">
        <v>3</v>
      </c>
      <c r="J569">
        <f t="shared" si="8"/>
        <v>3</v>
      </c>
    </row>
    <row r="570" spans="1:10" x14ac:dyDescent="0.25">
      <c r="A570" t="s">
        <v>1285</v>
      </c>
      <c r="B570" t="s">
        <v>1287</v>
      </c>
      <c r="C570" t="s">
        <v>58</v>
      </c>
      <c r="D570" t="s">
        <v>67</v>
      </c>
      <c r="E570" s="69">
        <v>3</v>
      </c>
      <c r="F570" s="69">
        <v>0</v>
      </c>
      <c r="G570" s="69">
        <v>0</v>
      </c>
      <c r="H570" t="s">
        <v>2574</v>
      </c>
      <c r="I570" s="69">
        <v>3</v>
      </c>
      <c r="J570">
        <f t="shared" si="8"/>
        <v>3</v>
      </c>
    </row>
    <row r="571" spans="1:10" x14ac:dyDescent="0.25">
      <c r="A571" t="s">
        <v>1142</v>
      </c>
      <c r="B571" t="s">
        <v>1144</v>
      </c>
      <c r="C571" t="s">
        <v>58</v>
      </c>
      <c r="D571" t="s">
        <v>67</v>
      </c>
      <c r="E571" s="69">
        <v>0</v>
      </c>
      <c r="F571" s="69">
        <v>0</v>
      </c>
      <c r="G571" s="69">
        <v>3</v>
      </c>
      <c r="H571" t="s">
        <v>2574</v>
      </c>
      <c r="I571" s="69">
        <v>3</v>
      </c>
      <c r="J571">
        <f t="shared" si="8"/>
        <v>0</v>
      </c>
    </row>
    <row r="572" spans="1:10" x14ac:dyDescent="0.25">
      <c r="A572" t="s">
        <v>328</v>
      </c>
      <c r="B572" t="s">
        <v>330</v>
      </c>
      <c r="C572" t="s">
        <v>58</v>
      </c>
      <c r="D572" t="s">
        <v>67</v>
      </c>
      <c r="E572" s="69">
        <v>0</v>
      </c>
      <c r="F572" s="69">
        <v>0</v>
      </c>
      <c r="G572" s="69">
        <v>15</v>
      </c>
      <c r="H572" t="s">
        <v>2574</v>
      </c>
      <c r="I572" s="69">
        <v>3</v>
      </c>
      <c r="J572">
        <f t="shared" si="8"/>
        <v>-12</v>
      </c>
    </row>
    <row r="573" spans="1:10" x14ac:dyDescent="0.25">
      <c r="A573" t="s">
        <v>1200</v>
      </c>
      <c r="B573" t="s">
        <v>1202</v>
      </c>
      <c r="C573" t="s">
        <v>58</v>
      </c>
      <c r="D573" t="s">
        <v>150</v>
      </c>
      <c r="E573" s="69">
        <v>3</v>
      </c>
      <c r="F573" s="69">
        <v>1</v>
      </c>
      <c r="G573" s="69">
        <v>2</v>
      </c>
      <c r="H573" t="s">
        <v>2573</v>
      </c>
      <c r="I573" s="69">
        <v>3</v>
      </c>
      <c r="J573">
        <f t="shared" si="8"/>
        <v>1</v>
      </c>
    </row>
    <row r="574" spans="1:10" x14ac:dyDescent="0.25">
      <c r="A574" t="s">
        <v>2277</v>
      </c>
      <c r="B574" t="s">
        <v>2278</v>
      </c>
      <c r="C574" t="s">
        <v>58</v>
      </c>
      <c r="D574" t="s">
        <v>150</v>
      </c>
      <c r="E574" s="69">
        <v>3</v>
      </c>
      <c r="F574" s="69">
        <v>0</v>
      </c>
      <c r="G574" s="69">
        <v>0</v>
      </c>
      <c r="H574" t="s">
        <v>2573</v>
      </c>
      <c r="I574" s="69">
        <v>3</v>
      </c>
      <c r="J574">
        <f t="shared" si="8"/>
        <v>3</v>
      </c>
    </row>
    <row r="575" spans="1:10" x14ac:dyDescent="0.25">
      <c r="A575" t="s">
        <v>2135</v>
      </c>
      <c r="B575" t="s">
        <v>2136</v>
      </c>
      <c r="C575" t="s">
        <v>58</v>
      </c>
      <c r="D575" t="s">
        <v>124</v>
      </c>
      <c r="E575" s="69">
        <v>0</v>
      </c>
      <c r="F575" s="69">
        <v>4</v>
      </c>
      <c r="G575" s="69">
        <v>0</v>
      </c>
      <c r="H575" t="s">
        <v>2581</v>
      </c>
      <c r="I575" s="69">
        <v>3</v>
      </c>
      <c r="J575">
        <f t="shared" si="8"/>
        <v>3</v>
      </c>
    </row>
    <row r="576" spans="1:10" x14ac:dyDescent="0.25">
      <c r="A576" t="s">
        <v>2137</v>
      </c>
      <c r="B576" t="s">
        <v>2138</v>
      </c>
      <c r="C576" t="s">
        <v>58</v>
      </c>
      <c r="D576" t="s">
        <v>124</v>
      </c>
      <c r="E576" s="69">
        <v>0</v>
      </c>
      <c r="F576" s="69">
        <v>4</v>
      </c>
      <c r="G576" s="69">
        <v>0</v>
      </c>
      <c r="H576" t="s">
        <v>2581</v>
      </c>
      <c r="I576" s="69">
        <v>3</v>
      </c>
      <c r="J576">
        <f t="shared" si="8"/>
        <v>3</v>
      </c>
    </row>
    <row r="577" spans="1:10" x14ac:dyDescent="0.25">
      <c r="A577" t="s">
        <v>2097</v>
      </c>
      <c r="B577" t="s">
        <v>2096</v>
      </c>
      <c r="C577" t="s">
        <v>58</v>
      </c>
      <c r="D577" t="s">
        <v>131</v>
      </c>
      <c r="E577" s="69">
        <v>3</v>
      </c>
      <c r="F577" s="69">
        <v>0</v>
      </c>
      <c r="G577" s="69">
        <v>0</v>
      </c>
      <c r="H577" t="s">
        <v>2581</v>
      </c>
      <c r="I577" s="69">
        <v>3</v>
      </c>
      <c r="J577">
        <f t="shared" si="8"/>
        <v>3</v>
      </c>
    </row>
    <row r="578" spans="1:10" x14ac:dyDescent="0.25">
      <c r="A578" t="s">
        <v>2141</v>
      </c>
      <c r="B578" t="s">
        <v>2142</v>
      </c>
      <c r="C578" t="s">
        <v>58</v>
      </c>
      <c r="D578" t="s">
        <v>131</v>
      </c>
      <c r="E578" s="69">
        <v>3</v>
      </c>
      <c r="F578" s="69">
        <v>0</v>
      </c>
      <c r="G578" s="69">
        <v>0</v>
      </c>
      <c r="H578" t="s">
        <v>2581</v>
      </c>
      <c r="I578" s="69">
        <v>3</v>
      </c>
      <c r="J578">
        <f t="shared" si="8"/>
        <v>3</v>
      </c>
    </row>
    <row r="579" spans="1:10" x14ac:dyDescent="0.25">
      <c r="A579" t="s">
        <v>2143</v>
      </c>
      <c r="B579" t="s">
        <v>2144</v>
      </c>
      <c r="C579" t="s">
        <v>58</v>
      </c>
      <c r="D579" t="s">
        <v>131</v>
      </c>
      <c r="E579" s="69">
        <v>3</v>
      </c>
      <c r="F579" s="69">
        <v>0</v>
      </c>
      <c r="G579" s="69">
        <v>0</v>
      </c>
      <c r="H579" t="s">
        <v>2581</v>
      </c>
      <c r="I579" s="69">
        <v>3</v>
      </c>
      <c r="J579">
        <f t="shared" ref="J579:J642" si="9">I579-G579</f>
        <v>3</v>
      </c>
    </row>
    <row r="580" spans="1:10" x14ac:dyDescent="0.25">
      <c r="A580" t="s">
        <v>463</v>
      </c>
      <c r="B580" t="s">
        <v>465</v>
      </c>
      <c r="C580" t="s">
        <v>58</v>
      </c>
      <c r="D580" t="s">
        <v>63</v>
      </c>
      <c r="E580" s="69">
        <v>0</v>
      </c>
      <c r="F580" s="69">
        <v>0</v>
      </c>
      <c r="G580" s="69">
        <v>3</v>
      </c>
      <c r="H580" t="s">
        <v>2573</v>
      </c>
      <c r="I580" s="69">
        <v>3</v>
      </c>
      <c r="J580">
        <f t="shared" si="9"/>
        <v>0</v>
      </c>
    </row>
    <row r="581" spans="1:10" x14ac:dyDescent="0.25">
      <c r="A581" t="s">
        <v>1248</v>
      </c>
      <c r="B581" t="s">
        <v>1250</v>
      </c>
      <c r="C581" t="s">
        <v>58</v>
      </c>
      <c r="D581" t="s">
        <v>63</v>
      </c>
      <c r="E581" s="69">
        <v>4</v>
      </c>
      <c r="F581" s="69">
        <v>5</v>
      </c>
      <c r="G581" s="69">
        <v>4</v>
      </c>
      <c r="H581" t="s">
        <v>2573</v>
      </c>
      <c r="I581" s="69">
        <v>3</v>
      </c>
      <c r="J581">
        <f t="shared" si="9"/>
        <v>-1</v>
      </c>
    </row>
    <row r="582" spans="1:10" x14ac:dyDescent="0.25">
      <c r="A582" t="s">
        <v>2354</v>
      </c>
      <c r="B582" t="s">
        <v>1420</v>
      </c>
      <c r="C582" t="s">
        <v>58</v>
      </c>
      <c r="D582" t="s">
        <v>187</v>
      </c>
      <c r="E582" s="69">
        <v>2</v>
      </c>
      <c r="F582" s="69">
        <v>0</v>
      </c>
      <c r="G582" s="69">
        <v>2</v>
      </c>
      <c r="H582" t="s">
        <v>2573</v>
      </c>
      <c r="I582" s="69">
        <v>3</v>
      </c>
      <c r="J582">
        <f t="shared" si="9"/>
        <v>1</v>
      </c>
    </row>
    <row r="583" spans="1:10" x14ac:dyDescent="0.25">
      <c r="A583" t="s">
        <v>2199</v>
      </c>
      <c r="B583" t="s">
        <v>2200</v>
      </c>
      <c r="C583" t="s">
        <v>58</v>
      </c>
      <c r="D583" t="s">
        <v>1</v>
      </c>
      <c r="E583" s="69">
        <v>7</v>
      </c>
      <c r="F583" s="69">
        <v>0</v>
      </c>
      <c r="G583" s="69">
        <v>0</v>
      </c>
      <c r="H583" t="s">
        <v>2573</v>
      </c>
      <c r="I583" s="69">
        <v>3</v>
      </c>
      <c r="J583">
        <f t="shared" si="9"/>
        <v>3</v>
      </c>
    </row>
    <row r="584" spans="1:10" x14ac:dyDescent="0.25">
      <c r="A584" t="s">
        <v>2350</v>
      </c>
      <c r="B584" t="s">
        <v>2351</v>
      </c>
      <c r="C584" t="s">
        <v>58</v>
      </c>
      <c r="D584" t="s">
        <v>1075</v>
      </c>
      <c r="E584" s="69">
        <v>3</v>
      </c>
      <c r="F584" s="69">
        <v>0</v>
      </c>
      <c r="G584" s="69">
        <v>0</v>
      </c>
      <c r="H584" t="s">
        <v>2581</v>
      </c>
      <c r="I584" s="69">
        <v>3</v>
      </c>
      <c r="J584">
        <f t="shared" si="9"/>
        <v>3</v>
      </c>
    </row>
    <row r="585" spans="1:10" x14ac:dyDescent="0.25">
      <c r="A585" t="s">
        <v>2348</v>
      </c>
      <c r="B585" t="s">
        <v>2349</v>
      </c>
      <c r="C585" t="s">
        <v>58</v>
      </c>
      <c r="D585" t="s">
        <v>1075</v>
      </c>
      <c r="E585" s="69">
        <v>0</v>
      </c>
      <c r="F585" s="69">
        <v>3</v>
      </c>
      <c r="G585" s="69">
        <v>0</v>
      </c>
      <c r="H585" t="s">
        <v>2581</v>
      </c>
      <c r="I585" s="69">
        <v>3</v>
      </c>
      <c r="J585">
        <f t="shared" si="9"/>
        <v>3</v>
      </c>
    </row>
    <row r="586" spans="1:10" x14ac:dyDescent="0.25">
      <c r="A586" t="s">
        <v>2180</v>
      </c>
      <c r="B586" t="s">
        <v>2181</v>
      </c>
      <c r="C586" t="s">
        <v>58</v>
      </c>
      <c r="D586" t="s">
        <v>203</v>
      </c>
      <c r="E586" s="69">
        <v>52.85</v>
      </c>
      <c r="F586" s="69">
        <v>0</v>
      </c>
      <c r="G586" s="69">
        <v>0</v>
      </c>
      <c r="H586" t="s">
        <v>2573</v>
      </c>
      <c r="I586" s="69">
        <v>2.8500000000000014</v>
      </c>
      <c r="J586">
        <f t="shared" si="9"/>
        <v>2.8500000000000014</v>
      </c>
    </row>
    <row r="587" spans="1:10" x14ac:dyDescent="0.25">
      <c r="A587" t="s">
        <v>1358</v>
      </c>
      <c r="B587" t="s">
        <v>1360</v>
      </c>
      <c r="C587" t="s">
        <v>58</v>
      </c>
      <c r="D587" t="s">
        <v>160</v>
      </c>
      <c r="E587" s="69">
        <v>2</v>
      </c>
      <c r="F587" s="69">
        <v>0.83450000000000002</v>
      </c>
      <c r="G587" s="69">
        <v>0</v>
      </c>
      <c r="H587" t="s">
        <v>2574</v>
      </c>
      <c r="I587" s="69">
        <v>2.8345000000000002</v>
      </c>
      <c r="J587">
        <f t="shared" si="9"/>
        <v>2.8345000000000002</v>
      </c>
    </row>
    <row r="588" spans="1:10" x14ac:dyDescent="0.25">
      <c r="A588" t="s">
        <v>1729</v>
      </c>
      <c r="B588" t="s">
        <v>1728</v>
      </c>
      <c r="C588" t="s">
        <v>58</v>
      </c>
      <c r="D588" t="s">
        <v>59</v>
      </c>
      <c r="E588" s="69">
        <v>2</v>
      </c>
      <c r="F588" s="69">
        <v>1</v>
      </c>
      <c r="G588" s="69">
        <v>0</v>
      </c>
      <c r="H588" t="s">
        <v>2575</v>
      </c>
      <c r="I588" s="69">
        <v>2</v>
      </c>
      <c r="J588">
        <f t="shared" si="9"/>
        <v>2</v>
      </c>
    </row>
    <row r="589" spans="1:10" x14ac:dyDescent="0.25">
      <c r="A589" t="s">
        <v>1097</v>
      </c>
      <c r="B589" t="s">
        <v>1099</v>
      </c>
      <c r="C589" t="s">
        <v>58</v>
      </c>
      <c r="D589" t="s">
        <v>59</v>
      </c>
      <c r="E589" s="69">
        <v>0</v>
      </c>
      <c r="F589" s="69">
        <v>2</v>
      </c>
      <c r="G589" s="69">
        <v>0</v>
      </c>
      <c r="H589" t="s">
        <v>2573</v>
      </c>
      <c r="I589" s="69">
        <v>2</v>
      </c>
      <c r="J589">
        <f t="shared" si="9"/>
        <v>2</v>
      </c>
    </row>
    <row r="590" spans="1:10" x14ac:dyDescent="0.25">
      <c r="A590" t="s">
        <v>2340</v>
      </c>
      <c r="B590" t="s">
        <v>2341</v>
      </c>
      <c r="C590" t="s">
        <v>58</v>
      </c>
      <c r="D590" t="s">
        <v>167</v>
      </c>
      <c r="E590" s="69">
        <v>0</v>
      </c>
      <c r="F590" s="69">
        <v>5</v>
      </c>
      <c r="G590" s="69">
        <v>0</v>
      </c>
      <c r="H590" t="s">
        <v>2573</v>
      </c>
      <c r="I590" s="69">
        <v>2</v>
      </c>
      <c r="J590">
        <f t="shared" si="9"/>
        <v>2</v>
      </c>
    </row>
    <row r="591" spans="1:10" x14ac:dyDescent="0.25">
      <c r="A591" t="s">
        <v>2342</v>
      </c>
      <c r="B591" t="s">
        <v>2343</v>
      </c>
      <c r="C591" t="s">
        <v>58</v>
      </c>
      <c r="D591" t="s">
        <v>167</v>
      </c>
      <c r="E591" s="69">
        <v>2</v>
      </c>
      <c r="F591" s="69">
        <v>0</v>
      </c>
      <c r="G591" s="69">
        <v>0</v>
      </c>
      <c r="H591" t="s">
        <v>2573</v>
      </c>
      <c r="I591" s="69">
        <v>2</v>
      </c>
      <c r="J591">
        <f t="shared" si="9"/>
        <v>2</v>
      </c>
    </row>
    <row r="592" spans="1:10" x14ac:dyDescent="0.25">
      <c r="A592" t="s">
        <v>2322</v>
      </c>
      <c r="B592" t="s">
        <v>2323</v>
      </c>
      <c r="C592" t="s">
        <v>58</v>
      </c>
      <c r="D592" t="s">
        <v>167</v>
      </c>
      <c r="E592" s="69">
        <v>0</v>
      </c>
      <c r="F592" s="69">
        <v>4</v>
      </c>
      <c r="G592" s="69">
        <v>0</v>
      </c>
      <c r="H592" t="s">
        <v>2573</v>
      </c>
      <c r="I592" s="69">
        <v>2</v>
      </c>
      <c r="J592">
        <f t="shared" si="9"/>
        <v>2</v>
      </c>
    </row>
    <row r="593" spans="1:10" x14ac:dyDescent="0.25">
      <c r="A593" t="s">
        <v>2326</v>
      </c>
      <c r="B593" t="s">
        <v>2327</v>
      </c>
      <c r="C593" t="s">
        <v>58</v>
      </c>
      <c r="D593" t="s">
        <v>203</v>
      </c>
      <c r="E593" s="69">
        <v>2</v>
      </c>
      <c r="F593" s="69">
        <v>0</v>
      </c>
      <c r="G593" s="69">
        <v>0</v>
      </c>
      <c r="H593" t="s">
        <v>2573</v>
      </c>
      <c r="I593" s="69">
        <v>2</v>
      </c>
      <c r="J593">
        <f t="shared" si="9"/>
        <v>2</v>
      </c>
    </row>
    <row r="594" spans="1:10" x14ac:dyDescent="0.25">
      <c r="A594" t="s">
        <v>335</v>
      </c>
      <c r="B594" t="s">
        <v>337</v>
      </c>
      <c r="C594" t="s">
        <v>58</v>
      </c>
      <c r="D594" t="s">
        <v>160</v>
      </c>
      <c r="E594" s="69">
        <v>0</v>
      </c>
      <c r="F594" s="69">
        <v>2</v>
      </c>
      <c r="G594" s="69">
        <v>0</v>
      </c>
      <c r="H594" t="s">
        <v>2575</v>
      </c>
      <c r="I594" s="69">
        <v>2</v>
      </c>
      <c r="J594">
        <f t="shared" si="9"/>
        <v>2</v>
      </c>
    </row>
    <row r="595" spans="1:10" x14ac:dyDescent="0.25">
      <c r="A595" t="s">
        <v>1048</v>
      </c>
      <c r="B595" t="s">
        <v>1050</v>
      </c>
      <c r="C595" t="s">
        <v>58</v>
      </c>
      <c r="D595" t="s">
        <v>160</v>
      </c>
      <c r="E595" s="69">
        <v>0</v>
      </c>
      <c r="F595" s="69">
        <v>0</v>
      </c>
      <c r="G595" s="69">
        <v>2</v>
      </c>
      <c r="H595" t="s">
        <v>2573</v>
      </c>
      <c r="I595" s="69">
        <v>2</v>
      </c>
      <c r="J595">
        <f t="shared" si="9"/>
        <v>0</v>
      </c>
    </row>
    <row r="596" spans="1:10" x14ac:dyDescent="0.25">
      <c r="A596" t="s">
        <v>1645</v>
      </c>
      <c r="B596" t="s">
        <v>1647</v>
      </c>
      <c r="C596" t="s">
        <v>58</v>
      </c>
      <c r="D596" t="s">
        <v>160</v>
      </c>
      <c r="E596" s="69">
        <v>2</v>
      </c>
      <c r="F596" s="69">
        <v>0</v>
      </c>
      <c r="G596" s="69">
        <v>0</v>
      </c>
      <c r="H596" t="s">
        <v>2573</v>
      </c>
      <c r="I596" s="69">
        <v>2</v>
      </c>
      <c r="J596">
        <f t="shared" si="9"/>
        <v>2</v>
      </c>
    </row>
    <row r="597" spans="1:10" x14ac:dyDescent="0.25">
      <c r="A597" t="s">
        <v>2186</v>
      </c>
      <c r="B597" t="s">
        <v>2187</v>
      </c>
      <c r="C597" t="s">
        <v>58</v>
      </c>
      <c r="D597" t="s">
        <v>160</v>
      </c>
      <c r="E597" s="69">
        <v>0</v>
      </c>
      <c r="F597" s="69">
        <v>2</v>
      </c>
      <c r="G597" s="69">
        <v>0</v>
      </c>
      <c r="H597" t="s">
        <v>2573</v>
      </c>
      <c r="I597" s="69">
        <v>2</v>
      </c>
      <c r="J597">
        <f t="shared" si="9"/>
        <v>2</v>
      </c>
    </row>
    <row r="598" spans="1:10" x14ac:dyDescent="0.25">
      <c r="A598" t="s">
        <v>84</v>
      </c>
      <c r="B598" t="s">
        <v>86</v>
      </c>
      <c r="C598" t="s">
        <v>58</v>
      </c>
      <c r="D598" t="s">
        <v>67</v>
      </c>
      <c r="E598" s="69">
        <v>0</v>
      </c>
      <c r="F598" s="69">
        <v>0</v>
      </c>
      <c r="G598" s="69">
        <v>2</v>
      </c>
      <c r="H598" t="s">
        <v>2574</v>
      </c>
      <c r="I598" s="69">
        <v>2</v>
      </c>
      <c r="J598">
        <f t="shared" si="9"/>
        <v>0</v>
      </c>
    </row>
    <row r="599" spans="1:10" x14ac:dyDescent="0.25">
      <c r="A599" t="s">
        <v>1254</v>
      </c>
      <c r="B599" t="s">
        <v>1256</v>
      </c>
      <c r="C599" t="s">
        <v>58</v>
      </c>
      <c r="D599" t="s">
        <v>216</v>
      </c>
      <c r="E599" s="69">
        <v>2</v>
      </c>
      <c r="F599" s="69">
        <v>0</v>
      </c>
      <c r="G599" s="69">
        <v>0</v>
      </c>
      <c r="H599" t="s">
        <v>2574</v>
      </c>
      <c r="I599" s="69">
        <v>2</v>
      </c>
      <c r="J599">
        <f t="shared" si="9"/>
        <v>2</v>
      </c>
    </row>
    <row r="600" spans="1:10" x14ac:dyDescent="0.25">
      <c r="A600" t="s">
        <v>2046</v>
      </c>
      <c r="B600" t="s">
        <v>2045</v>
      </c>
      <c r="C600" t="s">
        <v>58</v>
      </c>
      <c r="D600" t="s">
        <v>131</v>
      </c>
      <c r="E600" s="69">
        <v>3</v>
      </c>
      <c r="F600" s="69">
        <v>0</v>
      </c>
      <c r="G600" s="69">
        <v>0</v>
      </c>
      <c r="H600" t="s">
        <v>2581</v>
      </c>
      <c r="I600" s="69">
        <v>2</v>
      </c>
      <c r="J600">
        <f t="shared" si="9"/>
        <v>2</v>
      </c>
    </row>
    <row r="601" spans="1:10" x14ac:dyDescent="0.25">
      <c r="A601" t="s">
        <v>2047</v>
      </c>
      <c r="B601" t="s">
        <v>2048</v>
      </c>
      <c r="C601" t="s">
        <v>58</v>
      </c>
      <c r="D601" t="s">
        <v>131</v>
      </c>
      <c r="E601" s="69">
        <v>0</v>
      </c>
      <c r="F601" s="69">
        <v>1</v>
      </c>
      <c r="G601" s="69">
        <v>1</v>
      </c>
      <c r="H601" t="s">
        <v>2581</v>
      </c>
      <c r="I601" s="69">
        <v>2</v>
      </c>
      <c r="J601">
        <f t="shared" si="9"/>
        <v>1</v>
      </c>
    </row>
    <row r="602" spans="1:10" x14ac:dyDescent="0.25">
      <c r="A602" t="s">
        <v>125</v>
      </c>
      <c r="B602" t="s">
        <v>127</v>
      </c>
      <c r="C602" t="s">
        <v>58</v>
      </c>
      <c r="D602" t="s">
        <v>131</v>
      </c>
      <c r="E602" s="69">
        <v>0</v>
      </c>
      <c r="F602" s="69">
        <v>1</v>
      </c>
      <c r="G602" s="69">
        <v>1</v>
      </c>
      <c r="H602" t="s">
        <v>2581</v>
      </c>
      <c r="I602" s="69">
        <v>2</v>
      </c>
      <c r="J602">
        <f t="shared" si="9"/>
        <v>1</v>
      </c>
    </row>
    <row r="603" spans="1:10" x14ac:dyDescent="0.25">
      <c r="A603" t="s">
        <v>435</v>
      </c>
      <c r="B603" t="s">
        <v>437</v>
      </c>
      <c r="C603" t="s">
        <v>58</v>
      </c>
      <c r="D603" t="s">
        <v>63</v>
      </c>
      <c r="E603" s="69">
        <v>0</v>
      </c>
      <c r="F603" s="69">
        <v>0</v>
      </c>
      <c r="G603" s="69">
        <v>3</v>
      </c>
      <c r="H603" t="s">
        <v>2573</v>
      </c>
      <c r="I603" s="69">
        <v>2</v>
      </c>
      <c r="J603">
        <f t="shared" si="9"/>
        <v>-1</v>
      </c>
    </row>
    <row r="604" spans="1:10" x14ac:dyDescent="0.25">
      <c r="A604" t="s">
        <v>557</v>
      </c>
      <c r="B604" t="s">
        <v>559</v>
      </c>
      <c r="C604" t="s">
        <v>58</v>
      </c>
      <c r="D604" t="s">
        <v>63</v>
      </c>
      <c r="E604" s="69">
        <v>20</v>
      </c>
      <c r="F604" s="69">
        <v>3</v>
      </c>
      <c r="G604" s="69">
        <v>8</v>
      </c>
      <c r="H604" t="s">
        <v>2574</v>
      </c>
      <c r="I604" s="69">
        <v>2</v>
      </c>
      <c r="J604">
        <f t="shared" si="9"/>
        <v>-6</v>
      </c>
    </row>
    <row r="605" spans="1:10" x14ac:dyDescent="0.25">
      <c r="A605" t="s">
        <v>1088</v>
      </c>
      <c r="B605" t="s">
        <v>1090</v>
      </c>
      <c r="C605" t="s">
        <v>58</v>
      </c>
      <c r="D605" t="s">
        <v>1075</v>
      </c>
      <c r="E605" s="69">
        <v>2</v>
      </c>
      <c r="F605" s="69">
        <v>0</v>
      </c>
      <c r="G605" s="69">
        <v>0</v>
      </c>
      <c r="H605" t="s">
        <v>2574</v>
      </c>
      <c r="I605" s="69">
        <v>2</v>
      </c>
      <c r="J605">
        <f t="shared" si="9"/>
        <v>2</v>
      </c>
    </row>
    <row r="606" spans="1:10" x14ac:dyDescent="0.25">
      <c r="A606" t="s">
        <v>2314</v>
      </c>
      <c r="B606" t="s">
        <v>2315</v>
      </c>
      <c r="C606" t="s">
        <v>58</v>
      </c>
      <c r="D606" t="s">
        <v>167</v>
      </c>
      <c r="E606" s="69">
        <v>1</v>
      </c>
      <c r="F606" s="69">
        <v>0</v>
      </c>
      <c r="G606" s="69">
        <v>0</v>
      </c>
      <c r="H606" t="s">
        <v>2574</v>
      </c>
      <c r="I606" s="69">
        <v>1</v>
      </c>
      <c r="J606">
        <f t="shared" si="9"/>
        <v>1</v>
      </c>
    </row>
    <row r="607" spans="1:10" x14ac:dyDescent="0.25">
      <c r="A607" t="s">
        <v>2338</v>
      </c>
      <c r="B607" t="s">
        <v>2339</v>
      </c>
      <c r="C607" t="s">
        <v>58</v>
      </c>
      <c r="D607" t="s">
        <v>167</v>
      </c>
      <c r="E607" s="69">
        <v>0</v>
      </c>
      <c r="F607" s="69">
        <v>6</v>
      </c>
      <c r="G607" s="69">
        <v>0</v>
      </c>
      <c r="H607" t="s">
        <v>2573</v>
      </c>
      <c r="I607" s="69">
        <v>1</v>
      </c>
      <c r="J607">
        <f t="shared" si="9"/>
        <v>1</v>
      </c>
    </row>
    <row r="608" spans="1:10" x14ac:dyDescent="0.25">
      <c r="A608" t="s">
        <v>1558</v>
      </c>
      <c r="B608" t="s">
        <v>1560</v>
      </c>
      <c r="C608" t="s">
        <v>58</v>
      </c>
      <c r="D608" t="s">
        <v>160</v>
      </c>
      <c r="E608" s="69">
        <v>4</v>
      </c>
      <c r="F608" s="69">
        <v>8</v>
      </c>
      <c r="G608" s="69">
        <v>1</v>
      </c>
      <c r="H608" t="s">
        <v>2574</v>
      </c>
      <c r="I608" s="69">
        <v>1</v>
      </c>
      <c r="J608">
        <f t="shared" si="9"/>
        <v>0</v>
      </c>
    </row>
    <row r="609" spans="1:10" x14ac:dyDescent="0.25">
      <c r="A609" t="s">
        <v>2363</v>
      </c>
      <c r="B609" t="s">
        <v>2364</v>
      </c>
      <c r="C609" t="s">
        <v>58</v>
      </c>
      <c r="D609" t="s">
        <v>160</v>
      </c>
      <c r="E609" s="69">
        <v>0</v>
      </c>
      <c r="F609" s="69">
        <v>2</v>
      </c>
      <c r="G609" s="69">
        <v>0</v>
      </c>
      <c r="H609" t="s">
        <v>2574</v>
      </c>
      <c r="I609" s="69">
        <v>1</v>
      </c>
      <c r="J609">
        <f t="shared" si="9"/>
        <v>1</v>
      </c>
    </row>
    <row r="610" spans="1:10" x14ac:dyDescent="0.25">
      <c r="A610" t="s">
        <v>1952</v>
      </c>
      <c r="B610" t="s">
        <v>1951</v>
      </c>
      <c r="C610" t="s">
        <v>58</v>
      </c>
      <c r="D610" t="s">
        <v>160</v>
      </c>
      <c r="E610" s="69">
        <v>0</v>
      </c>
      <c r="F610" s="69">
        <v>0</v>
      </c>
      <c r="G610" s="69">
        <v>1</v>
      </c>
      <c r="H610" t="s">
        <v>2573</v>
      </c>
      <c r="I610" s="69">
        <v>1</v>
      </c>
      <c r="J610">
        <f t="shared" si="9"/>
        <v>0</v>
      </c>
    </row>
    <row r="611" spans="1:10" x14ac:dyDescent="0.25">
      <c r="A611" t="s">
        <v>707</v>
      </c>
      <c r="B611" t="s">
        <v>709</v>
      </c>
      <c r="C611" t="s">
        <v>58</v>
      </c>
      <c r="D611" t="s">
        <v>160</v>
      </c>
      <c r="E611" s="69">
        <v>0</v>
      </c>
      <c r="F611" s="69">
        <v>0</v>
      </c>
      <c r="G611" s="69">
        <v>1</v>
      </c>
      <c r="H611" t="s">
        <v>2573</v>
      </c>
      <c r="I611" s="69">
        <v>1</v>
      </c>
      <c r="J611">
        <f t="shared" si="9"/>
        <v>0</v>
      </c>
    </row>
    <row r="612" spans="1:10" x14ac:dyDescent="0.25">
      <c r="A612" t="s">
        <v>2188</v>
      </c>
      <c r="B612" t="s">
        <v>2189</v>
      </c>
      <c r="C612" t="s">
        <v>58</v>
      </c>
      <c r="D612" t="s">
        <v>160</v>
      </c>
      <c r="E612" s="69">
        <v>0</v>
      </c>
      <c r="F612" s="69">
        <v>1</v>
      </c>
      <c r="G612" s="69">
        <v>0</v>
      </c>
      <c r="H612" t="s">
        <v>2573</v>
      </c>
      <c r="I612" s="69">
        <v>1</v>
      </c>
      <c r="J612">
        <f t="shared" si="9"/>
        <v>1</v>
      </c>
    </row>
    <row r="613" spans="1:10" x14ac:dyDescent="0.25">
      <c r="A613" t="s">
        <v>2415</v>
      </c>
      <c r="B613" t="s">
        <v>2416</v>
      </c>
      <c r="C613" t="s">
        <v>58</v>
      </c>
      <c r="D613" t="s">
        <v>225</v>
      </c>
      <c r="E613" s="69">
        <v>1</v>
      </c>
      <c r="F613" s="69">
        <v>0</v>
      </c>
      <c r="G613" s="69">
        <v>0</v>
      </c>
      <c r="H613" t="s">
        <v>2574</v>
      </c>
      <c r="I613" s="69">
        <v>1</v>
      </c>
      <c r="J613">
        <f t="shared" si="9"/>
        <v>1</v>
      </c>
    </row>
    <row r="614" spans="1:10" x14ac:dyDescent="0.25">
      <c r="A614" t="s">
        <v>915</v>
      </c>
      <c r="B614" t="s">
        <v>917</v>
      </c>
      <c r="C614" t="s">
        <v>58</v>
      </c>
      <c r="D614" t="s">
        <v>150</v>
      </c>
      <c r="E614" s="69">
        <v>1</v>
      </c>
      <c r="F614" s="69">
        <v>0</v>
      </c>
      <c r="G614" s="69">
        <v>0</v>
      </c>
      <c r="H614" t="s">
        <v>2573</v>
      </c>
      <c r="I614" s="69">
        <v>1</v>
      </c>
      <c r="J614">
        <f t="shared" si="9"/>
        <v>1</v>
      </c>
    </row>
    <row r="615" spans="1:10" x14ac:dyDescent="0.25">
      <c r="A615" t="s">
        <v>1185</v>
      </c>
      <c r="B615" t="s">
        <v>1187</v>
      </c>
      <c r="C615" t="s">
        <v>58</v>
      </c>
      <c r="D615" t="s">
        <v>150</v>
      </c>
      <c r="E615" s="69">
        <v>1</v>
      </c>
      <c r="F615" s="69">
        <v>0</v>
      </c>
      <c r="G615" s="69">
        <v>0</v>
      </c>
      <c r="H615" t="s">
        <v>2573</v>
      </c>
      <c r="I615" s="69">
        <v>1</v>
      </c>
      <c r="J615">
        <f t="shared" si="9"/>
        <v>1</v>
      </c>
    </row>
    <row r="616" spans="1:10" x14ac:dyDescent="0.25">
      <c r="A616" t="s">
        <v>2336</v>
      </c>
      <c r="B616" t="s">
        <v>2337</v>
      </c>
      <c r="C616" t="s">
        <v>58</v>
      </c>
      <c r="D616" t="s">
        <v>150</v>
      </c>
      <c r="E616" s="69">
        <v>1</v>
      </c>
      <c r="F616" s="69">
        <v>0</v>
      </c>
      <c r="G616" s="69">
        <v>0</v>
      </c>
      <c r="H616" t="s">
        <v>2573</v>
      </c>
      <c r="I616" s="69">
        <v>1</v>
      </c>
      <c r="J616">
        <f t="shared" si="9"/>
        <v>1</v>
      </c>
    </row>
    <row r="617" spans="1:10" x14ac:dyDescent="0.25">
      <c r="A617" t="s">
        <v>2010</v>
      </c>
      <c r="B617" t="s">
        <v>2011</v>
      </c>
      <c r="C617" t="s">
        <v>58</v>
      </c>
      <c r="D617" t="s">
        <v>124</v>
      </c>
      <c r="E617" s="69">
        <v>0</v>
      </c>
      <c r="F617" s="69">
        <v>1</v>
      </c>
      <c r="G617" s="69">
        <v>0</v>
      </c>
      <c r="H617" t="s">
        <v>2581</v>
      </c>
      <c r="I617" s="69">
        <v>1</v>
      </c>
      <c r="J617">
        <f t="shared" si="9"/>
        <v>1</v>
      </c>
    </row>
    <row r="618" spans="1:10" x14ac:dyDescent="0.25">
      <c r="A618" t="s">
        <v>1970</v>
      </c>
      <c r="B618" t="s">
        <v>1971</v>
      </c>
      <c r="C618" t="s">
        <v>58</v>
      </c>
      <c r="D618" t="s">
        <v>124</v>
      </c>
      <c r="E618" s="69">
        <v>0</v>
      </c>
      <c r="F618" s="69">
        <v>1</v>
      </c>
      <c r="G618" s="69">
        <v>0</v>
      </c>
      <c r="H618" t="s">
        <v>2581</v>
      </c>
      <c r="I618" s="69">
        <v>1</v>
      </c>
      <c r="J618">
        <f t="shared" si="9"/>
        <v>1</v>
      </c>
    </row>
    <row r="619" spans="1:10" x14ac:dyDescent="0.25">
      <c r="A619" t="s">
        <v>1990</v>
      </c>
      <c r="B619" t="s">
        <v>1991</v>
      </c>
      <c r="C619" t="s">
        <v>58</v>
      </c>
      <c r="D619" t="s">
        <v>124</v>
      </c>
      <c r="E619" s="69">
        <v>0</v>
      </c>
      <c r="F619" s="69">
        <v>1</v>
      </c>
      <c r="G619" s="69">
        <v>0</v>
      </c>
      <c r="H619" t="s">
        <v>2581</v>
      </c>
      <c r="I619" s="69">
        <v>1</v>
      </c>
      <c r="J619">
        <f t="shared" si="9"/>
        <v>1</v>
      </c>
    </row>
    <row r="620" spans="1:10" x14ac:dyDescent="0.25">
      <c r="A620" t="s">
        <v>2263</v>
      </c>
      <c r="B620" t="s">
        <v>2264</v>
      </c>
      <c r="C620" t="s">
        <v>58</v>
      </c>
      <c r="D620" t="s">
        <v>124</v>
      </c>
      <c r="E620" s="69">
        <v>0</v>
      </c>
      <c r="F620" s="69">
        <v>1</v>
      </c>
      <c r="G620" s="69">
        <v>0</v>
      </c>
      <c r="H620" t="s">
        <v>2581</v>
      </c>
      <c r="I620" s="69">
        <v>1</v>
      </c>
      <c r="J620">
        <f t="shared" si="9"/>
        <v>1</v>
      </c>
    </row>
    <row r="621" spans="1:10" x14ac:dyDescent="0.25">
      <c r="A621" t="s">
        <v>2053</v>
      </c>
      <c r="B621" t="s">
        <v>2054</v>
      </c>
      <c r="C621" t="s">
        <v>58</v>
      </c>
      <c r="D621" t="s">
        <v>124</v>
      </c>
      <c r="E621" s="69">
        <v>0</v>
      </c>
      <c r="F621" s="69">
        <v>1</v>
      </c>
      <c r="G621" s="69">
        <v>0</v>
      </c>
      <c r="H621" t="s">
        <v>2581</v>
      </c>
      <c r="I621" s="69">
        <v>1</v>
      </c>
      <c r="J621">
        <f t="shared" si="9"/>
        <v>1</v>
      </c>
    </row>
    <row r="622" spans="1:10" x14ac:dyDescent="0.25">
      <c r="A622" t="s">
        <v>2229</v>
      </c>
      <c r="B622" t="s">
        <v>2230</v>
      </c>
      <c r="C622" t="s">
        <v>58</v>
      </c>
      <c r="D622" t="s">
        <v>124</v>
      </c>
      <c r="E622" s="69">
        <v>0</v>
      </c>
      <c r="F622" s="69">
        <v>1</v>
      </c>
      <c r="G622" s="69">
        <v>0</v>
      </c>
      <c r="H622" t="s">
        <v>2581</v>
      </c>
      <c r="I622" s="69">
        <v>1</v>
      </c>
      <c r="J622">
        <f t="shared" si="9"/>
        <v>1</v>
      </c>
    </row>
    <row r="623" spans="1:10" x14ac:dyDescent="0.25">
      <c r="A623" t="s">
        <v>2125</v>
      </c>
      <c r="B623" t="s">
        <v>2126</v>
      </c>
      <c r="C623" t="s">
        <v>58</v>
      </c>
      <c r="D623" t="s">
        <v>124</v>
      </c>
      <c r="E623" s="69">
        <v>0</v>
      </c>
      <c r="F623" s="69">
        <v>2</v>
      </c>
      <c r="G623" s="69">
        <v>0</v>
      </c>
      <c r="H623" t="s">
        <v>2581</v>
      </c>
      <c r="I623" s="69">
        <v>1</v>
      </c>
      <c r="J623">
        <f t="shared" si="9"/>
        <v>1</v>
      </c>
    </row>
    <row r="624" spans="1:10" x14ac:dyDescent="0.25">
      <c r="A624" t="s">
        <v>2147</v>
      </c>
      <c r="B624" t="s">
        <v>2148</v>
      </c>
      <c r="C624" t="s">
        <v>58</v>
      </c>
      <c r="D624" t="s">
        <v>124</v>
      </c>
      <c r="E624" s="69">
        <v>0</v>
      </c>
      <c r="F624" s="69">
        <v>1</v>
      </c>
      <c r="G624" s="69">
        <v>0</v>
      </c>
      <c r="H624" t="s">
        <v>2581</v>
      </c>
      <c r="I624" s="69">
        <v>1</v>
      </c>
      <c r="J624">
        <f t="shared" si="9"/>
        <v>1</v>
      </c>
    </row>
    <row r="625" spans="1:10" x14ac:dyDescent="0.25">
      <c r="A625" t="s">
        <v>2265</v>
      </c>
      <c r="B625" t="s">
        <v>2266</v>
      </c>
      <c r="C625" t="s">
        <v>58</v>
      </c>
      <c r="D625" t="s">
        <v>124</v>
      </c>
      <c r="E625" s="69">
        <v>0</v>
      </c>
      <c r="F625" s="69">
        <v>1</v>
      </c>
      <c r="G625" s="69">
        <v>0</v>
      </c>
      <c r="H625" t="s">
        <v>2581</v>
      </c>
      <c r="I625" s="69">
        <v>1</v>
      </c>
      <c r="J625">
        <f t="shared" si="9"/>
        <v>1</v>
      </c>
    </row>
    <row r="626" spans="1:10" x14ac:dyDescent="0.25">
      <c r="A626" t="s">
        <v>2055</v>
      </c>
      <c r="B626" t="s">
        <v>2056</v>
      </c>
      <c r="C626" t="s">
        <v>58</v>
      </c>
      <c r="D626" t="s">
        <v>124</v>
      </c>
      <c r="E626" s="69">
        <v>0</v>
      </c>
      <c r="F626" s="69">
        <v>1</v>
      </c>
      <c r="G626" s="69">
        <v>0</v>
      </c>
      <c r="H626" t="s">
        <v>2581</v>
      </c>
      <c r="I626" s="69">
        <v>1</v>
      </c>
      <c r="J626">
        <f t="shared" si="9"/>
        <v>1</v>
      </c>
    </row>
    <row r="627" spans="1:10" x14ac:dyDescent="0.25">
      <c r="A627" t="s">
        <v>2231</v>
      </c>
      <c r="B627" t="s">
        <v>2232</v>
      </c>
      <c r="C627" t="s">
        <v>58</v>
      </c>
      <c r="D627" t="s">
        <v>124</v>
      </c>
      <c r="E627" s="69">
        <v>0</v>
      </c>
      <c r="F627" s="69">
        <v>1</v>
      </c>
      <c r="G627" s="69">
        <v>0</v>
      </c>
      <c r="H627" t="s">
        <v>2581</v>
      </c>
      <c r="I627" s="69">
        <v>1</v>
      </c>
      <c r="J627">
        <f t="shared" si="9"/>
        <v>1</v>
      </c>
    </row>
    <row r="628" spans="1:10" x14ac:dyDescent="0.25">
      <c r="A628" t="s">
        <v>2261</v>
      </c>
      <c r="B628" t="s">
        <v>2262</v>
      </c>
      <c r="C628" t="s">
        <v>58</v>
      </c>
      <c r="D628" t="s">
        <v>124</v>
      </c>
      <c r="E628" s="69">
        <v>0</v>
      </c>
      <c r="F628" s="69">
        <v>1</v>
      </c>
      <c r="G628" s="69">
        <v>0</v>
      </c>
      <c r="H628" t="s">
        <v>2581</v>
      </c>
      <c r="I628" s="69">
        <v>1</v>
      </c>
      <c r="J628">
        <f t="shared" si="9"/>
        <v>1</v>
      </c>
    </row>
    <row r="629" spans="1:10" x14ac:dyDescent="0.25">
      <c r="A629" t="s">
        <v>2051</v>
      </c>
      <c r="B629" t="s">
        <v>2052</v>
      </c>
      <c r="C629" t="s">
        <v>58</v>
      </c>
      <c r="D629" t="s">
        <v>124</v>
      </c>
      <c r="E629" s="69">
        <v>0</v>
      </c>
      <c r="F629" s="69">
        <v>1</v>
      </c>
      <c r="G629" s="69">
        <v>0</v>
      </c>
      <c r="H629" t="s">
        <v>2581</v>
      </c>
      <c r="I629" s="69">
        <v>1</v>
      </c>
      <c r="J629">
        <f t="shared" si="9"/>
        <v>1</v>
      </c>
    </row>
    <row r="630" spans="1:10" x14ac:dyDescent="0.25">
      <c r="A630" t="s">
        <v>2227</v>
      </c>
      <c r="B630" t="s">
        <v>2228</v>
      </c>
      <c r="C630" t="s">
        <v>58</v>
      </c>
      <c r="D630" t="s">
        <v>124</v>
      </c>
      <c r="E630" s="69">
        <v>0</v>
      </c>
      <c r="F630" s="69">
        <v>1</v>
      </c>
      <c r="G630" s="69">
        <v>0</v>
      </c>
      <c r="H630" t="s">
        <v>2581</v>
      </c>
      <c r="I630" s="69">
        <v>1</v>
      </c>
      <c r="J630">
        <f t="shared" si="9"/>
        <v>1</v>
      </c>
    </row>
    <row r="631" spans="1:10" x14ac:dyDescent="0.25">
      <c r="A631" t="s">
        <v>2081</v>
      </c>
      <c r="B631" t="s">
        <v>2082</v>
      </c>
      <c r="C631" t="s">
        <v>58</v>
      </c>
      <c r="D631" t="s">
        <v>124</v>
      </c>
      <c r="E631" s="69">
        <v>0</v>
      </c>
      <c r="F631" s="69">
        <v>1</v>
      </c>
      <c r="G631" s="69">
        <v>0</v>
      </c>
      <c r="H631" t="s">
        <v>2581</v>
      </c>
      <c r="I631" s="69">
        <v>1</v>
      </c>
      <c r="J631">
        <f t="shared" si="9"/>
        <v>1</v>
      </c>
    </row>
    <row r="632" spans="1:10" x14ac:dyDescent="0.25">
      <c r="A632" t="s">
        <v>496</v>
      </c>
      <c r="B632" t="s">
        <v>495</v>
      </c>
      <c r="C632" t="s">
        <v>58</v>
      </c>
      <c r="D632" t="s">
        <v>63</v>
      </c>
      <c r="E632" s="69">
        <v>1</v>
      </c>
      <c r="F632" s="69">
        <v>0</v>
      </c>
      <c r="G632" s="69">
        <v>0</v>
      </c>
      <c r="H632" t="s">
        <v>2573</v>
      </c>
      <c r="I632" s="69">
        <v>1</v>
      </c>
      <c r="J632">
        <f t="shared" si="9"/>
        <v>1</v>
      </c>
    </row>
    <row r="633" spans="1:10" x14ac:dyDescent="0.25">
      <c r="A633" t="s">
        <v>641</v>
      </c>
      <c r="B633" t="s">
        <v>643</v>
      </c>
      <c r="C633" t="s">
        <v>58</v>
      </c>
      <c r="D633" t="s">
        <v>63</v>
      </c>
      <c r="E633" s="69">
        <v>1</v>
      </c>
      <c r="F633" s="69">
        <v>0</v>
      </c>
      <c r="G633" s="69">
        <v>0</v>
      </c>
      <c r="H633" t="s">
        <v>2573</v>
      </c>
      <c r="I633" s="69">
        <v>1</v>
      </c>
      <c r="J633">
        <f t="shared" si="9"/>
        <v>1</v>
      </c>
    </row>
    <row r="634" spans="1:10" x14ac:dyDescent="0.25">
      <c r="A634" t="s">
        <v>2282</v>
      </c>
      <c r="B634" t="s">
        <v>2283</v>
      </c>
      <c r="C634" t="s">
        <v>58</v>
      </c>
      <c r="D634" t="s">
        <v>63</v>
      </c>
      <c r="E634" s="69">
        <v>0</v>
      </c>
      <c r="F634" s="69">
        <v>0</v>
      </c>
      <c r="G634" s="69">
        <v>1</v>
      </c>
      <c r="H634" t="s">
        <v>2573</v>
      </c>
      <c r="I634" s="69">
        <v>1</v>
      </c>
      <c r="J634">
        <f t="shared" si="9"/>
        <v>0</v>
      </c>
    </row>
    <row r="635" spans="1:10" x14ac:dyDescent="0.25">
      <c r="A635" t="s">
        <v>111</v>
      </c>
      <c r="B635" t="s">
        <v>113</v>
      </c>
      <c r="C635" t="s">
        <v>58</v>
      </c>
      <c r="D635" t="s">
        <v>63</v>
      </c>
      <c r="E635" s="69">
        <v>0</v>
      </c>
      <c r="F635" s="69">
        <v>0</v>
      </c>
      <c r="G635" s="69">
        <v>1</v>
      </c>
      <c r="H635" t="s">
        <v>2573</v>
      </c>
      <c r="I635" s="69">
        <v>1</v>
      </c>
      <c r="J635">
        <f t="shared" si="9"/>
        <v>0</v>
      </c>
    </row>
    <row r="636" spans="1:10" x14ac:dyDescent="0.25">
      <c r="A636" t="s">
        <v>638</v>
      </c>
      <c r="B636" t="s">
        <v>640</v>
      </c>
      <c r="C636" t="s">
        <v>58</v>
      </c>
      <c r="D636" t="s">
        <v>63</v>
      </c>
      <c r="E636" s="69">
        <v>0</v>
      </c>
      <c r="F636" s="69">
        <v>0</v>
      </c>
      <c r="G636" s="69">
        <v>1</v>
      </c>
      <c r="H636" t="s">
        <v>2573</v>
      </c>
      <c r="I636" s="69">
        <v>1</v>
      </c>
      <c r="J636">
        <f t="shared" si="9"/>
        <v>0</v>
      </c>
    </row>
    <row r="637" spans="1:10" x14ac:dyDescent="0.25">
      <c r="A637" t="s">
        <v>460</v>
      </c>
      <c r="B637" t="s">
        <v>462</v>
      </c>
      <c r="C637" t="s">
        <v>58</v>
      </c>
      <c r="D637" t="s">
        <v>63</v>
      </c>
      <c r="E637" s="69">
        <v>0</v>
      </c>
      <c r="F637" s="69">
        <v>0</v>
      </c>
      <c r="G637" s="69">
        <v>1</v>
      </c>
      <c r="H637" t="s">
        <v>2573</v>
      </c>
      <c r="I637" s="69">
        <v>1</v>
      </c>
      <c r="J637">
        <f t="shared" si="9"/>
        <v>0</v>
      </c>
    </row>
    <row r="638" spans="1:10" x14ac:dyDescent="0.25">
      <c r="A638" t="s">
        <v>2175</v>
      </c>
      <c r="B638" t="s">
        <v>2176</v>
      </c>
      <c r="C638" t="s">
        <v>58</v>
      </c>
      <c r="D638" t="s">
        <v>59</v>
      </c>
      <c r="E638" s="69">
        <v>0</v>
      </c>
      <c r="F638" s="69">
        <v>14</v>
      </c>
      <c r="G638" s="69">
        <v>0</v>
      </c>
      <c r="H638" t="s">
        <v>2574</v>
      </c>
      <c r="I638" s="69">
        <v>0</v>
      </c>
      <c r="J638">
        <f t="shared" si="9"/>
        <v>0</v>
      </c>
    </row>
    <row r="639" spans="1:10" x14ac:dyDescent="0.25">
      <c r="A639" t="s">
        <v>1555</v>
      </c>
      <c r="B639" t="s">
        <v>1557</v>
      </c>
      <c r="C639" t="s">
        <v>58</v>
      </c>
      <c r="D639" t="s">
        <v>59</v>
      </c>
      <c r="E639" s="69">
        <v>0</v>
      </c>
      <c r="F639" s="69">
        <v>0</v>
      </c>
      <c r="G639" s="69">
        <v>0</v>
      </c>
      <c r="H639" t="s">
        <v>2573</v>
      </c>
      <c r="I639" s="69">
        <v>0</v>
      </c>
      <c r="J639">
        <f t="shared" si="9"/>
        <v>0</v>
      </c>
    </row>
    <row r="640" spans="1:10" x14ac:dyDescent="0.25">
      <c r="A640" t="s">
        <v>2399</v>
      </c>
      <c r="B640" t="s">
        <v>2400</v>
      </c>
      <c r="C640" t="s">
        <v>58</v>
      </c>
      <c r="D640" t="s">
        <v>160</v>
      </c>
      <c r="E640" s="69">
        <v>0</v>
      </c>
      <c r="F640" s="69">
        <v>25</v>
      </c>
      <c r="G640" s="69">
        <v>0</v>
      </c>
      <c r="H640" t="s">
        <v>2574</v>
      </c>
      <c r="I640" s="69">
        <v>0</v>
      </c>
      <c r="J640">
        <f t="shared" si="9"/>
        <v>0</v>
      </c>
    </row>
    <row r="641" spans="1:10" x14ac:dyDescent="0.25">
      <c r="A641" t="s">
        <v>2184</v>
      </c>
      <c r="B641" t="s">
        <v>2185</v>
      </c>
      <c r="C641" t="s">
        <v>58</v>
      </c>
      <c r="D641" t="s">
        <v>304</v>
      </c>
      <c r="E641" s="69">
        <v>9</v>
      </c>
      <c r="F641" s="69">
        <v>1</v>
      </c>
      <c r="G641" s="69">
        <v>0</v>
      </c>
      <c r="H641" t="s">
        <v>2574</v>
      </c>
      <c r="I641" s="69">
        <v>0</v>
      </c>
      <c r="J641">
        <f t="shared" si="9"/>
        <v>0</v>
      </c>
    </row>
    <row r="642" spans="1:10" x14ac:dyDescent="0.25">
      <c r="A642" t="s">
        <v>207</v>
      </c>
      <c r="B642" t="s">
        <v>209</v>
      </c>
      <c r="C642" t="s">
        <v>58</v>
      </c>
      <c r="D642" t="s">
        <v>187</v>
      </c>
      <c r="E642" s="69">
        <v>5</v>
      </c>
      <c r="F642" s="69">
        <v>1</v>
      </c>
      <c r="G642" s="69">
        <v>6</v>
      </c>
      <c r="H642" t="s">
        <v>2574</v>
      </c>
      <c r="I642" s="69">
        <v>0</v>
      </c>
      <c r="J642">
        <f t="shared" si="9"/>
        <v>-6</v>
      </c>
    </row>
    <row r="643" spans="1:10" x14ac:dyDescent="0.25">
      <c r="A643" t="s">
        <v>1980</v>
      </c>
      <c r="B643" t="s">
        <v>8</v>
      </c>
      <c r="C643" t="s">
        <v>58</v>
      </c>
      <c r="D643" t="s">
        <v>1</v>
      </c>
      <c r="E643" s="69">
        <v>4</v>
      </c>
      <c r="F643" s="69">
        <v>7</v>
      </c>
      <c r="G643" s="69">
        <v>4</v>
      </c>
      <c r="H643" t="s">
        <v>2573</v>
      </c>
      <c r="I643" s="69">
        <v>0</v>
      </c>
      <c r="J643">
        <f t="shared" ref="J643:J662" si="10">I643-G643</f>
        <v>-4</v>
      </c>
    </row>
    <row r="644" spans="1:10" x14ac:dyDescent="0.25">
      <c r="A644" t="s">
        <v>1593</v>
      </c>
      <c r="B644" t="s">
        <v>1595</v>
      </c>
      <c r="C644" t="s">
        <v>58</v>
      </c>
      <c r="D644" t="s">
        <v>160</v>
      </c>
      <c r="E644" s="69">
        <v>5</v>
      </c>
      <c r="F644" s="69">
        <v>6</v>
      </c>
      <c r="G644" s="69">
        <v>0</v>
      </c>
      <c r="H644" t="s">
        <v>2574</v>
      </c>
      <c r="I644" s="69">
        <v>-1</v>
      </c>
      <c r="J644">
        <f t="shared" si="10"/>
        <v>-1</v>
      </c>
    </row>
    <row r="645" spans="1:10" x14ac:dyDescent="0.25">
      <c r="A645" t="s">
        <v>2320</v>
      </c>
      <c r="B645" t="s">
        <v>2321</v>
      </c>
      <c r="C645" t="s">
        <v>58</v>
      </c>
      <c r="D645" t="s">
        <v>167</v>
      </c>
      <c r="E645" s="69">
        <v>0</v>
      </c>
      <c r="F645" s="69">
        <v>14</v>
      </c>
      <c r="G645" s="69">
        <v>0</v>
      </c>
      <c r="H645" t="s">
        <v>2575</v>
      </c>
      <c r="I645" s="69">
        <v>-2</v>
      </c>
      <c r="J645">
        <f t="shared" si="10"/>
        <v>-2</v>
      </c>
    </row>
    <row r="646" spans="1:10" x14ac:dyDescent="0.25">
      <c r="A646" t="s">
        <v>644</v>
      </c>
      <c r="B646" t="s">
        <v>646</v>
      </c>
      <c r="C646" t="s">
        <v>58</v>
      </c>
      <c r="D646" t="s">
        <v>117</v>
      </c>
      <c r="E646" s="69">
        <v>20</v>
      </c>
      <c r="F646" s="69">
        <v>2</v>
      </c>
      <c r="G646" s="69">
        <v>8.6999999999999993</v>
      </c>
      <c r="H646" t="s">
        <v>2573</v>
      </c>
      <c r="I646" s="69">
        <v>-2.3000000000000007</v>
      </c>
      <c r="J646">
        <f t="shared" si="10"/>
        <v>-11</v>
      </c>
    </row>
    <row r="647" spans="1:10" x14ac:dyDescent="0.25">
      <c r="A647" t="s">
        <v>833</v>
      </c>
      <c r="B647" t="s">
        <v>835</v>
      </c>
      <c r="C647" t="s">
        <v>58</v>
      </c>
      <c r="D647" t="s">
        <v>203</v>
      </c>
      <c r="E647" s="69">
        <v>51</v>
      </c>
      <c r="F647" s="69">
        <v>6</v>
      </c>
      <c r="G647" s="69">
        <v>0</v>
      </c>
      <c r="H647" t="s">
        <v>2573</v>
      </c>
      <c r="I647" s="69">
        <v>-3</v>
      </c>
      <c r="J647">
        <f t="shared" si="10"/>
        <v>-3</v>
      </c>
    </row>
    <row r="648" spans="1:10" x14ac:dyDescent="0.25">
      <c r="A648" t="s">
        <v>114</v>
      </c>
      <c r="B648" t="s">
        <v>116</v>
      </c>
      <c r="C648" t="s">
        <v>58</v>
      </c>
      <c r="D648" t="s">
        <v>117</v>
      </c>
      <c r="E648" s="69">
        <v>20</v>
      </c>
      <c r="F648" s="69">
        <v>2</v>
      </c>
      <c r="G648" s="69">
        <v>9</v>
      </c>
      <c r="H648" t="s">
        <v>2573</v>
      </c>
      <c r="I648" s="69">
        <v>-3</v>
      </c>
      <c r="J648">
        <f t="shared" si="10"/>
        <v>-12</v>
      </c>
    </row>
    <row r="649" spans="1:10" x14ac:dyDescent="0.25">
      <c r="A649" t="s">
        <v>1791</v>
      </c>
      <c r="B649" t="s">
        <v>1790</v>
      </c>
      <c r="C649" t="s">
        <v>58</v>
      </c>
      <c r="D649" t="s">
        <v>160</v>
      </c>
      <c r="E649" s="69">
        <v>3</v>
      </c>
      <c r="F649" s="69">
        <v>4.3528000000000002</v>
      </c>
      <c r="G649" s="69">
        <v>0</v>
      </c>
      <c r="H649" t="s">
        <v>2574</v>
      </c>
      <c r="I649" s="69">
        <v>-3.6471999999999998</v>
      </c>
      <c r="J649">
        <f t="shared" si="10"/>
        <v>-3.6471999999999998</v>
      </c>
    </row>
    <row r="650" spans="1:10" x14ac:dyDescent="0.25">
      <c r="A650" t="s">
        <v>11</v>
      </c>
      <c r="B650" t="s">
        <v>6</v>
      </c>
      <c r="C650" t="s">
        <v>58</v>
      </c>
      <c r="D650" t="s">
        <v>1</v>
      </c>
      <c r="E650" s="69">
        <v>1</v>
      </c>
      <c r="F650" s="69">
        <v>0</v>
      </c>
      <c r="G650" s="69">
        <v>0</v>
      </c>
      <c r="H650" t="s">
        <v>2573</v>
      </c>
      <c r="I650" s="69">
        <v>-5</v>
      </c>
      <c r="J650">
        <f t="shared" si="10"/>
        <v>-5</v>
      </c>
    </row>
    <row r="651" spans="1:10" x14ac:dyDescent="0.25">
      <c r="A651" t="s">
        <v>1876</v>
      </c>
      <c r="B651" t="s">
        <v>1878</v>
      </c>
      <c r="C651" t="s">
        <v>58</v>
      </c>
      <c r="D651" t="s">
        <v>160</v>
      </c>
      <c r="E651" s="69">
        <v>3</v>
      </c>
      <c r="F651" s="69">
        <v>4</v>
      </c>
      <c r="G651" s="69">
        <v>1</v>
      </c>
      <c r="H651" t="s">
        <v>2574</v>
      </c>
      <c r="I651" s="69">
        <v>-6</v>
      </c>
      <c r="J651">
        <f t="shared" si="10"/>
        <v>-7</v>
      </c>
    </row>
    <row r="652" spans="1:10" x14ac:dyDescent="0.25">
      <c r="A652" t="s">
        <v>1340</v>
      </c>
      <c r="B652" t="s">
        <v>1342</v>
      </c>
      <c r="C652" t="s">
        <v>58</v>
      </c>
      <c r="D652" t="s">
        <v>216</v>
      </c>
      <c r="E652" s="69">
        <v>5</v>
      </c>
      <c r="F652" s="69">
        <v>0</v>
      </c>
      <c r="G652" s="69">
        <v>1</v>
      </c>
      <c r="H652" t="s">
        <v>2574</v>
      </c>
      <c r="I652" s="69">
        <v>-6</v>
      </c>
      <c r="J652">
        <f t="shared" si="10"/>
        <v>-7</v>
      </c>
    </row>
    <row r="653" spans="1:10" x14ac:dyDescent="0.25">
      <c r="A653" t="s">
        <v>2178</v>
      </c>
      <c r="B653" t="s">
        <v>2179</v>
      </c>
      <c r="C653" t="s">
        <v>58</v>
      </c>
      <c r="D653" t="s">
        <v>203</v>
      </c>
      <c r="E653" s="69">
        <v>91.35</v>
      </c>
      <c r="F653" s="69">
        <v>0</v>
      </c>
      <c r="G653" s="69">
        <v>2</v>
      </c>
      <c r="H653" t="s">
        <v>2573</v>
      </c>
      <c r="I653" s="69">
        <v>-6.6500000000000057</v>
      </c>
      <c r="J653">
        <f t="shared" si="10"/>
        <v>-8.6500000000000057</v>
      </c>
    </row>
    <row r="654" spans="1:10" x14ac:dyDescent="0.25">
      <c r="A654" t="s">
        <v>713</v>
      </c>
      <c r="B654" t="s">
        <v>715</v>
      </c>
      <c r="C654" t="s">
        <v>58</v>
      </c>
      <c r="D654" t="s">
        <v>187</v>
      </c>
      <c r="E654" s="69">
        <v>10</v>
      </c>
      <c r="F654" s="69">
        <v>0</v>
      </c>
      <c r="G654" s="69">
        <v>0</v>
      </c>
      <c r="H654" t="s">
        <v>2573</v>
      </c>
      <c r="I654" s="69">
        <v>-7</v>
      </c>
      <c r="J654">
        <f t="shared" si="10"/>
        <v>-7</v>
      </c>
    </row>
    <row r="655" spans="1:10" x14ac:dyDescent="0.25">
      <c r="A655" t="s">
        <v>821</v>
      </c>
      <c r="B655" t="s">
        <v>823</v>
      </c>
      <c r="C655" t="s">
        <v>58</v>
      </c>
      <c r="D655" t="s">
        <v>59</v>
      </c>
      <c r="E655" s="69">
        <v>0</v>
      </c>
      <c r="F655" s="69">
        <v>16</v>
      </c>
      <c r="G655" s="69">
        <v>0</v>
      </c>
      <c r="H655" t="s">
        <v>2573</v>
      </c>
      <c r="I655" s="69">
        <v>-9</v>
      </c>
      <c r="J655">
        <f t="shared" si="10"/>
        <v>-9</v>
      </c>
    </row>
    <row r="656" spans="1:10" x14ac:dyDescent="0.25">
      <c r="A656" t="s">
        <v>74</v>
      </c>
      <c r="B656" t="s">
        <v>76</v>
      </c>
      <c r="C656" t="s">
        <v>58</v>
      </c>
      <c r="D656" t="s">
        <v>63</v>
      </c>
      <c r="E656" s="69">
        <v>0</v>
      </c>
      <c r="F656" s="69">
        <v>10</v>
      </c>
      <c r="G656" s="69">
        <v>0</v>
      </c>
      <c r="H656" t="s">
        <v>2573</v>
      </c>
      <c r="I656" s="69">
        <v>-10</v>
      </c>
      <c r="J656">
        <f t="shared" si="10"/>
        <v>-10</v>
      </c>
    </row>
    <row r="657" spans="1:10" x14ac:dyDescent="0.25">
      <c r="A657" t="s">
        <v>818</v>
      </c>
      <c r="B657" t="s">
        <v>820</v>
      </c>
      <c r="C657" t="s">
        <v>58</v>
      </c>
      <c r="D657" t="s">
        <v>187</v>
      </c>
      <c r="E657" s="69">
        <v>39</v>
      </c>
      <c r="F657" s="69">
        <v>4</v>
      </c>
      <c r="G657" s="69">
        <v>0</v>
      </c>
      <c r="H657" t="s">
        <v>2574</v>
      </c>
      <c r="I657" s="69">
        <v>-13</v>
      </c>
      <c r="J657">
        <f t="shared" si="10"/>
        <v>-13</v>
      </c>
    </row>
    <row r="658" spans="1:10" x14ac:dyDescent="0.25">
      <c r="A658" t="s">
        <v>2371</v>
      </c>
      <c r="B658" t="s">
        <v>2372</v>
      </c>
      <c r="C658" t="s">
        <v>58</v>
      </c>
      <c r="D658" t="s">
        <v>203</v>
      </c>
      <c r="E658" s="69">
        <v>17</v>
      </c>
      <c r="F658" s="69">
        <v>2</v>
      </c>
      <c r="G658" s="69">
        <v>1</v>
      </c>
      <c r="H658" t="s">
        <v>2573</v>
      </c>
      <c r="I658" s="69">
        <v>-14</v>
      </c>
      <c r="J658">
        <f t="shared" si="10"/>
        <v>-15</v>
      </c>
    </row>
    <row r="659" spans="1:10" x14ac:dyDescent="0.25">
      <c r="A659" t="s">
        <v>1673</v>
      </c>
      <c r="B659" t="s">
        <v>1675</v>
      </c>
      <c r="C659" t="s">
        <v>58</v>
      </c>
      <c r="D659" t="s">
        <v>59</v>
      </c>
      <c r="E659" s="69">
        <v>56</v>
      </c>
      <c r="F659" s="69">
        <v>32</v>
      </c>
      <c r="G659" s="69">
        <v>14</v>
      </c>
      <c r="H659" t="s">
        <v>2574</v>
      </c>
      <c r="I659" s="69">
        <v>-18</v>
      </c>
      <c r="J659">
        <f t="shared" si="10"/>
        <v>-32</v>
      </c>
    </row>
    <row r="660" spans="1:10" x14ac:dyDescent="0.25">
      <c r="A660" t="s">
        <v>1978</v>
      </c>
      <c r="B660" t="s">
        <v>1979</v>
      </c>
      <c r="C660" t="s">
        <v>58</v>
      </c>
      <c r="D660" t="s">
        <v>59</v>
      </c>
      <c r="E660" s="69">
        <v>110</v>
      </c>
      <c r="F660" s="69">
        <v>0</v>
      </c>
      <c r="G660" s="69">
        <v>0</v>
      </c>
      <c r="H660" t="s">
        <v>2574</v>
      </c>
      <c r="I660" s="69">
        <v>-28</v>
      </c>
      <c r="J660">
        <f t="shared" si="10"/>
        <v>-28</v>
      </c>
    </row>
    <row r="661" spans="1:10" x14ac:dyDescent="0.25">
      <c r="A661" t="s">
        <v>2304</v>
      </c>
      <c r="B661" t="s">
        <v>2305</v>
      </c>
      <c r="C661" t="s">
        <v>58</v>
      </c>
      <c r="D661" t="s">
        <v>203</v>
      </c>
      <c r="E661" s="69">
        <v>12</v>
      </c>
      <c r="F661" s="69">
        <v>1</v>
      </c>
      <c r="G661" s="69">
        <v>0</v>
      </c>
      <c r="H661" t="s">
        <v>2573</v>
      </c>
      <c r="I661" s="69">
        <v>-32</v>
      </c>
      <c r="J661">
        <f t="shared" si="10"/>
        <v>-32</v>
      </c>
    </row>
    <row r="662" spans="1:10" x14ac:dyDescent="0.25">
      <c r="A662" t="s">
        <v>2312</v>
      </c>
      <c r="B662" t="s">
        <v>2313</v>
      </c>
      <c r="C662" t="s">
        <v>58</v>
      </c>
      <c r="D662" t="s">
        <v>203</v>
      </c>
      <c r="E662" s="69">
        <v>28</v>
      </c>
      <c r="F662" s="69">
        <v>4</v>
      </c>
      <c r="G662" s="69">
        <v>0</v>
      </c>
      <c r="H662" t="s">
        <v>2573</v>
      </c>
      <c r="I662" s="69">
        <v>-68</v>
      </c>
      <c r="J662">
        <f t="shared" si="10"/>
        <v>-68</v>
      </c>
    </row>
  </sheetData>
  <autoFilter ref="A1:M662" xr:uid="{0ADCFACC-70BA-4B5C-B8C8-DE7210CC4BF5}"/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18AA-6B9E-4024-A7E6-759426138477}">
  <dimension ref="A1:G100"/>
  <sheetViews>
    <sheetView zoomScale="70" zoomScaleNormal="70" workbookViewId="0">
      <selection activeCell="D1" sqref="D1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 t="s">
        <v>451</v>
      </c>
      <c r="B2" s="12" t="s">
        <v>2592</v>
      </c>
      <c r="C2" s="13"/>
      <c r="D2" s="13"/>
      <c r="E2" s="13"/>
      <c r="F2" s="14"/>
      <c r="G2" s="14"/>
    </row>
    <row r="3" spans="1:7" x14ac:dyDescent="0.25">
      <c r="A3" s="12" t="s">
        <v>1069</v>
      </c>
      <c r="B3" s="12" t="s">
        <v>2593</v>
      </c>
      <c r="C3" s="13"/>
      <c r="D3" s="13"/>
      <c r="E3" s="13"/>
      <c r="F3" s="14"/>
      <c r="G3" s="14"/>
    </row>
    <row r="4" spans="1:7" x14ac:dyDescent="0.25">
      <c r="A4" s="12" t="s">
        <v>2594</v>
      </c>
      <c r="B4" s="12" t="s">
        <v>977</v>
      </c>
      <c r="C4" s="13"/>
      <c r="D4" s="13"/>
      <c r="E4" s="13"/>
      <c r="F4" s="14"/>
      <c r="G4" s="14"/>
    </row>
    <row r="5" spans="1:7" x14ac:dyDescent="0.25">
      <c r="A5" s="12" t="s">
        <v>608</v>
      </c>
      <c r="B5" s="12" t="s">
        <v>2595</v>
      </c>
      <c r="C5" s="13"/>
      <c r="D5" s="13"/>
      <c r="E5" s="13"/>
      <c r="F5" s="14"/>
      <c r="G5" s="14"/>
    </row>
    <row r="6" spans="1:7" x14ac:dyDescent="0.25">
      <c r="A6" s="12" t="s">
        <v>605</v>
      </c>
      <c r="B6" s="12" t="s">
        <v>2596</v>
      </c>
      <c r="C6" s="13"/>
      <c r="D6" s="13"/>
      <c r="E6" s="13"/>
      <c r="F6" s="14"/>
      <c r="G6" s="14"/>
    </row>
    <row r="7" spans="1:7" x14ac:dyDescent="0.25">
      <c r="A7" s="26" t="s">
        <v>602</v>
      </c>
      <c r="B7" s="26" t="s">
        <v>2597</v>
      </c>
      <c r="C7" s="13"/>
      <c r="D7" s="13"/>
      <c r="E7" s="13"/>
      <c r="F7" s="14"/>
      <c r="G7" s="14"/>
    </row>
    <row r="8" spans="1:7" x14ac:dyDescent="0.25">
      <c r="A8" s="26" t="s">
        <v>2598</v>
      </c>
      <c r="B8" s="26" t="s">
        <v>2599</v>
      </c>
      <c r="C8" s="13"/>
      <c r="D8" s="13"/>
      <c r="E8" s="13"/>
      <c r="F8" s="14"/>
      <c r="G8" s="14"/>
    </row>
    <row r="9" spans="1:7" x14ac:dyDescent="0.25">
      <c r="A9" s="26" t="s">
        <v>728</v>
      </c>
      <c r="B9" s="26" t="s">
        <v>2600</v>
      </c>
      <c r="C9" s="13"/>
      <c r="D9" s="13"/>
      <c r="E9" s="13"/>
      <c r="F9" s="15"/>
      <c r="G9" s="15"/>
    </row>
    <row r="10" spans="1:7" x14ac:dyDescent="0.25">
      <c r="A10" s="26" t="s">
        <v>108</v>
      </c>
      <c r="B10" s="26" t="s">
        <v>2601</v>
      </c>
      <c r="C10" s="13"/>
      <c r="D10" s="13"/>
      <c r="E10" s="13"/>
      <c r="F10" s="16"/>
      <c r="G10" s="16"/>
    </row>
    <row r="11" spans="1:7" x14ac:dyDescent="0.25">
      <c r="A11" s="26" t="s">
        <v>2602</v>
      </c>
      <c r="B11" s="26" t="s">
        <v>2603</v>
      </c>
      <c r="C11" s="13"/>
      <c r="D11" s="13"/>
      <c r="E11" s="13"/>
      <c r="F11" s="14"/>
      <c r="G11" s="14"/>
    </row>
    <row r="12" spans="1:7" x14ac:dyDescent="0.25">
      <c r="A12" s="26" t="s">
        <v>737</v>
      </c>
      <c r="B12" s="26" t="s">
        <v>2604</v>
      </c>
      <c r="C12" s="13"/>
      <c r="D12" s="13"/>
      <c r="E12" s="13"/>
      <c r="F12" s="14"/>
      <c r="G12" s="14"/>
    </row>
    <row r="13" spans="1:7" x14ac:dyDescent="0.25">
      <c r="A13" s="26" t="s">
        <v>432</v>
      </c>
      <c r="B13" s="26" t="s">
        <v>2605</v>
      </c>
      <c r="C13" s="13"/>
      <c r="D13" s="13"/>
      <c r="E13" s="13"/>
      <c r="F13" s="17"/>
      <c r="G13" s="17"/>
    </row>
    <row r="14" spans="1:7" x14ac:dyDescent="0.25">
      <c r="A14" s="26" t="s">
        <v>662</v>
      </c>
      <c r="B14" s="26" t="s">
        <v>2606</v>
      </c>
      <c r="C14" s="13"/>
      <c r="D14" s="13"/>
      <c r="E14" s="13"/>
      <c r="F14" s="14"/>
      <c r="G14" s="14"/>
    </row>
    <row r="15" spans="1:7" x14ac:dyDescent="0.25">
      <c r="A15" s="26" t="s">
        <v>617</v>
      </c>
      <c r="B15" s="26" t="s">
        <v>619</v>
      </c>
      <c r="C15" s="13"/>
      <c r="D15" s="13"/>
      <c r="E15" s="13"/>
      <c r="F15" s="14"/>
      <c r="G15" s="14"/>
    </row>
    <row r="16" spans="1:7" x14ac:dyDescent="0.25">
      <c r="A16" s="26" t="s">
        <v>409</v>
      </c>
      <c r="B16" s="26" t="s">
        <v>2607</v>
      </c>
      <c r="C16" s="13"/>
      <c r="D16" s="13"/>
      <c r="E16" s="13"/>
      <c r="F16" s="14"/>
      <c r="G16" s="14"/>
    </row>
    <row r="17" spans="1:7" x14ac:dyDescent="0.25">
      <c r="A17" s="12" t="s">
        <v>2608</v>
      </c>
      <c r="B17" s="12" t="s">
        <v>2609</v>
      </c>
      <c r="C17" s="13"/>
      <c r="D17" s="13"/>
      <c r="E17" s="13"/>
      <c r="F17" s="14"/>
      <c r="G17" s="14"/>
    </row>
    <row r="18" spans="1:7" x14ac:dyDescent="0.25">
      <c r="A18" s="12" t="s">
        <v>2610</v>
      </c>
      <c r="B18" s="12" t="s">
        <v>2611</v>
      </c>
      <c r="C18" s="13"/>
      <c r="D18" s="13"/>
      <c r="E18" s="13"/>
      <c r="F18" s="14"/>
      <c r="G18" s="14"/>
    </row>
    <row r="19" spans="1:7" x14ac:dyDescent="0.25">
      <c r="A19" s="18" t="s">
        <v>2612</v>
      </c>
      <c r="B19" s="19" t="s">
        <v>2613</v>
      </c>
      <c r="C19" s="20"/>
      <c r="D19" s="18"/>
      <c r="E19" s="18"/>
      <c r="F19" s="14"/>
      <c r="G19" s="14"/>
    </row>
    <row r="20" spans="1:7" x14ac:dyDescent="0.25">
      <c r="A20" s="18" t="s">
        <v>2614</v>
      </c>
      <c r="B20" s="21" t="s">
        <v>2615</v>
      </c>
      <c r="C20" s="20"/>
      <c r="D20" s="18"/>
      <c r="E20" s="18"/>
      <c r="F20" s="14"/>
      <c r="G20" s="14"/>
    </row>
    <row r="21" spans="1:7" x14ac:dyDescent="0.25">
      <c r="A21" s="20" t="s">
        <v>2616</v>
      </c>
      <c r="B21" s="20" t="s">
        <v>2617</v>
      </c>
      <c r="C21" s="20"/>
      <c r="D21" s="18"/>
      <c r="E21" s="18"/>
      <c r="F21" s="14"/>
      <c r="G21" s="14"/>
    </row>
    <row r="22" spans="1:7" x14ac:dyDescent="0.25">
      <c r="A22" s="20" t="s">
        <v>2618</v>
      </c>
      <c r="B22" s="20" t="s">
        <v>2619</v>
      </c>
      <c r="C22" s="20"/>
      <c r="D22" s="18"/>
      <c r="E22" s="18"/>
      <c r="F22" s="14"/>
      <c r="G22" s="14"/>
    </row>
    <row r="23" spans="1:7" x14ac:dyDescent="0.25">
      <c r="A23" s="20" t="s">
        <v>2620</v>
      </c>
      <c r="B23" s="22" t="s">
        <v>2621</v>
      </c>
      <c r="C23" s="20"/>
      <c r="D23" s="18"/>
      <c r="E23" s="18"/>
      <c r="F23" s="14"/>
      <c r="G23" s="14"/>
    </row>
    <row r="24" spans="1:7" x14ac:dyDescent="0.25">
      <c r="A24" s="20" t="s">
        <v>2622</v>
      </c>
      <c r="B24" s="20" t="s">
        <v>2623</v>
      </c>
      <c r="C24" s="20"/>
      <c r="D24" s="18"/>
      <c r="E24" s="18"/>
      <c r="F24" s="14"/>
      <c r="G24" s="14"/>
    </row>
    <row r="25" spans="1:7" x14ac:dyDescent="0.25">
      <c r="A25" s="20" t="s">
        <v>734</v>
      </c>
      <c r="B25" s="20" t="s">
        <v>2624</v>
      </c>
      <c r="C25" s="20"/>
      <c r="D25" s="18"/>
      <c r="E25" s="18"/>
      <c r="F25" s="14"/>
      <c r="G25" s="14"/>
    </row>
    <row r="26" spans="1:7" x14ac:dyDescent="0.25">
      <c r="A26" s="20" t="s">
        <v>1069</v>
      </c>
      <c r="B26" s="20" t="s">
        <v>2625</v>
      </c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DED4-AEFE-41F9-954B-11BB50D8A48D}">
  <dimension ref="A1:G100"/>
  <sheetViews>
    <sheetView topLeftCell="A6" zoomScale="70" zoomScaleNormal="70" workbookViewId="0">
      <selection activeCell="J26" sqref="J26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/>
      <c r="B2" s="12"/>
      <c r="C2" s="13"/>
      <c r="D2" s="13"/>
      <c r="E2" s="13"/>
      <c r="F2" s="14"/>
      <c r="G2" s="14"/>
    </row>
    <row r="3" spans="1:7" x14ac:dyDescent="0.25">
      <c r="A3" s="12"/>
      <c r="B3" s="12"/>
      <c r="C3" s="13"/>
      <c r="D3" s="13"/>
      <c r="E3" s="13"/>
      <c r="F3" s="14"/>
      <c r="G3" s="14"/>
    </row>
    <row r="4" spans="1:7" x14ac:dyDescent="0.25">
      <c r="A4" s="12"/>
      <c r="B4" s="12"/>
      <c r="C4" s="13"/>
      <c r="D4" s="13"/>
      <c r="E4" s="13"/>
      <c r="F4" s="14"/>
      <c r="G4" s="14"/>
    </row>
    <row r="5" spans="1:7" x14ac:dyDescent="0.25">
      <c r="A5" s="12"/>
      <c r="B5" s="12"/>
      <c r="C5" s="13"/>
      <c r="D5" s="13"/>
      <c r="E5" s="13"/>
      <c r="F5" s="14"/>
      <c r="G5" s="14"/>
    </row>
    <row r="6" spans="1:7" x14ac:dyDescent="0.25">
      <c r="A6" s="12"/>
      <c r="B6" s="12"/>
      <c r="C6" s="13"/>
      <c r="D6" s="13"/>
      <c r="E6" s="13"/>
      <c r="F6" s="14"/>
      <c r="G6" s="14"/>
    </row>
    <row r="7" spans="1:7" x14ac:dyDescent="0.25">
      <c r="A7" s="26"/>
      <c r="B7" s="26"/>
      <c r="C7" s="13"/>
      <c r="D7" s="13"/>
      <c r="E7" s="13"/>
      <c r="F7" s="14"/>
      <c r="G7" s="14"/>
    </row>
    <row r="8" spans="1:7" x14ac:dyDescent="0.25">
      <c r="A8" s="26"/>
      <c r="B8" s="26"/>
      <c r="C8" s="13"/>
      <c r="D8" s="13"/>
      <c r="E8" s="13"/>
      <c r="F8" s="14"/>
      <c r="G8" s="14"/>
    </row>
    <row r="9" spans="1:7" x14ac:dyDescent="0.25">
      <c r="A9" s="26"/>
      <c r="B9" s="26"/>
      <c r="C9" s="13"/>
      <c r="D9" s="13"/>
      <c r="E9" s="13"/>
      <c r="F9" s="15"/>
      <c r="G9" s="15"/>
    </row>
    <row r="10" spans="1:7" x14ac:dyDescent="0.25">
      <c r="A10" s="26"/>
      <c r="B10" s="26"/>
      <c r="C10" s="13"/>
      <c r="D10" s="13"/>
      <c r="E10" s="13"/>
      <c r="F10" s="16"/>
      <c r="G10" s="16"/>
    </row>
    <row r="11" spans="1:7" x14ac:dyDescent="0.25">
      <c r="A11" s="26"/>
      <c r="B11" s="26"/>
      <c r="C11" s="13"/>
      <c r="D11" s="13"/>
      <c r="E11" s="13"/>
      <c r="F11" s="14"/>
      <c r="G11" s="14"/>
    </row>
    <row r="12" spans="1:7" x14ac:dyDescent="0.25">
      <c r="A12" s="26"/>
      <c r="B12" s="26"/>
      <c r="C12" s="13"/>
      <c r="D12" s="13"/>
      <c r="E12" s="13"/>
      <c r="F12" s="14"/>
      <c r="G12" s="14"/>
    </row>
    <row r="13" spans="1:7" x14ac:dyDescent="0.25">
      <c r="A13" s="26"/>
      <c r="B13" s="26"/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F994-A760-44D3-8BAF-901CAA3AD071}">
  <dimension ref="A1:G100"/>
  <sheetViews>
    <sheetView zoomScale="70" zoomScaleNormal="70" workbookViewId="0">
      <selection activeCell="L36" sqref="L36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12"/>
      <c r="B2" s="12"/>
      <c r="C2" s="13"/>
      <c r="D2" s="13"/>
      <c r="E2" s="13"/>
      <c r="F2" s="14"/>
      <c r="G2" s="14"/>
    </row>
    <row r="3" spans="1:7" x14ac:dyDescent="0.25">
      <c r="A3" s="12"/>
      <c r="B3" s="12"/>
      <c r="C3" s="13"/>
      <c r="D3" s="13"/>
      <c r="E3" s="13"/>
      <c r="F3" s="14"/>
      <c r="G3" s="14"/>
    </row>
    <row r="4" spans="1:7" x14ac:dyDescent="0.25">
      <c r="A4" s="12"/>
      <c r="B4" s="12"/>
      <c r="C4" s="13"/>
      <c r="D4" s="13"/>
      <c r="E4" s="13"/>
      <c r="F4" s="14"/>
      <c r="G4" s="14"/>
    </row>
    <row r="5" spans="1:7" x14ac:dyDescent="0.25">
      <c r="A5" s="12"/>
      <c r="B5" s="12"/>
      <c r="C5" s="13"/>
      <c r="D5" s="13"/>
      <c r="E5" s="13"/>
      <c r="F5" s="14"/>
      <c r="G5" s="14"/>
    </row>
    <row r="6" spans="1:7" x14ac:dyDescent="0.25">
      <c r="A6" s="12"/>
      <c r="B6" s="12"/>
      <c r="C6" s="13"/>
      <c r="D6" s="13"/>
      <c r="E6" s="13"/>
      <c r="F6" s="14"/>
      <c r="G6" s="14"/>
    </row>
    <row r="7" spans="1:7" x14ac:dyDescent="0.25">
      <c r="A7" s="26"/>
      <c r="B7" s="26"/>
      <c r="C7" s="13"/>
      <c r="D7" s="13"/>
      <c r="E7" s="13"/>
      <c r="F7" s="14"/>
      <c r="G7" s="14"/>
    </row>
    <row r="8" spans="1:7" x14ac:dyDescent="0.25">
      <c r="A8" s="26"/>
      <c r="B8" s="26"/>
      <c r="C8" s="13"/>
      <c r="D8" s="13"/>
      <c r="E8" s="13"/>
      <c r="F8" s="14"/>
      <c r="G8" s="14"/>
    </row>
    <row r="9" spans="1:7" x14ac:dyDescent="0.25">
      <c r="A9" s="26"/>
      <c r="B9" s="26"/>
      <c r="C9" s="13"/>
      <c r="D9" s="13"/>
      <c r="E9" s="13"/>
      <c r="F9" s="15"/>
      <c r="G9" s="15"/>
    </row>
    <row r="10" spans="1:7" x14ac:dyDescent="0.25">
      <c r="A10" s="26"/>
      <c r="B10" s="26"/>
      <c r="C10" s="13"/>
      <c r="D10" s="13"/>
      <c r="E10" s="13"/>
      <c r="F10" s="16"/>
      <c r="G10" s="16"/>
    </row>
    <row r="11" spans="1:7" x14ac:dyDescent="0.25">
      <c r="A11" s="26"/>
      <c r="B11" s="26"/>
      <c r="C11" s="13"/>
      <c r="D11" s="13"/>
      <c r="E11" s="13"/>
      <c r="F11" s="14"/>
      <c r="G11" s="14"/>
    </row>
    <row r="12" spans="1:7" x14ac:dyDescent="0.25">
      <c r="A12" s="26"/>
      <c r="B12" s="26"/>
      <c r="C12" s="13"/>
      <c r="D12" s="13"/>
      <c r="E12" s="13"/>
      <c r="F12" s="14"/>
      <c r="G12" s="14"/>
    </row>
    <row r="13" spans="1:7" x14ac:dyDescent="0.25">
      <c r="A13" s="26"/>
      <c r="B13" s="26"/>
      <c r="C13" s="13"/>
      <c r="D13" s="13"/>
      <c r="E13" s="13"/>
      <c r="F13" s="17"/>
      <c r="G13" s="17"/>
    </row>
    <row r="14" spans="1:7" x14ac:dyDescent="0.25">
      <c r="A14" s="26"/>
      <c r="B14" s="26"/>
      <c r="C14" s="13"/>
      <c r="D14" s="13"/>
      <c r="E14" s="13"/>
      <c r="F14" s="14"/>
      <c r="G14" s="14"/>
    </row>
    <row r="15" spans="1:7" x14ac:dyDescent="0.25">
      <c r="A15" s="26"/>
      <c r="B15" s="26"/>
      <c r="C15" s="13"/>
      <c r="D15" s="13"/>
      <c r="E15" s="13"/>
      <c r="F15" s="14"/>
      <c r="G15" s="14"/>
    </row>
    <row r="16" spans="1:7" x14ac:dyDescent="0.25">
      <c r="A16" s="26"/>
      <c r="B16" s="26"/>
      <c r="C16" s="13"/>
      <c r="D16" s="13"/>
      <c r="E16" s="13"/>
      <c r="F16" s="14"/>
      <c r="G16" s="14"/>
    </row>
    <row r="17" spans="1:7" x14ac:dyDescent="0.25">
      <c r="A17" s="12"/>
      <c r="B17" s="12"/>
      <c r="C17" s="13"/>
      <c r="D17" s="13"/>
      <c r="E17" s="13"/>
      <c r="F17" s="14"/>
      <c r="G17" s="14"/>
    </row>
    <row r="18" spans="1:7" x14ac:dyDescent="0.25">
      <c r="A18" s="12"/>
      <c r="B18" s="12"/>
      <c r="C18" s="13"/>
      <c r="D18" s="13"/>
      <c r="E18" s="13"/>
      <c r="F18" s="14"/>
      <c r="G18" s="14"/>
    </row>
    <row r="19" spans="1:7" x14ac:dyDescent="0.25">
      <c r="A19" s="18"/>
      <c r="B19" s="19"/>
      <c r="C19" s="20"/>
      <c r="D19" s="18"/>
      <c r="E19" s="18"/>
      <c r="F19" s="14"/>
      <c r="G19" s="14"/>
    </row>
    <row r="20" spans="1:7" x14ac:dyDescent="0.25">
      <c r="A20" s="18"/>
      <c r="B20" s="21"/>
      <c r="C20" s="20"/>
      <c r="D20" s="18"/>
      <c r="E20" s="18"/>
      <c r="F20" s="14"/>
      <c r="G20" s="14"/>
    </row>
    <row r="21" spans="1:7" x14ac:dyDescent="0.25">
      <c r="A21" s="20"/>
      <c r="B21" s="20"/>
      <c r="C21" s="20"/>
      <c r="D21" s="18"/>
      <c r="E21" s="18"/>
      <c r="F21" s="14"/>
      <c r="G21" s="14"/>
    </row>
    <row r="22" spans="1:7" x14ac:dyDescent="0.25">
      <c r="A22" s="20"/>
      <c r="B22" s="20"/>
      <c r="C22" s="20"/>
      <c r="D22" s="18"/>
      <c r="E22" s="18"/>
      <c r="F22" s="14"/>
      <c r="G22" s="14"/>
    </row>
    <row r="23" spans="1:7" x14ac:dyDescent="0.25">
      <c r="A23" s="20"/>
      <c r="B23" s="22"/>
      <c r="C23" s="20"/>
      <c r="D23" s="18"/>
      <c r="E23" s="18"/>
      <c r="F23" s="14"/>
      <c r="G23" s="14"/>
    </row>
    <row r="24" spans="1:7" x14ac:dyDescent="0.25">
      <c r="A24" s="20"/>
      <c r="B24" s="20"/>
      <c r="C24" s="20"/>
      <c r="D24" s="18"/>
      <c r="E24" s="18"/>
      <c r="F24" s="14"/>
      <c r="G24" s="14"/>
    </row>
    <row r="25" spans="1:7" x14ac:dyDescent="0.25">
      <c r="A25" s="20"/>
      <c r="B25" s="20"/>
      <c r="C25" s="20"/>
      <c r="D25" s="18"/>
      <c r="E25" s="18"/>
      <c r="F25" s="14"/>
      <c r="G25" s="14"/>
    </row>
    <row r="26" spans="1:7" x14ac:dyDescent="0.25">
      <c r="A26" s="20"/>
      <c r="B26" s="20"/>
      <c r="C26" s="20"/>
      <c r="D26" s="18"/>
      <c r="E26" s="18"/>
      <c r="F26" s="14"/>
      <c r="G26" s="14"/>
    </row>
    <row r="27" spans="1:7" x14ac:dyDescent="0.25">
      <c r="A27" s="20"/>
      <c r="B27" s="20"/>
      <c r="C27" s="20"/>
      <c r="D27" s="18"/>
      <c r="E27" s="18"/>
      <c r="F27" s="14"/>
      <c r="G27" s="14"/>
    </row>
    <row r="28" spans="1:7" x14ac:dyDescent="0.25">
      <c r="A28" s="20"/>
      <c r="B28" s="20"/>
      <c r="C28" s="20"/>
      <c r="D28" s="18"/>
      <c r="E28" s="18"/>
      <c r="F28" s="14"/>
      <c r="G28" s="14"/>
    </row>
    <row r="29" spans="1:7" x14ac:dyDescent="0.25">
      <c r="A29" s="20"/>
      <c r="B29" s="20"/>
      <c r="C29" s="20"/>
      <c r="D29" s="18"/>
      <c r="E29" s="18"/>
      <c r="F29" s="14"/>
      <c r="G29" s="14"/>
    </row>
    <row r="30" spans="1:7" x14ac:dyDescent="0.25">
      <c r="A30" s="20"/>
      <c r="B30" s="20"/>
      <c r="C30" s="20"/>
      <c r="D30" s="18"/>
      <c r="E30" s="18"/>
      <c r="F30" s="14"/>
      <c r="G30" s="14"/>
    </row>
    <row r="31" spans="1:7" x14ac:dyDescent="0.25">
      <c r="A31" s="20"/>
      <c r="B31" s="20"/>
      <c r="C31" s="20"/>
      <c r="D31" s="18"/>
      <c r="E31" s="18"/>
      <c r="F31" s="14"/>
      <c r="G31" s="14"/>
    </row>
    <row r="32" spans="1:7" x14ac:dyDescent="0.25">
      <c r="A32" s="20"/>
      <c r="B32" s="20"/>
      <c r="C32" s="20"/>
      <c r="D32" s="18"/>
      <c r="E32" s="18"/>
      <c r="F32" s="14"/>
      <c r="G32" s="14"/>
    </row>
    <row r="33" spans="1:7" x14ac:dyDescent="0.25">
      <c r="A33" s="20"/>
      <c r="B33" s="20"/>
      <c r="C33" s="20"/>
      <c r="D33" s="18"/>
      <c r="E33" s="18"/>
      <c r="F33" s="14"/>
      <c r="G33" s="14"/>
    </row>
    <row r="34" spans="1:7" x14ac:dyDescent="0.25">
      <c r="A34" s="20"/>
      <c r="B34" s="20"/>
      <c r="C34" s="20"/>
      <c r="D34" s="18"/>
      <c r="E34" s="18"/>
      <c r="F34" s="14"/>
      <c r="G34" s="14"/>
    </row>
    <row r="35" spans="1:7" x14ac:dyDescent="0.25">
      <c r="A35" s="20"/>
      <c r="B35" s="20"/>
      <c r="C35" s="20"/>
      <c r="D35" s="18"/>
      <c r="E35" s="18"/>
      <c r="F35" s="14"/>
      <c r="G35" s="14"/>
    </row>
    <row r="36" spans="1:7" x14ac:dyDescent="0.25">
      <c r="A36" s="20"/>
      <c r="B36" s="18"/>
      <c r="C36" s="20"/>
      <c r="D36" s="18"/>
      <c r="E36" s="18"/>
      <c r="F36" s="14"/>
      <c r="G36" s="14"/>
    </row>
    <row r="37" spans="1:7" x14ac:dyDescent="0.25">
      <c r="A37" s="20"/>
      <c r="B37" s="18"/>
      <c r="C37" s="20"/>
      <c r="D37" s="18"/>
      <c r="E37" s="18"/>
      <c r="F37" s="14"/>
      <c r="G37" s="14"/>
    </row>
    <row r="38" spans="1:7" x14ac:dyDescent="0.25">
      <c r="A38" s="20"/>
      <c r="B38" s="18"/>
      <c r="C38" s="20"/>
      <c r="D38" s="18"/>
      <c r="E38" s="18"/>
      <c r="F38" s="14"/>
      <c r="G38" s="14"/>
    </row>
    <row r="39" spans="1:7" x14ac:dyDescent="0.25">
      <c r="A39" s="20"/>
      <c r="B39" s="18"/>
      <c r="C39" s="20"/>
      <c r="D39" s="18"/>
      <c r="E39" s="18"/>
      <c r="F39" s="14"/>
      <c r="G39" s="14"/>
    </row>
    <row r="40" spans="1:7" x14ac:dyDescent="0.25">
      <c r="A40" s="20"/>
      <c r="B40" s="18"/>
      <c r="C40" s="20"/>
      <c r="D40" s="18"/>
      <c r="E40" s="18"/>
      <c r="F40" s="14"/>
      <c r="G40" s="14"/>
    </row>
    <row r="41" spans="1:7" x14ac:dyDescent="0.25">
      <c r="A41" s="20"/>
      <c r="B41" s="23"/>
      <c r="C41" s="20"/>
      <c r="D41" s="18"/>
      <c r="E41" s="18"/>
      <c r="F41" s="14"/>
      <c r="G41" s="14"/>
    </row>
    <row r="42" spans="1:7" x14ac:dyDescent="0.25">
      <c r="A42" s="20"/>
      <c r="B42" s="18"/>
      <c r="C42" s="20"/>
      <c r="D42" s="18"/>
      <c r="E42" s="18"/>
      <c r="F42" s="14"/>
      <c r="G42" s="14"/>
    </row>
    <row r="43" spans="1:7" x14ac:dyDescent="0.25">
      <c r="A43" s="24"/>
      <c r="B43" s="24"/>
      <c r="C43" s="20"/>
      <c r="D43" s="18"/>
      <c r="E43" s="18"/>
      <c r="F43" s="14"/>
      <c r="G43" s="14"/>
    </row>
    <row r="44" spans="1:7" x14ac:dyDescent="0.25">
      <c r="A44" s="24"/>
      <c r="B44" s="24"/>
      <c r="C44" s="20"/>
      <c r="D44" s="18"/>
      <c r="E44" s="18"/>
      <c r="F44" s="14"/>
      <c r="G44" s="14"/>
    </row>
    <row r="45" spans="1:7" x14ac:dyDescent="0.25">
      <c r="A45" s="24"/>
      <c r="B45" s="24"/>
      <c r="C45" s="20"/>
      <c r="D45" s="18"/>
      <c r="E45" s="18"/>
      <c r="F45" s="14"/>
      <c r="G45" s="14"/>
    </row>
    <row r="46" spans="1:7" x14ac:dyDescent="0.25">
      <c r="A46" s="24"/>
      <c r="B46" s="24"/>
      <c r="C46" s="20"/>
      <c r="D46" s="18"/>
      <c r="E46" s="18"/>
      <c r="F46" s="14"/>
      <c r="G46" s="14"/>
    </row>
    <row r="47" spans="1:7" x14ac:dyDescent="0.25">
      <c r="A47" s="18"/>
      <c r="B47" s="18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0C11-B160-41B4-A5C2-F929D3FFBD71}">
  <dimension ref="A1:F100"/>
  <sheetViews>
    <sheetView topLeftCell="A19" zoomScale="70" zoomScaleNormal="70" workbookViewId="0">
      <selection activeCell="I33" sqref="I33"/>
    </sheetView>
  </sheetViews>
  <sheetFormatPr defaultRowHeight="15.75" x14ac:dyDescent="0.25"/>
  <cols>
    <col min="1" max="1" width="13.875" customWidth="1"/>
    <col min="2" max="2" width="53.375" customWidth="1"/>
  </cols>
  <sheetData>
    <row r="1" spans="1:6" ht="18.75" x14ac:dyDescent="0.3">
      <c r="A1" s="10" t="s">
        <v>2586</v>
      </c>
      <c r="B1" s="10" t="s">
        <v>3</v>
      </c>
      <c r="C1" s="11" t="s">
        <v>2588</v>
      </c>
      <c r="D1" s="11" t="s">
        <v>2589</v>
      </c>
      <c r="E1" s="11" t="s">
        <v>2590</v>
      </c>
      <c r="F1" s="11" t="s">
        <v>2591</v>
      </c>
    </row>
    <row r="2" spans="1:6" x14ac:dyDescent="0.25">
      <c r="A2" s="42" t="s">
        <v>2626</v>
      </c>
      <c r="B2" s="43" t="s">
        <v>1150</v>
      </c>
      <c r="C2" s="33"/>
      <c r="D2" s="33"/>
      <c r="E2" s="14"/>
      <c r="F2" s="14"/>
    </row>
    <row r="3" spans="1:6" x14ac:dyDescent="0.25">
      <c r="A3" s="42" t="s">
        <v>2627</v>
      </c>
      <c r="B3" s="43" t="s">
        <v>1159</v>
      </c>
      <c r="C3" s="33"/>
      <c r="D3" s="33"/>
      <c r="E3" s="14"/>
      <c r="F3" s="14"/>
    </row>
    <row r="4" spans="1:6" x14ac:dyDescent="0.25">
      <c r="A4" s="42" t="s">
        <v>2628</v>
      </c>
      <c r="B4" s="43" t="s">
        <v>1153</v>
      </c>
      <c r="C4" s="33"/>
      <c r="D4" s="33"/>
      <c r="E4" s="14"/>
      <c r="F4" s="14"/>
    </row>
    <row r="5" spans="1:6" x14ac:dyDescent="0.25">
      <c r="A5" s="42" t="s">
        <v>2629</v>
      </c>
      <c r="B5" s="44" t="s">
        <v>1156</v>
      </c>
      <c r="C5" s="33"/>
      <c r="D5" s="33"/>
      <c r="E5" s="14"/>
      <c r="F5" s="14"/>
    </row>
    <row r="6" spans="1:6" x14ac:dyDescent="0.25">
      <c r="A6" s="45" t="s">
        <v>2630</v>
      </c>
      <c r="B6" s="46" t="s">
        <v>1478</v>
      </c>
      <c r="C6" s="33"/>
      <c r="D6" s="33"/>
      <c r="E6" s="14"/>
      <c r="F6" s="14"/>
    </row>
    <row r="7" spans="1:6" x14ac:dyDescent="0.25">
      <c r="A7" s="45" t="s">
        <v>2631</v>
      </c>
      <c r="B7" s="46" t="s">
        <v>1481</v>
      </c>
      <c r="C7" s="33"/>
      <c r="D7" s="33"/>
      <c r="E7" s="14"/>
      <c r="F7" s="14"/>
    </row>
    <row r="8" spans="1:6" x14ac:dyDescent="0.25">
      <c r="A8" s="45" t="s">
        <v>2632</v>
      </c>
      <c r="B8" s="46" t="s">
        <v>1484</v>
      </c>
      <c r="C8" s="33"/>
      <c r="D8" s="33"/>
      <c r="E8" s="14"/>
      <c r="F8" s="14"/>
    </row>
    <row r="9" spans="1:6" x14ac:dyDescent="0.25">
      <c r="A9" s="42" t="s">
        <v>2633</v>
      </c>
      <c r="B9" s="44" t="s">
        <v>1187</v>
      </c>
      <c r="C9" s="33"/>
      <c r="D9" s="33"/>
      <c r="E9" s="15"/>
      <c r="F9" s="15"/>
    </row>
    <row r="10" spans="1:6" x14ac:dyDescent="0.25">
      <c r="A10" s="42" t="s">
        <v>2634</v>
      </c>
      <c r="B10" s="44" t="s">
        <v>2337</v>
      </c>
      <c r="C10" s="33"/>
      <c r="D10" s="33"/>
      <c r="E10" s="34"/>
      <c r="F10" s="34"/>
    </row>
    <row r="11" spans="1:6" x14ac:dyDescent="0.25">
      <c r="A11" s="42" t="s">
        <v>2635</v>
      </c>
      <c r="B11" s="44" t="s">
        <v>2636</v>
      </c>
      <c r="C11" s="33"/>
      <c r="D11" s="33"/>
      <c r="E11" s="14"/>
      <c r="F11" s="14"/>
    </row>
    <row r="12" spans="1:6" x14ac:dyDescent="0.25">
      <c r="A12" s="42" t="s">
        <v>2637</v>
      </c>
      <c r="B12" s="44" t="s">
        <v>2638</v>
      </c>
      <c r="C12" s="33"/>
      <c r="D12" s="33"/>
      <c r="E12" s="14"/>
      <c r="F12" s="14"/>
    </row>
    <row r="13" spans="1:6" x14ac:dyDescent="0.25">
      <c r="A13" s="42" t="s">
        <v>2639</v>
      </c>
      <c r="B13" s="44" t="s">
        <v>2640</v>
      </c>
      <c r="C13" s="33"/>
      <c r="D13" s="33"/>
      <c r="E13" s="17"/>
      <c r="F13" s="17"/>
    </row>
    <row r="14" spans="1:6" ht="30" x14ac:dyDescent="0.25">
      <c r="A14" s="42" t="s">
        <v>2641</v>
      </c>
      <c r="B14" s="44" t="s">
        <v>1190</v>
      </c>
      <c r="C14" s="33"/>
      <c r="D14" s="33"/>
      <c r="E14" s="14"/>
      <c r="F14" s="14"/>
    </row>
    <row r="15" spans="1:6" ht="30" x14ac:dyDescent="0.25">
      <c r="A15" s="42" t="s">
        <v>2642</v>
      </c>
      <c r="B15" s="44" t="s">
        <v>2643</v>
      </c>
      <c r="C15" s="33"/>
      <c r="D15" s="33"/>
      <c r="E15" s="14"/>
      <c r="F15" s="14"/>
    </row>
    <row r="16" spans="1:6" x14ac:dyDescent="0.25">
      <c r="A16" s="42" t="s">
        <v>2644</v>
      </c>
      <c r="B16" s="44" t="s">
        <v>2645</v>
      </c>
      <c r="C16" s="33"/>
      <c r="D16" s="33"/>
      <c r="E16" s="14"/>
      <c r="F16" s="14"/>
    </row>
    <row r="17" spans="1:6" x14ac:dyDescent="0.25">
      <c r="A17" s="42" t="s">
        <v>2646</v>
      </c>
      <c r="B17" s="44" t="s">
        <v>2647</v>
      </c>
      <c r="C17" s="33"/>
      <c r="D17" s="33"/>
      <c r="E17" s="14"/>
      <c r="F17" s="14"/>
    </row>
    <row r="18" spans="1:6" x14ac:dyDescent="0.25">
      <c r="A18" s="42" t="s">
        <v>2648</v>
      </c>
      <c r="B18" s="44" t="s">
        <v>2649</v>
      </c>
      <c r="C18" s="33"/>
      <c r="D18" s="33"/>
      <c r="E18" s="14"/>
      <c r="F18" s="14"/>
    </row>
    <row r="19" spans="1:6" ht="30" x14ac:dyDescent="0.25">
      <c r="A19" s="42" t="s">
        <v>2650</v>
      </c>
      <c r="B19" s="44" t="s">
        <v>1193</v>
      </c>
      <c r="C19" s="25"/>
      <c r="D19" s="25"/>
      <c r="E19" s="14"/>
      <c r="F19" s="14"/>
    </row>
    <row r="20" spans="1:6" ht="30" x14ac:dyDescent="0.25">
      <c r="A20" s="42" t="s">
        <v>2651</v>
      </c>
      <c r="B20" s="44" t="s">
        <v>1196</v>
      </c>
      <c r="C20" s="25"/>
      <c r="D20" s="25"/>
      <c r="E20" s="14"/>
      <c r="F20" s="14"/>
    </row>
    <row r="21" spans="1:6" ht="30" x14ac:dyDescent="0.25">
      <c r="A21" s="47" t="s">
        <v>2652</v>
      </c>
      <c r="B21" s="44" t="s">
        <v>1199</v>
      </c>
      <c r="C21" s="25"/>
      <c r="D21" s="25"/>
      <c r="E21" s="14"/>
      <c r="F21" s="14"/>
    </row>
    <row r="22" spans="1:6" ht="30" x14ac:dyDescent="0.25">
      <c r="A22" s="47" t="s">
        <v>2653</v>
      </c>
      <c r="B22" s="44" t="s">
        <v>1202</v>
      </c>
      <c r="C22" s="25"/>
      <c r="D22" s="25"/>
      <c r="E22" s="14"/>
      <c r="F22" s="14"/>
    </row>
    <row r="23" spans="1:6" ht="30" x14ac:dyDescent="0.25">
      <c r="A23" s="47" t="s">
        <v>2654</v>
      </c>
      <c r="B23" s="44" t="s">
        <v>2655</v>
      </c>
      <c r="C23" s="25"/>
      <c r="D23" s="25"/>
      <c r="E23" s="14"/>
      <c r="F23" s="14"/>
    </row>
    <row r="24" spans="1:6" ht="30" x14ac:dyDescent="0.25">
      <c r="A24" s="47" t="s">
        <v>2656</v>
      </c>
      <c r="B24" s="44" t="s">
        <v>1205</v>
      </c>
      <c r="C24" s="25"/>
      <c r="D24" s="25"/>
      <c r="E24" s="14"/>
      <c r="F24" s="14"/>
    </row>
    <row r="25" spans="1:6" x14ac:dyDescent="0.25">
      <c r="A25" s="42" t="s">
        <v>2657</v>
      </c>
      <c r="B25" s="44" t="s">
        <v>1208</v>
      </c>
      <c r="C25" s="25"/>
      <c r="D25" s="25"/>
      <c r="E25" s="14"/>
      <c r="F25" s="14"/>
    </row>
    <row r="26" spans="1:6" x14ac:dyDescent="0.25">
      <c r="A26" s="42" t="s">
        <v>2658</v>
      </c>
      <c r="B26" s="44" t="s">
        <v>1211</v>
      </c>
      <c r="C26" s="25"/>
      <c r="D26" s="25"/>
      <c r="E26" s="14"/>
      <c r="F26" s="14"/>
    </row>
    <row r="27" spans="1:6" x14ac:dyDescent="0.25">
      <c r="A27" s="42" t="s">
        <v>2659</v>
      </c>
      <c r="B27" s="44" t="s">
        <v>2660</v>
      </c>
      <c r="C27" s="25"/>
      <c r="D27" s="25"/>
      <c r="E27" s="14"/>
      <c r="F27" s="14"/>
    </row>
    <row r="28" spans="1:6" x14ac:dyDescent="0.25">
      <c r="A28" s="42" t="s">
        <v>2661</v>
      </c>
      <c r="B28" s="44" t="s">
        <v>1399</v>
      </c>
      <c r="C28" s="25"/>
      <c r="D28" s="25"/>
      <c r="E28" s="14"/>
      <c r="F28" s="14"/>
    </row>
    <row r="29" spans="1:6" x14ac:dyDescent="0.25">
      <c r="A29" s="42" t="s">
        <v>2662</v>
      </c>
      <c r="B29" s="44" t="s">
        <v>1402</v>
      </c>
      <c r="C29" s="25"/>
      <c r="D29" s="25"/>
      <c r="E29" s="14"/>
      <c r="F29" s="14"/>
    </row>
    <row r="30" spans="1:6" ht="30" x14ac:dyDescent="0.25">
      <c r="A30" s="42" t="s">
        <v>2663</v>
      </c>
      <c r="B30" s="44" t="s">
        <v>2347</v>
      </c>
      <c r="C30" s="25"/>
      <c r="D30" s="25"/>
      <c r="E30" s="14"/>
      <c r="F30" s="14"/>
    </row>
    <row r="31" spans="1:6" ht="30" x14ac:dyDescent="0.25">
      <c r="A31" s="42" t="s">
        <v>2664</v>
      </c>
      <c r="B31" s="44" t="s">
        <v>2665</v>
      </c>
      <c r="C31" s="25"/>
      <c r="D31" s="25"/>
      <c r="E31" s="14"/>
      <c r="F31" s="14"/>
    </row>
    <row r="32" spans="1:6" x14ac:dyDescent="0.25">
      <c r="A32" s="42" t="s">
        <v>2666</v>
      </c>
      <c r="B32" s="44" t="s">
        <v>1171</v>
      </c>
      <c r="C32" s="25"/>
      <c r="D32" s="25"/>
      <c r="E32" s="14"/>
      <c r="F32" s="14"/>
    </row>
    <row r="33" spans="1:6" x14ac:dyDescent="0.25">
      <c r="A33" s="42" t="s">
        <v>2667</v>
      </c>
      <c r="B33" s="44" t="s">
        <v>2668</v>
      </c>
      <c r="C33" s="25"/>
      <c r="D33" s="25"/>
      <c r="E33" s="14"/>
      <c r="F33" s="14"/>
    </row>
    <row r="34" spans="1:6" x14ac:dyDescent="0.25">
      <c r="A34" s="42" t="s">
        <v>2669</v>
      </c>
      <c r="B34" s="44" t="s">
        <v>221</v>
      </c>
      <c r="C34" s="25"/>
      <c r="D34" s="25"/>
      <c r="E34" s="14"/>
      <c r="F34" s="14"/>
    </row>
    <row r="35" spans="1:6" x14ac:dyDescent="0.25">
      <c r="A35" s="48" t="s">
        <v>2670</v>
      </c>
      <c r="B35" s="44" t="s">
        <v>862</v>
      </c>
      <c r="C35" s="25"/>
      <c r="D35" s="25"/>
      <c r="E35" s="14"/>
      <c r="F35" s="14"/>
    </row>
    <row r="36" spans="1:6" x14ac:dyDescent="0.25">
      <c r="A36" s="48" t="s">
        <v>2671</v>
      </c>
      <c r="B36" s="44" t="s">
        <v>865</v>
      </c>
      <c r="C36" s="25"/>
      <c r="D36" s="25"/>
      <c r="E36" s="14"/>
      <c r="F36" s="14"/>
    </row>
    <row r="37" spans="1:6" x14ac:dyDescent="0.25">
      <c r="A37" s="48" t="s">
        <v>2672</v>
      </c>
      <c r="B37" s="44" t="s">
        <v>880</v>
      </c>
      <c r="C37" s="25"/>
      <c r="D37" s="25"/>
      <c r="E37" s="14"/>
      <c r="F37" s="14"/>
    </row>
    <row r="38" spans="1:6" x14ac:dyDescent="0.25">
      <c r="A38" s="48" t="s">
        <v>2673</v>
      </c>
      <c r="B38" s="44" t="s">
        <v>883</v>
      </c>
      <c r="C38" s="25"/>
      <c r="D38" s="25"/>
      <c r="E38" s="14"/>
      <c r="F38" s="14"/>
    </row>
    <row r="39" spans="1:6" ht="30" x14ac:dyDescent="0.25">
      <c r="A39" s="48" t="s">
        <v>2674</v>
      </c>
      <c r="B39" s="44" t="s">
        <v>2675</v>
      </c>
      <c r="C39" s="25"/>
      <c r="D39" s="25"/>
      <c r="E39" s="14"/>
      <c r="F39" s="14"/>
    </row>
    <row r="40" spans="1:6" x14ac:dyDescent="0.25">
      <c r="A40" s="48" t="s">
        <v>2676</v>
      </c>
      <c r="B40" s="44" t="s">
        <v>1132</v>
      </c>
      <c r="C40" s="25"/>
      <c r="D40" s="25"/>
      <c r="E40" s="14"/>
      <c r="F40" s="14"/>
    </row>
    <row r="41" spans="1:6" x14ac:dyDescent="0.25">
      <c r="A41" s="48" t="s">
        <v>2677</v>
      </c>
      <c r="B41" s="44" t="s">
        <v>2333</v>
      </c>
      <c r="C41" s="25"/>
      <c r="D41" s="25"/>
      <c r="E41" s="14"/>
      <c r="F41" s="14"/>
    </row>
    <row r="42" spans="1:6" x14ac:dyDescent="0.25">
      <c r="A42" s="42" t="s">
        <v>2678</v>
      </c>
      <c r="B42" s="44" t="s">
        <v>1178</v>
      </c>
      <c r="C42" s="25"/>
      <c r="D42" s="25"/>
      <c r="E42" s="14"/>
      <c r="F42" s="14"/>
    </row>
    <row r="43" spans="1:6" x14ac:dyDescent="0.25">
      <c r="A43" s="42" t="s">
        <v>2679</v>
      </c>
      <c r="B43" s="44" t="s">
        <v>1181</v>
      </c>
      <c r="C43" s="25"/>
      <c r="D43" s="25"/>
      <c r="E43" s="14"/>
      <c r="F43" s="14"/>
    </row>
    <row r="44" spans="1:6" x14ac:dyDescent="0.25">
      <c r="A44" s="42" t="s">
        <v>2680</v>
      </c>
      <c r="B44" s="44" t="s">
        <v>1263</v>
      </c>
      <c r="C44" s="25"/>
      <c r="D44" s="25"/>
      <c r="E44" s="14"/>
      <c r="F44" s="14"/>
    </row>
    <row r="45" spans="1:6" x14ac:dyDescent="0.25">
      <c r="A45" s="42" t="s">
        <v>2681</v>
      </c>
      <c r="B45" s="44" t="s">
        <v>1266</v>
      </c>
      <c r="C45" s="25"/>
      <c r="D45" s="25"/>
      <c r="E45" s="14"/>
      <c r="F45" s="14"/>
    </row>
    <row r="46" spans="1:6" ht="30" x14ac:dyDescent="0.25">
      <c r="A46" s="63" t="s">
        <v>2682</v>
      </c>
      <c r="B46" s="44" t="s">
        <v>2683</v>
      </c>
      <c r="C46" s="25"/>
      <c r="D46" s="25"/>
      <c r="E46" s="14"/>
      <c r="F46" s="14"/>
    </row>
    <row r="47" spans="1:6" ht="30" x14ac:dyDescent="0.25">
      <c r="A47" s="49" t="s">
        <v>2684</v>
      </c>
      <c r="B47" s="44" t="s">
        <v>153</v>
      </c>
      <c r="C47" s="25"/>
      <c r="D47" s="25"/>
      <c r="E47" s="14"/>
      <c r="F47" s="14"/>
    </row>
    <row r="48" spans="1:6" x14ac:dyDescent="0.25">
      <c r="A48" s="49" t="s">
        <v>2685</v>
      </c>
      <c r="B48" s="44" t="s">
        <v>920</v>
      </c>
      <c r="C48" s="25"/>
      <c r="D48" s="25"/>
      <c r="E48" s="14"/>
      <c r="F48" s="14"/>
    </row>
    <row r="49" spans="1:6" x14ac:dyDescent="0.25">
      <c r="A49" s="49" t="s">
        <v>2686</v>
      </c>
      <c r="B49" s="44" t="s">
        <v>923</v>
      </c>
      <c r="C49" s="25"/>
      <c r="D49" s="25"/>
      <c r="E49" s="14"/>
      <c r="F49" s="14"/>
    </row>
    <row r="50" spans="1:6" x14ac:dyDescent="0.25">
      <c r="A50" s="49" t="s">
        <v>2687</v>
      </c>
      <c r="B50" s="44" t="s">
        <v>2688</v>
      </c>
      <c r="C50" s="25"/>
      <c r="D50" s="25"/>
      <c r="E50" s="14"/>
      <c r="F50" s="14"/>
    </row>
    <row r="51" spans="1:6" x14ac:dyDescent="0.25">
      <c r="A51" s="48" t="s">
        <v>2689</v>
      </c>
      <c r="B51" s="44" t="s">
        <v>914</v>
      </c>
      <c r="C51" s="25"/>
      <c r="D51" s="25"/>
      <c r="E51" s="14"/>
      <c r="F51" s="14"/>
    </row>
    <row r="52" spans="1:6" x14ac:dyDescent="0.25">
      <c r="A52" s="48" t="s">
        <v>2690</v>
      </c>
      <c r="B52" s="44" t="s">
        <v>917</v>
      </c>
      <c r="C52" s="25"/>
      <c r="D52" s="25"/>
      <c r="E52" s="25"/>
      <c r="F52" s="25"/>
    </row>
    <row r="53" spans="1:6" x14ac:dyDescent="0.25">
      <c r="A53" s="48" t="s">
        <v>2691</v>
      </c>
      <c r="B53" s="44" t="s">
        <v>926</v>
      </c>
      <c r="C53" s="25"/>
      <c r="D53" s="25"/>
      <c r="E53" s="25"/>
      <c r="F53" s="25"/>
    </row>
    <row r="54" spans="1:6" x14ac:dyDescent="0.25">
      <c r="A54" s="48" t="s">
        <v>2692</v>
      </c>
      <c r="B54" s="44" t="s">
        <v>929</v>
      </c>
      <c r="C54" s="25"/>
      <c r="D54" s="25"/>
      <c r="E54" s="25"/>
      <c r="F54" s="25"/>
    </row>
    <row r="55" spans="1:6" x14ac:dyDescent="0.25">
      <c r="A55" s="48" t="s">
        <v>2693</v>
      </c>
      <c r="B55" s="44" t="s">
        <v>2694</v>
      </c>
      <c r="C55" s="25"/>
      <c r="D55" s="25"/>
      <c r="E55" s="25"/>
      <c r="F55" s="25"/>
    </row>
    <row r="56" spans="1:6" x14ac:dyDescent="0.25">
      <c r="A56" s="49" t="s">
        <v>2695</v>
      </c>
      <c r="B56" s="44" t="s">
        <v>1105</v>
      </c>
      <c r="C56" s="25"/>
      <c r="D56" s="25"/>
      <c r="E56" s="25"/>
      <c r="F56" s="25"/>
    </row>
    <row r="57" spans="1:6" x14ac:dyDescent="0.25">
      <c r="A57" s="48" t="s">
        <v>2696</v>
      </c>
      <c r="B57" s="44" t="s">
        <v>2697</v>
      </c>
      <c r="C57" s="25"/>
      <c r="D57" s="25"/>
      <c r="E57" s="25"/>
      <c r="F57" s="25"/>
    </row>
    <row r="58" spans="1:6" x14ac:dyDescent="0.25">
      <c r="A58" s="48" t="s">
        <v>2698</v>
      </c>
      <c r="B58" s="44" t="s">
        <v>2699</v>
      </c>
      <c r="C58" s="25"/>
      <c r="D58" s="25"/>
      <c r="E58" s="25"/>
      <c r="F58" s="25"/>
    </row>
    <row r="59" spans="1:6" x14ac:dyDescent="0.25">
      <c r="A59" s="48" t="s">
        <v>2700</v>
      </c>
      <c r="B59" s="44" t="s">
        <v>2701</v>
      </c>
      <c r="C59" s="25"/>
      <c r="D59" s="25"/>
      <c r="E59" s="25"/>
      <c r="F59" s="25"/>
    </row>
    <row r="60" spans="1:6" x14ac:dyDescent="0.25">
      <c r="A60" s="25"/>
      <c r="B60" s="25"/>
      <c r="C60" s="25"/>
      <c r="D60" s="25"/>
      <c r="E60" s="25"/>
      <c r="F60" s="25"/>
    </row>
    <row r="61" spans="1:6" x14ac:dyDescent="0.25">
      <c r="A61" s="25"/>
      <c r="B61" s="25"/>
      <c r="C61" s="25"/>
      <c r="D61" s="25"/>
      <c r="E61" s="25"/>
      <c r="F61" s="25"/>
    </row>
    <row r="62" spans="1:6" x14ac:dyDescent="0.25">
      <c r="A62" s="25"/>
      <c r="B62" s="25"/>
      <c r="C62" s="25"/>
      <c r="D62" s="25"/>
      <c r="E62" s="25"/>
      <c r="F62" s="25"/>
    </row>
    <row r="63" spans="1:6" x14ac:dyDescent="0.25">
      <c r="A63" s="25"/>
      <c r="B63" s="25"/>
      <c r="C63" s="25"/>
      <c r="D63" s="25"/>
      <c r="E63" s="25"/>
      <c r="F63" s="25"/>
    </row>
    <row r="64" spans="1:6" x14ac:dyDescent="0.25">
      <c r="A64" s="25"/>
      <c r="B64" s="25"/>
      <c r="C64" s="25"/>
      <c r="D64" s="25"/>
      <c r="E64" s="25"/>
      <c r="F64" s="25"/>
    </row>
    <row r="65" spans="1:6" x14ac:dyDescent="0.25">
      <c r="A65" s="25"/>
      <c r="B65" s="25"/>
      <c r="C65" s="25"/>
      <c r="D65" s="25"/>
      <c r="E65" s="25"/>
      <c r="F65" s="25"/>
    </row>
    <row r="66" spans="1:6" x14ac:dyDescent="0.25">
      <c r="A66" s="25"/>
      <c r="B66" s="25"/>
      <c r="C66" s="25"/>
      <c r="D66" s="25"/>
      <c r="E66" s="25"/>
      <c r="F66" s="25"/>
    </row>
    <row r="67" spans="1:6" x14ac:dyDescent="0.25">
      <c r="A67" s="25"/>
      <c r="B67" s="25"/>
      <c r="C67" s="25"/>
      <c r="D67" s="25"/>
      <c r="E67" s="25"/>
      <c r="F67" s="25"/>
    </row>
    <row r="68" spans="1:6" x14ac:dyDescent="0.25">
      <c r="A68" s="25"/>
      <c r="B68" s="25"/>
      <c r="C68" s="25"/>
      <c r="D68" s="25"/>
      <c r="E68" s="25"/>
      <c r="F68" s="25"/>
    </row>
    <row r="69" spans="1:6" x14ac:dyDescent="0.25">
      <c r="A69" s="25"/>
      <c r="B69" s="25"/>
      <c r="C69" s="25"/>
      <c r="D69" s="25"/>
      <c r="E69" s="25"/>
      <c r="F69" s="25"/>
    </row>
    <row r="70" spans="1:6" x14ac:dyDescent="0.25">
      <c r="A70" s="25"/>
      <c r="B70" s="25"/>
      <c r="C70" s="25"/>
      <c r="D70" s="25"/>
      <c r="E70" s="25"/>
      <c r="F70" s="25"/>
    </row>
    <row r="71" spans="1:6" x14ac:dyDescent="0.25">
      <c r="A71" s="25"/>
      <c r="B71" s="25"/>
      <c r="C71" s="25"/>
      <c r="D71" s="25"/>
      <c r="E71" s="25"/>
      <c r="F71" s="25"/>
    </row>
    <row r="72" spans="1:6" x14ac:dyDescent="0.25">
      <c r="A72" s="25"/>
      <c r="B72" s="25"/>
      <c r="C72" s="25"/>
      <c r="D72" s="25"/>
      <c r="E72" s="25"/>
      <c r="F72" s="25"/>
    </row>
    <row r="73" spans="1:6" x14ac:dyDescent="0.25">
      <c r="A73" s="25"/>
      <c r="B73" s="25"/>
      <c r="C73" s="25"/>
      <c r="D73" s="25"/>
      <c r="E73" s="25"/>
      <c r="F73" s="25"/>
    </row>
    <row r="74" spans="1:6" x14ac:dyDescent="0.25">
      <c r="A74" s="25"/>
      <c r="B74" s="25"/>
      <c r="C74" s="25"/>
      <c r="D74" s="25"/>
      <c r="E74" s="25"/>
      <c r="F74" s="25"/>
    </row>
    <row r="75" spans="1:6" x14ac:dyDescent="0.25">
      <c r="A75" s="25"/>
      <c r="B75" s="25"/>
      <c r="C75" s="25"/>
      <c r="D75" s="25"/>
      <c r="E75" s="25"/>
      <c r="F75" s="25"/>
    </row>
    <row r="76" spans="1:6" x14ac:dyDescent="0.25">
      <c r="A76" s="25"/>
      <c r="B76" s="25"/>
      <c r="C76" s="25"/>
      <c r="D76" s="25"/>
      <c r="E76" s="25"/>
      <c r="F76" s="25"/>
    </row>
    <row r="77" spans="1:6" x14ac:dyDescent="0.25">
      <c r="A77" s="25"/>
      <c r="B77" s="25"/>
      <c r="C77" s="25"/>
      <c r="D77" s="25"/>
      <c r="E77" s="25"/>
      <c r="F77" s="25"/>
    </row>
    <row r="78" spans="1:6" x14ac:dyDescent="0.25">
      <c r="A78" s="25"/>
      <c r="B78" s="25"/>
      <c r="C78" s="25"/>
      <c r="D78" s="25"/>
      <c r="E78" s="25"/>
      <c r="F78" s="25"/>
    </row>
    <row r="79" spans="1:6" x14ac:dyDescent="0.25">
      <c r="A79" s="25"/>
      <c r="B79" s="25"/>
      <c r="C79" s="25"/>
      <c r="D79" s="25"/>
      <c r="E79" s="25"/>
      <c r="F79" s="25"/>
    </row>
    <row r="80" spans="1:6" x14ac:dyDescent="0.25">
      <c r="A80" s="25"/>
      <c r="B80" s="25"/>
      <c r="C80" s="25"/>
      <c r="D80" s="25"/>
      <c r="E80" s="25"/>
      <c r="F80" s="25"/>
    </row>
    <row r="81" spans="1:6" x14ac:dyDescent="0.25">
      <c r="A81" s="25"/>
      <c r="B81" s="25"/>
      <c r="C81" s="25"/>
      <c r="D81" s="25"/>
      <c r="E81" s="25"/>
      <c r="F81" s="25"/>
    </row>
    <row r="82" spans="1:6" x14ac:dyDescent="0.25">
      <c r="A82" s="25"/>
      <c r="B82" s="25"/>
      <c r="C82" s="25"/>
      <c r="D82" s="25"/>
      <c r="E82" s="25"/>
      <c r="F82" s="25"/>
    </row>
    <row r="83" spans="1:6" x14ac:dyDescent="0.25">
      <c r="A83" s="25"/>
      <c r="B83" s="25"/>
      <c r="C83" s="25"/>
      <c r="D83" s="25"/>
      <c r="E83" s="25"/>
      <c r="F83" s="25"/>
    </row>
    <row r="84" spans="1:6" x14ac:dyDescent="0.25">
      <c r="A84" s="25"/>
      <c r="B84" s="25"/>
      <c r="C84" s="25"/>
      <c r="D84" s="25"/>
      <c r="E84" s="25"/>
      <c r="F84" s="25"/>
    </row>
    <row r="85" spans="1:6" x14ac:dyDescent="0.25">
      <c r="A85" s="25"/>
      <c r="B85" s="25"/>
      <c r="C85" s="25"/>
      <c r="D85" s="25"/>
      <c r="E85" s="25"/>
      <c r="F85" s="25"/>
    </row>
    <row r="86" spans="1:6" x14ac:dyDescent="0.25">
      <c r="A86" s="25"/>
      <c r="B86" s="25"/>
      <c r="C86" s="25"/>
      <c r="D86" s="25"/>
      <c r="E86" s="25"/>
      <c r="F86" s="25"/>
    </row>
    <row r="87" spans="1:6" x14ac:dyDescent="0.25">
      <c r="A87" s="25"/>
      <c r="B87" s="25"/>
      <c r="C87" s="25"/>
      <c r="D87" s="25"/>
      <c r="E87" s="25"/>
      <c r="F87" s="25"/>
    </row>
    <row r="88" spans="1:6" x14ac:dyDescent="0.25">
      <c r="A88" s="25"/>
      <c r="B88" s="25"/>
      <c r="C88" s="25"/>
      <c r="D88" s="25"/>
      <c r="E88" s="25"/>
      <c r="F88" s="25"/>
    </row>
    <row r="89" spans="1:6" x14ac:dyDescent="0.25">
      <c r="A89" s="25"/>
      <c r="B89" s="25"/>
      <c r="C89" s="25"/>
      <c r="D89" s="25"/>
      <c r="E89" s="25"/>
      <c r="F89" s="25"/>
    </row>
    <row r="90" spans="1:6" x14ac:dyDescent="0.25">
      <c r="A90" s="25"/>
      <c r="B90" s="25"/>
      <c r="C90" s="25"/>
      <c r="D90" s="25"/>
      <c r="E90" s="25"/>
      <c r="F90" s="25"/>
    </row>
    <row r="91" spans="1:6" x14ac:dyDescent="0.25">
      <c r="A91" s="25"/>
      <c r="B91" s="25"/>
      <c r="C91" s="25"/>
      <c r="D91" s="25"/>
      <c r="E91" s="25"/>
      <c r="F91" s="25"/>
    </row>
    <row r="92" spans="1:6" x14ac:dyDescent="0.25">
      <c r="A92" s="25"/>
      <c r="B92" s="25"/>
      <c r="C92" s="25"/>
      <c r="D92" s="25"/>
      <c r="E92" s="25"/>
      <c r="F92" s="25"/>
    </row>
    <row r="93" spans="1:6" x14ac:dyDescent="0.25">
      <c r="A93" s="25"/>
      <c r="B93" s="25"/>
      <c r="C93" s="25"/>
      <c r="D93" s="25"/>
      <c r="E93" s="25"/>
      <c r="F93" s="25"/>
    </row>
    <row r="94" spans="1:6" x14ac:dyDescent="0.25">
      <c r="A94" s="25"/>
      <c r="B94" s="25"/>
      <c r="C94" s="25"/>
      <c r="D94" s="25"/>
      <c r="E94" s="25"/>
      <c r="F94" s="25"/>
    </row>
    <row r="95" spans="1:6" x14ac:dyDescent="0.25">
      <c r="A95" s="25"/>
      <c r="B95" s="25"/>
      <c r="C95" s="25"/>
      <c r="D95" s="25"/>
      <c r="E95" s="25"/>
      <c r="F95" s="25"/>
    </row>
    <row r="96" spans="1:6" x14ac:dyDescent="0.25">
      <c r="A96" s="25"/>
      <c r="B96" s="25"/>
      <c r="C96" s="25"/>
      <c r="D96" s="25"/>
      <c r="E96" s="25"/>
      <c r="F96" s="25"/>
    </row>
    <row r="97" spans="1:6" x14ac:dyDescent="0.25">
      <c r="A97" s="25"/>
      <c r="B97" s="25"/>
      <c r="C97" s="25"/>
      <c r="D97" s="25"/>
      <c r="E97" s="25"/>
      <c r="F97" s="25"/>
    </row>
    <row r="98" spans="1:6" x14ac:dyDescent="0.25">
      <c r="A98" s="25"/>
      <c r="B98" s="25"/>
      <c r="C98" s="25"/>
      <c r="D98" s="25"/>
      <c r="E98" s="25"/>
      <c r="F98" s="25"/>
    </row>
    <row r="99" spans="1:6" x14ac:dyDescent="0.25">
      <c r="A99" s="25"/>
      <c r="B99" s="25"/>
      <c r="C99" s="25"/>
      <c r="D99" s="25"/>
      <c r="E99" s="25"/>
      <c r="F99" s="25"/>
    </row>
    <row r="100" spans="1:6" x14ac:dyDescent="0.25">
      <c r="A100" s="25"/>
      <c r="B100" s="25"/>
      <c r="C100" s="25"/>
      <c r="D100" s="25"/>
      <c r="E100" s="25"/>
      <c r="F100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1BFB-596C-41B9-A265-148423CF478A}">
  <dimension ref="A1:G100"/>
  <sheetViews>
    <sheetView topLeftCell="A2" zoomScale="70" zoomScaleNormal="70" workbookViewId="0">
      <selection activeCell="D4" sqref="D4"/>
    </sheetView>
  </sheetViews>
  <sheetFormatPr defaultRowHeight="15.75" x14ac:dyDescent="0.25"/>
  <cols>
    <col min="1" max="1" width="13.875" customWidth="1"/>
    <col min="2" max="2" width="53.375" customWidth="1"/>
  </cols>
  <sheetData>
    <row r="1" spans="1:7" ht="18.75" x14ac:dyDescent="0.3">
      <c r="A1" s="10" t="s">
        <v>2586</v>
      </c>
      <c r="B1" s="10" t="s">
        <v>3</v>
      </c>
      <c r="C1" s="11" t="s">
        <v>2587</v>
      </c>
      <c r="D1" s="11" t="s">
        <v>2588</v>
      </c>
      <c r="E1" s="11" t="s">
        <v>2589</v>
      </c>
      <c r="F1" s="11" t="s">
        <v>2590</v>
      </c>
      <c r="G1" s="11" t="s">
        <v>2591</v>
      </c>
    </row>
    <row r="2" spans="1:7" x14ac:dyDescent="0.25">
      <c r="A2" s="25" t="s">
        <v>1573</v>
      </c>
      <c r="B2" s="25" t="s">
        <v>1572</v>
      </c>
      <c r="C2" s="13"/>
      <c r="D2" s="13"/>
      <c r="E2" s="13"/>
      <c r="F2" s="14"/>
      <c r="G2" s="14"/>
    </row>
    <row r="3" spans="1:7" x14ac:dyDescent="0.25">
      <c r="A3" s="25" t="s">
        <v>1628</v>
      </c>
      <c r="B3" s="25" t="s">
        <v>1630</v>
      </c>
      <c r="C3" s="13"/>
      <c r="D3" s="13"/>
      <c r="E3" s="13"/>
      <c r="F3" s="14"/>
      <c r="G3" s="14"/>
    </row>
    <row r="4" spans="1:7" x14ac:dyDescent="0.25">
      <c r="A4" s="25" t="s">
        <v>2702</v>
      </c>
      <c r="B4" s="25" t="s">
        <v>2703</v>
      </c>
      <c r="C4" s="13"/>
      <c r="D4" s="13"/>
      <c r="E4" s="13"/>
      <c r="F4" s="14"/>
      <c r="G4" s="14"/>
    </row>
    <row r="5" spans="1:7" x14ac:dyDescent="0.25">
      <c r="A5" s="25" t="s">
        <v>2704</v>
      </c>
      <c r="B5" s="25" t="s">
        <v>2705</v>
      </c>
      <c r="C5" s="13"/>
      <c r="D5" s="13"/>
      <c r="E5" s="13"/>
      <c r="F5" s="14"/>
      <c r="G5" s="14"/>
    </row>
    <row r="6" spans="1:7" x14ac:dyDescent="0.25">
      <c r="A6" s="25" t="s">
        <v>2706</v>
      </c>
      <c r="B6" s="25" t="s">
        <v>2707</v>
      </c>
      <c r="C6" s="13"/>
      <c r="D6" s="13"/>
      <c r="E6" s="13"/>
      <c r="F6" s="14"/>
      <c r="G6" s="14"/>
    </row>
    <row r="7" spans="1:7" x14ac:dyDescent="0.25">
      <c r="A7" s="12" t="s">
        <v>2708</v>
      </c>
      <c r="B7" s="12" t="s">
        <v>1621</v>
      </c>
      <c r="C7" s="13">
        <v>44</v>
      </c>
      <c r="D7" s="13"/>
      <c r="E7" s="13"/>
      <c r="F7" s="14"/>
      <c r="G7" s="14"/>
    </row>
    <row r="8" spans="1:7" x14ac:dyDescent="0.25">
      <c r="A8" s="12" t="s">
        <v>2709</v>
      </c>
      <c r="B8" s="12" t="s">
        <v>1739</v>
      </c>
      <c r="C8" s="13">
        <v>185</v>
      </c>
      <c r="D8" s="13"/>
      <c r="E8" s="13"/>
      <c r="F8" s="14"/>
      <c r="G8" s="14"/>
    </row>
    <row r="9" spans="1:7" x14ac:dyDescent="0.25">
      <c r="A9" s="12" t="s">
        <v>2710</v>
      </c>
      <c r="B9" s="12" t="s">
        <v>1659</v>
      </c>
      <c r="C9" s="13">
        <v>29</v>
      </c>
      <c r="D9" s="13"/>
      <c r="E9" s="13"/>
      <c r="F9" s="15"/>
      <c r="G9" s="15"/>
    </row>
    <row r="10" spans="1:7" x14ac:dyDescent="0.25">
      <c r="A10" s="12" t="s">
        <v>2711</v>
      </c>
      <c r="B10" s="12" t="s">
        <v>1569</v>
      </c>
      <c r="C10" s="13">
        <v>68</v>
      </c>
      <c r="D10" s="13"/>
      <c r="E10" s="13"/>
      <c r="F10" s="16"/>
      <c r="G10" s="16"/>
    </row>
    <row r="11" spans="1:7" x14ac:dyDescent="0.25">
      <c r="A11" s="12" t="s">
        <v>2712</v>
      </c>
      <c r="B11" s="12" t="s">
        <v>1627</v>
      </c>
      <c r="C11" s="13">
        <v>28</v>
      </c>
      <c r="D11" s="13"/>
      <c r="E11" s="13"/>
      <c r="F11" s="14"/>
      <c r="G11" s="14"/>
    </row>
    <row r="12" spans="1:7" x14ac:dyDescent="0.25">
      <c r="A12" s="26" t="s">
        <v>2713</v>
      </c>
      <c r="B12" s="26" t="s">
        <v>1653</v>
      </c>
      <c r="C12" s="13">
        <v>48</v>
      </c>
      <c r="D12" s="13"/>
      <c r="E12" s="13"/>
      <c r="F12" s="14"/>
      <c r="G12" s="14"/>
    </row>
    <row r="13" spans="1:7" x14ac:dyDescent="0.25">
      <c r="A13" s="26" t="s">
        <v>2714</v>
      </c>
      <c r="B13" s="26" t="s">
        <v>1603</v>
      </c>
      <c r="C13" s="13">
        <v>115</v>
      </c>
      <c r="D13" s="13"/>
      <c r="E13" s="13"/>
      <c r="F13" s="17"/>
      <c r="G13" s="17"/>
    </row>
    <row r="14" spans="1:7" x14ac:dyDescent="0.25">
      <c r="A14" s="26" t="s">
        <v>1693</v>
      </c>
      <c r="B14" s="25" t="s">
        <v>1695</v>
      </c>
      <c r="C14" s="13">
        <v>103</v>
      </c>
      <c r="D14" s="13"/>
      <c r="E14" s="13"/>
      <c r="F14" s="14"/>
      <c r="G14" s="14"/>
    </row>
    <row r="15" spans="1:7" x14ac:dyDescent="0.25">
      <c r="A15" s="26" t="s">
        <v>1723</v>
      </c>
      <c r="B15" s="25" t="s">
        <v>1725</v>
      </c>
      <c r="C15" s="13">
        <v>106</v>
      </c>
      <c r="D15" s="13"/>
      <c r="E15" s="13"/>
      <c r="F15" s="14"/>
      <c r="G15" s="14"/>
    </row>
    <row r="16" spans="1:7" x14ac:dyDescent="0.25">
      <c r="A16" s="26" t="s">
        <v>821</v>
      </c>
      <c r="B16" s="25" t="s">
        <v>823</v>
      </c>
      <c r="C16" s="13">
        <v>53</v>
      </c>
      <c r="D16" s="13"/>
      <c r="E16" s="13"/>
      <c r="F16" s="14"/>
      <c r="G16" s="14"/>
    </row>
    <row r="17" spans="1:7" x14ac:dyDescent="0.25">
      <c r="A17" s="26" t="s">
        <v>1770</v>
      </c>
      <c r="B17" s="25" t="s">
        <v>1772</v>
      </c>
      <c r="C17" s="13">
        <v>467</v>
      </c>
      <c r="D17" s="13"/>
      <c r="E17" s="13"/>
      <c r="F17" s="14"/>
      <c r="G17" s="14"/>
    </row>
    <row r="18" spans="1:7" x14ac:dyDescent="0.25">
      <c r="A18" s="26" t="s">
        <v>1782</v>
      </c>
      <c r="B18" s="25" t="s">
        <v>1784</v>
      </c>
      <c r="C18" s="13">
        <v>442</v>
      </c>
      <c r="D18" s="13"/>
      <c r="E18" s="13"/>
      <c r="F18" s="14"/>
      <c r="G18" s="14"/>
    </row>
    <row r="19" spans="1:7" x14ac:dyDescent="0.25">
      <c r="A19" s="26" t="s">
        <v>2715</v>
      </c>
      <c r="B19" s="25" t="s">
        <v>1881</v>
      </c>
      <c r="C19" s="20">
        <v>13</v>
      </c>
      <c r="D19" s="18"/>
      <c r="E19" s="18"/>
      <c r="F19" s="14"/>
      <c r="G19" s="14"/>
    </row>
    <row r="20" spans="1:7" x14ac:dyDescent="0.25">
      <c r="A20" s="12" t="s">
        <v>2716</v>
      </c>
      <c r="B20" s="25" t="s">
        <v>1884</v>
      </c>
      <c r="C20" s="20">
        <v>435</v>
      </c>
      <c r="D20" s="18"/>
      <c r="E20" s="18"/>
      <c r="F20" s="14"/>
      <c r="G20" s="14"/>
    </row>
    <row r="21" spans="1:7" x14ac:dyDescent="0.25">
      <c r="A21" s="12" t="s">
        <v>1823</v>
      </c>
      <c r="B21" s="25" t="s">
        <v>1825</v>
      </c>
      <c r="C21" s="20">
        <v>379</v>
      </c>
      <c r="D21" s="18"/>
      <c r="E21" s="18"/>
      <c r="F21" s="14"/>
      <c r="G21" s="14"/>
    </row>
    <row r="22" spans="1:7" x14ac:dyDescent="0.25">
      <c r="A22" s="18" t="s">
        <v>803</v>
      </c>
      <c r="B22" s="25" t="s">
        <v>805</v>
      </c>
      <c r="C22" s="20">
        <v>15</v>
      </c>
      <c r="D22" s="18"/>
      <c r="E22" s="18"/>
      <c r="F22" s="14"/>
      <c r="G22" s="14"/>
    </row>
    <row r="23" spans="1:7" x14ac:dyDescent="0.25">
      <c r="A23" s="18" t="s">
        <v>869</v>
      </c>
      <c r="B23" s="25" t="s">
        <v>871</v>
      </c>
      <c r="C23" s="20">
        <v>250</v>
      </c>
      <c r="D23" s="18"/>
      <c r="E23" s="18"/>
      <c r="F23" s="14"/>
      <c r="G23" s="14"/>
    </row>
    <row r="24" spans="1:7" x14ac:dyDescent="0.25">
      <c r="A24" s="20" t="s">
        <v>1094</v>
      </c>
      <c r="B24" s="25" t="s">
        <v>1096</v>
      </c>
      <c r="C24" s="20">
        <v>122</v>
      </c>
      <c r="D24" s="18"/>
      <c r="E24" s="18"/>
      <c r="F24" s="14"/>
      <c r="G24" s="14"/>
    </row>
    <row r="25" spans="1:7" x14ac:dyDescent="0.25">
      <c r="A25" s="20" t="s">
        <v>2717</v>
      </c>
      <c r="B25" s="26" t="s">
        <v>2718</v>
      </c>
      <c r="C25" s="20"/>
      <c r="D25" s="18"/>
      <c r="E25" s="18"/>
      <c r="F25" s="14"/>
      <c r="G25" s="14"/>
    </row>
    <row r="26" spans="1:7" x14ac:dyDescent="0.25">
      <c r="A26" s="20" t="s">
        <v>2719</v>
      </c>
      <c r="B26" s="25" t="s">
        <v>2720</v>
      </c>
      <c r="C26" s="20"/>
      <c r="D26" s="18"/>
      <c r="E26" s="18"/>
      <c r="F26" s="14"/>
      <c r="G26" s="14"/>
    </row>
    <row r="27" spans="1:7" x14ac:dyDescent="0.25">
      <c r="A27" s="20" t="s">
        <v>243</v>
      </c>
      <c r="B27" s="51" t="s">
        <v>2721</v>
      </c>
      <c r="C27" s="20"/>
      <c r="D27" s="18"/>
      <c r="E27" s="18"/>
      <c r="F27" s="14"/>
      <c r="G27" s="14"/>
    </row>
    <row r="28" spans="1:7" x14ac:dyDescent="0.25">
      <c r="A28" s="37" t="s">
        <v>1555</v>
      </c>
      <c r="B28" t="s">
        <v>1557</v>
      </c>
      <c r="C28" s="20">
        <v>12</v>
      </c>
      <c r="D28" s="18"/>
      <c r="E28" s="18"/>
      <c r="F28" s="14"/>
      <c r="G28" s="14"/>
    </row>
    <row r="29" spans="1:7" x14ac:dyDescent="0.25">
      <c r="A29" s="20" t="s">
        <v>246</v>
      </c>
      <c r="B29" s="20" t="s">
        <v>248</v>
      </c>
      <c r="C29" s="20">
        <v>121</v>
      </c>
      <c r="D29" s="18"/>
      <c r="E29" s="18"/>
      <c r="F29" s="14"/>
      <c r="G29" s="14"/>
    </row>
    <row r="30" spans="1:7" x14ac:dyDescent="0.25">
      <c r="A30" s="25" t="s">
        <v>391</v>
      </c>
      <c r="B30" s="25" t="s">
        <v>393</v>
      </c>
      <c r="C30" s="20">
        <v>135</v>
      </c>
      <c r="D30" s="18"/>
      <c r="E30" s="18"/>
      <c r="F30" s="14"/>
      <c r="G30" s="14"/>
    </row>
    <row r="31" spans="1:7" x14ac:dyDescent="0.25">
      <c r="A31" s="20" t="s">
        <v>394</v>
      </c>
      <c r="B31" s="26" t="s">
        <v>396</v>
      </c>
      <c r="C31" s="20">
        <v>39</v>
      </c>
      <c r="D31" s="18"/>
      <c r="E31" s="18"/>
      <c r="F31" s="14"/>
      <c r="G31" s="14"/>
    </row>
    <row r="32" spans="1:7" x14ac:dyDescent="0.25">
      <c r="A32" s="20" t="s">
        <v>1455</v>
      </c>
      <c r="B32" s="26" t="s">
        <v>1457</v>
      </c>
      <c r="C32" s="20">
        <v>103</v>
      </c>
      <c r="D32" s="18"/>
      <c r="E32" s="18"/>
      <c r="F32" s="14"/>
      <c r="G32" s="14"/>
    </row>
    <row r="33" spans="1:7" x14ac:dyDescent="0.25">
      <c r="A33" s="20" t="s">
        <v>2722</v>
      </c>
      <c r="B33" s="26" t="s">
        <v>1460</v>
      </c>
      <c r="C33" s="20">
        <v>17</v>
      </c>
      <c r="D33" s="18"/>
      <c r="E33" s="18"/>
      <c r="F33" s="14"/>
      <c r="G33" s="14"/>
    </row>
    <row r="34" spans="1:7" x14ac:dyDescent="0.25">
      <c r="A34" s="20" t="s">
        <v>2723</v>
      </c>
      <c r="B34" s="26" t="s">
        <v>1463</v>
      </c>
      <c r="C34" s="20">
        <v>127</v>
      </c>
      <c r="D34" s="18"/>
      <c r="E34" s="18"/>
      <c r="F34" s="14"/>
      <c r="G34" s="14"/>
    </row>
    <row r="35" spans="1:7" x14ac:dyDescent="0.25">
      <c r="A35" s="20" t="s">
        <v>2724</v>
      </c>
      <c r="B35" s="26" t="s">
        <v>1466</v>
      </c>
      <c r="C35" s="20">
        <v>253</v>
      </c>
      <c r="D35" s="18"/>
      <c r="E35" s="18"/>
      <c r="F35" s="14"/>
      <c r="G35" s="14"/>
    </row>
    <row r="36" spans="1:7" x14ac:dyDescent="0.25">
      <c r="A36" s="20" t="s">
        <v>1470</v>
      </c>
      <c r="B36" s="26" t="s">
        <v>1472</v>
      </c>
      <c r="C36" s="20">
        <v>278</v>
      </c>
      <c r="D36" s="18"/>
      <c r="E36" s="18"/>
      <c r="F36" s="14"/>
      <c r="G36" s="14"/>
    </row>
    <row r="37" spans="1:7" x14ac:dyDescent="0.25">
      <c r="A37" s="20" t="s">
        <v>1473</v>
      </c>
      <c r="B37" s="26" t="s">
        <v>1475</v>
      </c>
      <c r="C37" s="20">
        <v>62</v>
      </c>
      <c r="D37" s="18"/>
      <c r="E37" s="18"/>
      <c r="F37" s="14"/>
      <c r="G37" s="14"/>
    </row>
    <row r="38" spans="1:7" x14ac:dyDescent="0.25">
      <c r="A38" s="20" t="s">
        <v>2725</v>
      </c>
      <c r="B38" s="50" t="s">
        <v>2726</v>
      </c>
      <c r="C38" s="20"/>
      <c r="D38" s="18"/>
      <c r="E38" s="18"/>
      <c r="F38" s="14"/>
      <c r="G38" s="14"/>
    </row>
    <row r="39" spans="1:7" x14ac:dyDescent="0.25">
      <c r="A39" s="20"/>
      <c r="B39" s="50" t="s">
        <v>2064</v>
      </c>
      <c r="C39" s="20"/>
      <c r="D39" s="18"/>
      <c r="E39" s="18"/>
      <c r="F39" s="14"/>
      <c r="G39" s="14"/>
    </row>
    <row r="40" spans="1:7" x14ac:dyDescent="0.25">
      <c r="A40" s="20"/>
      <c r="B40" s="50" t="s">
        <v>1996</v>
      </c>
      <c r="C40" s="20"/>
      <c r="D40" s="18"/>
      <c r="E40" s="18"/>
      <c r="F40" s="14"/>
      <c r="G40" s="14"/>
    </row>
    <row r="41" spans="1:7" x14ac:dyDescent="0.25">
      <c r="B41" s="25"/>
      <c r="C41" s="20"/>
      <c r="D41" s="18"/>
      <c r="E41" s="18"/>
      <c r="F41" s="14"/>
      <c r="G41" s="14"/>
    </row>
    <row r="42" spans="1:7" x14ac:dyDescent="0.25">
      <c r="A42" s="20"/>
      <c r="B42" s="20"/>
      <c r="C42" s="20"/>
      <c r="D42" s="18"/>
      <c r="E42" s="18"/>
      <c r="F42" s="14"/>
      <c r="G42" s="14"/>
    </row>
    <row r="43" spans="1:7" x14ac:dyDescent="0.25">
      <c r="A43" s="24"/>
      <c r="B43" s="22"/>
      <c r="C43" s="20"/>
      <c r="D43" s="18"/>
      <c r="E43" s="18"/>
      <c r="F43" s="14"/>
      <c r="G43" s="14"/>
    </row>
    <row r="44" spans="1:7" x14ac:dyDescent="0.25">
      <c r="A44" s="24"/>
      <c r="B44" s="20"/>
      <c r="C44" s="20"/>
      <c r="D44" s="18"/>
      <c r="E44" s="18"/>
      <c r="F44" s="14"/>
      <c r="G44" s="14"/>
    </row>
    <row r="45" spans="1:7" x14ac:dyDescent="0.25">
      <c r="A45" s="24"/>
      <c r="B45" s="20"/>
      <c r="C45" s="20"/>
      <c r="D45" s="18"/>
      <c r="E45" s="18"/>
      <c r="F45" s="14"/>
      <c r="G45" s="14"/>
    </row>
    <row r="46" spans="1:7" x14ac:dyDescent="0.25">
      <c r="A46" s="24"/>
      <c r="B46" s="20"/>
      <c r="C46" s="20"/>
      <c r="D46" s="18"/>
      <c r="E46" s="18"/>
      <c r="F46" s="14"/>
      <c r="G46" s="14"/>
    </row>
    <row r="47" spans="1:7" x14ac:dyDescent="0.25">
      <c r="A47" s="18"/>
      <c r="B47" s="20"/>
      <c r="C47" s="20"/>
      <c r="D47" s="18"/>
      <c r="E47" s="18"/>
      <c r="F47" s="14"/>
      <c r="G47" s="14"/>
    </row>
    <row r="48" spans="1:7" x14ac:dyDescent="0.25">
      <c r="A48" s="18"/>
      <c r="B48" s="18"/>
      <c r="C48" s="20"/>
      <c r="D48" s="18"/>
      <c r="E48" s="18"/>
      <c r="F48" s="14"/>
      <c r="G48" s="14"/>
    </row>
    <row r="49" spans="1:7" x14ac:dyDescent="0.25">
      <c r="A49" s="18"/>
      <c r="B49" s="18"/>
      <c r="C49" s="20"/>
      <c r="D49" s="18"/>
      <c r="E49" s="18"/>
      <c r="F49" s="14"/>
      <c r="G49" s="14"/>
    </row>
    <row r="50" spans="1:7" x14ac:dyDescent="0.25">
      <c r="A50" s="18"/>
      <c r="B50" s="18"/>
      <c r="C50" s="20"/>
      <c r="D50" s="18"/>
      <c r="E50" s="18"/>
      <c r="F50" s="14"/>
      <c r="G50" s="14"/>
    </row>
    <row r="51" spans="1:7" x14ac:dyDescent="0.25">
      <c r="A51" s="18"/>
      <c r="B51" s="18"/>
      <c r="C51" s="20"/>
      <c r="D51" s="18"/>
      <c r="E51" s="18"/>
      <c r="F51" s="14"/>
      <c r="G51" s="14"/>
    </row>
    <row r="52" spans="1:7" x14ac:dyDescent="0.25">
      <c r="A52" s="18"/>
      <c r="B52" s="18"/>
      <c r="C52" s="20"/>
      <c r="D52" s="18"/>
      <c r="E52" s="18"/>
      <c r="F52" s="25"/>
      <c r="G52" s="25"/>
    </row>
    <row r="53" spans="1:7" x14ac:dyDescent="0.25">
      <c r="A53" s="18"/>
      <c r="B53" s="18"/>
      <c r="C53" s="20"/>
      <c r="D53" s="18"/>
      <c r="E53" s="18"/>
      <c r="F53" s="25"/>
      <c r="G53" s="25"/>
    </row>
    <row r="54" spans="1:7" x14ac:dyDescent="0.25">
      <c r="A54" s="18"/>
      <c r="B54" s="18"/>
      <c r="C54" s="20"/>
      <c r="D54" s="18"/>
      <c r="E54" s="18"/>
      <c r="F54" s="25"/>
      <c r="G54" s="25"/>
    </row>
    <row r="55" spans="1:7" x14ac:dyDescent="0.25">
      <c r="A55" s="18"/>
      <c r="B55" s="18"/>
      <c r="C55" s="20"/>
      <c r="D55" s="18"/>
      <c r="E55" s="18"/>
      <c r="F55" s="25"/>
      <c r="G55" s="25"/>
    </row>
    <row r="56" spans="1:7" x14ac:dyDescent="0.25">
      <c r="A56" s="18"/>
      <c r="B56" s="18"/>
      <c r="C56" s="20"/>
      <c r="D56" s="18"/>
      <c r="E56" s="18"/>
      <c r="F56" s="25"/>
      <c r="G56" s="25"/>
    </row>
    <row r="57" spans="1:7" x14ac:dyDescent="0.25">
      <c r="A57" s="18"/>
      <c r="B57" s="18"/>
      <c r="C57" s="20"/>
      <c r="D57" s="18"/>
      <c r="E57" s="18"/>
      <c r="F57" s="25"/>
      <c r="G57" s="25"/>
    </row>
    <row r="58" spans="1:7" x14ac:dyDescent="0.25">
      <c r="A58" s="18"/>
      <c r="B58" s="18"/>
      <c r="C58" s="20"/>
      <c r="D58" s="18"/>
      <c r="E58" s="18"/>
      <c r="F58" s="25"/>
      <c r="G58" s="25"/>
    </row>
    <row r="59" spans="1:7" x14ac:dyDescent="0.25">
      <c r="A59" s="18"/>
      <c r="B59" s="18"/>
      <c r="C59" s="20"/>
      <c r="D59" s="18"/>
      <c r="E59" s="18"/>
      <c r="F59" s="25"/>
      <c r="G59" s="25"/>
    </row>
    <row r="60" spans="1:7" x14ac:dyDescent="0.25">
      <c r="A60" s="18"/>
      <c r="B60" s="18"/>
      <c r="C60" s="20"/>
      <c r="D60" s="18"/>
      <c r="E60" s="18"/>
      <c r="F60" s="25"/>
      <c r="G60" s="25"/>
    </row>
    <row r="61" spans="1:7" x14ac:dyDescent="0.25">
      <c r="A61" s="18"/>
      <c r="B61" s="18"/>
      <c r="C61" s="20"/>
      <c r="D61" s="18"/>
      <c r="E61" s="18"/>
      <c r="F61" s="25"/>
      <c r="G61" s="25"/>
    </row>
    <row r="62" spans="1:7" x14ac:dyDescent="0.25">
      <c r="A62" s="18"/>
      <c r="B62" s="18"/>
      <c r="C62" s="20"/>
      <c r="D62" s="18"/>
      <c r="E62" s="18"/>
      <c r="F62" s="25"/>
      <c r="G62" s="25"/>
    </row>
    <row r="63" spans="1:7" x14ac:dyDescent="0.25">
      <c r="A63" s="18"/>
      <c r="B63" s="18"/>
      <c r="C63" s="20"/>
      <c r="D63" s="18"/>
      <c r="E63" s="18"/>
      <c r="F63" s="25"/>
      <c r="G63" s="25"/>
    </row>
    <row r="64" spans="1:7" x14ac:dyDescent="0.25">
      <c r="A64" s="18"/>
      <c r="B64" s="18"/>
      <c r="C64" s="20"/>
      <c r="D64" s="18"/>
      <c r="E64" s="18"/>
      <c r="F64" s="25"/>
      <c r="G64" s="25"/>
    </row>
    <row r="65" spans="1:7" x14ac:dyDescent="0.25">
      <c r="A65" s="18"/>
      <c r="B65" s="18"/>
      <c r="C65" s="20"/>
      <c r="D65" s="18"/>
      <c r="E65" s="18"/>
      <c r="F65" s="25"/>
      <c r="G65" s="25"/>
    </row>
    <row r="66" spans="1:7" x14ac:dyDescent="0.25">
      <c r="A66" s="18"/>
      <c r="B66" s="18"/>
      <c r="C66" s="20"/>
      <c r="D66" s="18"/>
      <c r="E66" s="18"/>
      <c r="F66" s="25"/>
      <c r="G66" s="25"/>
    </row>
    <row r="67" spans="1:7" x14ac:dyDescent="0.25">
      <c r="A67" s="18"/>
      <c r="B67" s="18"/>
      <c r="C67" s="20"/>
      <c r="D67" s="18"/>
      <c r="E67" s="18"/>
      <c r="F67" s="25"/>
      <c r="G67" s="25"/>
    </row>
    <row r="68" spans="1:7" x14ac:dyDescent="0.25">
      <c r="A68" s="18"/>
      <c r="B68" s="18"/>
      <c r="C68" s="20"/>
      <c r="D68" s="18"/>
      <c r="E68" s="18"/>
      <c r="F68" s="25"/>
      <c r="G68" s="25"/>
    </row>
    <row r="69" spans="1:7" x14ac:dyDescent="0.25">
      <c r="A69" s="18"/>
      <c r="B69" s="18"/>
      <c r="C69" s="20"/>
      <c r="D69" s="18"/>
      <c r="E69" s="18"/>
      <c r="F69" s="25"/>
      <c r="G69" s="25"/>
    </row>
    <row r="70" spans="1:7" x14ac:dyDescent="0.25">
      <c r="A70" s="18"/>
      <c r="B70" s="18"/>
      <c r="C70" s="20"/>
      <c r="D70" s="18"/>
      <c r="E70" s="18"/>
      <c r="F70" s="25"/>
      <c r="G70" s="25"/>
    </row>
    <row r="71" spans="1:7" x14ac:dyDescent="0.25">
      <c r="A71" s="18"/>
      <c r="B71" s="18"/>
      <c r="C71" s="20"/>
      <c r="D71" s="18"/>
      <c r="E71" s="18"/>
      <c r="F71" s="25"/>
      <c r="G71" s="25"/>
    </row>
    <row r="72" spans="1:7" x14ac:dyDescent="0.25">
      <c r="A72" s="18"/>
      <c r="B72" s="18"/>
      <c r="C72" s="20"/>
      <c r="D72" s="18"/>
      <c r="E72" s="18"/>
      <c r="F72" s="25"/>
      <c r="G72" s="25"/>
    </row>
    <row r="73" spans="1:7" x14ac:dyDescent="0.25">
      <c r="A73" s="18"/>
      <c r="B73" s="18"/>
      <c r="C73" s="20"/>
      <c r="D73" s="18"/>
      <c r="E73" s="18"/>
      <c r="F73" s="25"/>
      <c r="G73" s="25"/>
    </row>
    <row r="74" spans="1:7" x14ac:dyDescent="0.25">
      <c r="A74" s="18"/>
      <c r="B74" s="18"/>
      <c r="C74" s="20"/>
      <c r="D74" s="18"/>
      <c r="E74" s="18"/>
      <c r="F74" s="25"/>
      <c r="G74" s="25"/>
    </row>
    <row r="75" spans="1:7" x14ac:dyDescent="0.25">
      <c r="A75" s="18"/>
      <c r="B75" s="18"/>
      <c r="C75" s="20"/>
      <c r="D75" s="18"/>
      <c r="E75" s="18"/>
      <c r="F75" s="25"/>
      <c r="G75" s="25"/>
    </row>
    <row r="76" spans="1:7" x14ac:dyDescent="0.25">
      <c r="A76" s="18"/>
      <c r="B76" s="18"/>
      <c r="C76" s="20"/>
      <c r="D76" s="18"/>
      <c r="E76" s="18"/>
      <c r="F76" s="25"/>
      <c r="G76" s="25"/>
    </row>
    <row r="77" spans="1:7" x14ac:dyDescent="0.25">
      <c r="A77" s="18"/>
      <c r="B77" s="18"/>
      <c r="C77" s="20"/>
      <c r="D77" s="18"/>
      <c r="E77" s="18"/>
      <c r="F77" s="25"/>
      <c r="G77" s="25"/>
    </row>
    <row r="78" spans="1:7" x14ac:dyDescent="0.25">
      <c r="A78" s="18"/>
      <c r="B78" s="18"/>
      <c r="C78" s="20"/>
      <c r="D78" s="18"/>
      <c r="E78" s="18"/>
      <c r="F78" s="25"/>
      <c r="G78" s="25"/>
    </row>
    <row r="79" spans="1:7" x14ac:dyDescent="0.25">
      <c r="A79" s="18"/>
      <c r="B79" s="18"/>
      <c r="C79" s="20"/>
      <c r="D79" s="18"/>
      <c r="E79" s="18"/>
      <c r="F79" s="25"/>
      <c r="G79" s="25"/>
    </row>
    <row r="80" spans="1:7" x14ac:dyDescent="0.25">
      <c r="A80" s="18"/>
      <c r="B80" s="18"/>
      <c r="C80" s="20"/>
      <c r="D80" s="18"/>
      <c r="E80" s="18"/>
      <c r="F80" s="25"/>
      <c r="G80" s="25"/>
    </row>
    <row r="81" spans="1:7" x14ac:dyDescent="0.25">
      <c r="A81" s="18"/>
      <c r="B81" s="18"/>
      <c r="C81" s="20"/>
      <c r="D81" s="18"/>
      <c r="E81" s="18"/>
      <c r="F81" s="25"/>
      <c r="G81" s="25"/>
    </row>
    <row r="82" spans="1:7" x14ac:dyDescent="0.25">
      <c r="A82" s="18"/>
      <c r="B82" s="18"/>
      <c r="C82" s="20"/>
      <c r="D82" s="18"/>
      <c r="E82" s="18"/>
      <c r="F82" s="25"/>
      <c r="G82" s="25"/>
    </row>
    <row r="83" spans="1:7" x14ac:dyDescent="0.25">
      <c r="A83" s="18"/>
      <c r="B83" s="18"/>
      <c r="C83" s="20"/>
      <c r="D83" s="18"/>
      <c r="E83" s="18"/>
      <c r="F83" s="25"/>
      <c r="G83" s="25"/>
    </row>
    <row r="84" spans="1:7" x14ac:dyDescent="0.25">
      <c r="A84" s="18"/>
      <c r="B84" s="18"/>
      <c r="C84" s="20"/>
      <c r="D84" s="18"/>
      <c r="E84" s="18"/>
      <c r="F84" s="25"/>
      <c r="G84" s="25"/>
    </row>
    <row r="85" spans="1:7" x14ac:dyDescent="0.25">
      <c r="A85" s="18"/>
      <c r="B85" s="18"/>
      <c r="C85" s="20"/>
      <c r="D85" s="18"/>
      <c r="E85" s="18"/>
      <c r="F85" s="25"/>
      <c r="G85" s="25"/>
    </row>
    <row r="86" spans="1:7" x14ac:dyDescent="0.25">
      <c r="A86" s="18"/>
      <c r="B86" s="18"/>
      <c r="C86" s="20"/>
      <c r="D86" s="18"/>
      <c r="E86" s="18"/>
      <c r="F86" s="25"/>
      <c r="G86" s="25"/>
    </row>
    <row r="87" spans="1:7" x14ac:dyDescent="0.25">
      <c r="A87" s="18"/>
      <c r="B87" s="18"/>
      <c r="C87" s="20"/>
      <c r="D87" s="18"/>
      <c r="E87" s="18"/>
      <c r="F87" s="25"/>
      <c r="G87" s="25"/>
    </row>
    <row r="88" spans="1:7" x14ac:dyDescent="0.25">
      <c r="A88" s="18"/>
      <c r="B88" s="18"/>
      <c r="C88" s="20"/>
      <c r="D88" s="18"/>
      <c r="E88" s="18"/>
      <c r="F88" s="25"/>
      <c r="G88" s="25"/>
    </row>
    <row r="89" spans="1:7" x14ac:dyDescent="0.25">
      <c r="A89" s="18"/>
      <c r="B89" s="18"/>
      <c r="C89" s="20"/>
      <c r="D89" s="18"/>
      <c r="E89" s="18"/>
      <c r="F89" s="25"/>
      <c r="G89" s="25"/>
    </row>
    <row r="90" spans="1:7" x14ac:dyDescent="0.25">
      <c r="A90" s="18"/>
      <c r="B90" s="18"/>
      <c r="C90" s="20"/>
      <c r="D90" s="18"/>
      <c r="E90" s="18"/>
      <c r="F90" s="25"/>
      <c r="G90" s="25"/>
    </row>
    <row r="91" spans="1:7" x14ac:dyDescent="0.25">
      <c r="A91" s="18"/>
      <c r="B91" s="18"/>
      <c r="C91" s="20"/>
      <c r="D91" s="18"/>
      <c r="E91" s="18"/>
      <c r="F91" s="25"/>
      <c r="G91" s="25"/>
    </row>
    <row r="92" spans="1:7" x14ac:dyDescent="0.25">
      <c r="A92" s="18"/>
      <c r="B92" s="18"/>
      <c r="C92" s="20"/>
      <c r="D92" s="18"/>
      <c r="E92" s="18"/>
      <c r="F92" s="25"/>
      <c r="G92" s="25"/>
    </row>
    <row r="93" spans="1:7" x14ac:dyDescent="0.25">
      <c r="A93" s="18"/>
      <c r="B93" s="18"/>
      <c r="C93" s="20"/>
      <c r="D93" s="18"/>
      <c r="E93" s="18"/>
      <c r="F93" s="25"/>
      <c r="G93" s="25"/>
    </row>
    <row r="94" spans="1:7" x14ac:dyDescent="0.25">
      <c r="A94" s="18"/>
      <c r="B94" s="18"/>
      <c r="C94" s="20"/>
      <c r="D94" s="18"/>
      <c r="E94" s="18"/>
      <c r="F94" s="25"/>
      <c r="G94" s="25"/>
    </row>
    <row r="95" spans="1:7" x14ac:dyDescent="0.25">
      <c r="A95" s="18"/>
      <c r="B95" s="18"/>
      <c r="C95" s="20"/>
      <c r="D95" s="18"/>
      <c r="E95" s="18"/>
      <c r="F95" s="25"/>
      <c r="G95" s="25"/>
    </row>
    <row r="96" spans="1:7" x14ac:dyDescent="0.25">
      <c r="A96" s="18"/>
      <c r="B96" s="18"/>
      <c r="C96" s="20"/>
      <c r="D96" s="18"/>
      <c r="E96" s="18"/>
      <c r="F96" s="25"/>
      <c r="G96" s="25"/>
    </row>
    <row r="97" spans="1:7" x14ac:dyDescent="0.25">
      <c r="A97" s="18"/>
      <c r="B97" s="18"/>
      <c r="C97" s="20"/>
      <c r="D97" s="18"/>
      <c r="E97" s="18"/>
      <c r="F97" s="25"/>
      <c r="G97" s="25"/>
    </row>
    <row r="98" spans="1:7" x14ac:dyDescent="0.25">
      <c r="A98" s="18"/>
      <c r="B98" s="18"/>
      <c r="C98" s="20"/>
      <c r="D98" s="18"/>
      <c r="E98" s="18"/>
      <c r="F98" s="25"/>
      <c r="G98" s="25"/>
    </row>
    <row r="99" spans="1:7" x14ac:dyDescent="0.25">
      <c r="A99" s="18"/>
      <c r="B99" s="18"/>
      <c r="C99" s="20"/>
      <c r="D99" s="18"/>
      <c r="E99" s="18"/>
      <c r="F99" s="25"/>
      <c r="G99" s="25"/>
    </row>
    <row r="100" spans="1:7" x14ac:dyDescent="0.25">
      <c r="A100" s="18"/>
      <c r="B100" s="18"/>
      <c r="C100" s="20"/>
      <c r="D100" s="18"/>
      <c r="E100" s="18"/>
      <c r="F100" s="25"/>
      <c r="G100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42BA7278D3345B385EDD5B8845E97" ma:contentTypeVersion="11" ma:contentTypeDescription="Create a new document." ma:contentTypeScope="" ma:versionID="d04243ade414582f23c410caa6410d4b">
  <xsd:schema xmlns:xsd="http://www.w3.org/2001/XMLSchema" xmlns:xs="http://www.w3.org/2001/XMLSchema" xmlns:p="http://schemas.microsoft.com/office/2006/metadata/properties" xmlns:ns2="4c8419ef-7647-4e22-a806-ed6a89db52e8" xmlns:ns3="93312955-0ccc-4eb6-8aa3-26d4e109d056" targetNamespace="http://schemas.microsoft.com/office/2006/metadata/properties" ma:root="true" ma:fieldsID="e1d8db42c8544e7d889ce8fea71bb70e" ns2:_="" ns3:_="">
    <xsd:import namespace="4c8419ef-7647-4e22-a806-ed6a89db52e8"/>
    <xsd:import namespace="93312955-0ccc-4eb6-8aa3-26d4e109d0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419ef-7647-4e22-a806-ed6a89db52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12955-0ccc-4eb6-8aa3-26d4e109d05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3312955-0ccc-4eb6-8aa3-26d4e109d056">
      <UserInfo>
        <DisplayName>Adnin Naim Mohammad Yusof</DisplayName>
        <AccountId>115</AccountId>
        <AccountType/>
      </UserInfo>
      <UserInfo>
        <DisplayName>Fadilah Md Kalif</DisplayName>
        <AccountId>116</AccountId>
        <AccountType/>
      </UserInfo>
      <UserInfo>
        <DisplayName>Hwa Nee Ooi</DisplayName>
        <AccountId>118</AccountId>
        <AccountType/>
      </UserInfo>
      <UserInfo>
        <DisplayName>Shamini Radhakrishnan</DisplayName>
        <AccountId>119</AccountId>
        <AccountType/>
      </UserInfo>
      <UserInfo>
        <DisplayName>Nallanee Thaigaraja</DisplayName>
        <AccountId>105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BA3F7-3EDA-4C78-B8D4-1D3369F56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419ef-7647-4e22-a806-ed6a89db52e8"/>
    <ds:schemaRef ds:uri="93312955-0ccc-4eb6-8aa3-26d4e109d0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F4E363-5396-410D-B354-70F0CA2FE4B1}">
  <ds:schemaRefs>
    <ds:schemaRef ds:uri="http://schemas.microsoft.com/office/2006/metadata/properties"/>
    <ds:schemaRef ds:uri="http://schemas.microsoft.com/office/infopath/2007/PartnerControls"/>
    <ds:schemaRef ds:uri="93312955-0ccc-4eb6-8aa3-26d4e109d056"/>
  </ds:schemaRefs>
</ds:datastoreItem>
</file>

<file path=customXml/itemProps3.xml><?xml version="1.0" encoding="utf-8"?>
<ds:datastoreItem xmlns:ds="http://schemas.openxmlformats.org/officeDocument/2006/customXml" ds:itemID="{EE4D5B32-F704-420B-B012-E84ACB029D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PIVOT (Q1)</vt:lpstr>
      <vt:lpstr>Master (Q1)</vt:lpstr>
      <vt:lpstr>Master (Q2)</vt:lpstr>
      <vt:lpstr>New Master (Q2) </vt:lpstr>
      <vt:lpstr>ACAD</vt:lpstr>
      <vt:lpstr>VB</vt:lpstr>
      <vt:lpstr>CONT</vt:lpstr>
      <vt:lpstr>USRP Legacy</vt:lpstr>
      <vt:lpstr>Chassis</vt:lpstr>
      <vt:lpstr>USRP</vt:lpstr>
      <vt:lpstr>VST1</vt:lpstr>
      <vt:lpstr>VST2</vt:lpstr>
      <vt:lpstr>CLB</vt:lpstr>
      <vt:lpstr>STS Frame</vt:lpstr>
      <vt:lpstr>5G SA</vt:lpstr>
      <vt:lpstr>WTS</vt:lpstr>
      <vt:lpstr>RF</vt:lpstr>
      <vt:lpstr>5G STS</vt:lpstr>
      <vt:lpstr>uCkt</vt:lpstr>
      <vt:lpstr>D%$&amp;01_DevSheet</vt:lpstr>
    </vt:vector>
  </TitlesOfParts>
  <Manager/>
  <Company>istvan.toth@ni.com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István Tóth</dc:creator>
  <cp:keywords/>
  <dc:description/>
  <cp:lastModifiedBy>William Lee</cp:lastModifiedBy>
  <cp:revision/>
  <dcterms:created xsi:type="dcterms:W3CDTF">2013-06-10T07:04:38Z</dcterms:created>
  <dcterms:modified xsi:type="dcterms:W3CDTF">2020-04-26T02:23:49Z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638648a1-17a2-40fc-9ade-fdecfab97907</vt:lpwstr>
  </property>
  <property fmtid="{D5CDD505-2E9C-101B-9397-08002B2CF9AE}" pid="3" name="Offisync_ProviderInitializationData">
    <vt:lpwstr>https://nitalk.jiveon.com</vt:lpwstr>
  </property>
  <property fmtid="{D5CDD505-2E9C-101B-9397-08002B2CF9AE}" pid="4" name="Offisync_UpdateToken">
    <vt:lpwstr>3</vt:lpwstr>
  </property>
  <property fmtid="{D5CDD505-2E9C-101B-9397-08002B2CF9AE}" pid="5" name="Jive_LatestUserAccountName">
    <vt:lpwstr>aparna.satyavolu@ni.com</vt:lpwstr>
  </property>
  <property fmtid="{D5CDD505-2E9C-101B-9397-08002B2CF9AE}" pid="6" name="Jive_LatestFileFullName">
    <vt:lpwstr/>
  </property>
  <property fmtid="{D5CDD505-2E9C-101B-9397-08002B2CF9AE}" pid="7" name="Jive_ModifiedButNotPublished">
    <vt:lpwstr/>
  </property>
  <property fmtid="{D5CDD505-2E9C-101B-9397-08002B2CF9AE}" pid="8" name="Offisync_VersionGuid">
    <vt:lpwstr>d6209ef1cfef4b7a826e6efd1d2e4f59</vt:lpwstr>
  </property>
  <property fmtid="{D5CDD505-2E9C-101B-9397-08002B2CF9AE}" pid="9" name="Offisync_IsSaved">
    <vt:lpwstr>False</vt:lpwstr>
  </property>
  <property fmtid="{D5CDD505-2E9C-101B-9397-08002B2CF9AE}" pid="10" name="Offisync_UniqueId">
    <vt:lpwstr>485498</vt:lpwstr>
  </property>
  <property fmtid="{D5CDD505-2E9C-101B-9397-08002B2CF9AE}" pid="11" name="Offisync_IsFrozen">
    <vt:lpwstr>False</vt:lpwstr>
  </property>
  <property fmtid="{D5CDD505-2E9C-101B-9397-08002B2CF9AE}" pid="12" name="Offisync_ProviderName">
    <vt:lpwstr>Jive</vt:lpwstr>
  </property>
  <property fmtid="{D5CDD505-2E9C-101B-9397-08002B2CF9AE}" pid="13" name="Jive_PrevVersionNumber">
    <vt:lpwstr/>
  </property>
  <property fmtid="{D5CDD505-2E9C-101B-9397-08002B2CF9AE}" pid="14" name="Jive_VersionGuid">
    <vt:lpwstr>13110a29-64c8-4d79-8890-34f1b4cb2bda</vt:lpwstr>
  </property>
  <property fmtid="{D5CDD505-2E9C-101B-9397-08002B2CF9AE}" pid="15" name="ContentTypeId">
    <vt:lpwstr>0x01010062342BA7278D3345B385EDD5B8845E97</vt:lpwstr>
  </property>
  <property fmtid="{D5CDD505-2E9C-101B-9397-08002B2CF9AE}" pid="16" name="AuthorIds_UIVersion_20992">
    <vt:lpwstr>37</vt:lpwstr>
  </property>
  <property fmtid="{D5CDD505-2E9C-101B-9397-08002B2CF9AE}" pid="17" name="SV_QUERY_LIST_4F35BF76-6C0D-4D9B-82B2-816C12CF3733">
    <vt:lpwstr>empty_477D106A-C0D6-4607-AEBD-E2C9D60EA279</vt:lpwstr>
  </property>
</Properties>
</file>