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B23" authorId="0">
      <text>
        <r>
          <rPr>
            <sz val="9"/>
            <color rgb="FF000000"/>
            <rFont val="Segoe UI"/>
            <family val="2"/>
            <charset val="1"/>
          </rPr>
          <t xml:space="preserve">Força de protensão para não gerar tensões de tração</t>
        </r>
      </text>
    </comment>
    <comment ref="F6" authorId="0">
      <text>
        <r>
          <rPr>
            <sz val="10"/>
            <rFont val="Arial"/>
            <family val="2"/>
          </rPr>
          <t xml:space="preserve">Área cordoalha Ø12,7mm = 1 cm²
Resistência do cabo = 190 kN/cm²
Rendimento = 77%</t>
        </r>
      </text>
    </comment>
    <comment ref="F7" authorId="0">
      <text>
        <r>
          <rPr>
            <sz val="10"/>
            <rFont val="Arial"/>
            <family val="2"/>
          </rPr>
          <t xml:space="preserve">Área cordoalha Ø15,2mm = 1,5 cm²
Resistência do cabo = 190 kN/cm²
Rendimento = 77%</t>
        </r>
      </text>
    </comment>
  </commentList>
</comments>
</file>

<file path=xl/sharedStrings.xml><?xml version="1.0" encoding="utf-8"?>
<sst xmlns="http://schemas.openxmlformats.org/spreadsheetml/2006/main" count="114" uniqueCount="68">
  <si>
    <t xml:space="preserve">Dados:</t>
  </si>
  <si>
    <t xml:space="preserve">Cordoalhas:</t>
  </si>
  <si>
    <t xml:space="preserve">Carga permanente =</t>
  </si>
  <si>
    <t xml:space="preserve">kN/m</t>
  </si>
  <si>
    <t xml:space="preserve">Cordoalha CP190 = </t>
  </si>
  <si>
    <t xml:space="preserve">MPa</t>
  </si>
  <si>
    <t xml:space="preserve">Carga acidental =</t>
  </si>
  <si>
    <t xml:space="preserve">NRd, cord. Ø12,7 =</t>
  </si>
  <si>
    <t xml:space="preserve">kN</t>
  </si>
  <si>
    <t xml:space="preserve">Vão =</t>
  </si>
  <si>
    <t xml:space="preserve">m</t>
  </si>
  <si>
    <t xml:space="preserve">NRd, cord. Ø15,2 =</t>
  </si>
  <si>
    <t xml:space="preserve">fck =</t>
  </si>
  <si>
    <t xml:space="preserve">Coef. de segurança: - Escritórios</t>
  </si>
  <si>
    <t xml:space="preserve">Perda =</t>
  </si>
  <si>
    <t xml:space="preserve">Coef. CQP =</t>
  </si>
  <si>
    <t xml:space="preserve">Escritório / CAA II / Pré-tração</t>
  </si>
  <si>
    <t xml:space="preserve">Coef. CFREQ =</t>
  </si>
  <si>
    <t xml:space="preserve">Geometria:</t>
  </si>
  <si>
    <t xml:space="preserve">Cálculo das tensões (σ, ELS-D -&gt; CQP):</t>
  </si>
  <si>
    <t xml:space="preserve">Cálculo das tensões (σ, ELS-F -&gt; CFREQ):</t>
  </si>
  <si>
    <t xml:space="preserve">Cálculo das tensões no ato de protensão:</t>
  </si>
  <si>
    <t xml:space="preserve">Cálculo do momento resistente (ELU):</t>
  </si>
  <si>
    <t xml:space="preserve">b =</t>
  </si>
  <si>
    <t xml:space="preserve">cm</t>
  </si>
  <si>
    <t xml:space="preserve">- Análise do ELS de descompressão</t>
  </si>
  <si>
    <t xml:space="preserve">- Análise da formação de fissuras</t>
  </si>
  <si>
    <t xml:space="preserve">h =</t>
  </si>
  <si>
    <t xml:space="preserve">Mqp =</t>
  </si>
  <si>
    <t xml:space="preserve">kN.m</t>
  </si>
  <si>
    <t xml:space="preserve">Mfreq =</t>
  </si>
  <si>
    <t xml:space="preserve">σ, N =</t>
  </si>
  <si>
    <t xml:space="preserve">kN/cm^2</t>
  </si>
  <si>
    <t xml:space="preserve">Fs = Fc =</t>
  </si>
  <si>
    <t xml:space="preserve">e =</t>
  </si>
  <si>
    <t xml:space="preserve">σ, Mp =</t>
  </si>
  <si>
    <t xml:space="preserve">Ac =</t>
  </si>
  <si>
    <t xml:space="preserve">cm^2</t>
  </si>
  <si>
    <t xml:space="preserve">A =</t>
  </si>
  <si>
    <t xml:space="preserve">σ, Me =</t>
  </si>
  <si>
    <t xml:space="preserve">σ, sup =</t>
  </si>
  <si>
    <t xml:space="preserve">y =</t>
  </si>
  <si>
    <t xml:space="preserve">Iy =</t>
  </si>
  <si>
    <t xml:space="preserve">cm^4</t>
  </si>
  <si>
    <t xml:space="preserve">σ, inf =</t>
  </si>
  <si>
    <t xml:space="preserve">Z =</t>
  </si>
  <si>
    <t xml:space="preserve">Wy =</t>
  </si>
  <si>
    <t xml:space="preserve">cm^3</t>
  </si>
  <si>
    <t xml:space="preserve">σ, adm =</t>
  </si>
  <si>
    <t xml:space="preserve">M,Rd =</t>
  </si>
  <si>
    <t xml:space="preserve">dif </t>
  </si>
  <si>
    <t xml:space="preserve">fcj =</t>
  </si>
  <si>
    <t xml:space="preserve">M,Sd =</t>
  </si>
  <si>
    <t xml:space="preserve">Cálculo do cabo:</t>
  </si>
  <si>
    <t xml:space="preserve">Msk =</t>
  </si>
  <si>
    <t xml:space="preserve">Armadura superior:</t>
  </si>
  <si>
    <t xml:space="preserve">Cálculo da flecha (ELS -&gt; CQP):</t>
  </si>
  <si>
    <t xml:space="preserve">Vsk =</t>
  </si>
  <si>
    <t xml:space="preserve">Ei =</t>
  </si>
  <si>
    <t xml:space="preserve">P =</t>
  </si>
  <si>
    <t xml:space="preserve">Es =</t>
  </si>
  <si>
    <t xml:space="preserve">Nº cord. Ø15,2   (para combater o momento)=</t>
  </si>
  <si>
    <t xml:space="preserve">δi =</t>
  </si>
  <si>
    <t xml:space="preserve">Nº cord. Ø15,2   ADOTADO</t>
  </si>
  <si>
    <t xml:space="preserve">δdif =</t>
  </si>
  <si>
    <t xml:space="preserve">F, imediata =</t>
  </si>
  <si>
    <t xml:space="preserve">δlim =</t>
  </si>
  <si>
    <t xml:space="preserve">F, tempo 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</si>
</sst>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"/>
    <numFmt numFmtId="167" formatCode="#,##0.00"/>
    <numFmt numFmtId="168" formatCode="0.00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9"/>
      <color rgb="FF000000"/>
      <name val="Segoe U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601920</xdr:colOff>
      <xdr:row>21</xdr:row>
      <xdr:rowOff>20880</xdr:rowOff>
    </xdr:from>
    <xdr:to>
      <xdr:col>7</xdr:col>
      <xdr:colOff>283320</xdr:colOff>
      <xdr:row>24</xdr:row>
      <xdr:rowOff>196560</xdr:rowOff>
    </xdr:to>
    <xdr:pic>
      <xdr:nvPicPr>
        <xdr:cNvPr id="0" name="Imagem 6" descr=""/>
        <xdr:cNvPicPr/>
      </xdr:nvPicPr>
      <xdr:blipFill>
        <a:blip r:embed="rId1"/>
        <a:stretch/>
      </xdr:blipFill>
      <xdr:spPr>
        <a:xfrm>
          <a:off x="6098400" y="3913920"/>
          <a:ext cx="2584800" cy="718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14400</xdr:colOff>
      <xdr:row>21</xdr:row>
      <xdr:rowOff>33120</xdr:rowOff>
    </xdr:from>
    <xdr:to>
      <xdr:col>11</xdr:col>
      <xdr:colOff>551520</xdr:colOff>
      <xdr:row>24</xdr:row>
      <xdr:rowOff>212400</xdr:rowOff>
    </xdr:to>
    <xdr:pic>
      <xdr:nvPicPr>
        <xdr:cNvPr id="1" name="Imagem 4" descr=""/>
        <xdr:cNvPicPr/>
      </xdr:nvPicPr>
      <xdr:blipFill>
        <a:blip r:embed="rId2"/>
        <a:stretch/>
      </xdr:blipFill>
      <xdr:spPr>
        <a:xfrm>
          <a:off x="9815040" y="3926160"/>
          <a:ext cx="2598120" cy="72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361800</xdr:colOff>
      <xdr:row>20</xdr:row>
      <xdr:rowOff>178920</xdr:rowOff>
    </xdr:from>
    <xdr:to>
      <xdr:col>15</xdr:col>
      <xdr:colOff>282600</xdr:colOff>
      <xdr:row>24</xdr:row>
      <xdr:rowOff>149400</xdr:rowOff>
    </xdr:to>
    <xdr:pic>
      <xdr:nvPicPr>
        <xdr:cNvPr id="2" name="Imagem 1" descr=""/>
        <xdr:cNvPicPr/>
      </xdr:nvPicPr>
      <xdr:blipFill>
        <a:blip r:embed="rId3"/>
        <a:stretch/>
      </xdr:blipFill>
      <xdr:spPr>
        <a:xfrm>
          <a:off x="13178520" y="3844800"/>
          <a:ext cx="2123640" cy="740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W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7578125" defaultRowHeight="14.25" zeroHeight="false" outlineLevelRow="0" outlineLevelCol="0"/>
  <cols>
    <col collapsed="false" customWidth="true" hidden="false" outlineLevel="0" max="2" min="2" style="0" width="38.44"/>
    <col collapsed="false" customWidth="true" hidden="false" outlineLevel="0" max="3" min="3" style="0" width="12.76"/>
    <col collapsed="false" customWidth="true" hidden="false" outlineLevel="0" max="6" min="6" style="0" width="18.78"/>
    <col collapsed="false" customWidth="true" hidden="false" outlineLevel="0" max="10" min="10" style="0" width="18.78"/>
    <col collapsed="false" customWidth="true" hidden="false" outlineLevel="0" max="11" min="11" style="0" width="6.98"/>
    <col collapsed="false" customWidth="true" hidden="false" outlineLevel="0" max="13" min="13" style="0" width="3.18"/>
    <col collapsed="false" customWidth="true" hidden="false" outlineLevel="0" max="14" min="14" style="0" width="18.78"/>
    <col collapsed="false" customWidth="true" hidden="false" outlineLevel="0" max="17" min="17" style="0" width="2.9"/>
    <col collapsed="false" customWidth="true" hidden="false" outlineLevel="0" max="18" min="18" style="0" width="15.51"/>
    <col collapsed="false" customWidth="true" hidden="false" outlineLevel="0" max="19" min="19" style="0" width="12.03"/>
    <col collapsed="false" customWidth="true" hidden="false" outlineLevel="0" max="20" min="20" style="0" width="7.97"/>
  </cols>
  <sheetData>
    <row r="4" customFormat="false" ht="14.25" hidden="false" customHeight="false" outlineLevel="0" collapsed="false">
      <c r="B4" s="1" t="s">
        <v>0</v>
      </c>
      <c r="F4" s="1" t="s">
        <v>1</v>
      </c>
    </row>
    <row r="5" customFormat="false" ht="14.25" hidden="false" customHeight="false" outlineLevel="0" collapsed="false">
      <c r="B5" s="2" t="s">
        <v>2</v>
      </c>
      <c r="C5" s="2" t="n">
        <f aca="false">21+(C16/10000 * 25)</f>
        <v>26</v>
      </c>
      <c r="D5" s="2" t="s">
        <v>3</v>
      </c>
      <c r="F5" s="2" t="s">
        <v>4</v>
      </c>
      <c r="G5" s="2" t="n">
        <v>190</v>
      </c>
      <c r="H5" s="2" t="s">
        <v>5</v>
      </c>
    </row>
    <row r="6" customFormat="false" ht="14.25" hidden="false" customHeight="false" outlineLevel="0" collapsed="false">
      <c r="B6" s="2" t="s">
        <v>6</v>
      </c>
      <c r="C6" s="2" t="n">
        <v>17</v>
      </c>
      <c r="D6" s="2" t="s">
        <v>3</v>
      </c>
      <c r="F6" s="2" t="s">
        <v>7</v>
      </c>
      <c r="G6" s="2" t="n">
        <f aca="false">1*G5*0.77</f>
        <v>146.3</v>
      </c>
      <c r="H6" s="2" t="s">
        <v>8</v>
      </c>
    </row>
    <row r="7" customFormat="false" ht="14.25" hidden="false" customHeight="false" outlineLevel="0" collapsed="false">
      <c r="B7" s="2" t="s">
        <v>9</v>
      </c>
      <c r="C7" s="2" t="n">
        <v>9.63</v>
      </c>
      <c r="D7" s="2" t="s">
        <v>10</v>
      </c>
      <c r="F7" s="2" t="s">
        <v>11</v>
      </c>
      <c r="G7" s="2" t="n">
        <f aca="false">1.5*G5*0.77</f>
        <v>219.45</v>
      </c>
      <c r="H7" s="2" t="s">
        <v>8</v>
      </c>
    </row>
    <row r="8" customFormat="false" ht="14.25" hidden="false" customHeight="false" outlineLevel="0" collapsed="false">
      <c r="B8" s="2" t="s">
        <v>12</v>
      </c>
      <c r="C8" s="2" t="n">
        <v>40</v>
      </c>
      <c r="D8" s="2" t="s">
        <v>5</v>
      </c>
      <c r="F8" s="1" t="s">
        <v>13</v>
      </c>
    </row>
    <row r="9" customFormat="false" ht="14.25" hidden="false" customHeight="false" outlineLevel="0" collapsed="false">
      <c r="B9" s="2" t="s">
        <v>14</v>
      </c>
      <c r="C9" s="3" t="n">
        <v>0.22</v>
      </c>
      <c r="D9" s="2"/>
      <c r="F9" s="2" t="s">
        <v>15</v>
      </c>
      <c r="G9" s="2" t="n">
        <v>0.4</v>
      </c>
      <c r="H9" s="2"/>
    </row>
    <row r="10" customFormat="false" ht="14.25" hidden="false" customHeight="false" outlineLevel="0" collapsed="false">
      <c r="B10" s="2" t="s">
        <v>16</v>
      </c>
      <c r="C10" s="2"/>
      <c r="D10" s="2"/>
      <c r="F10" s="2" t="s">
        <v>17</v>
      </c>
      <c r="G10" s="2" t="n">
        <v>0.6</v>
      </c>
      <c r="H10" s="2"/>
    </row>
    <row r="12" customFormat="false" ht="14.25" hidden="false" customHeight="false" outlineLevel="0" collapsed="false">
      <c r="B12" s="1" t="s">
        <v>18</v>
      </c>
      <c r="F12" s="1" t="s">
        <v>19</v>
      </c>
      <c r="J12" s="1" t="s">
        <v>20</v>
      </c>
      <c r="N12" s="1" t="s">
        <v>21</v>
      </c>
      <c r="R12" s="1" t="s">
        <v>22</v>
      </c>
    </row>
    <row r="13" customFormat="false" ht="14.25" hidden="false" customHeight="false" outlineLevel="0" collapsed="false">
      <c r="B13" s="2" t="s">
        <v>23</v>
      </c>
      <c r="C13" s="2" t="n">
        <v>25</v>
      </c>
      <c r="D13" s="2" t="s">
        <v>24</v>
      </c>
      <c r="F13" s="4" t="s">
        <v>25</v>
      </c>
      <c r="J13" s="4" t="s">
        <v>26</v>
      </c>
    </row>
    <row r="14" customFormat="false" ht="14.25" hidden="false" customHeight="false" outlineLevel="0" collapsed="false">
      <c r="B14" s="2" t="s">
        <v>27</v>
      </c>
      <c r="C14" s="2" t="n">
        <v>80</v>
      </c>
      <c r="D14" s="2" t="s">
        <v>24</v>
      </c>
      <c r="F14" s="4" t="s">
        <v>28</v>
      </c>
      <c r="G14" s="5" t="n">
        <f aca="false">(1*C5+G9*C6)*(C7^2)/8</f>
        <v>380.22129</v>
      </c>
      <c r="H14" s="4" t="s">
        <v>29</v>
      </c>
      <c r="J14" s="4" t="s">
        <v>30</v>
      </c>
      <c r="K14" s="6" t="n">
        <f aca="false">(1*C5+G10*C6)*(C7^2)/8</f>
        <v>419.6344725</v>
      </c>
      <c r="L14" s="4" t="s">
        <v>29</v>
      </c>
      <c r="N14" s="4" t="s">
        <v>31</v>
      </c>
      <c r="O14" s="4" t="n">
        <f aca="false">C26/C16</f>
        <v>0.768075</v>
      </c>
      <c r="P14" s="4" t="s">
        <v>32</v>
      </c>
      <c r="R14" s="4" t="s">
        <v>33</v>
      </c>
      <c r="S14" s="6" t="n">
        <f aca="false">C27</f>
        <v>1259.1393442623</v>
      </c>
      <c r="T14" s="4" t="s">
        <v>8</v>
      </c>
    </row>
    <row r="15" customFormat="false" ht="14.25" hidden="false" customHeight="false" outlineLevel="0" collapsed="false">
      <c r="B15" s="2" t="s">
        <v>34</v>
      </c>
      <c r="C15" s="2" t="n">
        <f aca="false">C14/2-5</f>
        <v>35</v>
      </c>
      <c r="D15" s="2" t="s">
        <v>24</v>
      </c>
      <c r="F15" s="4" t="s">
        <v>31</v>
      </c>
      <c r="G15" s="7" t="n">
        <f aca="false">C27/C16</f>
        <v>0.629569672131148</v>
      </c>
      <c r="H15" s="4" t="s">
        <v>32</v>
      </c>
      <c r="J15" s="4" t="s">
        <v>31</v>
      </c>
      <c r="K15" s="7" t="n">
        <f aca="false">C27/C16</f>
        <v>0.629569672131148</v>
      </c>
      <c r="L15" s="4" t="s">
        <v>32</v>
      </c>
      <c r="N15" s="4" t="s">
        <v>35</v>
      </c>
      <c r="O15" s="7" t="n">
        <f aca="false">C26*C15/C18</f>
        <v>2.016196875</v>
      </c>
      <c r="P15" s="4" t="s">
        <v>32</v>
      </c>
      <c r="R15" s="4" t="s">
        <v>36</v>
      </c>
      <c r="S15" s="5" t="n">
        <f aca="false">S14/(0.85*C8/10/1.4)</f>
        <v>518.469141755063</v>
      </c>
      <c r="T15" s="4" t="s">
        <v>37</v>
      </c>
    </row>
    <row r="16" customFormat="false" ht="14.25" hidden="false" customHeight="false" outlineLevel="0" collapsed="false">
      <c r="B16" s="0" t="s">
        <v>38</v>
      </c>
      <c r="C16" s="0" t="n">
        <f aca="false">C13*C14</f>
        <v>2000</v>
      </c>
      <c r="D16" s="0" t="s">
        <v>37</v>
      </c>
      <c r="F16" s="4" t="s">
        <v>39</v>
      </c>
      <c r="G16" s="7" t="n">
        <f aca="false">G14*100/C18</f>
        <v>1.4258298375</v>
      </c>
      <c r="H16" s="4" t="s">
        <v>32</v>
      </c>
      <c r="J16" s="4" t="s">
        <v>39</v>
      </c>
      <c r="K16" s="7" t="n">
        <f aca="false">K14*100/C18</f>
        <v>1.573629271875</v>
      </c>
      <c r="L16" s="4" t="s">
        <v>32</v>
      </c>
      <c r="N16" s="1" t="s">
        <v>40</v>
      </c>
      <c r="O16" s="7" t="n">
        <f aca="false">-O14+O15</f>
        <v>1.248121875</v>
      </c>
      <c r="P16" s="4" t="s">
        <v>32</v>
      </c>
      <c r="R16" s="4" t="s">
        <v>41</v>
      </c>
      <c r="S16" s="5" t="n">
        <f aca="false">S15/C13</f>
        <v>20.7387656702025</v>
      </c>
      <c r="T16" s="4" t="s">
        <v>24</v>
      </c>
    </row>
    <row r="17" customFormat="false" ht="14.25" hidden="false" customHeight="false" outlineLevel="0" collapsed="false">
      <c r="B17" s="0" t="s">
        <v>42</v>
      </c>
      <c r="C17" s="6" t="n">
        <f aca="false">C13*(C14^3)/12</f>
        <v>1066666.66666667</v>
      </c>
      <c r="D17" s="4" t="s">
        <v>43</v>
      </c>
      <c r="F17" s="4" t="s">
        <v>35</v>
      </c>
      <c r="G17" s="6" t="n">
        <f aca="false">C27*C15/C18</f>
        <v>1.65262038934426</v>
      </c>
      <c r="H17" s="4" t="s">
        <v>32</v>
      </c>
      <c r="J17" s="4" t="s">
        <v>35</v>
      </c>
      <c r="K17" s="6" t="n">
        <f aca="false">C27*C15/C18</f>
        <v>1.65262038934426</v>
      </c>
      <c r="L17" s="4" t="s">
        <v>32</v>
      </c>
      <c r="N17" s="1" t="s">
        <v>44</v>
      </c>
      <c r="O17" s="7" t="n">
        <f aca="false">-O14-O15</f>
        <v>-2.784271875</v>
      </c>
      <c r="P17" s="4" t="s">
        <v>32</v>
      </c>
      <c r="R17" s="4" t="s">
        <v>45</v>
      </c>
      <c r="S17" s="5" t="n">
        <f aca="false">C14/2-S16/2+C15</f>
        <v>64.6306171648988</v>
      </c>
      <c r="T17" s="4" t="s">
        <v>24</v>
      </c>
    </row>
    <row r="18" customFormat="false" ht="17.9" hidden="false" customHeight="false" outlineLevel="0" collapsed="false">
      <c r="B18" s="0" t="s">
        <v>46</v>
      </c>
      <c r="C18" s="6" t="n">
        <f aca="false">C17/(C14/2)</f>
        <v>26666.6666666667</v>
      </c>
      <c r="D18" s="4" t="s">
        <v>47</v>
      </c>
      <c r="F18" s="1" t="s">
        <v>40</v>
      </c>
      <c r="G18" s="7" t="n">
        <f aca="false">-G15-G16+G17</f>
        <v>-0.402779120286885</v>
      </c>
      <c r="H18" s="4" t="s">
        <v>32</v>
      </c>
      <c r="J18" s="1" t="s">
        <v>40</v>
      </c>
      <c r="K18" s="7" t="n">
        <f aca="false">-K15-K16+K17</f>
        <v>-0.550578554661886</v>
      </c>
      <c r="L18" s="4" t="s">
        <v>32</v>
      </c>
      <c r="N18" s="4" t="s">
        <v>48</v>
      </c>
      <c r="O18" s="4" t="n">
        <f aca="false">C8/10*0.7</f>
        <v>2.8</v>
      </c>
      <c r="P18" s="4" t="s">
        <v>32</v>
      </c>
      <c r="R18" s="4" t="s">
        <v>49</v>
      </c>
      <c r="S18" s="5" t="n">
        <f aca="false">S14*S17/100</f>
        <v>813.789529162781</v>
      </c>
      <c r="T18" s="4" t="s">
        <v>29</v>
      </c>
      <c r="V18" s="4" t="s">
        <v>50</v>
      </c>
      <c r="W18" s="5" t="n">
        <f aca="false">S19-S18</f>
        <v>-115.94435666278</v>
      </c>
    </row>
    <row r="19" customFormat="false" ht="14.25" hidden="false" customHeight="false" outlineLevel="0" collapsed="false">
      <c r="F19" s="1" t="s">
        <v>44</v>
      </c>
      <c r="G19" s="7" t="n">
        <f aca="false">-G15+G16-G17</f>
        <v>-0.85636022397541</v>
      </c>
      <c r="H19" s="4" t="s">
        <v>32</v>
      </c>
      <c r="J19" s="1" t="s">
        <v>44</v>
      </c>
      <c r="K19" s="7" t="n">
        <f aca="false">-K15+K16-K17</f>
        <v>-0.70856078960041</v>
      </c>
      <c r="L19" s="4" t="s">
        <v>32</v>
      </c>
      <c r="N19" s="4" t="s">
        <v>51</v>
      </c>
      <c r="O19" s="5" t="n">
        <f aca="false">-P26/0.7*10</f>
        <v>39.7753125</v>
      </c>
      <c r="P19" s="4" t="s">
        <v>5</v>
      </c>
      <c r="R19" s="4" t="s">
        <v>52</v>
      </c>
      <c r="S19" s="5" t="n">
        <f aca="false">C21*1.4</f>
        <v>697.8451725</v>
      </c>
      <c r="T19" s="4" t="s">
        <v>29</v>
      </c>
    </row>
    <row r="20" customFormat="false" ht="14.25" hidden="false" customHeight="false" outlineLevel="0" collapsed="false">
      <c r="B20" s="1" t="s">
        <v>53</v>
      </c>
    </row>
    <row r="21" customFormat="false" ht="17.9" hidden="false" customHeight="false" outlineLevel="0" collapsed="false">
      <c r="B21" s="0" t="s">
        <v>54</v>
      </c>
      <c r="C21" s="5" t="n">
        <f aca="false">(C5+C6)*(C7^2)/8</f>
        <v>498.4608375</v>
      </c>
      <c r="D21" s="4" t="s">
        <v>29</v>
      </c>
      <c r="H21" s="8" t="n">
        <f aca="false">G18</f>
        <v>-0.402779120286885</v>
      </c>
      <c r="L21" s="8" t="n">
        <f aca="false">K18</f>
        <v>-0.550578554661886</v>
      </c>
      <c r="N21" s="4" t="s">
        <v>55</v>
      </c>
      <c r="P21" s="9" t="n">
        <f aca="false">O16</f>
        <v>1.248121875</v>
      </c>
      <c r="R21" s="1" t="s">
        <v>56</v>
      </c>
    </row>
    <row r="22" customFormat="false" ht="14.25" hidden="false" customHeight="false" outlineLevel="0" collapsed="false">
      <c r="B22" s="0" t="s">
        <v>57</v>
      </c>
      <c r="C22" s="5" t="n">
        <f aca="false">(C5+C6)*C7/2*1.4</f>
        <v>289.863</v>
      </c>
      <c r="D22" s="4" t="s">
        <v>8</v>
      </c>
      <c r="H22" s="10"/>
      <c r="R22" s="4" t="s">
        <v>58</v>
      </c>
      <c r="S22" s="6" t="n">
        <f aca="false">5600*SQRT(C8)</f>
        <v>35417.5097938859</v>
      </c>
      <c r="T22" s="4" t="s">
        <v>5</v>
      </c>
    </row>
    <row r="23" customFormat="false" ht="14.25" hidden="false" customHeight="false" outlineLevel="0" collapsed="false">
      <c r="B23" s="0" t="s">
        <v>59</v>
      </c>
      <c r="C23" s="5" t="n">
        <f aca="false">G14/(C15/100)</f>
        <v>1086.34654285714</v>
      </c>
      <c r="D23" s="4" t="s">
        <v>8</v>
      </c>
      <c r="H23" s="10"/>
      <c r="J23" s="11"/>
      <c r="R23" s="4" t="s">
        <v>60</v>
      </c>
      <c r="S23" s="6" t="n">
        <f aca="false">S22*0.9</f>
        <v>31875.7588144973</v>
      </c>
      <c r="T23" s="4" t="s">
        <v>5</v>
      </c>
    </row>
    <row r="24" customFormat="false" ht="14.25" hidden="false" customHeight="false" outlineLevel="0" collapsed="false">
      <c r="B24" s="0" t="s">
        <v>61</v>
      </c>
      <c r="C24" s="0" t="n">
        <f aca="false">ROUNDUP(C23/G7,0)</f>
        <v>5</v>
      </c>
      <c r="H24" s="10"/>
      <c r="J24" s="11"/>
      <c r="R24" s="4" t="s">
        <v>62</v>
      </c>
      <c r="S24" s="5" t="n">
        <f aca="false">5*((C5+C6*G9)/100)*((C7*100)^4)/384/(S23/10)/C17</f>
        <v>1.08026055018437</v>
      </c>
      <c r="T24" s="4" t="s">
        <v>24</v>
      </c>
    </row>
    <row r="25" customFormat="false" ht="17.9" hidden="false" customHeight="false" outlineLevel="0" collapsed="false">
      <c r="B25" s="0" t="s">
        <v>63</v>
      </c>
      <c r="C25" s="0" t="n">
        <v>7</v>
      </c>
      <c r="H25" s="10"/>
      <c r="J25" s="11"/>
      <c r="R25" s="4" t="s">
        <v>64</v>
      </c>
      <c r="S25" s="5" t="n">
        <f aca="false">S24*1.5</f>
        <v>1.62039082527656</v>
      </c>
      <c r="T25" s="4" t="s">
        <v>24</v>
      </c>
    </row>
    <row r="26" customFormat="false" ht="17.9" hidden="false" customHeight="false" outlineLevel="0" collapsed="false">
      <c r="B26" s="0" t="s">
        <v>65</v>
      </c>
      <c r="C26" s="0" t="n">
        <f aca="false">C25*G7</f>
        <v>1536.15</v>
      </c>
      <c r="D26" s="0" t="s">
        <v>8</v>
      </c>
      <c r="H26" s="8" t="n">
        <f aca="false">G19</f>
        <v>-0.85636022397541</v>
      </c>
      <c r="L26" s="8" t="n">
        <f aca="false">K19</f>
        <v>-0.70856078960041</v>
      </c>
      <c r="P26" s="8" t="n">
        <f aca="false">O17</f>
        <v>-2.784271875</v>
      </c>
      <c r="R26" s="4" t="s">
        <v>66</v>
      </c>
      <c r="S26" s="5" t="n">
        <f aca="false">C7*100/250</f>
        <v>3.852</v>
      </c>
      <c r="T26" s="4" t="s">
        <v>24</v>
      </c>
    </row>
    <row r="27" customFormat="false" ht="14.25" hidden="false" customHeight="false" outlineLevel="0" collapsed="false">
      <c r="B27" s="0" t="s">
        <v>67</v>
      </c>
      <c r="C27" s="6" t="n">
        <f aca="false">C26/(1+C9)</f>
        <v>1259.1393442623</v>
      </c>
      <c r="D27" s="4" t="s">
        <v>8</v>
      </c>
    </row>
  </sheetData>
  <conditionalFormatting sqref="S18">
    <cfRule type="cellIs" priority="2" operator="lessThan" aboveAverage="0" equalAverage="0" bottom="0" percent="0" rank="0" text="" dxfId="0">
      <formula>$S$19</formula>
    </cfRule>
    <cfRule type="cellIs" priority="3" operator="greaterThan" aboveAverage="0" equalAverage="0" bottom="0" percent="0" rank="0" text="" dxfId="1">
      <formula>$S$19</formula>
    </cfRule>
  </conditionalFormatting>
  <conditionalFormatting sqref="S25">
    <cfRule type="cellIs" priority="4" operator="greaterThan" aboveAverage="0" equalAverage="0" bottom="0" percent="0" rank="0" text="" dxfId="2">
      <formula>$S$26</formula>
    </cfRule>
    <cfRule type="cellIs" priority="5" operator="lessThan" aboveAverage="0" equalAverage="0" bottom="0" percent="0" rank="0" text="" dxfId="3">
      <formula>$S$26</formula>
    </cfRule>
  </conditionalFormatting>
  <conditionalFormatting sqref="P26">
    <cfRule type="cellIs" priority="6" operator="lessThan" aboveAverage="0" equalAverage="0" bottom="0" percent="0" rank="0" text="" dxfId="4">
      <formula>-$O$18</formula>
    </cfRule>
    <cfRule type="cellIs" priority="7" operator="greaterThan" aboveAverage="0" equalAverage="0" bottom="0" percent="0" rank="0" text="" dxfId="5">
      <formula>-$O$18</formula>
    </cfRule>
  </conditionalFormatting>
  <conditionalFormatting sqref="H21 L21 H26 L26">
    <cfRule type="cellIs" priority="8" operator="lessThan" aboveAverage="0" equalAverage="0" bottom="0" percent="0" rank="0" text="" dxfId="6">
      <formula>0</formula>
    </cfRule>
    <cfRule type="cellIs" priority="9" operator="greaterThan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2024-09-10T23:08:05Z</dcterms:created>
  <dc:creator>Norman Luis Junges Reichert</dc:creator>
  <dc:description/>
  <dc:language>pt-BR</dc:language>
  <cp:lastModifiedBy/>
  <dcterms:modified xsi:type="dcterms:W3CDTF">2024-10-01T21:43:28Z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